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codeName="ThisWorkbook" autoCompressPictures="0"/>
  <mc:AlternateContent xmlns:mc="http://schemas.openxmlformats.org/markup-compatibility/2006">
    <mc:Choice Requires="x15">
      <x15ac:absPath xmlns:x15ac="http://schemas.microsoft.com/office/spreadsheetml/2010/11/ac" url="S:\Performance\"/>
    </mc:Choice>
  </mc:AlternateContent>
  <xr:revisionPtr revIDLastSave="0" documentId="13_ncr:1_{4228DEAD-AFF9-4986-9264-96C6F84D4027}" xr6:coauthVersionLast="47" xr6:coauthVersionMax="47" xr10:uidLastSave="{00000000-0000-0000-0000-000000000000}"/>
  <bookViews>
    <workbookView xWindow="4755" yWindow="4755" windowWidth="21600" windowHeight="11295" tabRatio="814" activeTab="18" xr2:uid="{00000000-000D-0000-FFFF-FFFF00000000}"/>
  </bookViews>
  <sheets>
    <sheet name="ChartAdvisorTempSheet" sheetId="7" state="hidden" r:id="rId1"/>
    <sheet name="Returns" sheetId="22" r:id="rId2"/>
    <sheet name="Chart5" sheetId="14" r:id="rId3"/>
    <sheet name="Chart6" sheetId="11" r:id="rId4"/>
    <sheet name="Chart7" sheetId="9" r:id="rId5"/>
    <sheet name="Chart8" sheetId="13" r:id="rId6"/>
    <sheet name="LC (Gross)" sheetId="1" r:id="rId7"/>
    <sheet name="LC (Net)" sheetId="25" r:id="rId8"/>
    <sheet name="Global (Gross)" sheetId="2" r:id="rId9"/>
    <sheet name="Global (Net)" sheetId="27" r:id="rId10"/>
    <sheet name="BOGIX (Gross)" sheetId="36" r:id="rId11"/>
    <sheet name="BOGIX (Net)" sheetId="35" r:id="rId12"/>
    <sheet name="CRA (Gross)" sheetId="17" r:id="rId13"/>
    <sheet name="CRA (Net)" sheetId="28" r:id="rId14"/>
    <sheet name="Tactical" sheetId="41" r:id="rId15"/>
    <sheet name="LCC" sheetId="40" r:id="rId16"/>
    <sheet name="GINC" sheetId="39" r:id="rId17"/>
    <sheet name="Chart Data" sheetId="10" r:id="rId18"/>
    <sheet name="Quarterly Perf Update Table" sheetId="31" r:id="rId19"/>
    <sheet name="Factsheet Perf Tables" sheetId="30" r:id="rId20"/>
    <sheet name="Calendar Year" sheetId="33" r:id="rId21"/>
    <sheet name="Monthly Performance Update" sheetId="23" r:id="rId22"/>
    <sheet name="Monthly Perf Update Table" sheetId="24" r:id="rId23"/>
    <sheet name="Sheet1" sheetId="42" r:id="rId24"/>
    <sheet name="Website" sheetId="32" r:id="rId25"/>
    <sheet name="130-30" sheetId="38" r:id="rId26"/>
    <sheet name="Top 50" sheetId="37" r:id="rId27"/>
    <sheet name="ITL" sheetId="12" r:id="rId28"/>
    <sheet name="SC (Gross)" sheetId="6" r:id="rId29"/>
    <sheet name="SC (Net)" sheetId="26" r:id="rId30"/>
    <sheet name="Cons LV" sheetId="29" r:id="rId31"/>
    <sheet name="US LV Wrap" sheetId="21" r:id="rId32"/>
  </sheets>
  <externalReferences>
    <externalReference r:id="rId33"/>
  </externalReferences>
  <definedNames>
    <definedName name="_xlnm.Print_Area" localSheetId="1">Returns!$A$1:$E$58</definedName>
    <definedName name="SpreadsheetBuilder_1" hidden="1">'Quarterly Perf Update Table'!#REF!</definedName>
    <definedName name="XTOT_CURRENCY_CHOICES">'[1]Total Return Settings'!$N$7:$N$18</definedName>
    <definedName name="XTOT_DIVIDEND_TYPE">'[1]Total Return Settings'!$T$15:$T$16</definedName>
    <definedName name="XTOT_DIVIDEND_TYPE_TABLE">'[1]Total Return Settings'!$T$15:$U$16</definedName>
    <definedName name="XTOT_END_DATE_CHOICES">'[1]Total Return Settings'!$I$7</definedName>
    <definedName name="XTOT_OVERRIDE_FIELDS" localSheetId="30">#REF!</definedName>
    <definedName name="XTOT_OVERRIDE_FIELDS" localSheetId="13">#REF!</definedName>
    <definedName name="XTOT_OVERRIDE_FIELDS" localSheetId="9">#REF!</definedName>
    <definedName name="XTOT_OVERRIDE_FIELDS" localSheetId="7">#REF!</definedName>
    <definedName name="XTOT_OVERRIDE_FIELDS" localSheetId="22">#REF!</definedName>
    <definedName name="XTOT_OVERRIDE_FIELDS" localSheetId="18">#REF!</definedName>
    <definedName name="XTOT_OVERRIDE_FIELDS" localSheetId="29">#REF!</definedName>
    <definedName name="XTOT_OVERRIDE_FIELDS">#REF!</definedName>
    <definedName name="XTOT_RETURN_PERIODS_LIST">'[1]Total Return Settings'!$T$7:$T$8</definedName>
    <definedName name="XTOT_RETURN_PERIODS_TABLE">'[1]Total Return Settings'!$T$7:$U$8</definedName>
    <definedName name="XTOT_START_DATE_CHOICES">'[1]Total Return Settings'!$D$7:$D$18</definedName>
    <definedName name="XTOT_START_DATE_TABLE">'[1]Total Return Settings'!$D$7:$E$18</definedName>
    <definedName name="XTOT_TICKER">'[1]Total Return Settings'!$U$4</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8" i="31" l="1"/>
  <c r="E17" i="31"/>
  <c r="M9" i="40" a="1"/>
  <c r="M9" i="40" s="1"/>
  <c r="D11" i="40" a="1"/>
  <c r="D11" i="40" s="1"/>
  <c r="H331" i="36"/>
  <c r="H319" i="36"/>
  <c r="H307" i="36"/>
  <c r="V268" i="2"/>
  <c r="H268" i="2"/>
  <c r="AB328" i="1"/>
  <c r="H328" i="1"/>
  <c r="J2" i="33"/>
  <c r="Q2" i="33" l="1"/>
  <c r="P2" i="33"/>
  <c r="O2" i="33"/>
  <c r="N2" i="33"/>
  <c r="M2" i="33"/>
  <c r="L2" i="33"/>
  <c r="K2" i="33"/>
  <c r="I2" i="33"/>
  <c r="H2" i="33"/>
  <c r="G2" i="33"/>
  <c r="F2" i="33"/>
  <c r="E2" i="33"/>
  <c r="D2" i="33"/>
  <c r="C2" i="33"/>
  <c r="K5" i="41" l="1"/>
  <c r="Q66" i="39"/>
  <c r="K330" i="1"/>
  <c r="Q52" i="31" a="1"/>
  <c r="Q52" i="31" s="1"/>
  <c r="Q53" i="31" a="1"/>
  <c r="Q53" i="31" s="1"/>
  <c r="Q45" i="31" a="1"/>
  <c r="Q45" i="31" s="1"/>
  <c r="Q51" i="31" a="1"/>
  <c r="Q51" i="31" s="1"/>
  <c r="Q47" i="31" a="1"/>
  <c r="Q47" i="31" s="1"/>
  <c r="Q48" i="31" a="1"/>
  <c r="Q48" i="31" s="1"/>
  <c r="Q54" i="31" a="1"/>
  <c r="Q54" i="31" s="1"/>
  <c r="Q46" i="31" a="1"/>
  <c r="Q46" i="31" s="1"/>
  <c r="R46" i="31" a="1"/>
  <c r="R46" i="31" s="1"/>
  <c r="R45" i="31" a="1"/>
  <c r="R45" i="31" s="1"/>
  <c r="R48" i="31" a="1"/>
  <c r="R48" i="31" s="1"/>
  <c r="R52" i="31" a="1"/>
  <c r="R52" i="31" s="1"/>
  <c r="R54" i="31" a="1"/>
  <c r="R54" i="31" s="1"/>
  <c r="R47" i="31" a="1"/>
  <c r="R47" i="31" s="1"/>
  <c r="R53" i="31" a="1"/>
  <c r="R53" i="31" s="1"/>
  <c r="R51" i="31" a="1"/>
  <c r="R51" i="31" s="1"/>
  <c r="M66" i="40"/>
  <c r="M79" i="41"/>
  <c r="K333" i="35"/>
  <c r="E168" i="17"/>
  <c r="E168" i="28"/>
  <c r="E169" i="17"/>
  <c r="E170" i="28"/>
  <c r="Q49" i="31" a="1"/>
  <c r="Q49" i="31" s="1"/>
  <c r="Q50" i="31" a="1"/>
  <c r="Q50" i="31" s="1"/>
  <c r="K261" i="6"/>
  <c r="K259" i="6"/>
  <c r="K260" i="6"/>
  <c r="R49" i="31" a="1"/>
  <c r="R49" i="31" s="1"/>
  <c r="R50" i="31" a="1"/>
  <c r="R50" i="31" s="1"/>
  <c r="K333" i="36"/>
  <c r="K334" i="36"/>
  <c r="K332" i="1"/>
  <c r="K333" i="1"/>
  <c r="E172" i="17"/>
  <c r="E171" i="17"/>
  <c r="C8" i="31"/>
  <c r="C7" i="24"/>
  <c r="C19" i="24"/>
  <c r="C13" i="31"/>
  <c r="C23" i="24"/>
  <c r="C11" i="24"/>
  <c r="K271" i="2"/>
  <c r="K331" i="1"/>
  <c r="E169" i="28"/>
  <c r="K219" i="12"/>
  <c r="K270" i="2"/>
  <c r="K272" i="2"/>
  <c r="B62" i="39"/>
  <c r="E62" i="39"/>
  <c r="J62" i="39"/>
  <c r="K62" i="39"/>
  <c r="P62" i="39"/>
  <c r="B63" i="39"/>
  <c r="E63" i="39"/>
  <c r="J63" i="39"/>
  <c r="K63" i="39"/>
  <c r="P63" i="39"/>
  <c r="B64" i="39"/>
  <c r="E64" i="39"/>
  <c r="F64" i="39"/>
  <c r="G64" i="39"/>
  <c r="J64" i="39"/>
  <c r="K64" i="39"/>
  <c r="P64" i="39"/>
  <c r="B62" i="40"/>
  <c r="D62" i="40"/>
  <c r="E62" i="40" s="1"/>
  <c r="J62" i="40"/>
  <c r="K62" i="40"/>
  <c r="N62" i="40"/>
  <c r="N63" i="40" s="1"/>
  <c r="N64" i="40" s="1"/>
  <c r="S62" i="40"/>
  <c r="T62" i="40"/>
  <c r="U62" i="40" s="1"/>
  <c r="B63" i="40"/>
  <c r="D63" i="40"/>
  <c r="J63" i="40"/>
  <c r="K63" i="40"/>
  <c r="S63" i="40"/>
  <c r="T63" i="40"/>
  <c r="B64" i="40"/>
  <c r="D64" i="40"/>
  <c r="J64" i="40"/>
  <c r="K64" i="40"/>
  <c r="S64" i="40"/>
  <c r="T64" i="40"/>
  <c r="B75" i="41"/>
  <c r="D75" i="41"/>
  <c r="E75" i="41" s="1"/>
  <c r="J75" i="41"/>
  <c r="K75" i="41"/>
  <c r="N75" i="41"/>
  <c r="N76" i="41" s="1"/>
  <c r="N77" i="41" s="1"/>
  <c r="S75" i="41"/>
  <c r="T75" i="41"/>
  <c r="U75" i="41" s="1"/>
  <c r="Y75" i="41"/>
  <c r="Z75" i="41"/>
  <c r="AA75" i="41" s="1"/>
  <c r="B76" i="41"/>
  <c r="D76" i="41"/>
  <c r="J76" i="41"/>
  <c r="K76" i="41"/>
  <c r="S76" i="41"/>
  <c r="T76" i="41"/>
  <c r="Y76" i="41"/>
  <c r="Z76" i="41"/>
  <c r="B77" i="41"/>
  <c r="D77" i="41"/>
  <c r="J77" i="41"/>
  <c r="K77" i="41"/>
  <c r="S77" i="41"/>
  <c r="T77" i="41"/>
  <c r="Y77" i="41"/>
  <c r="Z77" i="41"/>
  <c r="B164" i="28"/>
  <c r="C164" i="28"/>
  <c r="E164" i="28"/>
  <c r="AC164" i="28" s="1"/>
  <c r="H164" i="28"/>
  <c r="O164" i="28"/>
  <c r="U164" i="28"/>
  <c r="AB164" i="28"/>
  <c r="AH164" i="28"/>
  <c r="AO164" i="28"/>
  <c r="AU164" i="28"/>
  <c r="BB164" i="28"/>
  <c r="BH164" i="28"/>
  <c r="BO164" i="28"/>
  <c r="B165" i="28"/>
  <c r="C165" i="28"/>
  <c r="E165" i="28"/>
  <c r="H165" i="28"/>
  <c r="O165" i="28"/>
  <c r="U165" i="28"/>
  <c r="AB165" i="28"/>
  <c r="AH165" i="28"/>
  <c r="AO165" i="28"/>
  <c r="AU165" i="28"/>
  <c r="BB165" i="28"/>
  <c r="BH165" i="28"/>
  <c r="BO165" i="28"/>
  <c r="B166" i="28"/>
  <c r="C166" i="28"/>
  <c r="BP166" i="28" s="1"/>
  <c r="E166" i="28"/>
  <c r="H166" i="28"/>
  <c r="O166" i="28"/>
  <c r="U166" i="28"/>
  <c r="AB166" i="28"/>
  <c r="AH166" i="28"/>
  <c r="AO166" i="28"/>
  <c r="AU166" i="28"/>
  <c r="BB166" i="28"/>
  <c r="BH166" i="28"/>
  <c r="BO166" i="28"/>
  <c r="B164" i="17"/>
  <c r="C164" i="17"/>
  <c r="H164" i="17"/>
  <c r="O164" i="17"/>
  <c r="U164" i="17"/>
  <c r="AB164" i="17"/>
  <c r="AH164" i="17"/>
  <c r="AO164" i="17"/>
  <c r="AU164" i="17"/>
  <c r="BB164" i="17"/>
  <c r="BH164" i="17"/>
  <c r="BO164" i="17"/>
  <c r="B165" i="17"/>
  <c r="C165" i="17"/>
  <c r="H165" i="17"/>
  <c r="O165" i="17"/>
  <c r="U165" i="17"/>
  <c r="AB165" i="17"/>
  <c r="AH165" i="17"/>
  <c r="AO165" i="17"/>
  <c r="AU165" i="17"/>
  <c r="BB165" i="17"/>
  <c r="BH165" i="17"/>
  <c r="BO165" i="17"/>
  <c r="B166" i="17"/>
  <c r="C166" i="17"/>
  <c r="H166" i="17"/>
  <c r="M166" i="17"/>
  <c r="O166" i="17"/>
  <c r="U166" i="17"/>
  <c r="Z166" i="17"/>
  <c r="AB166" i="17"/>
  <c r="AH166" i="17"/>
  <c r="AM166" i="17"/>
  <c r="AO166" i="17"/>
  <c r="AU166" i="17"/>
  <c r="BB166" i="17"/>
  <c r="BH166" i="17"/>
  <c r="BM166" i="17"/>
  <c r="BO166" i="17"/>
  <c r="B329" i="35"/>
  <c r="E329" i="35"/>
  <c r="E330" i="35" s="1"/>
  <c r="E331" i="35" s="1"/>
  <c r="J329" i="35"/>
  <c r="K329" i="35"/>
  <c r="L329" i="35" s="1"/>
  <c r="P329" i="35"/>
  <c r="Q329" i="35"/>
  <c r="R329" i="35" s="1"/>
  <c r="B330" i="35"/>
  <c r="J330" i="35"/>
  <c r="K330" i="35"/>
  <c r="P330" i="35"/>
  <c r="Q330" i="35"/>
  <c r="B331" i="35"/>
  <c r="J331" i="35"/>
  <c r="K331" i="35"/>
  <c r="P331" i="35"/>
  <c r="Q331" i="35"/>
  <c r="D329" i="36"/>
  <c r="J329" i="36"/>
  <c r="P329" i="36"/>
  <c r="D330" i="36"/>
  <c r="J330" i="36"/>
  <c r="P330" i="36"/>
  <c r="D331" i="36"/>
  <c r="J331" i="36"/>
  <c r="P331" i="36"/>
  <c r="X268" i="27"/>
  <c r="D268" i="27" s="1"/>
  <c r="X267" i="27"/>
  <c r="X266" i="27"/>
  <c r="D266" i="27" s="1"/>
  <c r="E266" i="27" s="1"/>
  <c r="B266" i="27"/>
  <c r="J266" i="27"/>
  <c r="K266" i="27"/>
  <c r="P266" i="27"/>
  <c r="Q266" i="27"/>
  <c r="B267" i="27"/>
  <c r="D267" i="27"/>
  <c r="J267" i="27"/>
  <c r="K267" i="27"/>
  <c r="P267" i="27"/>
  <c r="Q267" i="27"/>
  <c r="B268" i="27"/>
  <c r="J268" i="27"/>
  <c r="K268" i="27"/>
  <c r="P268" i="27"/>
  <c r="Q268" i="27"/>
  <c r="D266" i="2"/>
  <c r="D267" i="2"/>
  <c r="D268" i="2"/>
  <c r="B266" i="2"/>
  <c r="E266" i="2"/>
  <c r="E267" i="2" s="1"/>
  <c r="J266" i="2"/>
  <c r="P266" i="2"/>
  <c r="B267" i="2"/>
  <c r="J267" i="2"/>
  <c r="P267" i="2"/>
  <c r="B268" i="2"/>
  <c r="J268" i="2"/>
  <c r="P268" i="2"/>
  <c r="AC326" i="25"/>
  <c r="AC327" i="25"/>
  <c r="AC328" i="25"/>
  <c r="B326" i="25"/>
  <c r="E326" i="25"/>
  <c r="J326" i="25"/>
  <c r="K326" i="25"/>
  <c r="L326" i="25" s="1"/>
  <c r="P326" i="25"/>
  <c r="Q326" i="25"/>
  <c r="W326" i="25"/>
  <c r="X326" i="25"/>
  <c r="Y326" i="25" s="1"/>
  <c r="B327" i="25"/>
  <c r="E327" i="25"/>
  <c r="J327" i="25"/>
  <c r="K327" i="25"/>
  <c r="P327" i="25"/>
  <c r="Q327" i="25"/>
  <c r="W327" i="25"/>
  <c r="X327" i="25"/>
  <c r="B328" i="25"/>
  <c r="E328" i="25"/>
  <c r="F328" i="25"/>
  <c r="G328" i="25"/>
  <c r="J328" i="25"/>
  <c r="K328" i="25"/>
  <c r="P328" i="25"/>
  <c r="Q328" i="25"/>
  <c r="W328" i="25"/>
  <c r="X328" i="25"/>
  <c r="B326" i="1"/>
  <c r="E326" i="1"/>
  <c r="J326" i="1"/>
  <c r="L326" i="1"/>
  <c r="L327" i="1" s="1"/>
  <c r="L328" i="1" s="1"/>
  <c r="P326" i="1"/>
  <c r="W326" i="1"/>
  <c r="Y326" i="1"/>
  <c r="Y327" i="1" s="1"/>
  <c r="Y328" i="1" s="1"/>
  <c r="B327" i="1"/>
  <c r="E327" i="1"/>
  <c r="J327" i="1"/>
  <c r="P327" i="1"/>
  <c r="W327" i="1"/>
  <c r="B328" i="1"/>
  <c r="E328" i="1"/>
  <c r="F328" i="1"/>
  <c r="G328" i="1"/>
  <c r="J328" i="1"/>
  <c r="P328" i="1"/>
  <c r="W328" i="1"/>
  <c r="Q18" i="35"/>
  <c r="Q19" i="35"/>
  <c r="Q20" i="35"/>
  <c r="Q21" i="35"/>
  <c r="Q22" i="35"/>
  <c r="Q23" i="35"/>
  <c r="Q24" i="35"/>
  <c r="Q25" i="35"/>
  <c r="Q26" i="35"/>
  <c r="Q27" i="35"/>
  <c r="Q28" i="35"/>
  <c r="Q29" i="35"/>
  <c r="Q30" i="35"/>
  <c r="Q31" i="35"/>
  <c r="Q32" i="35"/>
  <c r="Q33" i="35"/>
  <c r="Q34" i="35"/>
  <c r="Q35" i="35"/>
  <c r="Q36" i="35"/>
  <c r="Q37" i="35"/>
  <c r="Q38" i="35"/>
  <c r="Q39" i="35"/>
  <c r="Q40" i="35"/>
  <c r="Q41" i="35"/>
  <c r="Q42" i="35"/>
  <c r="Q43" i="35"/>
  <c r="Q44" i="35"/>
  <c r="Q45" i="35"/>
  <c r="Q46" i="35"/>
  <c r="Q47" i="35"/>
  <c r="Q48" i="35"/>
  <c r="Q49" i="35"/>
  <c r="Q50" i="35"/>
  <c r="Q51" i="35"/>
  <c r="Q52" i="35"/>
  <c r="Q53" i="35"/>
  <c r="Q54" i="35"/>
  <c r="Q55" i="35"/>
  <c r="Q56" i="35"/>
  <c r="Q57" i="35"/>
  <c r="Q58" i="35"/>
  <c r="Q59" i="35"/>
  <c r="Q60" i="35"/>
  <c r="Q61" i="35"/>
  <c r="Q62" i="35"/>
  <c r="Q63" i="35"/>
  <c r="Q64" i="35"/>
  <c r="Q65" i="35"/>
  <c r="Q66" i="35"/>
  <c r="Q67" i="35"/>
  <c r="Q68" i="35"/>
  <c r="Q69" i="35"/>
  <c r="Q70" i="35"/>
  <c r="Q71" i="35"/>
  <c r="Q72" i="35"/>
  <c r="Q73" i="35"/>
  <c r="Q74" i="35"/>
  <c r="Q75" i="35"/>
  <c r="Q76" i="35"/>
  <c r="Q77" i="35"/>
  <c r="Q78" i="35"/>
  <c r="Q79" i="35"/>
  <c r="Q80" i="35"/>
  <c r="Q81" i="35"/>
  <c r="Q82" i="35"/>
  <c r="Q83" i="35"/>
  <c r="Q84" i="35"/>
  <c r="Q85" i="35"/>
  <c r="Q86" i="35"/>
  <c r="Q87" i="35"/>
  <c r="Q88" i="35"/>
  <c r="Q89" i="35"/>
  <c r="Q90" i="35"/>
  <c r="Q91" i="35"/>
  <c r="Q92" i="35"/>
  <c r="Q93" i="35"/>
  <c r="Q94" i="35"/>
  <c r="Q95" i="35"/>
  <c r="Q96" i="35"/>
  <c r="Q97" i="35"/>
  <c r="Q98" i="35"/>
  <c r="Q99" i="35"/>
  <c r="Q100" i="35"/>
  <c r="Q101" i="35"/>
  <c r="Q102" i="35"/>
  <c r="Q103" i="35"/>
  <c r="Q104" i="35"/>
  <c r="Q105" i="35"/>
  <c r="Q106" i="35"/>
  <c r="Q107" i="35"/>
  <c r="Q108" i="35"/>
  <c r="Q109" i="35"/>
  <c r="Q110" i="35"/>
  <c r="Q111" i="35"/>
  <c r="Q112" i="35"/>
  <c r="Q113" i="35"/>
  <c r="Q114" i="35"/>
  <c r="Q115" i="35"/>
  <c r="Q116" i="35"/>
  <c r="Q117" i="35"/>
  <c r="Q118" i="35"/>
  <c r="Q119" i="35"/>
  <c r="Q120" i="35"/>
  <c r="Q121" i="35"/>
  <c r="Q122" i="35"/>
  <c r="Q123" i="35"/>
  <c r="Q124" i="35"/>
  <c r="Q125" i="35"/>
  <c r="Q126" i="35"/>
  <c r="Q127" i="35"/>
  <c r="Q128" i="35"/>
  <c r="Q129" i="35"/>
  <c r="Q130" i="35"/>
  <c r="Q131" i="35"/>
  <c r="Q132" i="35"/>
  <c r="Q133" i="35"/>
  <c r="Q134" i="35"/>
  <c r="Q135" i="35"/>
  <c r="Q136" i="35"/>
  <c r="Q137" i="35"/>
  <c r="Q138" i="35"/>
  <c r="Q139" i="35"/>
  <c r="Q140" i="35"/>
  <c r="Q141" i="35"/>
  <c r="Q142" i="35"/>
  <c r="Q143" i="35"/>
  <c r="Q144" i="35"/>
  <c r="Q145" i="35"/>
  <c r="Q146" i="35"/>
  <c r="Q147" i="35"/>
  <c r="Q148" i="35"/>
  <c r="Q149" i="35"/>
  <c r="Q150" i="35"/>
  <c r="Q151" i="35"/>
  <c r="Q152" i="35"/>
  <c r="Q153" i="35"/>
  <c r="Q154" i="35"/>
  <c r="Q155" i="35"/>
  <c r="Q156" i="35"/>
  <c r="Q157" i="35"/>
  <c r="Q158" i="35"/>
  <c r="Q159" i="35"/>
  <c r="Q160" i="35"/>
  <c r="Q161" i="35"/>
  <c r="Q162" i="35"/>
  <c r="Q163" i="35"/>
  <c r="Q164" i="35"/>
  <c r="Q165" i="35"/>
  <c r="Q166" i="35"/>
  <c r="Q167" i="35"/>
  <c r="Q168" i="35"/>
  <c r="Q169" i="35"/>
  <c r="Q170" i="35"/>
  <c r="Q171" i="35"/>
  <c r="Q172" i="35"/>
  <c r="Q173" i="35"/>
  <c r="Q174" i="35"/>
  <c r="Q175" i="35"/>
  <c r="Q176" i="35"/>
  <c r="Q177" i="35"/>
  <c r="Q178" i="35"/>
  <c r="Q179" i="35"/>
  <c r="Q180" i="35"/>
  <c r="Q181" i="35"/>
  <c r="Q182" i="35"/>
  <c r="Q183" i="35"/>
  <c r="Q184" i="35"/>
  <c r="Q185" i="35"/>
  <c r="Q186" i="35"/>
  <c r="Q187" i="35"/>
  <c r="Q188" i="35"/>
  <c r="Q189" i="35"/>
  <c r="Q190" i="35"/>
  <c r="Q191" i="35"/>
  <c r="Q192" i="35"/>
  <c r="Q193" i="35"/>
  <c r="Q194" i="35"/>
  <c r="Q195" i="35"/>
  <c r="Q196" i="35"/>
  <c r="Q197" i="35"/>
  <c r="Q198" i="35"/>
  <c r="Q199" i="35"/>
  <c r="Q200" i="35"/>
  <c r="Q201" i="35"/>
  <c r="Q202" i="35"/>
  <c r="Q203" i="35"/>
  <c r="Q204" i="35"/>
  <c r="Q205" i="35"/>
  <c r="Q206" i="35"/>
  <c r="Q207" i="35"/>
  <c r="Q208" i="35"/>
  <c r="Q209" i="35"/>
  <c r="Q210" i="35"/>
  <c r="Q211" i="35"/>
  <c r="Q212" i="35"/>
  <c r="Q213" i="35"/>
  <c r="Q214" i="35"/>
  <c r="Q215" i="35"/>
  <c r="Q216" i="35"/>
  <c r="Q217" i="35"/>
  <c r="Q218" i="35"/>
  <c r="Q219" i="35"/>
  <c r="Q220" i="35"/>
  <c r="Q221" i="35"/>
  <c r="Q222" i="35"/>
  <c r="Q223" i="35"/>
  <c r="Q224" i="35"/>
  <c r="Q225" i="35"/>
  <c r="Q226" i="35"/>
  <c r="Q227" i="35"/>
  <c r="Q228" i="35"/>
  <c r="Q229" i="35"/>
  <c r="Q230" i="35"/>
  <c r="Q231" i="35"/>
  <c r="Q232" i="35"/>
  <c r="Q233" i="35"/>
  <c r="Q234" i="35"/>
  <c r="Q235" i="35"/>
  <c r="Q236" i="35"/>
  <c r="Q237" i="35"/>
  <c r="Q238" i="35"/>
  <c r="Q239" i="35"/>
  <c r="Q240" i="35"/>
  <c r="Q241" i="35"/>
  <c r="Q242" i="35"/>
  <c r="Q243" i="35"/>
  <c r="Q244" i="35"/>
  <c r="Q245" i="35"/>
  <c r="Q246" i="35"/>
  <c r="Q247" i="35"/>
  <c r="Q248" i="35"/>
  <c r="Q249" i="35"/>
  <c r="Q250" i="35"/>
  <c r="Q251" i="35"/>
  <c r="Q252" i="35"/>
  <c r="Q253" i="35"/>
  <c r="Q254" i="35"/>
  <c r="Q255" i="35"/>
  <c r="Q256" i="35"/>
  <c r="Q257" i="35"/>
  <c r="Q258" i="35"/>
  <c r="Q259" i="35"/>
  <c r="Q260" i="35"/>
  <c r="Q261" i="35"/>
  <c r="Q262" i="35"/>
  <c r="Q263" i="35"/>
  <c r="Q264" i="35"/>
  <c r="Q265" i="35"/>
  <c r="Q266" i="35"/>
  <c r="Q267" i="35"/>
  <c r="Q268" i="35"/>
  <c r="Q269" i="35"/>
  <c r="Q270" i="35"/>
  <c r="Q271" i="35"/>
  <c r="Q272" i="35"/>
  <c r="Q273" i="35"/>
  <c r="Q274" i="35"/>
  <c r="Q275" i="35"/>
  <c r="Q276" i="35"/>
  <c r="Q277" i="35"/>
  <c r="Q278" i="35"/>
  <c r="Q279" i="35"/>
  <c r="Q280" i="35"/>
  <c r="Q281" i="35"/>
  <c r="Q282" i="35"/>
  <c r="Q283" i="35"/>
  <c r="Q284" i="35"/>
  <c r="Q285" i="35"/>
  <c r="Q286" i="35"/>
  <c r="Q287" i="35"/>
  <c r="Q288" i="35"/>
  <c r="Q289" i="35"/>
  <c r="Q290" i="35"/>
  <c r="Q291" i="35"/>
  <c r="Q292" i="35"/>
  <c r="Q293" i="35"/>
  <c r="Q294" i="35"/>
  <c r="Q295" i="35"/>
  <c r="Q296" i="35"/>
  <c r="Q297" i="35"/>
  <c r="Q298" i="35"/>
  <c r="Q299" i="35"/>
  <c r="Q300" i="35"/>
  <c r="Q301" i="35"/>
  <c r="Q302" i="35"/>
  <c r="Q303" i="35"/>
  <c r="Q304" i="35"/>
  <c r="Q305" i="35"/>
  <c r="Q306" i="35"/>
  <c r="Q307" i="35"/>
  <c r="Q308" i="35"/>
  <c r="Q309" i="35"/>
  <c r="Q310" i="35"/>
  <c r="Q311" i="35"/>
  <c r="Q312" i="35"/>
  <c r="Q313" i="35"/>
  <c r="Q314" i="35"/>
  <c r="Q315" i="35"/>
  <c r="Q316" i="35"/>
  <c r="Q317" i="35"/>
  <c r="Q318" i="35"/>
  <c r="Q319" i="35"/>
  <c r="Q320" i="35"/>
  <c r="Q321" i="35"/>
  <c r="Q322" i="35"/>
  <c r="Q323" i="35"/>
  <c r="Q324" i="35"/>
  <c r="Q325" i="35"/>
  <c r="Q326" i="35"/>
  <c r="Q327" i="35"/>
  <c r="Q328" i="35"/>
  <c r="Q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K52" i="35"/>
  <c r="K53" i="35"/>
  <c r="K54" i="35"/>
  <c r="K55" i="35"/>
  <c r="K56" i="35"/>
  <c r="K57" i="35"/>
  <c r="K58" i="35"/>
  <c r="K59" i="35"/>
  <c r="K60" i="35"/>
  <c r="K61" i="35"/>
  <c r="K62" i="35"/>
  <c r="K63" i="35"/>
  <c r="K64" i="35"/>
  <c r="K65" i="35"/>
  <c r="K66" i="35"/>
  <c r="K67" i="35"/>
  <c r="K68" i="35"/>
  <c r="K69" i="35"/>
  <c r="K70" i="35"/>
  <c r="K71" i="35"/>
  <c r="K72" i="35"/>
  <c r="K73" i="35"/>
  <c r="K74" i="35"/>
  <c r="K75" i="35"/>
  <c r="K76" i="35"/>
  <c r="K77" i="35"/>
  <c r="K78" i="35"/>
  <c r="K79" i="35"/>
  <c r="K80" i="35"/>
  <c r="K81" i="35"/>
  <c r="K82" i="35"/>
  <c r="K83" i="35"/>
  <c r="K84" i="35"/>
  <c r="K85" i="35"/>
  <c r="K86" i="35"/>
  <c r="K87" i="35"/>
  <c r="K88" i="35"/>
  <c r="K89" i="35"/>
  <c r="K90" i="35"/>
  <c r="K91" i="35"/>
  <c r="K92" i="35"/>
  <c r="K93" i="35"/>
  <c r="K94" i="35"/>
  <c r="K95" i="35"/>
  <c r="K96" i="35"/>
  <c r="K97" i="35"/>
  <c r="K98" i="35"/>
  <c r="K99" i="35"/>
  <c r="K100" i="35"/>
  <c r="K101" i="35"/>
  <c r="K102" i="35"/>
  <c r="K103" i="35"/>
  <c r="K104" i="35"/>
  <c r="K105" i="35"/>
  <c r="K106" i="35"/>
  <c r="K107" i="35"/>
  <c r="K108" i="35"/>
  <c r="K109" i="35"/>
  <c r="K110" i="35"/>
  <c r="K111" i="35"/>
  <c r="K112" i="35"/>
  <c r="K113" i="35"/>
  <c r="K114" i="35"/>
  <c r="K115" i="35"/>
  <c r="K116" i="35"/>
  <c r="K117" i="35"/>
  <c r="K118" i="35"/>
  <c r="K119" i="35"/>
  <c r="K120" i="35"/>
  <c r="K121" i="35"/>
  <c r="K122" i="35"/>
  <c r="K123" i="35"/>
  <c r="K124" i="35"/>
  <c r="K125" i="35"/>
  <c r="K126" i="35"/>
  <c r="K127" i="35"/>
  <c r="K128" i="35"/>
  <c r="K129" i="35"/>
  <c r="K130" i="35"/>
  <c r="K131" i="35"/>
  <c r="K132" i="35"/>
  <c r="K133" i="35"/>
  <c r="K134" i="35"/>
  <c r="K135" i="35"/>
  <c r="K136" i="35"/>
  <c r="K137" i="35"/>
  <c r="K138" i="35"/>
  <c r="K139" i="35"/>
  <c r="K140" i="35"/>
  <c r="K141" i="35"/>
  <c r="K142" i="35"/>
  <c r="K143" i="35"/>
  <c r="K144" i="35"/>
  <c r="K145" i="35"/>
  <c r="K146" i="35"/>
  <c r="K147" i="35"/>
  <c r="K148" i="35"/>
  <c r="K149" i="35"/>
  <c r="K150" i="35"/>
  <c r="K151" i="35"/>
  <c r="K152" i="35"/>
  <c r="K153" i="35"/>
  <c r="K154" i="35"/>
  <c r="K155" i="35"/>
  <c r="K156" i="35"/>
  <c r="K157" i="35"/>
  <c r="K158" i="35"/>
  <c r="K159" i="35"/>
  <c r="K160" i="35"/>
  <c r="K161" i="35"/>
  <c r="K162" i="35"/>
  <c r="K163" i="35"/>
  <c r="K164" i="35"/>
  <c r="K165" i="35"/>
  <c r="K166" i="35"/>
  <c r="K167" i="35"/>
  <c r="K168" i="35"/>
  <c r="K169" i="35"/>
  <c r="K170" i="35"/>
  <c r="K171" i="35"/>
  <c r="K172" i="35"/>
  <c r="K173" i="35"/>
  <c r="K174" i="35"/>
  <c r="K175" i="35"/>
  <c r="K176" i="35"/>
  <c r="K177" i="35"/>
  <c r="K178" i="35"/>
  <c r="K179" i="35"/>
  <c r="K180" i="35"/>
  <c r="K181" i="35"/>
  <c r="K182" i="35"/>
  <c r="K183" i="35"/>
  <c r="K184" i="35"/>
  <c r="K185" i="35"/>
  <c r="K186" i="35"/>
  <c r="K187" i="35"/>
  <c r="K188" i="35"/>
  <c r="K189" i="35"/>
  <c r="K190" i="35"/>
  <c r="K191" i="35"/>
  <c r="K192" i="35"/>
  <c r="K193" i="35"/>
  <c r="K194" i="35"/>
  <c r="K195" i="35"/>
  <c r="K196" i="35"/>
  <c r="K197" i="35"/>
  <c r="K198" i="35"/>
  <c r="K199" i="35"/>
  <c r="K200" i="35"/>
  <c r="K201" i="35"/>
  <c r="K202" i="35"/>
  <c r="K203" i="35"/>
  <c r="K204" i="35"/>
  <c r="K205" i="35"/>
  <c r="K206" i="35"/>
  <c r="K207" i="35"/>
  <c r="K208" i="35"/>
  <c r="K209" i="35"/>
  <c r="K210" i="35"/>
  <c r="K211" i="35"/>
  <c r="K212" i="35"/>
  <c r="K213" i="35"/>
  <c r="K214" i="35"/>
  <c r="K215" i="35"/>
  <c r="K216" i="35"/>
  <c r="K217" i="35"/>
  <c r="K218" i="35"/>
  <c r="K219" i="35"/>
  <c r="K220" i="35"/>
  <c r="K221" i="35"/>
  <c r="K222" i="35"/>
  <c r="K223" i="35"/>
  <c r="K224" i="35"/>
  <c r="K225" i="35"/>
  <c r="K226" i="35"/>
  <c r="K227" i="35"/>
  <c r="K228" i="35"/>
  <c r="K229" i="35"/>
  <c r="K230" i="35"/>
  <c r="K231" i="35"/>
  <c r="K232" i="35"/>
  <c r="K233" i="35"/>
  <c r="K234" i="35"/>
  <c r="K235" i="35"/>
  <c r="K236" i="35"/>
  <c r="K237" i="35"/>
  <c r="K238" i="35"/>
  <c r="K239" i="35"/>
  <c r="K240" i="35"/>
  <c r="K241" i="35"/>
  <c r="K242" i="35"/>
  <c r="K243" i="35"/>
  <c r="K244" i="35"/>
  <c r="K245" i="35"/>
  <c r="K246" i="35"/>
  <c r="K247" i="35"/>
  <c r="K248" i="35"/>
  <c r="K249" i="35"/>
  <c r="K250" i="35"/>
  <c r="K251" i="35"/>
  <c r="K252" i="35"/>
  <c r="K253" i="35"/>
  <c r="K254" i="35"/>
  <c r="K255" i="35"/>
  <c r="K256" i="35"/>
  <c r="K257" i="35"/>
  <c r="K258" i="35"/>
  <c r="K259" i="35"/>
  <c r="K260" i="35"/>
  <c r="K261" i="35"/>
  <c r="K262" i="35"/>
  <c r="K263" i="35"/>
  <c r="K264" i="35"/>
  <c r="K265" i="35"/>
  <c r="K266" i="35"/>
  <c r="K267" i="35"/>
  <c r="K268" i="35"/>
  <c r="K269" i="35"/>
  <c r="K270" i="35"/>
  <c r="K271" i="35"/>
  <c r="K272" i="35"/>
  <c r="K273" i="35"/>
  <c r="K274" i="35"/>
  <c r="K275" i="35"/>
  <c r="K276" i="35"/>
  <c r="K277" i="35"/>
  <c r="K278" i="35"/>
  <c r="K279" i="35"/>
  <c r="K280" i="35"/>
  <c r="K281" i="35"/>
  <c r="K282" i="35"/>
  <c r="K283" i="35"/>
  <c r="K284" i="35"/>
  <c r="K285" i="35"/>
  <c r="K286" i="35"/>
  <c r="K287" i="35"/>
  <c r="K288" i="35"/>
  <c r="K289" i="35"/>
  <c r="K290" i="35"/>
  <c r="K291" i="35"/>
  <c r="K292" i="35"/>
  <c r="K293" i="35"/>
  <c r="K294" i="35"/>
  <c r="K295" i="35"/>
  <c r="K296" i="35"/>
  <c r="K297" i="35"/>
  <c r="K298" i="35"/>
  <c r="K299" i="35"/>
  <c r="K300" i="35"/>
  <c r="K301" i="35"/>
  <c r="K302" i="35"/>
  <c r="K303" i="35"/>
  <c r="K304" i="35"/>
  <c r="K305" i="35"/>
  <c r="K306" i="35"/>
  <c r="K307" i="35"/>
  <c r="K308" i="35"/>
  <c r="K309" i="35"/>
  <c r="K310" i="35"/>
  <c r="K311" i="35"/>
  <c r="K312" i="35"/>
  <c r="K313" i="35"/>
  <c r="K314" i="35"/>
  <c r="K315" i="35"/>
  <c r="K316" i="35"/>
  <c r="K317" i="35"/>
  <c r="K318" i="35"/>
  <c r="K319" i="35"/>
  <c r="K320" i="35"/>
  <c r="K321" i="35"/>
  <c r="K322" i="35"/>
  <c r="K323" i="35"/>
  <c r="K324" i="35"/>
  <c r="K325" i="35"/>
  <c r="K326" i="35"/>
  <c r="K327" i="35"/>
  <c r="K328" i="35"/>
  <c r="K17" i="35"/>
  <c r="BC166" i="17" l="1"/>
  <c r="AP164" i="17"/>
  <c r="P166" i="17"/>
  <c r="P165" i="17"/>
  <c r="AC165" i="28"/>
  <c r="E63" i="40"/>
  <c r="E64" i="40" s="1"/>
  <c r="G64" i="40" s="1"/>
  <c r="O64" i="40"/>
  <c r="P64" i="40"/>
  <c r="E76" i="41"/>
  <c r="E77" i="41" s="1"/>
  <c r="F77" i="41" s="1"/>
  <c r="P77" i="41"/>
  <c r="O77" i="41"/>
  <c r="BC164" i="28"/>
  <c r="F331" i="35"/>
  <c r="G331" i="35"/>
  <c r="R330" i="35"/>
  <c r="R331" i="35" s="1"/>
  <c r="T331" i="35" s="1"/>
  <c r="L330" i="35"/>
  <c r="L331" i="35" s="1"/>
  <c r="N331" i="35" s="1"/>
  <c r="E268" i="2"/>
  <c r="G268" i="2" s="1"/>
  <c r="E267" i="27"/>
  <c r="E268" i="27" s="1"/>
  <c r="F268" i="27" s="1"/>
  <c r="BC165" i="28"/>
  <c r="BP164" i="28"/>
  <c r="P165" i="28"/>
  <c r="BP165" i="28"/>
  <c r="AP165" i="28"/>
  <c r="BC166" i="28"/>
  <c r="AC166" i="28"/>
  <c r="P166" i="28"/>
  <c r="AP166" i="28"/>
  <c r="Y327" i="25"/>
  <c r="Y328" i="25" s="1"/>
  <c r="AA328" i="25" s="1"/>
  <c r="Z328" i="1"/>
  <c r="AA328" i="1"/>
  <c r="P164" i="28"/>
  <c r="AP164" i="28"/>
  <c r="BC164" i="17"/>
  <c r="AC165" i="17"/>
  <c r="P164" i="17"/>
  <c r="AC166" i="17"/>
  <c r="AP166" i="17"/>
  <c r="BC165" i="17"/>
  <c r="BP164" i="17"/>
  <c r="AC164" i="17"/>
  <c r="BP165" i="17"/>
  <c r="AP165" i="17"/>
  <c r="L327" i="25"/>
  <c r="L328" i="25" s="1"/>
  <c r="M328" i="25" s="1"/>
  <c r="U76" i="41"/>
  <c r="U77" i="41" s="1"/>
  <c r="V77" i="41" s="1"/>
  <c r="BP166" i="17"/>
  <c r="U63" i="40"/>
  <c r="U64" i="40" s="1"/>
  <c r="V64" i="40" s="1"/>
  <c r="AA76" i="41"/>
  <c r="AA77" i="41" s="1"/>
  <c r="AC77" i="41" s="1"/>
  <c r="M328" i="1"/>
  <c r="N328" i="1"/>
  <c r="F64" i="40" l="1"/>
  <c r="G77" i="41"/>
  <c r="W77" i="41"/>
  <c r="S331" i="35"/>
  <c r="M331" i="35"/>
  <c r="G268" i="27"/>
  <c r="F268" i="2"/>
  <c r="Z328" i="25"/>
  <c r="W64" i="40"/>
  <c r="AB77" i="41"/>
  <c r="N328" i="25"/>
  <c r="O11" i="40"/>
  <c r="Q12" i="40"/>
  <c r="Q11" i="40"/>
  <c r="Q9" i="40"/>
  <c r="Q8" i="40"/>
  <c r="Q7" i="40"/>
  <c r="Q6" i="40"/>
  <c r="P11" i="40"/>
  <c r="M12" i="40" a="1"/>
  <c r="M12" i="40" s="1"/>
  <c r="M11" i="40" a="1"/>
  <c r="M11" i="40" s="1"/>
  <c r="M8" i="40" a="1"/>
  <c r="M8" i="40" s="1"/>
  <c r="M7" i="40" a="1"/>
  <c r="M7" i="40" s="1"/>
  <c r="D265" i="27"/>
  <c r="D264" i="27"/>
  <c r="D263" i="27"/>
  <c r="D265" i="2"/>
  <c r="D264" i="2"/>
  <c r="D263" i="2"/>
  <c r="AC325" i="25"/>
  <c r="AC324" i="25"/>
  <c r="AC323" i="25"/>
  <c r="X265" i="27"/>
  <c r="X264" i="27"/>
  <c r="X263" i="27"/>
  <c r="D328" i="36"/>
  <c r="D327" i="36"/>
  <c r="D326" i="36"/>
  <c r="B59" i="39"/>
  <c r="E59" i="39"/>
  <c r="J59" i="39"/>
  <c r="K59" i="39"/>
  <c r="P59" i="39"/>
  <c r="B60" i="39"/>
  <c r="E60" i="39"/>
  <c r="J60" i="39"/>
  <c r="K60" i="39"/>
  <c r="P60" i="39"/>
  <c r="B61" i="39"/>
  <c r="E61" i="39"/>
  <c r="F61" i="39" s="1"/>
  <c r="G61" i="39"/>
  <c r="J61" i="39"/>
  <c r="K61" i="39"/>
  <c r="P61" i="39"/>
  <c r="B59" i="40"/>
  <c r="D59" i="40"/>
  <c r="E59" i="40" s="1"/>
  <c r="J59" i="40"/>
  <c r="K59" i="40"/>
  <c r="N59" i="40"/>
  <c r="N60" i="40" s="1"/>
  <c r="N61" i="40" s="1"/>
  <c r="S59" i="40"/>
  <c r="T59" i="40"/>
  <c r="B60" i="40"/>
  <c r="D60" i="40"/>
  <c r="J60" i="40"/>
  <c r="K60" i="40"/>
  <c r="S60" i="40"/>
  <c r="T60" i="40"/>
  <c r="B61" i="40"/>
  <c r="D61" i="40"/>
  <c r="J61" i="40"/>
  <c r="K61" i="40"/>
  <c r="S61" i="40"/>
  <c r="T61" i="40"/>
  <c r="B72" i="41"/>
  <c r="D72" i="41"/>
  <c r="E72" i="41" s="1"/>
  <c r="J72" i="41"/>
  <c r="K72" i="41"/>
  <c r="N72" i="41"/>
  <c r="N73" i="41" s="1"/>
  <c r="N74" i="41" s="1"/>
  <c r="S72" i="41"/>
  <c r="T72" i="41"/>
  <c r="Y72" i="41"/>
  <c r="Z72" i="41"/>
  <c r="B73" i="41"/>
  <c r="D73" i="41"/>
  <c r="J73" i="41"/>
  <c r="K73" i="41"/>
  <c r="S73" i="41"/>
  <c r="T73" i="41"/>
  <c r="Y73" i="41"/>
  <c r="Z73" i="41"/>
  <c r="B74" i="41"/>
  <c r="D74" i="41"/>
  <c r="J74" i="41"/>
  <c r="K74" i="41"/>
  <c r="S74" i="41"/>
  <c r="T74" i="41"/>
  <c r="Y74" i="41"/>
  <c r="Z74" i="41"/>
  <c r="B161" i="28"/>
  <c r="C161" i="28"/>
  <c r="E161" i="28"/>
  <c r="P161" i="28" s="1"/>
  <c r="H161" i="28"/>
  <c r="O161" i="28"/>
  <c r="U161" i="28"/>
  <c r="AB161" i="28"/>
  <c r="AH161" i="28"/>
  <c r="AO161" i="28"/>
  <c r="AU161" i="28"/>
  <c r="BB161" i="28"/>
  <c r="BH161" i="28"/>
  <c r="BO161" i="28"/>
  <c r="B162" i="28"/>
  <c r="C162" i="28"/>
  <c r="E162" i="28"/>
  <c r="AP162" i="28" s="1"/>
  <c r="H162" i="28"/>
  <c r="O162" i="28"/>
  <c r="U162" i="28"/>
  <c r="AB162" i="28"/>
  <c r="AH162" i="28"/>
  <c r="AO162" i="28"/>
  <c r="AU162" i="28"/>
  <c r="BB162" i="28"/>
  <c r="BH162" i="28"/>
  <c r="BO162" i="28"/>
  <c r="B163" i="28"/>
  <c r="C163" i="28"/>
  <c r="E163" i="28"/>
  <c r="H163" i="28"/>
  <c r="O163" i="28"/>
  <c r="U163" i="28"/>
  <c r="AB163" i="28"/>
  <c r="AH163" i="28"/>
  <c r="AO163" i="28"/>
  <c r="AU163" i="28"/>
  <c r="BB163" i="28"/>
  <c r="BH163" i="28"/>
  <c r="BO163" i="28"/>
  <c r="B161" i="17"/>
  <c r="C161" i="17"/>
  <c r="H161" i="17"/>
  <c r="O161" i="17"/>
  <c r="U161" i="17"/>
  <c r="AB161" i="17"/>
  <c r="AH161" i="17"/>
  <c r="AO161" i="17"/>
  <c r="AP161" i="17"/>
  <c r="AU161" i="17"/>
  <c r="BB161" i="17"/>
  <c r="BC161" i="17"/>
  <c r="BH161" i="17"/>
  <c r="BO161" i="17"/>
  <c r="BP161" i="17"/>
  <c r="B162" i="17"/>
  <c r="C162" i="17"/>
  <c r="BC162" i="17" s="1"/>
  <c r="H162" i="17"/>
  <c r="O162" i="17"/>
  <c r="U162" i="17"/>
  <c r="AB162" i="17"/>
  <c r="AH162" i="17"/>
  <c r="AO162" i="17"/>
  <c r="AU162" i="17"/>
  <c r="BB162" i="17"/>
  <c r="BH162" i="17"/>
  <c r="BO162" i="17"/>
  <c r="B163" i="17"/>
  <c r="C163" i="17"/>
  <c r="H163" i="17"/>
  <c r="M163" i="17"/>
  <c r="O163" i="17"/>
  <c r="U163" i="17"/>
  <c r="Z163" i="17"/>
  <c r="AB163" i="17"/>
  <c r="AH163" i="17"/>
  <c r="AM163" i="17"/>
  <c r="AO163" i="17"/>
  <c r="AU163" i="17"/>
  <c r="BB163" i="17"/>
  <c r="BH163" i="17"/>
  <c r="BM163" i="17"/>
  <c r="BO163" i="17"/>
  <c r="B326" i="35"/>
  <c r="E326" i="35"/>
  <c r="E327" i="35" s="1"/>
  <c r="E328" i="35" s="1"/>
  <c r="J326" i="35"/>
  <c r="P326" i="35"/>
  <c r="B327" i="35"/>
  <c r="J327" i="35"/>
  <c r="P327" i="35"/>
  <c r="B328" i="35"/>
  <c r="J328" i="35"/>
  <c r="P328" i="35"/>
  <c r="J326" i="36"/>
  <c r="P326" i="36"/>
  <c r="J327" i="36"/>
  <c r="P327" i="36"/>
  <c r="J328" i="36"/>
  <c r="P328" i="36"/>
  <c r="B263" i="27"/>
  <c r="J263" i="27"/>
  <c r="K263" i="27"/>
  <c r="P263" i="27"/>
  <c r="Q263" i="27"/>
  <c r="B264" i="27"/>
  <c r="J264" i="27"/>
  <c r="K264" i="27"/>
  <c r="P264" i="27"/>
  <c r="Q264" i="27"/>
  <c r="B265" i="27"/>
  <c r="J265" i="27"/>
  <c r="K265" i="27"/>
  <c r="P265" i="27"/>
  <c r="Q265" i="27"/>
  <c r="B263" i="2"/>
  <c r="J263" i="2"/>
  <c r="P263" i="2"/>
  <c r="B264" i="2"/>
  <c r="J264" i="2"/>
  <c r="P264" i="2"/>
  <c r="B265" i="2"/>
  <c r="J265" i="2"/>
  <c r="P265" i="2"/>
  <c r="B323" i="25"/>
  <c r="J323" i="25"/>
  <c r="K323" i="25"/>
  <c r="P323" i="25"/>
  <c r="Q323" i="25"/>
  <c r="W323" i="25"/>
  <c r="X323" i="25"/>
  <c r="B324" i="25"/>
  <c r="J324" i="25"/>
  <c r="K324" i="25"/>
  <c r="P324" i="25"/>
  <c r="Q324" i="25"/>
  <c r="W324" i="25"/>
  <c r="X324" i="25"/>
  <c r="B325" i="25"/>
  <c r="J325" i="25"/>
  <c r="K325" i="25"/>
  <c r="P325" i="25"/>
  <c r="Q325" i="25"/>
  <c r="W325" i="25"/>
  <c r="X325" i="25"/>
  <c r="B323" i="1"/>
  <c r="J323" i="1"/>
  <c r="L323" i="1"/>
  <c r="L324" i="1" s="1"/>
  <c r="L325" i="1" s="1"/>
  <c r="P323" i="1"/>
  <c r="W323" i="1"/>
  <c r="Y323" i="1"/>
  <c r="Y324" i="1" s="1"/>
  <c r="Y325" i="1" s="1"/>
  <c r="B324" i="1"/>
  <c r="J324" i="1"/>
  <c r="P324" i="1"/>
  <c r="W324" i="1"/>
  <c r="B325" i="1"/>
  <c r="J325" i="1"/>
  <c r="P325" i="1"/>
  <c r="W325" i="1"/>
  <c r="AC161" i="17" l="1"/>
  <c r="P161" i="17"/>
  <c r="BP163" i="17"/>
  <c r="P163" i="17"/>
  <c r="E73" i="41"/>
  <c r="BC162" i="28"/>
  <c r="BC161" i="28"/>
  <c r="AP161" i="28"/>
  <c r="BP161" i="28"/>
  <c r="AC161" i="28"/>
  <c r="BP162" i="28"/>
  <c r="BP162" i="17"/>
  <c r="AP162" i="17"/>
  <c r="AC163" i="17"/>
  <c r="P162" i="17"/>
  <c r="BC163" i="17"/>
  <c r="AP163" i="17"/>
  <c r="E60" i="40"/>
  <c r="E61" i="40" s="1"/>
  <c r="G61" i="40" s="1"/>
  <c r="P61" i="40"/>
  <c r="O61" i="40"/>
  <c r="E74" i="41"/>
  <c r="P74" i="41"/>
  <c r="P162" i="28"/>
  <c r="AC162" i="28"/>
  <c r="AP163" i="28"/>
  <c r="BC163" i="28"/>
  <c r="BP163" i="28"/>
  <c r="P163" i="28"/>
  <c r="AC163" i="28"/>
  <c r="AC162" i="17"/>
  <c r="G328" i="35"/>
  <c r="AA325" i="1"/>
  <c r="N325" i="1"/>
  <c r="H256" i="2"/>
  <c r="F61" i="40" l="1"/>
  <c r="G74" i="41"/>
  <c r="AB316" i="1"/>
  <c r="H316" i="1"/>
  <c r="M160" i="17" l="1"/>
  <c r="X260" i="27" l="1"/>
  <c r="D260" i="27" s="1"/>
  <c r="X261" i="27"/>
  <c r="D261" i="27" s="1"/>
  <c r="X262" i="27"/>
  <c r="D262" i="27" s="1"/>
  <c r="AC320" i="25"/>
  <c r="AC321" i="25"/>
  <c r="AC322" i="25"/>
  <c r="J56" i="39"/>
  <c r="K56" i="39"/>
  <c r="P56" i="39"/>
  <c r="J57" i="39"/>
  <c r="K57" i="39"/>
  <c r="P57" i="39"/>
  <c r="J58" i="39"/>
  <c r="K58" i="39"/>
  <c r="P58" i="39"/>
  <c r="B56" i="40"/>
  <c r="D56" i="40"/>
  <c r="E56" i="40" s="1"/>
  <c r="J56" i="40"/>
  <c r="K56" i="40"/>
  <c r="N56" i="40"/>
  <c r="N57" i="40" s="1"/>
  <c r="N58" i="40" s="1"/>
  <c r="S56" i="40"/>
  <c r="T56" i="40"/>
  <c r="B57" i="40"/>
  <c r="D57" i="40"/>
  <c r="J57" i="40"/>
  <c r="K57" i="40" s="1"/>
  <c r="S57" i="40"/>
  <c r="T57" i="40"/>
  <c r="B58" i="40"/>
  <c r="D58" i="40"/>
  <c r="J58" i="40"/>
  <c r="S58" i="40"/>
  <c r="T58" i="40"/>
  <c r="B69" i="41"/>
  <c r="D69" i="41"/>
  <c r="E69" i="41" s="1"/>
  <c r="J69" i="41"/>
  <c r="K69" i="41"/>
  <c r="N69" i="41"/>
  <c r="N70" i="41" s="1"/>
  <c r="N71" i="41" s="1"/>
  <c r="S69" i="41"/>
  <c r="T69" i="41"/>
  <c r="Y69" i="41"/>
  <c r="Z69" i="41"/>
  <c r="B70" i="41"/>
  <c r="B71" i="41" s="1"/>
  <c r="D70" i="41"/>
  <c r="J70" i="41"/>
  <c r="K70" i="41" s="1"/>
  <c r="S70" i="41"/>
  <c r="T70" i="41"/>
  <c r="Y70" i="41"/>
  <c r="Z70" i="41"/>
  <c r="D71" i="41"/>
  <c r="J71" i="41"/>
  <c r="S71" i="41"/>
  <c r="T71" i="41"/>
  <c r="Y71" i="41"/>
  <c r="Z71" i="41"/>
  <c r="B158" i="28"/>
  <c r="C158" i="28"/>
  <c r="E158" i="28"/>
  <c r="P158" i="28" s="1"/>
  <c r="H158" i="28"/>
  <c r="O158" i="28"/>
  <c r="U158" i="28"/>
  <c r="AB158" i="28"/>
  <c r="AH158" i="28"/>
  <c r="AO158" i="28"/>
  <c r="AU158" i="28"/>
  <c r="BB158" i="28"/>
  <c r="BH158" i="28"/>
  <c r="BO158" i="28"/>
  <c r="B159" i="28"/>
  <c r="B160" i="28" s="1"/>
  <c r="C159" i="28"/>
  <c r="E159" i="28"/>
  <c r="H159" i="28"/>
  <c r="O159" i="28"/>
  <c r="U159" i="28"/>
  <c r="AB159" i="28"/>
  <c r="AH159" i="28"/>
  <c r="AO159" i="28"/>
  <c r="AU159" i="28"/>
  <c r="BB159" i="28"/>
  <c r="BH159" i="28"/>
  <c r="BO159" i="28"/>
  <c r="C160" i="28"/>
  <c r="E160" i="28"/>
  <c r="P160" i="28" s="1"/>
  <c r="H160" i="28"/>
  <c r="O160" i="28"/>
  <c r="U160" i="28"/>
  <c r="AB160" i="28"/>
  <c r="AH160" i="28"/>
  <c r="AO160" i="28"/>
  <c r="AU160" i="28"/>
  <c r="BB160" i="28"/>
  <c r="BH160" i="28"/>
  <c r="BO160" i="28"/>
  <c r="B158" i="17"/>
  <c r="C158" i="17"/>
  <c r="AC158" i="17" s="1"/>
  <c r="H158" i="17"/>
  <c r="O158" i="17"/>
  <c r="U158" i="17"/>
  <c r="AB158" i="17"/>
  <c r="AH158" i="17"/>
  <c r="AO158" i="17"/>
  <c r="AU158" i="17"/>
  <c r="BB158" i="17"/>
  <c r="BH158" i="17"/>
  <c r="BO158" i="17"/>
  <c r="B159" i="17"/>
  <c r="C159" i="17"/>
  <c r="P159" i="17" s="1"/>
  <c r="H159" i="17"/>
  <c r="O159" i="17"/>
  <c r="U159" i="17"/>
  <c r="AB159" i="17"/>
  <c r="AH159" i="17"/>
  <c r="AO159" i="17"/>
  <c r="AU159" i="17"/>
  <c r="BB159" i="17"/>
  <c r="BC159" i="17"/>
  <c r="BH159" i="17"/>
  <c r="BO159" i="17"/>
  <c r="BP159" i="17"/>
  <c r="B160" i="17"/>
  <c r="C160" i="17"/>
  <c r="AC160" i="17" s="1"/>
  <c r="H160" i="17"/>
  <c r="O160" i="17"/>
  <c r="U160" i="17"/>
  <c r="Z160" i="17"/>
  <c r="AB160" i="17"/>
  <c r="AH160" i="17"/>
  <c r="AM160" i="17"/>
  <c r="AO160" i="17"/>
  <c r="AU160" i="17"/>
  <c r="BB160" i="17"/>
  <c r="BH160" i="17"/>
  <c r="BM160" i="17"/>
  <c r="BO160" i="17"/>
  <c r="B323" i="35"/>
  <c r="E323" i="35"/>
  <c r="E324" i="35" s="1"/>
  <c r="E325" i="35" s="1"/>
  <c r="J323" i="35"/>
  <c r="P323" i="35"/>
  <c r="B324" i="35"/>
  <c r="J324" i="35"/>
  <c r="P324" i="35"/>
  <c r="B325" i="35"/>
  <c r="J325" i="35"/>
  <c r="P325" i="35"/>
  <c r="D323" i="36"/>
  <c r="J323" i="36"/>
  <c r="P323" i="36"/>
  <c r="D324" i="36"/>
  <c r="J324" i="36"/>
  <c r="P324" i="36"/>
  <c r="D325" i="36"/>
  <c r="J325" i="36"/>
  <c r="P325" i="36"/>
  <c r="B260" i="27"/>
  <c r="J260" i="27"/>
  <c r="K260" i="27"/>
  <c r="P260" i="27"/>
  <c r="Q260" i="27"/>
  <c r="B261" i="27"/>
  <c r="J261" i="27"/>
  <c r="K261" i="27"/>
  <c r="P261" i="27"/>
  <c r="Q261" i="27"/>
  <c r="B262" i="27"/>
  <c r="J262" i="27"/>
  <c r="K262" i="27"/>
  <c r="P262" i="27"/>
  <c r="Q262" i="27"/>
  <c r="D262" i="2"/>
  <c r="D261" i="2"/>
  <c r="D260" i="2"/>
  <c r="E260" i="2" s="1"/>
  <c r="B260" i="2"/>
  <c r="J260" i="2"/>
  <c r="P260" i="2"/>
  <c r="B261" i="2"/>
  <c r="B262" i="2" s="1"/>
  <c r="J261" i="2"/>
  <c r="P261" i="2"/>
  <c r="J262" i="2"/>
  <c r="P262" i="2"/>
  <c r="B320" i="25"/>
  <c r="J320" i="25"/>
  <c r="K320" i="25"/>
  <c r="P320" i="25"/>
  <c r="Q320" i="25"/>
  <c r="W320" i="25"/>
  <c r="X320" i="25"/>
  <c r="B321" i="25"/>
  <c r="J321" i="25"/>
  <c r="K321" i="25"/>
  <c r="P321" i="25"/>
  <c r="Q321" i="25"/>
  <c r="W321" i="25"/>
  <c r="X321" i="25"/>
  <c r="B322" i="25"/>
  <c r="J322" i="25"/>
  <c r="K322" i="25"/>
  <c r="P322" i="25"/>
  <c r="Q322" i="25"/>
  <c r="W322" i="25"/>
  <c r="X322" i="25"/>
  <c r="B320" i="1"/>
  <c r="J320" i="1"/>
  <c r="L320" i="1"/>
  <c r="L321" i="1" s="1"/>
  <c r="L322" i="1" s="1"/>
  <c r="P320" i="1"/>
  <c r="W320" i="1"/>
  <c r="Y320" i="1"/>
  <c r="Y321" i="1" s="1"/>
  <c r="B321" i="1"/>
  <c r="J321" i="1"/>
  <c r="P321" i="1"/>
  <c r="W321" i="1"/>
  <c r="B322" i="1"/>
  <c r="J322" i="1"/>
  <c r="P322" i="1"/>
  <c r="W322" i="1"/>
  <c r="AC158" i="28" l="1"/>
  <c r="E57" i="40"/>
  <c r="E58" i="40" s="1"/>
  <c r="F58" i="40" s="1"/>
  <c r="BC160" i="28"/>
  <c r="BC159" i="28"/>
  <c r="E261" i="2"/>
  <c r="E262" i="2" s="1"/>
  <c r="E263" i="2" s="1"/>
  <c r="E264" i="2" s="1"/>
  <c r="E265" i="2" s="1"/>
  <c r="AP160" i="28"/>
  <c r="AP158" i="28"/>
  <c r="AC160" i="28"/>
  <c r="AC159" i="28"/>
  <c r="BP160" i="28"/>
  <c r="BP158" i="28"/>
  <c r="BC158" i="28"/>
  <c r="AP159" i="17"/>
  <c r="P158" i="17"/>
  <c r="BP158" i="17"/>
  <c r="AP158" i="17"/>
  <c r="BC158" i="17"/>
  <c r="N322" i="1"/>
  <c r="O58" i="40"/>
  <c r="P58" i="40"/>
  <c r="K58" i="40"/>
  <c r="E70" i="41"/>
  <c r="E71" i="41" s="1"/>
  <c r="K71" i="41"/>
  <c r="P71" i="41"/>
  <c r="BP159" i="28"/>
  <c r="AP159" i="28"/>
  <c r="P159" i="28"/>
  <c r="P160" i="17"/>
  <c r="BP160" i="17"/>
  <c r="AC159" i="17"/>
  <c r="BC160" i="17"/>
  <c r="AP160" i="17"/>
  <c r="G325" i="35"/>
  <c r="Y322" i="1"/>
  <c r="D55" i="40"/>
  <c r="D54" i="40"/>
  <c r="D53" i="40"/>
  <c r="G265" i="2" l="1"/>
  <c r="G262" i="2"/>
  <c r="G58" i="40"/>
  <c r="G71" i="41"/>
  <c r="AA322" i="1"/>
  <c r="D259" i="2" l="1"/>
  <c r="D258" i="2"/>
  <c r="D257" i="2"/>
  <c r="D256" i="2"/>
  <c r="X257" i="27"/>
  <c r="D257" i="27" s="1"/>
  <c r="X258" i="27"/>
  <c r="D258" i="27" s="1"/>
  <c r="X259" i="27"/>
  <c r="D259" i="27" s="1"/>
  <c r="D66" i="41"/>
  <c r="D67" i="41"/>
  <c r="D68" i="41"/>
  <c r="AC317" i="25"/>
  <c r="AC318" i="25"/>
  <c r="AC319" i="25"/>
  <c r="J53" i="39"/>
  <c r="K53" i="39"/>
  <c r="P53" i="39"/>
  <c r="J54" i="39"/>
  <c r="K54" i="39"/>
  <c r="P54" i="39"/>
  <c r="J55" i="39"/>
  <c r="K55" i="39"/>
  <c r="P55" i="39"/>
  <c r="B53" i="40"/>
  <c r="E53" i="40"/>
  <c r="E54" i="40" s="1"/>
  <c r="E55" i="40" s="1"/>
  <c r="G55" i="40" s="1"/>
  <c r="J53" i="40"/>
  <c r="N53" i="40"/>
  <c r="N54" i="40" s="1"/>
  <c r="N55" i="40" s="1"/>
  <c r="P55" i="40" s="1"/>
  <c r="S53" i="40"/>
  <c r="T53" i="40"/>
  <c r="B54" i="40"/>
  <c r="B55" i="40" s="1"/>
  <c r="J54" i="40"/>
  <c r="S54" i="40"/>
  <c r="T54" i="40"/>
  <c r="J55" i="40"/>
  <c r="S55" i="40"/>
  <c r="T55" i="40"/>
  <c r="P68" i="41"/>
  <c r="B66" i="41"/>
  <c r="E66" i="41"/>
  <c r="E67" i="41" s="1"/>
  <c r="E68" i="41" s="1"/>
  <c r="J66" i="41"/>
  <c r="K66" i="41" s="1"/>
  <c r="N66" i="41"/>
  <c r="N67" i="41" s="1"/>
  <c r="N68" i="41" s="1"/>
  <c r="S66" i="41"/>
  <c r="T66" i="41"/>
  <c r="Y66" i="41"/>
  <c r="Z66" i="41"/>
  <c r="B67" i="41"/>
  <c r="B68" i="41" s="1"/>
  <c r="J67" i="41"/>
  <c r="S67" i="41"/>
  <c r="T67" i="41"/>
  <c r="Y67" i="41"/>
  <c r="Z67" i="41"/>
  <c r="J68" i="41"/>
  <c r="S68" i="41"/>
  <c r="T68" i="41"/>
  <c r="Y68" i="41"/>
  <c r="Z68" i="41"/>
  <c r="C155" i="28"/>
  <c r="E155" i="28"/>
  <c r="H155" i="28"/>
  <c r="O155" i="28"/>
  <c r="U155" i="28"/>
  <c r="AB155" i="28"/>
  <c r="AH155" i="28"/>
  <c r="AO155" i="28"/>
  <c r="AU155" i="28"/>
  <c r="BB155" i="28"/>
  <c r="BC155" i="28"/>
  <c r="BH155" i="28"/>
  <c r="BO155" i="28"/>
  <c r="C156" i="28"/>
  <c r="E156" i="28"/>
  <c r="BP156" i="28" s="1"/>
  <c r="H156" i="28"/>
  <c r="O156" i="28"/>
  <c r="U156" i="28"/>
  <c r="AB156" i="28"/>
  <c r="AH156" i="28"/>
  <c r="AO156" i="28"/>
  <c r="AU156" i="28"/>
  <c r="BB156" i="28"/>
  <c r="BH156" i="28"/>
  <c r="BO156" i="28"/>
  <c r="C157" i="28"/>
  <c r="E157" i="28"/>
  <c r="H157" i="28"/>
  <c r="O157" i="28"/>
  <c r="U157" i="28"/>
  <c r="AB157" i="28"/>
  <c r="AH157" i="28"/>
  <c r="AO157" i="28"/>
  <c r="AU157" i="28"/>
  <c r="BB157" i="28"/>
  <c r="BH157" i="28"/>
  <c r="BO157" i="28"/>
  <c r="C155" i="17"/>
  <c r="P155" i="17" s="1"/>
  <c r="H155" i="17"/>
  <c r="O155" i="17"/>
  <c r="U155" i="17"/>
  <c r="AB155" i="17"/>
  <c r="AH155" i="17"/>
  <c r="AO155" i="17"/>
  <c r="AU155" i="17"/>
  <c r="BB155" i="17"/>
  <c r="BH155" i="17"/>
  <c r="BO155" i="17"/>
  <c r="C156" i="17"/>
  <c r="P156" i="17" s="1"/>
  <c r="H156" i="17"/>
  <c r="O156" i="17"/>
  <c r="U156" i="17"/>
  <c r="AB156" i="17"/>
  <c r="AH156" i="17"/>
  <c r="AO156" i="17"/>
  <c r="AU156" i="17"/>
  <c r="BB156" i="17"/>
  <c r="BH156" i="17"/>
  <c r="BO156" i="17"/>
  <c r="C157" i="17"/>
  <c r="AP157" i="17" s="1"/>
  <c r="H157" i="17"/>
  <c r="M157" i="17"/>
  <c r="O157" i="17"/>
  <c r="U157" i="17"/>
  <c r="Z157" i="17"/>
  <c r="AB157" i="17"/>
  <c r="AH157" i="17"/>
  <c r="AM157" i="17"/>
  <c r="AO157" i="17"/>
  <c r="AU157" i="17"/>
  <c r="BB157" i="17"/>
  <c r="BH157" i="17"/>
  <c r="BM157" i="17"/>
  <c r="BO157" i="17"/>
  <c r="B320" i="35"/>
  <c r="E320" i="35"/>
  <c r="E321" i="35" s="1"/>
  <c r="J320" i="35"/>
  <c r="P320" i="35"/>
  <c r="B321" i="35"/>
  <c r="B322" i="35" s="1"/>
  <c r="J321" i="35"/>
  <c r="P321" i="35"/>
  <c r="J322" i="35"/>
  <c r="P322" i="35"/>
  <c r="D320" i="36"/>
  <c r="J320" i="36"/>
  <c r="P320" i="36"/>
  <c r="D321" i="36"/>
  <c r="J321" i="36"/>
  <c r="P321" i="36"/>
  <c r="D322" i="36"/>
  <c r="J322" i="36"/>
  <c r="P322" i="36"/>
  <c r="B257" i="27"/>
  <c r="J257" i="27"/>
  <c r="K257" i="27"/>
  <c r="P257" i="27"/>
  <c r="Q257" i="27"/>
  <c r="B258" i="27"/>
  <c r="J258" i="27"/>
  <c r="K258" i="27"/>
  <c r="P258" i="27"/>
  <c r="Q258" i="27"/>
  <c r="B259" i="27"/>
  <c r="J259" i="27"/>
  <c r="K259" i="27"/>
  <c r="P259" i="27"/>
  <c r="Q259" i="27"/>
  <c r="B257" i="2"/>
  <c r="J257" i="2"/>
  <c r="P257" i="2"/>
  <c r="B258" i="2"/>
  <c r="J258" i="2"/>
  <c r="P258" i="2"/>
  <c r="B259" i="2"/>
  <c r="J259" i="2"/>
  <c r="P259" i="2"/>
  <c r="B317" i="25"/>
  <c r="J317" i="25"/>
  <c r="K317" i="25"/>
  <c r="P317" i="25"/>
  <c r="Q317" i="25"/>
  <c r="W317" i="25"/>
  <c r="X317" i="25"/>
  <c r="B318" i="25"/>
  <c r="B319" i="25" s="1"/>
  <c r="J318" i="25"/>
  <c r="K318" i="25"/>
  <c r="P318" i="25"/>
  <c r="Q318" i="25"/>
  <c r="W318" i="25"/>
  <c r="X318" i="25"/>
  <c r="J319" i="25"/>
  <c r="K319" i="25"/>
  <c r="P319" i="25"/>
  <c r="Q319" i="25"/>
  <c r="W319" i="25"/>
  <c r="X319" i="25"/>
  <c r="AP157" i="28" l="1"/>
  <c r="BP155" i="17"/>
  <c r="AC155" i="17"/>
  <c r="BC157" i="17"/>
  <c r="P157" i="17"/>
  <c r="BC156" i="17"/>
  <c r="AC157" i="17"/>
  <c r="BC155" i="17"/>
  <c r="AP155" i="17"/>
  <c r="AC155" i="28"/>
  <c r="G68" i="41"/>
  <c r="P157" i="28"/>
  <c r="BC156" i="28"/>
  <c r="AC156" i="28"/>
  <c r="P155" i="28"/>
  <c r="BP155" i="28"/>
  <c r="AP155" i="28"/>
  <c r="AC157" i="28"/>
  <c r="AC156" i="17"/>
  <c r="BP157" i="17"/>
  <c r="BP156" i="17"/>
  <c r="AP156" i="17"/>
  <c r="K54" i="40"/>
  <c r="K55" i="40" s="1"/>
  <c r="K53" i="40"/>
  <c r="K67" i="41"/>
  <c r="K68" i="41" s="1"/>
  <c r="BP157" i="28"/>
  <c r="P156" i="28"/>
  <c r="BC157" i="28"/>
  <c r="AP156" i="28"/>
  <c r="E322" i="35"/>
  <c r="BT166" i="17" l="1"/>
  <c r="G322" i="35"/>
  <c r="B317" i="1"/>
  <c r="E317" i="1"/>
  <c r="E318" i="1" s="1"/>
  <c r="E319" i="1" s="1"/>
  <c r="E320" i="1" s="1"/>
  <c r="E321" i="1" s="1"/>
  <c r="E322" i="1" s="1"/>
  <c r="E323" i="1" s="1"/>
  <c r="E324" i="1" s="1"/>
  <c r="E325" i="1" s="1"/>
  <c r="J317" i="1"/>
  <c r="L317" i="1"/>
  <c r="L318" i="1" s="1"/>
  <c r="L319" i="1" s="1"/>
  <c r="P317" i="1"/>
  <c r="R317" i="1"/>
  <c r="R318" i="1" s="1"/>
  <c r="W317" i="1"/>
  <c r="Y317" i="1"/>
  <c r="Y318" i="1" s="1"/>
  <c r="B318" i="1"/>
  <c r="J318" i="1"/>
  <c r="P318" i="1"/>
  <c r="W318" i="1"/>
  <c r="B319" i="1"/>
  <c r="J319" i="1"/>
  <c r="P319" i="1"/>
  <c r="W319" i="1"/>
  <c r="Q3" i="33"/>
  <c r="P3" i="33"/>
  <c r="J3" i="33"/>
  <c r="I3" i="33"/>
  <c r="H3" i="33"/>
  <c r="G3" i="33"/>
  <c r="F3" i="33"/>
  <c r="E3" i="33"/>
  <c r="C3" i="33"/>
  <c r="G325" i="1" l="1"/>
  <c r="G322" i="1"/>
  <c r="G319" i="1"/>
  <c r="N319" i="1"/>
  <c r="Y319" i="1"/>
  <c r="R319" i="1"/>
  <c r="R320" i="1" s="1"/>
  <c r="R321" i="1" s="1"/>
  <c r="R322" i="1" s="1"/>
  <c r="AM154" i="17"/>
  <c r="R323" i="1" l="1"/>
  <c r="R324" i="1" s="1"/>
  <c r="R325" i="1" s="1"/>
  <c r="T322" i="1"/>
  <c r="AA319" i="1"/>
  <c r="T319" i="1"/>
  <c r="Z154" i="17"/>
  <c r="R326" i="1" l="1"/>
  <c r="R327" i="1" s="1"/>
  <c r="R328" i="1" s="1"/>
  <c r="T325" i="1"/>
  <c r="M154" i="17"/>
  <c r="M142" i="17"/>
  <c r="S328" i="1" l="1"/>
  <c r="T328" i="1"/>
  <c r="M256" i="6"/>
  <c r="N256" i="6"/>
  <c r="N253" i="6"/>
  <c r="L251" i="6"/>
  <c r="L252" i="6"/>
  <c r="L253" i="6" s="1"/>
  <c r="L254" i="6" s="1"/>
  <c r="L255" i="6" s="1"/>
  <c r="L256" i="6" s="1"/>
  <c r="J251" i="6"/>
  <c r="J252" i="6"/>
  <c r="J253" i="6"/>
  <c r="J254" i="6"/>
  <c r="J255" i="6"/>
  <c r="J256" i="6"/>
  <c r="B251" i="6"/>
  <c r="B252" i="6"/>
  <c r="B253" i="6" s="1"/>
  <c r="B254" i="6" s="1"/>
  <c r="B255" i="6" s="1"/>
  <c r="B256" i="6" s="1"/>
  <c r="D63" i="41"/>
  <c r="D64" i="41"/>
  <c r="D65" i="41"/>
  <c r="D55" i="41"/>
  <c r="D56" i="41"/>
  <c r="D57" i="41"/>
  <c r="D58" i="41"/>
  <c r="D59" i="41"/>
  <c r="D60" i="41"/>
  <c r="D61" i="41"/>
  <c r="D62" i="41"/>
  <c r="D54" i="41"/>
  <c r="D50" i="40" l="1"/>
  <c r="D51" i="40"/>
  <c r="D52" i="40"/>
  <c r="D42" i="40"/>
  <c r="D43" i="40"/>
  <c r="D44" i="40"/>
  <c r="D45" i="40"/>
  <c r="D46" i="40"/>
  <c r="D47" i="40"/>
  <c r="D48" i="40"/>
  <c r="D49" i="40"/>
  <c r="D41" i="40"/>
  <c r="D255" i="2" l="1"/>
  <c r="D254" i="2"/>
  <c r="X254" i="27" l="1"/>
  <c r="D254" i="27" s="1"/>
  <c r="X255" i="27"/>
  <c r="D255" i="27" s="1"/>
  <c r="X256" i="27"/>
  <c r="D256" i="27" s="1"/>
  <c r="AC314" i="25"/>
  <c r="AC315" i="25"/>
  <c r="AC316" i="25"/>
  <c r="P52" i="39"/>
  <c r="K52" i="39"/>
  <c r="J52" i="39"/>
  <c r="P51" i="39"/>
  <c r="K51" i="39"/>
  <c r="J51" i="39"/>
  <c r="P50" i="39"/>
  <c r="K50" i="39"/>
  <c r="J50" i="39"/>
  <c r="T52" i="40"/>
  <c r="S52" i="40"/>
  <c r="J52" i="40"/>
  <c r="T51" i="40"/>
  <c r="S51" i="40"/>
  <c r="J51" i="40"/>
  <c r="K51" i="40" s="1"/>
  <c r="T50" i="40"/>
  <c r="S50" i="40"/>
  <c r="N50" i="40"/>
  <c r="J50" i="40"/>
  <c r="K50" i="40" s="1"/>
  <c r="B50" i="40"/>
  <c r="B51" i="40"/>
  <c r="B52" i="40" s="1"/>
  <c r="Z65" i="41"/>
  <c r="Y65" i="41"/>
  <c r="T65" i="41"/>
  <c r="S65" i="41"/>
  <c r="J65" i="41"/>
  <c r="Z64" i="41"/>
  <c r="Y64" i="41"/>
  <c r="T64" i="41"/>
  <c r="S64" i="41"/>
  <c r="J64" i="41"/>
  <c r="Z63" i="41"/>
  <c r="Y63" i="41"/>
  <c r="T63" i="41"/>
  <c r="S63" i="41"/>
  <c r="N63" i="41"/>
  <c r="J63" i="41"/>
  <c r="U154" i="28"/>
  <c r="O154" i="28"/>
  <c r="H154" i="28"/>
  <c r="U153" i="28"/>
  <c r="O153" i="28"/>
  <c r="H153" i="28"/>
  <c r="U152" i="28"/>
  <c r="O152" i="28"/>
  <c r="H152" i="28"/>
  <c r="E154" i="28"/>
  <c r="C154" i="28"/>
  <c r="CE154" i="28" s="1"/>
  <c r="E153" i="28"/>
  <c r="C153" i="28"/>
  <c r="E152" i="28"/>
  <c r="C152" i="28"/>
  <c r="BO154" i="28"/>
  <c r="BH154" i="28"/>
  <c r="BB154" i="28"/>
  <c r="AU154" i="28"/>
  <c r="CD154" i="28"/>
  <c r="BW154" i="28"/>
  <c r="AO154" i="28"/>
  <c r="AH154" i="28"/>
  <c r="AB154" i="28"/>
  <c r="BO153" i="28"/>
  <c r="BH153" i="28"/>
  <c r="BB153" i="28"/>
  <c r="AU153" i="28"/>
  <c r="CD153" i="28"/>
  <c r="BW153" i="28"/>
  <c r="AO153" i="28"/>
  <c r="AH153" i="28"/>
  <c r="AB153" i="28"/>
  <c r="BO152" i="28"/>
  <c r="BH152" i="28"/>
  <c r="BB152" i="28"/>
  <c r="AU152" i="28"/>
  <c r="CD152" i="28"/>
  <c r="BW152" i="28"/>
  <c r="AO152" i="28"/>
  <c r="AH152" i="28"/>
  <c r="AB152" i="28"/>
  <c r="BO154" i="17"/>
  <c r="BM154" i="17"/>
  <c r="BH154" i="17"/>
  <c r="BB154" i="17"/>
  <c r="AU154" i="17"/>
  <c r="CD154" i="17"/>
  <c r="BW154" i="17"/>
  <c r="AO154" i="17"/>
  <c r="AH154" i="17"/>
  <c r="AB154" i="17"/>
  <c r="U154" i="17"/>
  <c r="O154" i="17"/>
  <c r="H154" i="17"/>
  <c r="C154" i="17"/>
  <c r="AP154" i="17" s="1"/>
  <c r="BO153" i="17"/>
  <c r="BH153" i="17"/>
  <c r="BB153" i="17"/>
  <c r="AU153" i="17"/>
  <c r="CD153" i="17"/>
  <c r="BW153" i="17"/>
  <c r="AO153" i="17"/>
  <c r="AH153" i="17"/>
  <c r="AB153" i="17"/>
  <c r="U153" i="17"/>
  <c r="O153" i="17"/>
  <c r="H153" i="17"/>
  <c r="C153" i="17"/>
  <c r="AP153" i="17" s="1"/>
  <c r="BO152" i="17"/>
  <c r="BH152" i="17"/>
  <c r="BB152" i="17"/>
  <c r="AU152" i="17"/>
  <c r="CD152" i="17"/>
  <c r="BW152" i="17"/>
  <c r="AO152" i="17"/>
  <c r="AH152" i="17"/>
  <c r="AB152" i="17"/>
  <c r="U152" i="17"/>
  <c r="O152" i="17"/>
  <c r="H152" i="17"/>
  <c r="C152" i="17"/>
  <c r="AP152" i="17" s="1"/>
  <c r="P319" i="35"/>
  <c r="J319" i="35"/>
  <c r="P318" i="35"/>
  <c r="J318" i="35"/>
  <c r="P317" i="35"/>
  <c r="J317" i="35"/>
  <c r="E317" i="35"/>
  <c r="B317" i="35"/>
  <c r="B318" i="35" s="1"/>
  <c r="B319" i="35" s="1"/>
  <c r="P319" i="36"/>
  <c r="J319" i="36"/>
  <c r="D319" i="36"/>
  <c r="P318" i="36"/>
  <c r="J318" i="36"/>
  <c r="D318" i="36"/>
  <c r="P317" i="36"/>
  <c r="J317" i="36"/>
  <c r="D317" i="36"/>
  <c r="Q256" i="27"/>
  <c r="P256" i="27"/>
  <c r="K256" i="27"/>
  <c r="J256" i="27"/>
  <c r="Q255" i="27"/>
  <c r="P255" i="27"/>
  <c r="K255" i="27"/>
  <c r="J255" i="27"/>
  <c r="Q254" i="27"/>
  <c r="P254" i="27"/>
  <c r="K254" i="27"/>
  <c r="J254" i="27"/>
  <c r="B254" i="27"/>
  <c r="B255" i="27" s="1"/>
  <c r="B256" i="27" s="1"/>
  <c r="V256" i="2"/>
  <c r="P256" i="2"/>
  <c r="J256" i="2"/>
  <c r="P255" i="2"/>
  <c r="J255" i="2"/>
  <c r="P254" i="2"/>
  <c r="J254" i="2"/>
  <c r="E254" i="2"/>
  <c r="B254" i="2"/>
  <c r="B255" i="2"/>
  <c r="B256" i="2"/>
  <c r="K314" i="25"/>
  <c r="K315" i="25"/>
  <c r="K316" i="25"/>
  <c r="X316" i="25"/>
  <c r="W316" i="25"/>
  <c r="Q316" i="25"/>
  <c r="P316" i="25"/>
  <c r="J316" i="25"/>
  <c r="X315" i="25"/>
  <c r="W315" i="25"/>
  <c r="Q315" i="25"/>
  <c r="P315" i="25"/>
  <c r="J315" i="25"/>
  <c r="X314" i="25"/>
  <c r="W314" i="25"/>
  <c r="Q314" i="25"/>
  <c r="P314" i="25"/>
  <c r="J314" i="25"/>
  <c r="B314" i="25"/>
  <c r="B315" i="25" s="1"/>
  <c r="B316" i="25" s="1"/>
  <c r="W316" i="1"/>
  <c r="P316" i="1"/>
  <c r="J316" i="1"/>
  <c r="W315" i="1"/>
  <c r="P315" i="1"/>
  <c r="J315" i="1"/>
  <c r="Y314" i="1"/>
  <c r="W314" i="1"/>
  <c r="R314" i="1"/>
  <c r="R315" i="1" s="1"/>
  <c r="P314" i="1"/>
  <c r="L314" i="1"/>
  <c r="J314" i="1"/>
  <c r="B314" i="1"/>
  <c r="B315" i="1" s="1"/>
  <c r="B316" i="1" s="1"/>
  <c r="AC313" i="25"/>
  <c r="X313" i="25"/>
  <c r="W313" i="25"/>
  <c r="Q313" i="25"/>
  <c r="P313" i="25"/>
  <c r="K313" i="25"/>
  <c r="J313" i="25"/>
  <c r="AC312" i="25"/>
  <c r="X312" i="25"/>
  <c r="W312" i="25"/>
  <c r="Q312" i="25"/>
  <c r="P312" i="25"/>
  <c r="K312" i="25"/>
  <c r="J312" i="25"/>
  <c r="AC311" i="25"/>
  <c r="X311" i="25"/>
  <c r="W311" i="25"/>
  <c r="Q311" i="25"/>
  <c r="P311" i="25"/>
  <c r="K311" i="25"/>
  <c r="J311" i="25"/>
  <c r="P6" i="40" l="1"/>
  <c r="O6" i="40"/>
  <c r="AP152" i="28"/>
  <c r="P152" i="17"/>
  <c r="BC152" i="17"/>
  <c r="BC153" i="28"/>
  <c r="BP154" i="28"/>
  <c r="BC154" i="28"/>
  <c r="P154" i="28"/>
  <c r="AC154" i="28"/>
  <c r="AP154" i="28"/>
  <c r="AC153" i="28"/>
  <c r="AP153" i="28"/>
  <c r="CE153" i="28"/>
  <c r="BP153" i="28"/>
  <c r="P153" i="28"/>
  <c r="P152" i="28"/>
  <c r="CE154" i="17"/>
  <c r="BP154" i="17"/>
  <c r="BC154" i="17"/>
  <c r="BC153" i="17"/>
  <c r="BP153" i="17"/>
  <c r="P153" i="17"/>
  <c r="CE153" i="17"/>
  <c r="AC152" i="17"/>
  <c r="BP152" i="17"/>
  <c r="CE152" i="17"/>
  <c r="N51" i="40"/>
  <c r="N52" i="40" s="1"/>
  <c r="K52" i="40"/>
  <c r="N64" i="41"/>
  <c r="N65" i="41" s="1"/>
  <c r="P65" i="41" s="1"/>
  <c r="AC152" i="28"/>
  <c r="BP152" i="28"/>
  <c r="BC152" i="28"/>
  <c r="CE152" i="28"/>
  <c r="AC153" i="17"/>
  <c r="P154" i="17"/>
  <c r="AC154" i="17"/>
  <c r="E318" i="35"/>
  <c r="E255" i="2"/>
  <c r="R316" i="1"/>
  <c r="L315" i="1"/>
  <c r="Y315" i="1"/>
  <c r="P49" i="39"/>
  <c r="K49" i="39"/>
  <c r="J49" i="39"/>
  <c r="P48" i="39"/>
  <c r="K48" i="39"/>
  <c r="J48" i="39"/>
  <c r="P47" i="39"/>
  <c r="K47" i="39"/>
  <c r="J47" i="39"/>
  <c r="T49" i="40"/>
  <c r="S49" i="40"/>
  <c r="J49" i="40"/>
  <c r="T48" i="40"/>
  <c r="S48" i="40"/>
  <c r="N48" i="40"/>
  <c r="J48" i="40"/>
  <c r="T47" i="40"/>
  <c r="S47" i="40"/>
  <c r="N47" i="40"/>
  <c r="J47" i="40"/>
  <c r="K47" i="40" s="1"/>
  <c r="K48" i="40" s="1"/>
  <c r="B47" i="40"/>
  <c r="B48" i="40"/>
  <c r="B49" i="40"/>
  <c r="Z62" i="41"/>
  <c r="Y62" i="41"/>
  <c r="T62" i="41"/>
  <c r="S62" i="41"/>
  <c r="J62" i="41"/>
  <c r="Z61" i="41"/>
  <c r="Y61" i="41"/>
  <c r="T61" i="41"/>
  <c r="S61" i="41"/>
  <c r="J61" i="41"/>
  <c r="Z60" i="41"/>
  <c r="Y60" i="41"/>
  <c r="T60" i="41"/>
  <c r="S60" i="41"/>
  <c r="N60" i="41"/>
  <c r="J60" i="41"/>
  <c r="BO151" i="28"/>
  <c r="BH151" i="28"/>
  <c r="BB151" i="28"/>
  <c r="AU151" i="28"/>
  <c r="CD151" i="28"/>
  <c r="BW151" i="28"/>
  <c r="AO151" i="28"/>
  <c r="AH151" i="28"/>
  <c r="AB151" i="28"/>
  <c r="U151" i="28"/>
  <c r="O151" i="28"/>
  <c r="H151" i="28"/>
  <c r="BO150" i="28"/>
  <c r="BH150" i="28"/>
  <c r="BB150" i="28"/>
  <c r="AU150" i="28"/>
  <c r="CD150" i="28"/>
  <c r="BW150" i="28"/>
  <c r="AO150" i="28"/>
  <c r="AH150" i="28"/>
  <c r="AB150" i="28"/>
  <c r="U150" i="28"/>
  <c r="O150" i="28"/>
  <c r="H150" i="28"/>
  <c r="BO149" i="28"/>
  <c r="BH149" i="28"/>
  <c r="BB149" i="28"/>
  <c r="AU149" i="28"/>
  <c r="CD149" i="28"/>
  <c r="BW149" i="28"/>
  <c r="AO149" i="28"/>
  <c r="AH149" i="28"/>
  <c r="AB149" i="28"/>
  <c r="U149" i="28"/>
  <c r="O149" i="28"/>
  <c r="H149" i="28"/>
  <c r="E149" i="28"/>
  <c r="E150" i="28"/>
  <c r="E151" i="28"/>
  <c r="C149" i="28"/>
  <c r="C150" i="28"/>
  <c r="C151" i="28"/>
  <c r="BO151" i="17"/>
  <c r="BH151" i="17"/>
  <c r="BB151" i="17"/>
  <c r="AU151" i="17"/>
  <c r="CD151" i="17"/>
  <c r="BW151" i="17"/>
  <c r="AO151" i="17"/>
  <c r="AH151" i="17"/>
  <c r="AB151" i="17"/>
  <c r="U151" i="17"/>
  <c r="O151" i="17"/>
  <c r="H151" i="17"/>
  <c r="C151" i="17"/>
  <c r="AP151" i="17" s="1"/>
  <c r="BO150" i="17"/>
  <c r="BH150" i="17"/>
  <c r="BB150" i="17"/>
  <c r="AU150" i="17"/>
  <c r="CD150" i="17"/>
  <c r="BW150" i="17"/>
  <c r="AO150" i="17"/>
  <c r="AH150" i="17"/>
  <c r="AB150" i="17"/>
  <c r="U150" i="17"/>
  <c r="O150" i="17"/>
  <c r="H150" i="17"/>
  <c r="C150" i="17"/>
  <c r="AP150" i="17" s="1"/>
  <c r="BO149" i="17"/>
  <c r="BH149" i="17"/>
  <c r="BB149" i="17"/>
  <c r="AU149" i="17"/>
  <c r="CD149" i="17"/>
  <c r="BW149" i="17"/>
  <c r="AO149" i="17"/>
  <c r="AH149" i="17"/>
  <c r="AB149" i="17"/>
  <c r="U149" i="17"/>
  <c r="O149" i="17"/>
  <c r="H149" i="17"/>
  <c r="C149" i="17"/>
  <c r="BC149" i="17" s="1"/>
  <c r="P316" i="35"/>
  <c r="J316" i="35"/>
  <c r="P315" i="35"/>
  <c r="J315" i="35"/>
  <c r="P314" i="35"/>
  <c r="J314" i="35"/>
  <c r="E314" i="35"/>
  <c r="E315" i="35" s="1"/>
  <c r="E316" i="35" s="1"/>
  <c r="B314" i="35"/>
  <c r="B315" i="35" s="1"/>
  <c r="B316" i="35" s="1"/>
  <c r="P316" i="36"/>
  <c r="J316" i="36"/>
  <c r="D316" i="36"/>
  <c r="P315" i="36"/>
  <c r="J315" i="36"/>
  <c r="D315" i="36"/>
  <c r="P314" i="36"/>
  <c r="J314" i="36"/>
  <c r="D314" i="36"/>
  <c r="X253" i="27"/>
  <c r="Q253" i="27"/>
  <c r="P253" i="27"/>
  <c r="K253" i="27"/>
  <c r="J253" i="27"/>
  <c r="X252" i="27"/>
  <c r="Q252" i="27"/>
  <c r="P252" i="27"/>
  <c r="K252" i="27"/>
  <c r="J252" i="27"/>
  <c r="X251" i="27"/>
  <c r="Q251" i="27"/>
  <c r="P251" i="27"/>
  <c r="K251" i="27"/>
  <c r="J251" i="27"/>
  <c r="B251" i="27"/>
  <c r="B252" i="27"/>
  <c r="B253" i="27" s="1"/>
  <c r="CE150" i="17" l="1"/>
  <c r="P151" i="28"/>
  <c r="CE150" i="28"/>
  <c r="CE149" i="28"/>
  <c r="P150" i="17"/>
  <c r="BP150" i="17"/>
  <c r="O65" i="41"/>
  <c r="BC149" i="28"/>
  <c r="P149" i="28"/>
  <c r="AC149" i="28"/>
  <c r="BC150" i="28"/>
  <c r="AC150" i="28"/>
  <c r="P52" i="40"/>
  <c r="O52" i="40"/>
  <c r="BP149" i="28"/>
  <c r="CE151" i="28"/>
  <c r="AC151" i="28"/>
  <c r="AP149" i="28"/>
  <c r="BP151" i="28"/>
  <c r="AP151" i="28"/>
  <c r="P150" i="28"/>
  <c r="E319" i="35"/>
  <c r="E256" i="2"/>
  <c r="E257" i="2" s="1"/>
  <c r="E258" i="2" s="1"/>
  <c r="E259" i="2" s="1"/>
  <c r="L316" i="1"/>
  <c r="T316" i="1"/>
  <c r="S316" i="1"/>
  <c r="Y316" i="1"/>
  <c r="AC150" i="17"/>
  <c r="BC150" i="17"/>
  <c r="P151" i="17"/>
  <c r="AP150" i="28"/>
  <c r="BC151" i="28"/>
  <c r="CE151" i="17"/>
  <c r="BP149" i="17"/>
  <c r="BP150" i="28"/>
  <c r="BC151" i="17"/>
  <c r="N49" i="40"/>
  <c r="P49" i="40" s="1"/>
  <c r="K49" i="40"/>
  <c r="N61" i="41"/>
  <c r="N62" i="41" s="1"/>
  <c r="P62" i="41" s="1"/>
  <c r="P149" i="17"/>
  <c r="BP151" i="17"/>
  <c r="AC149" i="17"/>
  <c r="AP149" i="17"/>
  <c r="CE149" i="17"/>
  <c r="AC151" i="17"/>
  <c r="G316" i="35"/>
  <c r="G259" i="2" l="1"/>
  <c r="G319" i="35"/>
  <c r="F319" i="35"/>
  <c r="G256" i="2"/>
  <c r="F256" i="2"/>
  <c r="K3" i="33" s="1"/>
  <c r="AA316" i="1"/>
  <c r="Z316" i="1"/>
  <c r="N316" i="1"/>
  <c r="M316" i="1"/>
  <c r="E251" i="2" l="1"/>
  <c r="E252" i="2" s="1"/>
  <c r="J251" i="2"/>
  <c r="P251" i="2"/>
  <c r="J252" i="2"/>
  <c r="P252" i="2"/>
  <c r="J253" i="2"/>
  <c r="P253" i="2"/>
  <c r="B251" i="2"/>
  <c r="B252" i="2" s="1"/>
  <c r="B253" i="2" s="1"/>
  <c r="B311" i="25"/>
  <c r="B312" i="25"/>
  <c r="B313" i="25" s="1"/>
  <c r="E253" i="2" l="1"/>
  <c r="J311" i="1"/>
  <c r="L311" i="1"/>
  <c r="L312" i="1" s="1"/>
  <c r="P311" i="1"/>
  <c r="R311" i="1"/>
  <c r="R312" i="1" s="1"/>
  <c r="W311" i="1"/>
  <c r="Y311" i="1"/>
  <c r="J312" i="1"/>
  <c r="P312" i="1"/>
  <c r="W312" i="1"/>
  <c r="J313" i="1"/>
  <c r="P313" i="1"/>
  <c r="W313" i="1"/>
  <c r="B311" i="1"/>
  <c r="B312" i="1" s="1"/>
  <c r="B313" i="1" s="1"/>
  <c r="G253" i="2" l="1"/>
  <c r="Y312" i="1"/>
  <c r="Y313" i="1" s="1"/>
  <c r="AA313" i="1" s="1"/>
  <c r="R313" i="1"/>
  <c r="L313" i="1"/>
  <c r="N313" i="1" l="1"/>
  <c r="T313" i="1"/>
  <c r="BO148" i="28"/>
  <c r="BH148" i="28"/>
  <c r="BB148" i="28"/>
  <c r="AU148" i="28"/>
  <c r="CD148" i="28"/>
  <c r="BW148" i="28"/>
  <c r="AO148" i="28"/>
  <c r="BO147" i="28"/>
  <c r="BH147" i="28"/>
  <c r="BB147" i="28"/>
  <c r="AU147" i="28"/>
  <c r="CD147" i="28"/>
  <c r="BW147" i="28"/>
  <c r="AO147" i="28"/>
  <c r="BO146" i="28"/>
  <c r="BH146" i="28"/>
  <c r="BB146" i="28"/>
  <c r="AU146" i="28"/>
  <c r="CD146" i="28"/>
  <c r="BW146" i="28"/>
  <c r="AO146" i="28"/>
  <c r="AH148" i="28"/>
  <c r="AH147" i="28"/>
  <c r="AH146" i="28"/>
  <c r="AB148" i="28" l="1"/>
  <c r="U148" i="28"/>
  <c r="AB147" i="28"/>
  <c r="U147" i="28"/>
  <c r="AB146" i="28"/>
  <c r="U146" i="28"/>
  <c r="O148" i="28" l="1"/>
  <c r="O147" i="28"/>
  <c r="O146" i="28"/>
  <c r="H148" i="28"/>
  <c r="H147" i="28"/>
  <c r="H146" i="28"/>
  <c r="BO148" i="17"/>
  <c r="BH148" i="17"/>
  <c r="BB148" i="17"/>
  <c r="AU148" i="17"/>
  <c r="CD148" i="17"/>
  <c r="BW148" i="17"/>
  <c r="AO148" i="17"/>
  <c r="AH148" i="17"/>
  <c r="AB148" i="17"/>
  <c r="U148" i="17"/>
  <c r="O148" i="17"/>
  <c r="H148" i="17"/>
  <c r="BO147" i="17"/>
  <c r="BH147" i="17"/>
  <c r="BB147" i="17"/>
  <c r="AU147" i="17"/>
  <c r="CD147" i="17"/>
  <c r="BW147" i="17"/>
  <c r="AO147" i="17"/>
  <c r="AH147" i="17"/>
  <c r="AB147" i="17"/>
  <c r="U147" i="17"/>
  <c r="O147" i="17"/>
  <c r="H147" i="17"/>
  <c r="BO146" i="17"/>
  <c r="BH146" i="17"/>
  <c r="BB146" i="17"/>
  <c r="AU146" i="17"/>
  <c r="CD146" i="17"/>
  <c r="BW146" i="17"/>
  <c r="AO146" i="17"/>
  <c r="AH146" i="17"/>
  <c r="AB146" i="17"/>
  <c r="U146" i="17"/>
  <c r="O146" i="17"/>
  <c r="H146" i="17"/>
  <c r="V103" i="2" l="1"/>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8" i="2"/>
  <c r="V160" i="2"/>
  <c r="V172" i="2"/>
  <c r="V184" i="2"/>
  <c r="V196" i="2"/>
  <c r="V208" i="2"/>
  <c r="V220" i="2"/>
  <c r="V232" i="2"/>
  <c r="V244" i="2"/>
  <c r="AB196" i="1"/>
  <c r="AB208" i="1"/>
  <c r="AB220" i="1"/>
  <c r="AB232" i="1"/>
  <c r="AB244" i="1"/>
  <c r="AB256" i="1"/>
  <c r="AB268" i="1"/>
  <c r="AB280" i="1"/>
  <c r="AB292" i="1"/>
  <c r="AB304" i="1"/>
  <c r="B5" i="26" l="1"/>
  <c r="B5" i="6"/>
  <c r="B248" i="26"/>
  <c r="B249" i="26"/>
  <c r="B250" i="26" s="1"/>
  <c r="B245" i="26"/>
  <c r="B246" i="26"/>
  <c r="B247" i="26" s="1"/>
  <c r="J248" i="6"/>
  <c r="J249" i="6"/>
  <c r="J250" i="6"/>
  <c r="B248" i="6"/>
  <c r="B249" i="6" s="1"/>
  <c r="B250" i="6" s="1"/>
  <c r="M6" i="40" l="1" a="1"/>
  <c r="M6" i="40" s="1"/>
  <c r="B44" i="37" l="1"/>
  <c r="B45" i="37" s="1"/>
  <c r="B46" i="37" s="1"/>
  <c r="B44" i="38"/>
  <c r="B45" i="38" s="1"/>
  <c r="B46" i="38" s="1"/>
  <c r="P46" i="39"/>
  <c r="P45" i="39"/>
  <c r="P44" i="39"/>
  <c r="J44" i="39"/>
  <c r="K44" i="39"/>
  <c r="J45" i="39"/>
  <c r="K45" i="39"/>
  <c r="J46" i="39"/>
  <c r="K46" i="39"/>
  <c r="T46" i="40" l="1"/>
  <c r="S46" i="40"/>
  <c r="J46" i="40"/>
  <c r="T45" i="40"/>
  <c r="S45" i="40"/>
  <c r="J45" i="40"/>
  <c r="K45" i="40" s="1"/>
  <c r="T44" i="40"/>
  <c r="S44" i="40"/>
  <c r="N44" i="40"/>
  <c r="J44" i="40"/>
  <c r="K44" i="40" s="1"/>
  <c r="K46" i="40" l="1"/>
  <c r="N45" i="40"/>
  <c r="B44" i="40"/>
  <c r="B45" i="40" s="1"/>
  <c r="B46" i="40" s="1"/>
  <c r="N46" i="40" l="1"/>
  <c r="Z59" i="41"/>
  <c r="Y59" i="41"/>
  <c r="T59" i="41"/>
  <c r="S59" i="41"/>
  <c r="J59" i="41"/>
  <c r="Z58" i="41"/>
  <c r="Y58" i="41"/>
  <c r="T58" i="41"/>
  <c r="S58" i="41"/>
  <c r="J58" i="41"/>
  <c r="Z57" i="41"/>
  <c r="Y57" i="41"/>
  <c r="T57" i="41"/>
  <c r="S57" i="41"/>
  <c r="N57" i="41"/>
  <c r="J57" i="41"/>
  <c r="P46" i="40" l="1"/>
  <c r="N58" i="41"/>
  <c r="E148" i="28"/>
  <c r="E147" i="28"/>
  <c r="E146" i="28"/>
  <c r="C148" i="28"/>
  <c r="C147" i="28"/>
  <c r="C146" i="28"/>
  <c r="AP147" i="28" l="1"/>
  <c r="BP147" i="28"/>
  <c r="BC147" i="28"/>
  <c r="CE147" i="28"/>
  <c r="AC147" i="28"/>
  <c r="P147" i="28"/>
  <c r="AP146" i="28"/>
  <c r="BC146" i="28"/>
  <c r="CE146" i="28"/>
  <c r="BP146" i="28"/>
  <c r="AC146" i="28"/>
  <c r="AP148" i="28"/>
  <c r="BP148" i="28"/>
  <c r="BC148" i="28"/>
  <c r="CE148" i="28"/>
  <c r="AC148" i="28"/>
  <c r="P146" i="28"/>
  <c r="P148" i="28"/>
  <c r="N59" i="41"/>
  <c r="C146" i="17"/>
  <c r="C147" i="17"/>
  <c r="C148" i="17"/>
  <c r="AP147" i="17" l="1"/>
  <c r="AC147" i="17"/>
  <c r="P147" i="17"/>
  <c r="BP147" i="17"/>
  <c r="CE147" i="17"/>
  <c r="BC147" i="17"/>
  <c r="BP148" i="17"/>
  <c r="BC148" i="17"/>
  <c r="CE148" i="17"/>
  <c r="AP148" i="17"/>
  <c r="AC148" i="17"/>
  <c r="P148" i="17"/>
  <c r="CE146" i="17"/>
  <c r="AP146" i="17"/>
  <c r="BP146" i="17"/>
  <c r="BC146" i="17"/>
  <c r="AC146" i="17"/>
  <c r="P146" i="17"/>
  <c r="P59" i="41"/>
  <c r="P313" i="35"/>
  <c r="J313" i="35"/>
  <c r="P312" i="35"/>
  <c r="J312" i="35"/>
  <c r="P311" i="35"/>
  <c r="J311" i="35"/>
  <c r="E311" i="35"/>
  <c r="E312" i="35" l="1"/>
  <c r="B311" i="35"/>
  <c r="B312" i="35" s="1"/>
  <c r="B313" i="35" s="1"/>
  <c r="P313" i="36"/>
  <c r="J313" i="36"/>
  <c r="D313" i="36"/>
  <c r="P312" i="36"/>
  <c r="J312" i="36"/>
  <c r="D312" i="36"/>
  <c r="P311" i="36"/>
  <c r="J311" i="36"/>
  <c r="D311" i="36"/>
  <c r="X250" i="27"/>
  <c r="Q250" i="27"/>
  <c r="P250" i="27"/>
  <c r="K250" i="27"/>
  <c r="J250" i="27"/>
  <c r="X249" i="27"/>
  <c r="Q249" i="27"/>
  <c r="P249" i="27"/>
  <c r="K249" i="27"/>
  <c r="J249" i="27"/>
  <c r="X248" i="27"/>
  <c r="Q248" i="27"/>
  <c r="P248" i="27"/>
  <c r="K248" i="27"/>
  <c r="J248" i="27"/>
  <c r="B248" i="27"/>
  <c r="B249" i="27"/>
  <c r="B250" i="27" s="1"/>
  <c r="E313" i="35" l="1"/>
  <c r="P250" i="2"/>
  <c r="J250" i="2"/>
  <c r="P249" i="2"/>
  <c r="J249" i="2"/>
  <c r="P248" i="2"/>
  <c r="J248" i="2"/>
  <c r="E248" i="2"/>
  <c r="B248" i="2"/>
  <c r="B249" i="2" s="1"/>
  <c r="B250" i="2" s="1"/>
  <c r="G313" i="35" l="1"/>
  <c r="E249" i="2"/>
  <c r="AC310" i="25"/>
  <c r="X310" i="25"/>
  <c r="W310" i="25"/>
  <c r="Q310" i="25"/>
  <c r="P310" i="25"/>
  <c r="K310" i="25"/>
  <c r="J310" i="25"/>
  <c r="AC309" i="25"/>
  <c r="X309" i="25"/>
  <c r="W309" i="25"/>
  <c r="Q309" i="25"/>
  <c r="P309" i="25"/>
  <c r="K309" i="25"/>
  <c r="J309" i="25"/>
  <c r="AC308" i="25"/>
  <c r="X308" i="25"/>
  <c r="W308" i="25"/>
  <c r="Q308" i="25"/>
  <c r="P308" i="25"/>
  <c r="K308" i="25"/>
  <c r="J308" i="25"/>
  <c r="B308" i="25"/>
  <c r="B309" i="25"/>
  <c r="B310" i="25"/>
  <c r="E250" i="2" l="1"/>
  <c r="W310" i="1"/>
  <c r="P310" i="1"/>
  <c r="J310" i="1"/>
  <c r="W309" i="1"/>
  <c r="P309" i="1"/>
  <c r="J309" i="1"/>
  <c r="Y308" i="1"/>
  <c r="Y309" i="1" s="1"/>
  <c r="W308" i="1"/>
  <c r="R308" i="1"/>
  <c r="P308" i="1"/>
  <c r="L308" i="1"/>
  <c r="L309" i="1" s="1"/>
  <c r="J308" i="1"/>
  <c r="B308" i="1"/>
  <c r="B309" i="1" s="1"/>
  <c r="B310" i="1" s="1"/>
  <c r="G250" i="2" l="1"/>
  <c r="R309" i="1"/>
  <c r="R310" i="1" s="1"/>
  <c r="L310" i="1"/>
  <c r="Y310" i="1"/>
  <c r="L245" i="6"/>
  <c r="L246" i="6" s="1"/>
  <c r="L247" i="6" s="1"/>
  <c r="L248" i="6" s="1"/>
  <c r="L249" i="6" s="1"/>
  <c r="L250" i="6" s="1"/>
  <c r="J245" i="6"/>
  <c r="J246" i="6"/>
  <c r="J247" i="6"/>
  <c r="B245" i="6"/>
  <c r="B246" i="6" s="1"/>
  <c r="B247" i="6" s="1"/>
  <c r="J244" i="6"/>
  <c r="N250" i="6" l="1"/>
  <c r="N247" i="6"/>
  <c r="AA310" i="1"/>
  <c r="T310" i="1"/>
  <c r="N310" i="1"/>
  <c r="E10" i="31"/>
  <c r="E12" i="31"/>
  <c r="E13" i="31"/>
  <c r="H2" i="30"/>
  <c r="H13" i="30" s="1"/>
  <c r="H23" i="30" s="1"/>
  <c r="H38" i="30" s="1"/>
  <c r="G2" i="30"/>
  <c r="G13" i="30" s="1"/>
  <c r="G23" i="30" s="1"/>
  <c r="G38" i="30" s="1"/>
  <c r="F2" i="30"/>
  <c r="F13" i="30" s="1"/>
  <c r="F23" i="30" s="1"/>
  <c r="F38" i="30" s="1"/>
  <c r="E2" i="30"/>
  <c r="E13" i="30" s="1"/>
  <c r="E23" i="30" s="1"/>
  <c r="E38" i="30" s="1"/>
  <c r="D2" i="30"/>
  <c r="D13" i="30" s="1"/>
  <c r="D23" i="30" s="1"/>
  <c r="D38" i="30" s="1"/>
  <c r="B597" i="32"/>
  <c r="B596" i="32"/>
  <c r="B595" i="32"/>
  <c r="B594" i="32"/>
  <c r="B593" i="32"/>
  <c r="E593" i="32" s="1"/>
  <c r="B592" i="32"/>
  <c r="B591" i="32"/>
  <c r="E591" i="32" s="1"/>
  <c r="B590" i="32"/>
  <c r="D590" i="32" s="1"/>
  <c r="B589" i="32"/>
  <c r="B588" i="32"/>
  <c r="J588" i="32" s="1"/>
  <c r="B587" i="32"/>
  <c r="B586" i="32"/>
  <c r="F586" i="32" s="1"/>
  <c r="B585" i="32"/>
  <c r="B584" i="32"/>
  <c r="B583" i="32"/>
  <c r="B582" i="32"/>
  <c r="B581" i="32"/>
  <c r="D581" i="32" s="1"/>
  <c r="B580" i="32"/>
  <c r="J580" i="32" s="1"/>
  <c r="B579" i="32"/>
  <c r="B578" i="32"/>
  <c r="E578" i="32" s="1"/>
  <c r="B577" i="32"/>
  <c r="D577" i="32" s="1"/>
  <c r="B576" i="32"/>
  <c r="B575" i="32"/>
  <c r="E575" i="32" s="1"/>
  <c r="B574" i="32"/>
  <c r="B573" i="32"/>
  <c r="B572" i="32"/>
  <c r="J572" i="32" s="1"/>
  <c r="B571" i="32"/>
  <c r="B570" i="32"/>
  <c r="E570" i="32" s="1"/>
  <c r="B569" i="32"/>
  <c r="E569" i="32" s="1"/>
  <c r="B568" i="32"/>
  <c r="B567" i="32"/>
  <c r="D567" i="32" s="1"/>
  <c r="B566" i="32"/>
  <c r="B565" i="32"/>
  <c r="D565" i="32" s="1"/>
  <c r="B564" i="32"/>
  <c r="J564" i="32" s="1"/>
  <c r="B563" i="32"/>
  <c r="B562" i="32"/>
  <c r="B561" i="32"/>
  <c r="D561" i="32" s="1"/>
  <c r="B560" i="32"/>
  <c r="B559" i="32"/>
  <c r="B558" i="32"/>
  <c r="B557" i="32"/>
  <c r="B556" i="32"/>
  <c r="J556" i="32" s="1"/>
  <c r="B555" i="32"/>
  <c r="B554" i="32"/>
  <c r="E554" i="32" s="1"/>
  <c r="B553" i="32"/>
  <c r="B552" i="32"/>
  <c r="B551" i="32"/>
  <c r="J551" i="32" s="1"/>
  <c r="B550" i="32"/>
  <c r="B549" i="32"/>
  <c r="D549" i="32" s="1"/>
  <c r="B548" i="32"/>
  <c r="B547" i="32"/>
  <c r="B546" i="32"/>
  <c r="F546" i="32" s="1"/>
  <c r="B545" i="32"/>
  <c r="D545" i="32" s="1"/>
  <c r="B544" i="32"/>
  <c r="B543" i="32"/>
  <c r="D543" i="32" s="1"/>
  <c r="B542" i="32"/>
  <c r="B541" i="32"/>
  <c r="B540" i="32"/>
  <c r="J540" i="32" s="1"/>
  <c r="B539" i="32"/>
  <c r="B538" i="32"/>
  <c r="B537" i="32"/>
  <c r="D537" i="32" s="1"/>
  <c r="B536" i="32"/>
  <c r="B535" i="32"/>
  <c r="B534" i="32"/>
  <c r="D534" i="32" s="1"/>
  <c r="B533" i="32"/>
  <c r="E533" i="32" s="1"/>
  <c r="B532" i="32"/>
  <c r="B531" i="32"/>
  <c r="B530" i="32"/>
  <c r="E530" i="32" s="1"/>
  <c r="B529" i="32"/>
  <c r="D529" i="32" s="1"/>
  <c r="B528" i="32"/>
  <c r="B527" i="32"/>
  <c r="F527" i="32" s="1"/>
  <c r="B526" i="32"/>
  <c r="D526" i="32" s="1"/>
  <c r="B525" i="32"/>
  <c r="Y524" i="32"/>
  <c r="X524" i="32"/>
  <c r="W524" i="32"/>
  <c r="B524" i="32"/>
  <c r="J524" i="32" s="1"/>
  <c r="Y523" i="32"/>
  <c r="X523" i="32"/>
  <c r="W523" i="32"/>
  <c r="B523" i="32"/>
  <c r="Y522" i="32"/>
  <c r="X522" i="32"/>
  <c r="W522" i="32"/>
  <c r="B522" i="32"/>
  <c r="Y521" i="32"/>
  <c r="X521" i="32"/>
  <c r="W521" i="32"/>
  <c r="B521" i="32"/>
  <c r="D521" i="32" s="1"/>
  <c r="T521" i="32" s="1"/>
  <c r="Y520" i="32"/>
  <c r="X520" i="32"/>
  <c r="W520" i="32"/>
  <c r="B520" i="32"/>
  <c r="E520" i="32" s="1"/>
  <c r="U520" i="32" s="1"/>
  <c r="Y519" i="32"/>
  <c r="X519" i="32"/>
  <c r="W519" i="32"/>
  <c r="B519" i="32"/>
  <c r="E519" i="32" s="1"/>
  <c r="U519" i="32" s="1"/>
  <c r="Y518" i="32"/>
  <c r="X518" i="32"/>
  <c r="W518" i="32"/>
  <c r="B518" i="32"/>
  <c r="C518" i="32" s="1"/>
  <c r="S518" i="32" s="1"/>
  <c r="Y517" i="32"/>
  <c r="X517" i="32"/>
  <c r="W517" i="32"/>
  <c r="B517" i="32"/>
  <c r="Y516" i="32"/>
  <c r="X516" i="32"/>
  <c r="W516" i="32"/>
  <c r="B516" i="32"/>
  <c r="J516" i="32" s="1"/>
  <c r="Y515" i="32"/>
  <c r="X515" i="32"/>
  <c r="W515" i="32"/>
  <c r="B515" i="32"/>
  <c r="Y514" i="32"/>
  <c r="X514" i="32"/>
  <c r="W514" i="32"/>
  <c r="B514" i="32"/>
  <c r="C514" i="32" s="1"/>
  <c r="S514" i="32" s="1"/>
  <c r="Y513" i="32"/>
  <c r="X513" i="32"/>
  <c r="W513" i="32"/>
  <c r="B513" i="32"/>
  <c r="C513" i="32" s="1"/>
  <c r="S513" i="32" s="1"/>
  <c r="Y512" i="32"/>
  <c r="X512" i="32"/>
  <c r="W512" i="32"/>
  <c r="B512" i="32"/>
  <c r="D512" i="32" s="1"/>
  <c r="T512" i="32" s="1"/>
  <c r="Y511" i="32"/>
  <c r="X511" i="32"/>
  <c r="W511" i="32"/>
  <c r="B511" i="32"/>
  <c r="D511" i="32" s="1"/>
  <c r="T511" i="32" s="1"/>
  <c r="Y510" i="32"/>
  <c r="X510" i="32"/>
  <c r="W510" i="32"/>
  <c r="B510" i="32"/>
  <c r="Y509" i="32"/>
  <c r="X509" i="32"/>
  <c r="W509" i="32"/>
  <c r="B509" i="32"/>
  <c r="Y508" i="32"/>
  <c r="X508" i="32"/>
  <c r="W508" i="32"/>
  <c r="B508" i="32"/>
  <c r="E508" i="32" s="1"/>
  <c r="U508" i="32" s="1"/>
  <c r="Y507" i="32"/>
  <c r="X507" i="32"/>
  <c r="W507" i="32"/>
  <c r="B507" i="32"/>
  <c r="Y506" i="32"/>
  <c r="X506" i="32"/>
  <c r="W506" i="32"/>
  <c r="B506" i="32"/>
  <c r="F506" i="32" s="1"/>
  <c r="V506" i="32" s="1"/>
  <c r="Y505" i="32"/>
  <c r="X505" i="32"/>
  <c r="W505" i="32"/>
  <c r="B505" i="32"/>
  <c r="C505" i="32" s="1"/>
  <c r="S505" i="32" s="1"/>
  <c r="Y504" i="32"/>
  <c r="X504" i="32"/>
  <c r="W504" i="32"/>
  <c r="B504" i="32"/>
  <c r="Y503" i="32"/>
  <c r="X503" i="32"/>
  <c r="W503" i="32"/>
  <c r="B503" i="32"/>
  <c r="Y502" i="32"/>
  <c r="X502" i="32"/>
  <c r="W502" i="32"/>
  <c r="B502" i="32"/>
  <c r="F502" i="32" s="1"/>
  <c r="V502" i="32" s="1"/>
  <c r="Y501" i="32"/>
  <c r="X501" i="32"/>
  <c r="W501" i="32"/>
  <c r="B501" i="32"/>
  <c r="Y500" i="32"/>
  <c r="X500" i="32"/>
  <c r="W500" i="32"/>
  <c r="B500" i="32"/>
  <c r="Y499" i="32"/>
  <c r="X499" i="32"/>
  <c r="W499" i="32"/>
  <c r="B499" i="32"/>
  <c r="J499" i="32" s="1"/>
  <c r="Y498" i="32"/>
  <c r="X498" i="32"/>
  <c r="W498" i="32"/>
  <c r="B498" i="32"/>
  <c r="Y497" i="32"/>
  <c r="X497" i="32"/>
  <c r="W497" i="32"/>
  <c r="B497" i="32"/>
  <c r="Y496" i="32"/>
  <c r="X496" i="32"/>
  <c r="W496" i="32"/>
  <c r="B496" i="32"/>
  <c r="J496" i="32" s="1"/>
  <c r="Y495" i="32"/>
  <c r="X495" i="32"/>
  <c r="W495" i="32"/>
  <c r="B495" i="32"/>
  <c r="Y494" i="32"/>
  <c r="X494" i="32"/>
  <c r="W494" i="32"/>
  <c r="B494" i="32"/>
  <c r="Y493" i="32"/>
  <c r="X493" i="32"/>
  <c r="W493" i="32"/>
  <c r="B493" i="32"/>
  <c r="Y492" i="32"/>
  <c r="X492" i="32"/>
  <c r="W492" i="32"/>
  <c r="B492" i="32"/>
  <c r="J492" i="32" s="1"/>
  <c r="Y491" i="32"/>
  <c r="X491" i="32"/>
  <c r="W491" i="32"/>
  <c r="B491" i="32"/>
  <c r="E491" i="32" s="1"/>
  <c r="U491" i="32" s="1"/>
  <c r="Y490" i="32"/>
  <c r="X490" i="32"/>
  <c r="W490" i="32"/>
  <c r="B490" i="32"/>
  <c r="Y489" i="32"/>
  <c r="X489" i="32"/>
  <c r="W489" i="32"/>
  <c r="B489" i="32"/>
  <c r="D489" i="32" s="1"/>
  <c r="T489" i="32" s="1"/>
  <c r="Y488" i="32"/>
  <c r="X488" i="32"/>
  <c r="W488" i="32"/>
  <c r="B488" i="32"/>
  <c r="Y487" i="32"/>
  <c r="X487" i="32"/>
  <c r="W487" i="32"/>
  <c r="B487" i="32"/>
  <c r="D487" i="32" s="1"/>
  <c r="T487" i="32" s="1"/>
  <c r="Y486" i="32"/>
  <c r="X486" i="32"/>
  <c r="W486" i="32"/>
  <c r="B486" i="32"/>
  <c r="Y485" i="32"/>
  <c r="X485" i="32"/>
  <c r="W485" i="32"/>
  <c r="B485" i="32"/>
  <c r="Y484" i="32"/>
  <c r="X484" i="32"/>
  <c r="W484" i="32"/>
  <c r="B484" i="32"/>
  <c r="F484" i="32" s="1"/>
  <c r="V484" i="32" s="1"/>
  <c r="Y483" i="32"/>
  <c r="X483" i="32"/>
  <c r="W483" i="32"/>
  <c r="B483" i="32"/>
  <c r="Y482" i="32"/>
  <c r="X482" i="32"/>
  <c r="W482" i="32"/>
  <c r="B482" i="32"/>
  <c r="Y481" i="32"/>
  <c r="X481" i="32"/>
  <c r="W481" i="32"/>
  <c r="B481" i="32"/>
  <c r="D481" i="32" s="1"/>
  <c r="T481" i="32" s="1"/>
  <c r="Y480" i="32"/>
  <c r="X480" i="32"/>
  <c r="W480" i="32"/>
  <c r="B480" i="32"/>
  <c r="C480" i="32" s="1"/>
  <c r="S480" i="32" s="1"/>
  <c r="Y479" i="32"/>
  <c r="X479" i="32"/>
  <c r="W479" i="32"/>
  <c r="B479" i="32"/>
  <c r="C479" i="32" s="1"/>
  <c r="S479" i="32" s="1"/>
  <c r="Y478" i="32"/>
  <c r="X478" i="32"/>
  <c r="W478" i="32"/>
  <c r="B478" i="32"/>
  <c r="Y477" i="32"/>
  <c r="X477" i="32"/>
  <c r="W477" i="32"/>
  <c r="B477" i="32"/>
  <c r="Y476" i="32"/>
  <c r="X476" i="32"/>
  <c r="W476" i="32"/>
  <c r="B476" i="32"/>
  <c r="J476" i="32" s="1"/>
  <c r="Y475" i="32"/>
  <c r="X475" i="32"/>
  <c r="W475" i="32"/>
  <c r="B475" i="32"/>
  <c r="E475" i="32" s="1"/>
  <c r="U475" i="32" s="1"/>
  <c r="Y474" i="32"/>
  <c r="X474" i="32"/>
  <c r="W474" i="32"/>
  <c r="B474" i="32"/>
  <c r="D474" i="32" s="1"/>
  <c r="T474" i="32" s="1"/>
  <c r="Y473" i="32"/>
  <c r="X473" i="32"/>
  <c r="W473" i="32"/>
  <c r="B473" i="32"/>
  <c r="D473" i="32" s="1"/>
  <c r="T473" i="32" s="1"/>
  <c r="Y472" i="32"/>
  <c r="X472" i="32"/>
  <c r="W472" i="32"/>
  <c r="B472" i="32"/>
  <c r="Y471" i="32"/>
  <c r="X471" i="32"/>
  <c r="W471" i="32"/>
  <c r="B471" i="32"/>
  <c r="D471" i="32" s="1"/>
  <c r="T471" i="32" s="1"/>
  <c r="Y470" i="32"/>
  <c r="X470" i="32"/>
  <c r="W470" i="32"/>
  <c r="B470" i="32"/>
  <c r="J470" i="32" s="1"/>
  <c r="Y469" i="32"/>
  <c r="X469" i="32"/>
  <c r="W469" i="32"/>
  <c r="B469" i="32"/>
  <c r="Y468" i="32"/>
  <c r="X468" i="32"/>
  <c r="W468" i="32"/>
  <c r="B468" i="32"/>
  <c r="F468" i="32" s="1"/>
  <c r="V468" i="32" s="1"/>
  <c r="Y467" i="32"/>
  <c r="X467" i="32"/>
  <c r="W467" i="32"/>
  <c r="B467" i="32"/>
  <c r="E467" i="32" s="1"/>
  <c r="U467" i="32" s="1"/>
  <c r="Y466" i="32"/>
  <c r="X466" i="32"/>
  <c r="W466" i="32"/>
  <c r="B466" i="32"/>
  <c r="Y465" i="32"/>
  <c r="X465" i="32"/>
  <c r="W465" i="32"/>
  <c r="B465" i="32"/>
  <c r="D465" i="32" s="1"/>
  <c r="T465" i="32" s="1"/>
  <c r="Y464" i="32"/>
  <c r="X464" i="32"/>
  <c r="W464" i="32"/>
  <c r="B464" i="32"/>
  <c r="Y463" i="32"/>
  <c r="X463" i="32"/>
  <c r="W463" i="32"/>
  <c r="B463" i="32"/>
  <c r="C463" i="32" s="1"/>
  <c r="S463" i="32" s="1"/>
  <c r="Y462" i="32"/>
  <c r="X462" i="32"/>
  <c r="W462" i="32"/>
  <c r="B462" i="32"/>
  <c r="A462" i="32" s="1"/>
  <c r="Y461" i="32"/>
  <c r="X461" i="32"/>
  <c r="W461" i="32"/>
  <c r="B461" i="32"/>
  <c r="E461" i="32" s="1"/>
  <c r="U461" i="32" s="1"/>
  <c r="Y460" i="32"/>
  <c r="X460" i="32"/>
  <c r="W460" i="32"/>
  <c r="B460" i="32"/>
  <c r="A460" i="32" s="1"/>
  <c r="Y459" i="32"/>
  <c r="X459" i="32"/>
  <c r="W459" i="32"/>
  <c r="B459" i="32"/>
  <c r="J459" i="32" s="1"/>
  <c r="Y458" i="32"/>
  <c r="X458" i="32"/>
  <c r="W458" i="32"/>
  <c r="B458" i="32"/>
  <c r="Y457" i="32"/>
  <c r="X457" i="32"/>
  <c r="W457" i="32"/>
  <c r="B457" i="32"/>
  <c r="E457" i="32" s="1"/>
  <c r="U457" i="32" s="1"/>
  <c r="Y456" i="32"/>
  <c r="X456" i="32"/>
  <c r="W456" i="32"/>
  <c r="B456" i="32"/>
  <c r="A456" i="32" s="1"/>
  <c r="Y455" i="32"/>
  <c r="X455" i="32"/>
  <c r="W455" i="32"/>
  <c r="B455" i="32"/>
  <c r="Y454" i="32"/>
  <c r="X454" i="32"/>
  <c r="W454" i="32"/>
  <c r="B454" i="32"/>
  <c r="F454" i="32" s="1"/>
  <c r="V454" i="32" s="1"/>
  <c r="Y453" i="32"/>
  <c r="X453" i="32"/>
  <c r="W453" i="32"/>
  <c r="B453" i="32"/>
  <c r="C453" i="32" s="1"/>
  <c r="S453" i="32" s="1"/>
  <c r="Y452" i="32"/>
  <c r="X452" i="32"/>
  <c r="W452" i="32"/>
  <c r="B452" i="32"/>
  <c r="J452" i="32" s="1"/>
  <c r="Y451" i="32"/>
  <c r="X451" i="32"/>
  <c r="W451" i="32"/>
  <c r="B451" i="32"/>
  <c r="J451" i="32" s="1"/>
  <c r="Y450" i="32"/>
  <c r="X450" i="32"/>
  <c r="W450" i="32"/>
  <c r="B450" i="32"/>
  <c r="A450" i="32" s="1"/>
  <c r="Y449" i="32"/>
  <c r="X449" i="32"/>
  <c r="W449" i="32"/>
  <c r="B449" i="32"/>
  <c r="J449" i="32" s="1"/>
  <c r="Y448" i="32"/>
  <c r="X448" i="32"/>
  <c r="W448" i="32"/>
  <c r="B448" i="32"/>
  <c r="E448" i="32" s="1"/>
  <c r="U448" i="32" s="1"/>
  <c r="Y447" i="32"/>
  <c r="X447" i="32"/>
  <c r="W447" i="32"/>
  <c r="B447" i="32"/>
  <c r="A447" i="32" s="1"/>
  <c r="Y446" i="32"/>
  <c r="X446" i="32"/>
  <c r="W446" i="32"/>
  <c r="B446" i="32"/>
  <c r="E446" i="32" s="1"/>
  <c r="U446" i="32" s="1"/>
  <c r="Y445" i="32"/>
  <c r="X445" i="32"/>
  <c r="W445" i="32"/>
  <c r="B445" i="32"/>
  <c r="J445" i="32" s="1"/>
  <c r="Y444" i="32"/>
  <c r="X444" i="32"/>
  <c r="W444" i="32"/>
  <c r="B444" i="32"/>
  <c r="E444" i="32" s="1"/>
  <c r="U444" i="32" s="1"/>
  <c r="Y443" i="32"/>
  <c r="X443" i="32"/>
  <c r="W443" i="32"/>
  <c r="B443" i="32"/>
  <c r="Y442" i="32"/>
  <c r="X442" i="32"/>
  <c r="W442" i="32"/>
  <c r="B442" i="32"/>
  <c r="D442" i="32" s="1"/>
  <c r="T442" i="32" s="1"/>
  <c r="A442" i="32"/>
  <c r="Y441" i="32"/>
  <c r="X441" i="32"/>
  <c r="W441" i="32"/>
  <c r="B441" i="32"/>
  <c r="C441" i="32" s="1"/>
  <c r="S441" i="32" s="1"/>
  <c r="A441" i="32"/>
  <c r="Y440" i="32"/>
  <c r="X440" i="32"/>
  <c r="W440" i="32"/>
  <c r="B440" i="32"/>
  <c r="E440" i="32" s="1"/>
  <c r="U440" i="32" s="1"/>
  <c r="Y439" i="32"/>
  <c r="X439" i="32"/>
  <c r="W439" i="32"/>
  <c r="B439" i="32"/>
  <c r="D439" i="32" s="1"/>
  <c r="T439" i="32" s="1"/>
  <c r="Y438" i="32"/>
  <c r="X438" i="32"/>
  <c r="W438" i="32"/>
  <c r="B438" i="32"/>
  <c r="Y437" i="32"/>
  <c r="X437" i="32"/>
  <c r="W437" i="32"/>
  <c r="B437" i="32"/>
  <c r="E437" i="32" s="1"/>
  <c r="U437" i="32" s="1"/>
  <c r="A437" i="32"/>
  <c r="Y436" i="32"/>
  <c r="X436" i="32"/>
  <c r="W436" i="32"/>
  <c r="B436" i="32"/>
  <c r="Y435" i="32"/>
  <c r="X435" i="32"/>
  <c r="W435" i="32"/>
  <c r="B435" i="32"/>
  <c r="D435" i="32" s="1"/>
  <c r="T435" i="32" s="1"/>
  <c r="Y434" i="32"/>
  <c r="X434" i="32"/>
  <c r="W434" i="32"/>
  <c r="B434" i="32"/>
  <c r="F434" i="32" s="1"/>
  <c r="V434" i="32" s="1"/>
  <c r="Y433" i="32"/>
  <c r="X433" i="32"/>
  <c r="W433" i="32"/>
  <c r="B433" i="32"/>
  <c r="F433" i="32" s="1"/>
  <c r="V433" i="32" s="1"/>
  <c r="Y432" i="32"/>
  <c r="X432" i="32"/>
  <c r="W432" i="32"/>
  <c r="B432" i="32"/>
  <c r="E432" i="32" s="1"/>
  <c r="U432" i="32" s="1"/>
  <c r="Y431" i="32"/>
  <c r="X431" i="32"/>
  <c r="W431" i="32"/>
  <c r="B431" i="32"/>
  <c r="C431" i="32" s="1"/>
  <c r="S431" i="32" s="1"/>
  <c r="Y430" i="32"/>
  <c r="X430" i="32"/>
  <c r="W430" i="32"/>
  <c r="B430" i="32"/>
  <c r="J430" i="32" s="1"/>
  <c r="Y429" i="32"/>
  <c r="X429" i="32"/>
  <c r="W429" i="32"/>
  <c r="B429" i="32"/>
  <c r="J429" i="32" s="1"/>
  <c r="Y428" i="32"/>
  <c r="X428" i="32"/>
  <c r="W428" i="32"/>
  <c r="B428" i="32"/>
  <c r="A428" i="32" s="1"/>
  <c r="Y427" i="32"/>
  <c r="X427" i="32"/>
  <c r="W427" i="32"/>
  <c r="B427" i="32"/>
  <c r="D427" i="32" s="1"/>
  <c r="T427" i="32" s="1"/>
  <c r="Y426" i="32"/>
  <c r="X426" i="32"/>
  <c r="W426" i="32"/>
  <c r="B426" i="32"/>
  <c r="Y425" i="32"/>
  <c r="X425" i="32"/>
  <c r="W425" i="32"/>
  <c r="B425" i="32"/>
  <c r="D425" i="32" s="1"/>
  <c r="T425" i="32" s="1"/>
  <c r="Y424" i="32"/>
  <c r="X424" i="32"/>
  <c r="W424" i="32"/>
  <c r="B424" i="32"/>
  <c r="Y423" i="32"/>
  <c r="X423" i="32"/>
  <c r="W423" i="32"/>
  <c r="B423" i="32"/>
  <c r="J423" i="32" s="1"/>
  <c r="Y422" i="32"/>
  <c r="X422" i="32"/>
  <c r="W422" i="32"/>
  <c r="B422" i="32"/>
  <c r="Y421" i="32"/>
  <c r="X421" i="32"/>
  <c r="W421" i="32"/>
  <c r="B421" i="32"/>
  <c r="J421" i="32" s="1"/>
  <c r="Y420" i="32"/>
  <c r="X420" i="32"/>
  <c r="W420" i="32"/>
  <c r="B420" i="32"/>
  <c r="A420" i="32" s="1"/>
  <c r="Y419" i="32"/>
  <c r="X419" i="32"/>
  <c r="W419" i="32"/>
  <c r="B419" i="32"/>
  <c r="Y418" i="32"/>
  <c r="X418" i="32"/>
  <c r="W418" i="32"/>
  <c r="B418" i="32"/>
  <c r="C418" i="32" s="1"/>
  <c r="S418" i="32" s="1"/>
  <c r="Y417" i="32"/>
  <c r="X417" i="32"/>
  <c r="W417" i="32"/>
  <c r="B417" i="32"/>
  <c r="A417" i="32" s="1"/>
  <c r="Y416" i="32"/>
  <c r="X416" i="32"/>
  <c r="W416" i="32"/>
  <c r="B416" i="32"/>
  <c r="Y415" i="32"/>
  <c r="X415" i="32"/>
  <c r="W415" i="32"/>
  <c r="B415" i="32"/>
  <c r="Y414" i="32"/>
  <c r="X414" i="32"/>
  <c r="W414" i="32"/>
  <c r="B414" i="32"/>
  <c r="J414" i="32" s="1"/>
  <c r="Y413" i="32"/>
  <c r="X413" i="32"/>
  <c r="W413" i="32"/>
  <c r="B413" i="32"/>
  <c r="A413" i="32" s="1"/>
  <c r="Y412" i="32"/>
  <c r="X412" i="32"/>
  <c r="W412" i="32"/>
  <c r="B412" i="32"/>
  <c r="E412" i="32" s="1"/>
  <c r="U412" i="32" s="1"/>
  <c r="Y411" i="32"/>
  <c r="X411" i="32"/>
  <c r="W411" i="32"/>
  <c r="B411" i="32"/>
  <c r="D411" i="32" s="1"/>
  <c r="T411" i="32" s="1"/>
  <c r="Y410" i="32"/>
  <c r="X410" i="32"/>
  <c r="W410" i="32"/>
  <c r="B410" i="32"/>
  <c r="E410" i="32" s="1"/>
  <c r="U410" i="32" s="1"/>
  <c r="Y409" i="32"/>
  <c r="X409" i="32"/>
  <c r="W409" i="32"/>
  <c r="B409" i="32"/>
  <c r="F409" i="32" s="1"/>
  <c r="V409" i="32" s="1"/>
  <c r="Y408" i="32"/>
  <c r="X408" i="32"/>
  <c r="W408" i="32"/>
  <c r="B408" i="32"/>
  <c r="Y407" i="32"/>
  <c r="X407" i="32"/>
  <c r="W407" i="32"/>
  <c r="B407" i="32"/>
  <c r="Y406" i="32"/>
  <c r="X406" i="32"/>
  <c r="W406" i="32"/>
  <c r="B406" i="32"/>
  <c r="D406" i="32" s="1"/>
  <c r="T406" i="32" s="1"/>
  <c r="Y405" i="32"/>
  <c r="X405" i="32"/>
  <c r="W405" i="32"/>
  <c r="B405" i="32"/>
  <c r="J405" i="32" s="1"/>
  <c r="Y404" i="32"/>
  <c r="X404" i="32"/>
  <c r="W404" i="32"/>
  <c r="B404" i="32"/>
  <c r="A404" i="32" s="1"/>
  <c r="Y403" i="32"/>
  <c r="X403" i="32"/>
  <c r="W403" i="32"/>
  <c r="B403" i="32"/>
  <c r="Y402" i="32"/>
  <c r="X402" i="32"/>
  <c r="W402" i="32"/>
  <c r="B402" i="32"/>
  <c r="D402" i="32" s="1"/>
  <c r="T402" i="32" s="1"/>
  <c r="Y401" i="32"/>
  <c r="X401" i="32"/>
  <c r="W401" i="32"/>
  <c r="B401" i="32"/>
  <c r="A401" i="32" s="1"/>
  <c r="Y400" i="32"/>
  <c r="X400" i="32"/>
  <c r="W400" i="32"/>
  <c r="B400" i="32"/>
  <c r="Y399" i="32"/>
  <c r="X399" i="32"/>
  <c r="W399" i="32"/>
  <c r="B399" i="32"/>
  <c r="E399" i="32" s="1"/>
  <c r="U399" i="32" s="1"/>
  <c r="Y398" i="32"/>
  <c r="X398" i="32"/>
  <c r="W398" i="32"/>
  <c r="B398" i="32"/>
  <c r="Y397" i="32"/>
  <c r="X397" i="32"/>
  <c r="W397" i="32"/>
  <c r="B397" i="32"/>
  <c r="Y396" i="32"/>
  <c r="X396" i="32"/>
  <c r="W396" i="32"/>
  <c r="B396" i="32"/>
  <c r="Y395" i="32"/>
  <c r="X395" i="32"/>
  <c r="W395" i="32"/>
  <c r="B395" i="32"/>
  <c r="C395" i="32" s="1"/>
  <c r="S395" i="32" s="1"/>
  <c r="Y394" i="32"/>
  <c r="X394" i="32"/>
  <c r="W394" i="32"/>
  <c r="B394" i="32"/>
  <c r="F394" i="32" s="1"/>
  <c r="V394" i="32" s="1"/>
  <c r="Y393" i="32"/>
  <c r="X393" i="32"/>
  <c r="W393" i="32"/>
  <c r="B393" i="32"/>
  <c r="Y392" i="32"/>
  <c r="X392" i="32"/>
  <c r="W392" i="32"/>
  <c r="B392" i="32"/>
  <c r="A392" i="32" s="1"/>
  <c r="Y391" i="32"/>
  <c r="X391" i="32"/>
  <c r="W391" i="32"/>
  <c r="B391" i="32"/>
  <c r="J391" i="32" s="1"/>
  <c r="Y390" i="32"/>
  <c r="X390" i="32"/>
  <c r="W390" i="32"/>
  <c r="B390" i="32"/>
  <c r="J390" i="32" s="1"/>
  <c r="Y389" i="32"/>
  <c r="X389" i="32"/>
  <c r="W389" i="32"/>
  <c r="B389" i="32"/>
  <c r="Y388" i="32"/>
  <c r="X388" i="32"/>
  <c r="W388" i="32"/>
  <c r="B388" i="32"/>
  <c r="Y387" i="32"/>
  <c r="X387" i="32"/>
  <c r="W387" i="32"/>
  <c r="B387" i="32"/>
  <c r="J387" i="32" s="1"/>
  <c r="Y386" i="32"/>
  <c r="X386" i="32"/>
  <c r="W386" i="32"/>
  <c r="B386" i="32"/>
  <c r="A386" i="32"/>
  <c r="Y385" i="32"/>
  <c r="X385" i="32"/>
  <c r="W385" i="32"/>
  <c r="B385" i="32"/>
  <c r="A385" i="32" s="1"/>
  <c r="Y384" i="32"/>
  <c r="X384" i="32"/>
  <c r="W384" i="32"/>
  <c r="B384" i="32"/>
  <c r="D384" i="32" s="1"/>
  <c r="T384" i="32" s="1"/>
  <c r="Y383" i="32"/>
  <c r="X383" i="32"/>
  <c r="W383" i="32"/>
  <c r="B383" i="32"/>
  <c r="C383" i="32" s="1"/>
  <c r="S383" i="32" s="1"/>
  <c r="Y382" i="32"/>
  <c r="X382" i="32"/>
  <c r="W382" i="32"/>
  <c r="B382" i="32"/>
  <c r="D382" i="32" s="1"/>
  <c r="T382" i="32" s="1"/>
  <c r="Y381" i="32"/>
  <c r="X381" i="32"/>
  <c r="W381" i="32"/>
  <c r="B381" i="32"/>
  <c r="Y380" i="32"/>
  <c r="X380" i="32"/>
  <c r="W380" i="32"/>
  <c r="B380" i="32"/>
  <c r="Y379" i="32"/>
  <c r="X379" i="32"/>
  <c r="W379" i="32"/>
  <c r="B379" i="32"/>
  <c r="Y378" i="32"/>
  <c r="X378" i="32"/>
  <c r="W378" i="32"/>
  <c r="B378" i="32"/>
  <c r="F378" i="32" s="1"/>
  <c r="V378" i="32" s="1"/>
  <c r="Y377" i="32"/>
  <c r="X377" i="32"/>
  <c r="W377" i="32"/>
  <c r="B377" i="32"/>
  <c r="F377" i="32" s="1"/>
  <c r="V377" i="32" s="1"/>
  <c r="Y376" i="32"/>
  <c r="X376" i="32"/>
  <c r="W376" i="32"/>
  <c r="B376" i="32"/>
  <c r="D376" i="32" s="1"/>
  <c r="T376" i="32" s="1"/>
  <c r="Y375" i="32"/>
  <c r="X375" i="32"/>
  <c r="W375" i="32"/>
  <c r="B375" i="32"/>
  <c r="J375" i="32" s="1"/>
  <c r="Y374" i="32"/>
  <c r="X374" i="32"/>
  <c r="W374" i="32"/>
  <c r="B374" i="32"/>
  <c r="J374" i="32" s="1"/>
  <c r="Y373" i="32"/>
  <c r="X373" i="32"/>
  <c r="W373" i="32"/>
  <c r="B373" i="32"/>
  <c r="M373" i="32" s="1"/>
  <c r="Y372" i="32"/>
  <c r="X372" i="32"/>
  <c r="W372" i="32"/>
  <c r="B372" i="32"/>
  <c r="C372" i="32" s="1"/>
  <c r="S372" i="32" s="1"/>
  <c r="Y371" i="32"/>
  <c r="X371" i="32"/>
  <c r="W371" i="32"/>
  <c r="B371" i="32"/>
  <c r="M371" i="32" s="1"/>
  <c r="Y370" i="32"/>
  <c r="X370" i="32"/>
  <c r="W370" i="32"/>
  <c r="B370" i="32"/>
  <c r="C370" i="32" s="1"/>
  <c r="S370" i="32" s="1"/>
  <c r="Y369" i="32"/>
  <c r="X369" i="32"/>
  <c r="W369" i="32"/>
  <c r="B369" i="32"/>
  <c r="C369" i="32" s="1"/>
  <c r="S369" i="32" s="1"/>
  <c r="Y368" i="32"/>
  <c r="X368" i="32"/>
  <c r="W368" i="32"/>
  <c r="B368" i="32"/>
  <c r="K368" i="32" s="1"/>
  <c r="Y367" i="32"/>
  <c r="X367" i="32"/>
  <c r="W367" i="32"/>
  <c r="B367" i="32"/>
  <c r="Y366" i="32"/>
  <c r="X366" i="32"/>
  <c r="W366" i="32"/>
  <c r="B366" i="32"/>
  <c r="Y365" i="32"/>
  <c r="X365" i="32"/>
  <c r="W365" i="32"/>
  <c r="B365" i="32"/>
  <c r="J365" i="32" s="1"/>
  <c r="Y364" i="32"/>
  <c r="X364" i="32"/>
  <c r="W364" i="32"/>
  <c r="B364" i="32"/>
  <c r="Y363" i="32"/>
  <c r="X363" i="32"/>
  <c r="W363" i="32"/>
  <c r="B363" i="32"/>
  <c r="C363" i="32" s="1"/>
  <c r="S363" i="32" s="1"/>
  <c r="Y362" i="32"/>
  <c r="X362" i="32"/>
  <c r="W362" i="32"/>
  <c r="B362" i="32"/>
  <c r="C362" i="32" s="1"/>
  <c r="S362" i="32" s="1"/>
  <c r="Y361" i="32"/>
  <c r="X361" i="32"/>
  <c r="W361" i="32"/>
  <c r="B361" i="32"/>
  <c r="D361" i="32" s="1"/>
  <c r="T361" i="32" s="1"/>
  <c r="Y360" i="32"/>
  <c r="X360" i="32"/>
  <c r="W360" i="32"/>
  <c r="B360" i="32"/>
  <c r="Y359" i="32"/>
  <c r="X359" i="32"/>
  <c r="W359" i="32"/>
  <c r="B359" i="32"/>
  <c r="E359" i="32" s="1"/>
  <c r="U359" i="32" s="1"/>
  <c r="Y358" i="32"/>
  <c r="X358" i="32"/>
  <c r="W358" i="32"/>
  <c r="B358" i="32"/>
  <c r="Y357" i="32"/>
  <c r="X357" i="32"/>
  <c r="W357" i="32"/>
  <c r="B357" i="32"/>
  <c r="Y356" i="32"/>
  <c r="X356" i="32"/>
  <c r="W356" i="32"/>
  <c r="B356" i="32"/>
  <c r="Y355" i="32"/>
  <c r="X355" i="32"/>
  <c r="W355" i="32"/>
  <c r="B355" i="32"/>
  <c r="Y354" i="32"/>
  <c r="X354" i="32"/>
  <c r="W354" i="32"/>
  <c r="B354" i="32"/>
  <c r="Y353" i="32"/>
  <c r="X353" i="32"/>
  <c r="W353" i="32"/>
  <c r="B353" i="32"/>
  <c r="E353" i="32" s="1"/>
  <c r="U353" i="32" s="1"/>
  <c r="Y352" i="32"/>
  <c r="X352" i="32"/>
  <c r="W352" i="32"/>
  <c r="B352" i="32"/>
  <c r="F352" i="32" s="1"/>
  <c r="V352" i="32" s="1"/>
  <c r="Y351" i="32"/>
  <c r="X351" i="32"/>
  <c r="W351" i="32"/>
  <c r="B351" i="32"/>
  <c r="Y350" i="32"/>
  <c r="X350" i="32"/>
  <c r="W350" i="32"/>
  <c r="B350" i="32"/>
  <c r="Y349" i="32"/>
  <c r="X349" i="32"/>
  <c r="W349" i="32"/>
  <c r="B349" i="32"/>
  <c r="I349" i="32" s="1"/>
  <c r="Y348" i="32"/>
  <c r="X348" i="32"/>
  <c r="W348" i="32"/>
  <c r="B348" i="32"/>
  <c r="F348" i="32" s="1"/>
  <c r="V348" i="32" s="1"/>
  <c r="Y347" i="32"/>
  <c r="X347" i="32"/>
  <c r="W347" i="32"/>
  <c r="B347" i="32"/>
  <c r="M347" i="32" s="1"/>
  <c r="Y346" i="32"/>
  <c r="X346" i="32"/>
  <c r="W346" i="32"/>
  <c r="B346" i="32"/>
  <c r="Y345" i="32"/>
  <c r="X345" i="32"/>
  <c r="W345" i="32"/>
  <c r="B345" i="32"/>
  <c r="C345" i="32" s="1"/>
  <c r="S345" i="32" s="1"/>
  <c r="Y344" i="32"/>
  <c r="X344" i="32"/>
  <c r="W344" i="32"/>
  <c r="B344" i="32"/>
  <c r="F344" i="32" s="1"/>
  <c r="V344" i="32" s="1"/>
  <c r="Y343" i="32"/>
  <c r="X343" i="32"/>
  <c r="W343" i="32"/>
  <c r="B343" i="32"/>
  <c r="J343" i="32" s="1"/>
  <c r="Y342" i="32"/>
  <c r="X342" i="32"/>
  <c r="W342" i="32"/>
  <c r="B342" i="32"/>
  <c r="E342" i="32" s="1"/>
  <c r="U342" i="32" s="1"/>
  <c r="Y341" i="32"/>
  <c r="X341" i="32"/>
  <c r="W341" i="32"/>
  <c r="B341" i="32"/>
  <c r="Y340" i="32"/>
  <c r="X340" i="32"/>
  <c r="W340" i="32"/>
  <c r="B340" i="32"/>
  <c r="Y339" i="32"/>
  <c r="X339" i="32"/>
  <c r="W339" i="32"/>
  <c r="B339" i="32"/>
  <c r="J339" i="32" s="1"/>
  <c r="Y338" i="32"/>
  <c r="X338" i="32"/>
  <c r="W338" i="32"/>
  <c r="B338" i="32"/>
  <c r="J338" i="32" s="1"/>
  <c r="Y337" i="32"/>
  <c r="X337" i="32"/>
  <c r="W337" i="32"/>
  <c r="B337" i="32"/>
  <c r="A337" i="32" s="1"/>
  <c r="Y336" i="32"/>
  <c r="X336" i="32"/>
  <c r="W336" i="32"/>
  <c r="B336" i="32"/>
  <c r="L336" i="32" s="1"/>
  <c r="Y335" i="32"/>
  <c r="X335" i="32"/>
  <c r="W335" i="32"/>
  <c r="B335" i="32"/>
  <c r="K335" i="32" s="1"/>
  <c r="Y334" i="32"/>
  <c r="X334" i="32"/>
  <c r="W334" i="32"/>
  <c r="B334" i="32"/>
  <c r="L334" i="32" s="1"/>
  <c r="Y333" i="32"/>
  <c r="X333" i="32"/>
  <c r="W333" i="32"/>
  <c r="B333" i="32"/>
  <c r="C333" i="32" s="1"/>
  <c r="S333" i="32" s="1"/>
  <c r="Y332" i="32"/>
  <c r="X332" i="32"/>
  <c r="W332" i="32"/>
  <c r="B332" i="32"/>
  <c r="F332" i="32" s="1"/>
  <c r="V332" i="32" s="1"/>
  <c r="Y331" i="32"/>
  <c r="X331" i="32"/>
  <c r="W331" i="32"/>
  <c r="B331" i="32"/>
  <c r="Y330" i="32"/>
  <c r="X330" i="32"/>
  <c r="W330" i="32"/>
  <c r="B330" i="32"/>
  <c r="Y329" i="32"/>
  <c r="X329" i="32"/>
  <c r="W329" i="32"/>
  <c r="B329" i="32"/>
  <c r="Y328" i="32"/>
  <c r="X328" i="32"/>
  <c r="W328" i="32"/>
  <c r="B328" i="32"/>
  <c r="Y327" i="32"/>
  <c r="X327" i="32"/>
  <c r="W327" i="32"/>
  <c r="B327" i="32"/>
  <c r="I327" i="32" s="1"/>
  <c r="Y326" i="32"/>
  <c r="X326" i="32"/>
  <c r="W326" i="32"/>
  <c r="B326" i="32"/>
  <c r="J326" i="32" s="1"/>
  <c r="Y325" i="32"/>
  <c r="X325" i="32"/>
  <c r="W325" i="32"/>
  <c r="B325" i="32"/>
  <c r="K325" i="32" s="1"/>
  <c r="Y324" i="32"/>
  <c r="X324" i="32"/>
  <c r="W324" i="32"/>
  <c r="B324" i="32"/>
  <c r="J324" i="32" s="1"/>
  <c r="Y323" i="32"/>
  <c r="X323" i="32"/>
  <c r="W323" i="32"/>
  <c r="B323" i="32"/>
  <c r="A323" i="32" s="1"/>
  <c r="Y322" i="32"/>
  <c r="X322" i="32"/>
  <c r="W322" i="32"/>
  <c r="B322" i="32"/>
  <c r="F322" i="32" s="1"/>
  <c r="V322" i="32" s="1"/>
  <c r="Y321" i="32"/>
  <c r="X321" i="32"/>
  <c r="W321" i="32"/>
  <c r="B321" i="32"/>
  <c r="Y320" i="32"/>
  <c r="X320" i="32"/>
  <c r="W320" i="32"/>
  <c r="B320" i="32"/>
  <c r="H320" i="32" s="1"/>
  <c r="Y319" i="32"/>
  <c r="X319" i="32"/>
  <c r="W319" i="32"/>
  <c r="B319" i="32"/>
  <c r="E319" i="32" s="1"/>
  <c r="U319" i="32" s="1"/>
  <c r="Y318" i="32"/>
  <c r="X318" i="32"/>
  <c r="W318" i="32"/>
  <c r="B318" i="32"/>
  <c r="I318" i="32" s="1"/>
  <c r="Y317" i="32"/>
  <c r="X317" i="32"/>
  <c r="W317" i="32"/>
  <c r="B317" i="32"/>
  <c r="Y316" i="32"/>
  <c r="X316" i="32"/>
  <c r="W316" i="32"/>
  <c r="B316" i="32"/>
  <c r="A316" i="32" s="1"/>
  <c r="Y315" i="32"/>
  <c r="X315" i="32"/>
  <c r="W315" i="32"/>
  <c r="B315" i="32"/>
  <c r="Y314" i="32"/>
  <c r="X314" i="32"/>
  <c r="W314" i="32"/>
  <c r="B314" i="32"/>
  <c r="Y313" i="32"/>
  <c r="X313" i="32"/>
  <c r="W313" i="32"/>
  <c r="B313" i="32"/>
  <c r="E313" i="32" s="1"/>
  <c r="U313" i="32" s="1"/>
  <c r="Y312" i="32"/>
  <c r="X312" i="32"/>
  <c r="W312" i="32"/>
  <c r="B312" i="32"/>
  <c r="M312" i="32" s="1"/>
  <c r="Y311" i="32"/>
  <c r="X311" i="32"/>
  <c r="W311" i="32"/>
  <c r="B311" i="32"/>
  <c r="Y310" i="32"/>
  <c r="X310" i="32"/>
  <c r="W310" i="32"/>
  <c r="B310" i="32"/>
  <c r="Y309" i="32"/>
  <c r="X309" i="32"/>
  <c r="W309" i="32"/>
  <c r="B309" i="32"/>
  <c r="I309" i="32" s="1"/>
  <c r="Y308" i="32"/>
  <c r="X308" i="32"/>
  <c r="W308" i="32"/>
  <c r="B308" i="32"/>
  <c r="A308" i="32" s="1"/>
  <c r="Y307" i="32"/>
  <c r="X307" i="32"/>
  <c r="W307" i="32"/>
  <c r="B307" i="32"/>
  <c r="Y306" i="32"/>
  <c r="X306" i="32"/>
  <c r="W306" i="32"/>
  <c r="B306" i="32"/>
  <c r="M306" i="32" s="1"/>
  <c r="Y305" i="32"/>
  <c r="X305" i="32"/>
  <c r="W305" i="32"/>
  <c r="B305" i="32"/>
  <c r="E305" i="32" s="1"/>
  <c r="U305" i="32" s="1"/>
  <c r="Y304" i="32"/>
  <c r="X304" i="32"/>
  <c r="W304" i="32"/>
  <c r="B304" i="32"/>
  <c r="G304" i="32" s="1"/>
  <c r="Y303" i="32"/>
  <c r="X303" i="32"/>
  <c r="W303" i="32"/>
  <c r="B303" i="32"/>
  <c r="C303" i="32" s="1"/>
  <c r="S303" i="32" s="1"/>
  <c r="Y302" i="32"/>
  <c r="X302" i="32"/>
  <c r="W302" i="32"/>
  <c r="B302" i="32"/>
  <c r="Y301" i="32"/>
  <c r="X301" i="32"/>
  <c r="W301" i="32"/>
  <c r="B301" i="32"/>
  <c r="A301" i="32" s="1"/>
  <c r="Y300" i="32"/>
  <c r="X300" i="32"/>
  <c r="W300" i="32"/>
  <c r="B300" i="32"/>
  <c r="G300" i="32" s="1"/>
  <c r="Y299" i="32"/>
  <c r="X299" i="32"/>
  <c r="W299" i="32"/>
  <c r="B299" i="32"/>
  <c r="A299" i="32" s="1"/>
  <c r="Y298" i="32"/>
  <c r="X298" i="32"/>
  <c r="W298" i="32"/>
  <c r="B298" i="32"/>
  <c r="G298" i="32" s="1"/>
  <c r="Y297" i="32"/>
  <c r="X297" i="32"/>
  <c r="W297" i="32"/>
  <c r="B297" i="32"/>
  <c r="K297" i="32" s="1"/>
  <c r="Y296" i="32"/>
  <c r="X296" i="32"/>
  <c r="W296" i="32"/>
  <c r="B296" i="32"/>
  <c r="E296" i="32" s="1"/>
  <c r="U296" i="32" s="1"/>
  <c r="Y295" i="32"/>
  <c r="X295" i="32"/>
  <c r="W295" i="32"/>
  <c r="B295" i="32"/>
  <c r="D295" i="32" s="1"/>
  <c r="T295" i="32" s="1"/>
  <c r="Y294" i="32"/>
  <c r="X294" i="32"/>
  <c r="W294" i="32"/>
  <c r="B294" i="32"/>
  <c r="L294" i="32" s="1"/>
  <c r="A294" i="32"/>
  <c r="Y293" i="32"/>
  <c r="X293" i="32"/>
  <c r="W293" i="32"/>
  <c r="B293" i="32"/>
  <c r="L293" i="32" s="1"/>
  <c r="Y292" i="32"/>
  <c r="X292" i="32"/>
  <c r="B292" i="32"/>
  <c r="Y291" i="32"/>
  <c r="X291" i="32"/>
  <c r="B291" i="32"/>
  <c r="Y290" i="32"/>
  <c r="X290" i="32"/>
  <c r="B290" i="32"/>
  <c r="E290" i="32" s="1"/>
  <c r="U290" i="32" s="1"/>
  <c r="Y289" i="32"/>
  <c r="X289" i="32"/>
  <c r="B289" i="32"/>
  <c r="A289" i="32" s="1"/>
  <c r="B288" i="32"/>
  <c r="B287" i="32"/>
  <c r="P287" i="32" s="1"/>
  <c r="B286" i="32"/>
  <c r="B285" i="32"/>
  <c r="P285" i="32" s="1"/>
  <c r="B284" i="32"/>
  <c r="B283" i="32"/>
  <c r="P283" i="32" s="1"/>
  <c r="B282" i="32"/>
  <c r="B281" i="32"/>
  <c r="B280" i="32"/>
  <c r="B279" i="32"/>
  <c r="B278" i="32"/>
  <c r="B277" i="32"/>
  <c r="P277" i="32" s="1"/>
  <c r="B276" i="32"/>
  <c r="B275" i="32"/>
  <c r="B274" i="32"/>
  <c r="P274" i="32" s="1"/>
  <c r="B273" i="32"/>
  <c r="B272" i="32"/>
  <c r="P272" i="32" s="1"/>
  <c r="B271" i="32"/>
  <c r="B270" i="32"/>
  <c r="B269" i="32"/>
  <c r="P269" i="32" s="1"/>
  <c r="B268" i="32"/>
  <c r="B267" i="32"/>
  <c r="P267" i="32" s="1"/>
  <c r="B266" i="32"/>
  <c r="B265" i="32"/>
  <c r="B264" i="32"/>
  <c r="A264" i="32"/>
  <c r="B263" i="32"/>
  <c r="B262" i="32"/>
  <c r="B261" i="32"/>
  <c r="B260" i="32"/>
  <c r="B259" i="32"/>
  <c r="B258" i="32"/>
  <c r="B257" i="32"/>
  <c r="B256" i="32"/>
  <c r="A256" i="32"/>
  <c r="B255" i="32"/>
  <c r="B254" i="32"/>
  <c r="B253" i="32"/>
  <c r="P253" i="32" s="1"/>
  <c r="B252" i="32"/>
  <c r="P252" i="32" s="1"/>
  <c r="B251" i="32"/>
  <c r="B250" i="32"/>
  <c r="B249" i="32"/>
  <c r="B248" i="32"/>
  <c r="A248" i="32" s="1"/>
  <c r="B247" i="32"/>
  <c r="B246" i="32"/>
  <c r="B245" i="32"/>
  <c r="B244" i="32"/>
  <c r="P244" i="32" s="1"/>
  <c r="B243" i="32"/>
  <c r="A243" i="32" s="1"/>
  <c r="B242" i="32"/>
  <c r="B241" i="32"/>
  <c r="B240" i="32"/>
  <c r="B239" i="32"/>
  <c r="B238" i="32"/>
  <c r="P238" i="32" s="1"/>
  <c r="A238" i="32"/>
  <c r="B237" i="32"/>
  <c r="Q237" i="32" s="1"/>
  <c r="Y237" i="32" s="1"/>
  <c r="A237" i="32"/>
  <c r="B236" i="32"/>
  <c r="B235" i="32"/>
  <c r="B234" i="32"/>
  <c r="B233" i="32"/>
  <c r="B232" i="32"/>
  <c r="P232" i="32" s="1"/>
  <c r="B231" i="32"/>
  <c r="B230" i="32"/>
  <c r="B229" i="32"/>
  <c r="A229" i="32"/>
  <c r="B228" i="32"/>
  <c r="P228" i="32" s="1"/>
  <c r="B227" i="32"/>
  <c r="B226" i="32"/>
  <c r="B225" i="32"/>
  <c r="B224" i="32"/>
  <c r="B223" i="32"/>
  <c r="B222" i="32"/>
  <c r="B221" i="32"/>
  <c r="B220" i="32"/>
  <c r="B219" i="32"/>
  <c r="B218" i="32"/>
  <c r="B217" i="32"/>
  <c r="P217" i="32" s="1"/>
  <c r="B216" i="32"/>
  <c r="B215" i="32"/>
  <c r="P215" i="32" s="1"/>
  <c r="B214" i="32"/>
  <c r="B213" i="32"/>
  <c r="B212" i="32"/>
  <c r="P212" i="32" s="1"/>
  <c r="B211" i="32"/>
  <c r="B210" i="32"/>
  <c r="B209" i="32"/>
  <c r="B208" i="32"/>
  <c r="P208" i="32" s="1"/>
  <c r="B207" i="32"/>
  <c r="B206" i="32"/>
  <c r="A206" i="32"/>
  <c r="B205" i="32"/>
  <c r="B204" i="32"/>
  <c r="P204" i="32" s="1"/>
  <c r="B203" i="32"/>
  <c r="B202" i="32"/>
  <c r="B201" i="32"/>
  <c r="B200" i="32"/>
  <c r="P200" i="32" s="1"/>
  <c r="B199" i="32"/>
  <c r="B198" i="32"/>
  <c r="B197" i="32"/>
  <c r="B196" i="32"/>
  <c r="P196" i="32" s="1"/>
  <c r="B195" i="32"/>
  <c r="P195" i="32" s="1"/>
  <c r="B194" i="32"/>
  <c r="B193" i="32"/>
  <c r="B192" i="32"/>
  <c r="B191" i="32"/>
  <c r="P191" i="32" s="1"/>
  <c r="B190" i="32"/>
  <c r="B189" i="32"/>
  <c r="B188" i="32"/>
  <c r="B187" i="32"/>
  <c r="B186" i="32"/>
  <c r="B185" i="32"/>
  <c r="B184" i="32"/>
  <c r="P184" i="32" s="1"/>
  <c r="B183" i="32"/>
  <c r="P183" i="32" s="1"/>
  <c r="B182" i="32"/>
  <c r="T38" i="32"/>
  <c r="E535" i="32" l="1"/>
  <c r="J535" i="32"/>
  <c r="D495" i="32"/>
  <c r="T495" i="32" s="1"/>
  <c r="J495" i="32"/>
  <c r="C443" i="32"/>
  <c r="S443" i="32" s="1"/>
  <c r="E443" i="32"/>
  <c r="U443" i="32" s="1"/>
  <c r="E398" i="32"/>
  <c r="U398" i="32" s="1"/>
  <c r="A398" i="32"/>
  <c r="J389" i="32"/>
  <c r="F389" i="32"/>
  <c r="V389" i="32" s="1"/>
  <c r="F379" i="32"/>
  <c r="V379" i="32" s="1"/>
  <c r="A379" i="32"/>
  <c r="J198" i="32"/>
  <c r="P198" i="32"/>
  <c r="X198" i="32" s="1"/>
  <c r="Q231" i="32"/>
  <c r="Y231" i="32" s="1"/>
  <c r="P231" i="32"/>
  <c r="X231" i="32" s="1"/>
  <c r="F279" i="32"/>
  <c r="V279" i="32" s="1"/>
  <c r="P279" i="32"/>
  <c r="X279" i="32" s="1"/>
  <c r="I206" i="32"/>
  <c r="P206" i="32"/>
  <c r="X206" i="32" s="1"/>
  <c r="L229" i="32"/>
  <c r="P229" i="32"/>
  <c r="X229" i="32" s="1"/>
  <c r="H251" i="32"/>
  <c r="P251" i="32"/>
  <c r="X251" i="32" s="1"/>
  <c r="C280" i="32"/>
  <c r="S280" i="32" s="1"/>
  <c r="P280" i="32"/>
  <c r="X280" i="32" s="1"/>
  <c r="I193" i="32"/>
  <c r="P193" i="32"/>
  <c r="X193" i="32" s="1"/>
  <c r="J223" i="32"/>
  <c r="P223" i="32"/>
  <c r="X223" i="32" s="1"/>
  <c r="J245" i="32"/>
  <c r="P245" i="32"/>
  <c r="X245" i="32" s="1"/>
  <c r="M281" i="32"/>
  <c r="P281" i="32"/>
  <c r="X281" i="32" s="1"/>
  <c r="K229" i="32"/>
  <c r="A246" i="32"/>
  <c r="P246" i="32"/>
  <c r="X246" i="32" s="1"/>
  <c r="E266" i="32"/>
  <c r="U266" i="32" s="1"/>
  <c r="P266" i="32"/>
  <c r="X266" i="32" s="1"/>
  <c r="Q189" i="32"/>
  <c r="Y189" i="32" s="1"/>
  <c r="P189" i="32"/>
  <c r="X189" i="32" s="1"/>
  <c r="E182" i="32"/>
  <c r="U182" i="32" s="1"/>
  <c r="P182" i="32"/>
  <c r="X182" i="32" s="1"/>
  <c r="J190" i="32"/>
  <c r="P190" i="32"/>
  <c r="X190" i="32" s="1"/>
  <c r="J197" i="32"/>
  <c r="P197" i="32"/>
  <c r="X197" i="32" s="1"/>
  <c r="K205" i="32"/>
  <c r="P205" i="32"/>
  <c r="X205" i="32" s="1"/>
  <c r="J220" i="32"/>
  <c r="P220" i="32"/>
  <c r="X220" i="32" s="1"/>
  <c r="M230" i="32"/>
  <c r="P230" i="32"/>
  <c r="X230" i="32" s="1"/>
  <c r="C237" i="32"/>
  <c r="S237" i="32" s="1"/>
  <c r="P237" i="32"/>
  <c r="X237" i="32" s="1"/>
  <c r="J249" i="32"/>
  <c r="P249" i="32"/>
  <c r="X249" i="32" s="1"/>
  <c r="K256" i="32"/>
  <c r="P256" i="32"/>
  <c r="X256" i="32" s="1"/>
  <c r="M270" i="32"/>
  <c r="P270" i="32"/>
  <c r="X270" i="32" s="1"/>
  <c r="P278" i="32"/>
  <c r="X278" i="32" s="1"/>
  <c r="G286" i="32"/>
  <c r="P286" i="32"/>
  <c r="X286" i="32" s="1"/>
  <c r="A250" i="32"/>
  <c r="P250" i="32"/>
  <c r="X250" i="32" s="1"/>
  <c r="K199" i="32"/>
  <c r="P199" i="32"/>
  <c r="X199" i="32" s="1"/>
  <c r="A221" i="32"/>
  <c r="P221" i="32"/>
  <c r="X221" i="32" s="1"/>
  <c r="J192" i="32"/>
  <c r="P192" i="32"/>
  <c r="X192" i="32" s="1"/>
  <c r="K213" i="32"/>
  <c r="P213" i="32"/>
  <c r="X213" i="32" s="1"/>
  <c r="I257" i="32"/>
  <c r="P257" i="32"/>
  <c r="X257" i="32" s="1"/>
  <c r="I222" i="32"/>
  <c r="P222" i="32"/>
  <c r="X222" i="32" s="1"/>
  <c r="Q264" i="32"/>
  <c r="Y264" i="32" s="1"/>
  <c r="P264" i="32"/>
  <c r="X264" i="32" s="1"/>
  <c r="D185" i="32"/>
  <c r="T185" i="32" s="1"/>
  <c r="P185" i="32"/>
  <c r="X185" i="32" s="1"/>
  <c r="M207" i="32"/>
  <c r="P207" i="32"/>
  <c r="X207" i="32" s="1"/>
  <c r="A265" i="32"/>
  <c r="P265" i="32"/>
  <c r="X265" i="32" s="1"/>
  <c r="E186" i="32"/>
  <c r="U186" i="32" s="1"/>
  <c r="P186" i="32"/>
  <c r="X186" i="32" s="1"/>
  <c r="J216" i="32"/>
  <c r="P216" i="32"/>
  <c r="X216" i="32" s="1"/>
  <c r="Q234" i="32"/>
  <c r="Y234" i="32" s="1"/>
  <c r="P234" i="32"/>
  <c r="X234" i="32" s="1"/>
  <c r="P260" i="32"/>
  <c r="X260" i="32" s="1"/>
  <c r="F187" i="32"/>
  <c r="V187" i="32" s="1"/>
  <c r="P187" i="32"/>
  <c r="X187" i="32" s="1"/>
  <c r="H202" i="32"/>
  <c r="P202" i="32"/>
  <c r="X202" i="32" s="1"/>
  <c r="M209" i="32"/>
  <c r="P209" i="32"/>
  <c r="X209" i="32" s="1"/>
  <c r="K225" i="32"/>
  <c r="P225" i="32"/>
  <c r="X225" i="32" s="1"/>
  <c r="O229" i="32"/>
  <c r="W229" i="32" s="1"/>
  <c r="K235" i="32"/>
  <c r="P235" i="32"/>
  <c r="X235" i="32" s="1"/>
  <c r="F240" i="32"/>
  <c r="V240" i="32" s="1"/>
  <c r="P240" i="32"/>
  <c r="X240" i="32" s="1"/>
  <c r="J247" i="32"/>
  <c r="P247" i="32"/>
  <c r="X247" i="32" s="1"/>
  <c r="P254" i="32"/>
  <c r="X254" i="32" s="1"/>
  <c r="M261" i="32"/>
  <c r="P261" i="32"/>
  <c r="X261" i="32" s="1"/>
  <c r="O275" i="32"/>
  <c r="W275" i="32" s="1"/>
  <c r="P275" i="32"/>
  <c r="X275" i="32" s="1"/>
  <c r="Q243" i="32"/>
  <c r="Y243" i="32" s="1"/>
  <c r="P243" i="32"/>
  <c r="X243" i="32" s="1"/>
  <c r="L271" i="32"/>
  <c r="P271" i="32"/>
  <c r="X271" i="32" s="1"/>
  <c r="I258" i="32"/>
  <c r="P258" i="32"/>
  <c r="X258" i="32" s="1"/>
  <c r="C288" i="32"/>
  <c r="S288" i="32" s="1"/>
  <c r="P288" i="32"/>
  <c r="X288" i="32" s="1"/>
  <c r="A233" i="32"/>
  <c r="P233" i="32"/>
  <c r="X233" i="32" s="1"/>
  <c r="O259" i="32"/>
  <c r="W259" i="32" s="1"/>
  <c r="P259" i="32"/>
  <c r="X259" i="32" s="1"/>
  <c r="F273" i="32"/>
  <c r="V273" i="32" s="1"/>
  <c r="P273" i="32"/>
  <c r="X273" i="32" s="1"/>
  <c r="F201" i="32"/>
  <c r="V201" i="32" s="1"/>
  <c r="P201" i="32"/>
  <c r="X201" i="32" s="1"/>
  <c r="A239" i="32"/>
  <c r="P239" i="32"/>
  <c r="X239" i="32" s="1"/>
  <c r="Q188" i="32"/>
  <c r="Y188" i="32" s="1"/>
  <c r="P188" i="32"/>
  <c r="X188" i="32" s="1"/>
  <c r="J203" i="32"/>
  <c r="P203" i="32"/>
  <c r="X203" i="32" s="1"/>
  <c r="Q210" i="32"/>
  <c r="Y210" i="32" s="1"/>
  <c r="P210" i="32"/>
  <c r="X210" i="32" s="1"/>
  <c r="J218" i="32"/>
  <c r="P218" i="32"/>
  <c r="X218" i="32" s="1"/>
  <c r="Q226" i="32"/>
  <c r="Y226" i="32" s="1"/>
  <c r="P226" i="32"/>
  <c r="X226" i="32" s="1"/>
  <c r="O236" i="32"/>
  <c r="W236" i="32" s="1"/>
  <c r="P236" i="32"/>
  <c r="X236" i="32" s="1"/>
  <c r="Q241" i="32"/>
  <c r="Y241" i="32" s="1"/>
  <c r="P241" i="32"/>
  <c r="X241" i="32" s="1"/>
  <c r="G255" i="32"/>
  <c r="P255" i="32"/>
  <c r="X255" i="32" s="1"/>
  <c r="C262" i="32"/>
  <c r="S262" i="32" s="1"/>
  <c r="P262" i="32"/>
  <c r="X262" i="32" s="1"/>
  <c r="G268" i="32"/>
  <c r="P268" i="32"/>
  <c r="X268" i="32" s="1"/>
  <c r="E276" i="32"/>
  <c r="U276" i="32" s="1"/>
  <c r="P276" i="32"/>
  <c r="X276" i="32" s="1"/>
  <c r="G284" i="32"/>
  <c r="P284" i="32"/>
  <c r="X284" i="32" s="1"/>
  <c r="A290" i="32"/>
  <c r="F298" i="32"/>
  <c r="V298" i="32" s="1"/>
  <c r="A412" i="32"/>
  <c r="J214" i="32"/>
  <c r="P214" i="32"/>
  <c r="X214" i="32" s="1"/>
  <c r="F229" i="32"/>
  <c r="V229" i="32" s="1"/>
  <c r="J194" i="32"/>
  <c r="P194" i="32"/>
  <c r="X194" i="32" s="1"/>
  <c r="A224" i="32"/>
  <c r="P224" i="32"/>
  <c r="X224" i="32" s="1"/>
  <c r="J282" i="32"/>
  <c r="P282" i="32"/>
  <c r="X282" i="32" s="1"/>
  <c r="G211" i="32"/>
  <c r="P211" i="32"/>
  <c r="X211" i="32" s="1"/>
  <c r="Q219" i="32"/>
  <c r="Y219" i="32" s="1"/>
  <c r="P219" i="32"/>
  <c r="X219" i="32" s="1"/>
  <c r="J227" i="32"/>
  <c r="P227" i="32"/>
  <c r="X227" i="32" s="1"/>
  <c r="A230" i="32"/>
  <c r="Q242" i="32"/>
  <c r="Y242" i="32" s="1"/>
  <c r="P242" i="32"/>
  <c r="X242" i="32" s="1"/>
  <c r="I248" i="32"/>
  <c r="P248" i="32"/>
  <c r="X248" i="32" s="1"/>
  <c r="D263" i="32"/>
  <c r="T263" i="32" s="1"/>
  <c r="P263" i="32"/>
  <c r="X263" i="32" s="1"/>
  <c r="L298" i="32"/>
  <c r="A324" i="32"/>
  <c r="F410" i="32"/>
  <c r="V410" i="32" s="1"/>
  <c r="I308" i="32"/>
  <c r="C475" i="32"/>
  <c r="S475" i="32" s="1"/>
  <c r="E223" i="32"/>
  <c r="U223" i="32" s="1"/>
  <c r="I322" i="32"/>
  <c r="F335" i="32"/>
  <c r="V335" i="32" s="1"/>
  <c r="F575" i="32"/>
  <c r="J186" i="32"/>
  <c r="M218" i="32"/>
  <c r="J335" i="32"/>
  <c r="E439" i="32"/>
  <c r="U439" i="32" s="1"/>
  <c r="A201" i="32"/>
  <c r="O206" i="32"/>
  <c r="W206" i="32" s="1"/>
  <c r="A241" i="32"/>
  <c r="C290" i="32"/>
  <c r="S290" i="32" s="1"/>
  <c r="D332" i="32"/>
  <c r="T332" i="32" s="1"/>
  <c r="H339" i="32"/>
  <c r="A368" i="32"/>
  <c r="D398" i="32"/>
  <c r="T398" i="32" s="1"/>
  <c r="E434" i="32"/>
  <c r="U434" i="32" s="1"/>
  <c r="J439" i="32"/>
  <c r="J475" i="32"/>
  <c r="J514" i="32"/>
  <c r="M258" i="32"/>
  <c r="M361" i="32"/>
  <c r="D551" i="32"/>
  <c r="I227" i="32"/>
  <c r="D519" i="32"/>
  <c r="T519" i="32" s="1"/>
  <c r="D575" i="32"/>
  <c r="L227" i="32"/>
  <c r="G278" i="32"/>
  <c r="K223" i="32"/>
  <c r="E243" i="32"/>
  <c r="U243" i="32" s="1"/>
  <c r="C301" i="32"/>
  <c r="S301" i="32" s="1"/>
  <c r="F475" i="32"/>
  <c r="V475" i="32" s="1"/>
  <c r="E237" i="32"/>
  <c r="U237" i="32" s="1"/>
  <c r="I339" i="32"/>
  <c r="A370" i="32"/>
  <c r="A421" i="32"/>
  <c r="I190" i="32"/>
  <c r="E278" i="32"/>
  <c r="U278" i="32" s="1"/>
  <c r="F218" i="32"/>
  <c r="V218" i="32" s="1"/>
  <c r="C243" i="32"/>
  <c r="S243" i="32" s="1"/>
  <c r="F278" i="32"/>
  <c r="V278" i="32" s="1"/>
  <c r="F476" i="32"/>
  <c r="V476" i="32" s="1"/>
  <c r="G218" i="32"/>
  <c r="D243" i="32"/>
  <c r="T243" i="32" s="1"/>
  <c r="F437" i="32"/>
  <c r="V437" i="32" s="1"/>
  <c r="D475" i="32"/>
  <c r="T475" i="32" s="1"/>
  <c r="F519" i="32"/>
  <c r="V519" i="32" s="1"/>
  <c r="Q227" i="32"/>
  <c r="Y227" i="32" s="1"/>
  <c r="F342" i="32"/>
  <c r="V342" i="32" s="1"/>
  <c r="J519" i="32"/>
  <c r="J575" i="32"/>
  <c r="F237" i="32"/>
  <c r="V237" i="32" s="1"/>
  <c r="O263" i="32"/>
  <c r="W263" i="32" s="1"/>
  <c r="K339" i="32"/>
  <c r="A402" i="32"/>
  <c r="A425" i="32"/>
  <c r="F535" i="32"/>
  <c r="E511" i="32"/>
  <c r="U511" i="32" s="1"/>
  <c r="J512" i="32"/>
  <c r="H353" i="32"/>
  <c r="Q203" i="32"/>
  <c r="Y203" i="32" s="1"/>
  <c r="E203" i="32"/>
  <c r="U203" i="32" s="1"/>
  <c r="C276" i="32"/>
  <c r="S276" i="32" s="1"/>
  <c r="I353" i="32"/>
  <c r="L368" i="32"/>
  <c r="E421" i="32"/>
  <c r="U421" i="32" s="1"/>
  <c r="L241" i="32"/>
  <c r="J305" i="32"/>
  <c r="J353" i="32"/>
  <c r="F467" i="32"/>
  <c r="V467" i="32" s="1"/>
  <c r="F511" i="32"/>
  <c r="V511" i="32" s="1"/>
  <c r="L188" i="32"/>
  <c r="Q192" i="32"/>
  <c r="Y192" i="32" s="1"/>
  <c r="A198" i="32"/>
  <c r="G203" i="32"/>
  <c r="F205" i="32"/>
  <c r="V205" i="32" s="1"/>
  <c r="I213" i="32"/>
  <c r="M216" i="32"/>
  <c r="A219" i="32"/>
  <c r="I225" i="32"/>
  <c r="J248" i="32"/>
  <c r="G251" i="32"/>
  <c r="Q255" i="32"/>
  <c r="Y255" i="32" s="1"/>
  <c r="J257" i="32"/>
  <c r="J279" i="32"/>
  <c r="O281" i="32"/>
  <c r="W281" i="32" s="1"/>
  <c r="H316" i="32"/>
  <c r="M324" i="32"/>
  <c r="E347" i="32"/>
  <c r="U347" i="32" s="1"/>
  <c r="D359" i="32"/>
  <c r="T359" i="32" s="1"/>
  <c r="L363" i="32"/>
  <c r="F406" i="32"/>
  <c r="V406" i="32" s="1"/>
  <c r="D413" i="32"/>
  <c r="T413" i="32" s="1"/>
  <c r="E418" i="32"/>
  <c r="U418" i="32" s="1"/>
  <c r="C471" i="32"/>
  <c r="S471" i="32" s="1"/>
  <c r="J511" i="32"/>
  <c r="J533" i="32"/>
  <c r="E545" i="32"/>
  <c r="E551" i="32"/>
  <c r="J591" i="32"/>
  <c r="D203" i="32"/>
  <c r="T203" i="32" s="1"/>
  <c r="D216" i="32"/>
  <c r="T216" i="32" s="1"/>
  <c r="H281" i="32"/>
  <c r="E363" i="32"/>
  <c r="U363" i="32" s="1"/>
  <c r="F257" i="32"/>
  <c r="V257" i="32" s="1"/>
  <c r="O270" i="32"/>
  <c r="W270" i="32" s="1"/>
  <c r="L284" i="32"/>
  <c r="F363" i="32"/>
  <c r="V363" i="32" s="1"/>
  <c r="K188" i="32"/>
  <c r="F203" i="32"/>
  <c r="V203" i="32" s="1"/>
  <c r="H216" i="32"/>
  <c r="G225" i="32"/>
  <c r="K327" i="32"/>
  <c r="F402" i="32"/>
  <c r="V402" i="32" s="1"/>
  <c r="A193" i="32"/>
  <c r="C202" i="32"/>
  <c r="S202" i="32" s="1"/>
  <c r="H203" i="32"/>
  <c r="O209" i="32"/>
  <c r="W209" i="32" s="1"/>
  <c r="M213" i="32"/>
  <c r="Q216" i="32"/>
  <c r="Y216" i="32" s="1"/>
  <c r="O230" i="32"/>
  <c r="W230" i="32" s="1"/>
  <c r="L248" i="32"/>
  <c r="J251" i="32"/>
  <c r="L257" i="32"/>
  <c r="A280" i="32"/>
  <c r="F313" i="32"/>
  <c r="V313" i="32" s="1"/>
  <c r="F320" i="32"/>
  <c r="V320" i="32" s="1"/>
  <c r="E323" i="32"/>
  <c r="U323" i="32" s="1"/>
  <c r="L326" i="32"/>
  <c r="F347" i="32"/>
  <c r="V347" i="32" s="1"/>
  <c r="K359" i="32"/>
  <c r="A361" i="32"/>
  <c r="E378" i="32"/>
  <c r="U378" i="32" s="1"/>
  <c r="J406" i="32"/>
  <c r="F413" i="32"/>
  <c r="V413" i="32" s="1"/>
  <c r="C427" i="32"/>
  <c r="S427" i="32" s="1"/>
  <c r="D434" i="32"/>
  <c r="T434" i="32" s="1"/>
  <c r="D437" i="32"/>
  <c r="T437" i="32" s="1"/>
  <c r="A440" i="32"/>
  <c r="E450" i="32"/>
  <c r="U450" i="32" s="1"/>
  <c r="E473" i="32"/>
  <c r="U473" i="32" s="1"/>
  <c r="E502" i="32"/>
  <c r="U502" i="32" s="1"/>
  <c r="F551" i="32"/>
  <c r="G220" i="32"/>
  <c r="D257" i="32"/>
  <c r="T257" i="32" s="1"/>
  <c r="F512" i="32"/>
  <c r="V512" i="32" s="1"/>
  <c r="F216" i="32"/>
  <c r="V216" i="32" s="1"/>
  <c r="G241" i="32"/>
  <c r="I281" i="32"/>
  <c r="I305" i="32"/>
  <c r="J327" i="32"/>
  <c r="L281" i="32"/>
  <c r="A190" i="32"/>
  <c r="I203" i="32"/>
  <c r="K251" i="32"/>
  <c r="O257" i="32"/>
  <c r="W257" i="32" s="1"/>
  <c r="G263" i="32"/>
  <c r="C278" i="32"/>
  <c r="S278" i="32" s="1"/>
  <c r="A288" i="32"/>
  <c r="I313" i="32"/>
  <c r="M320" i="32"/>
  <c r="F323" i="32"/>
  <c r="V323" i="32" s="1"/>
  <c r="I347" i="32"/>
  <c r="A349" i="32"/>
  <c r="E427" i="32"/>
  <c r="U427" i="32" s="1"/>
  <c r="F450" i="32"/>
  <c r="V450" i="32" s="1"/>
  <c r="F473" i="32"/>
  <c r="V473" i="32" s="1"/>
  <c r="C489" i="32"/>
  <c r="S489" i="32" s="1"/>
  <c r="C247" i="32"/>
  <c r="S247" i="32" s="1"/>
  <c r="K284" i="32"/>
  <c r="F305" i="32"/>
  <c r="V305" i="32" s="1"/>
  <c r="C213" i="32"/>
  <c r="S213" i="32" s="1"/>
  <c r="D251" i="32"/>
  <c r="T251" i="32" s="1"/>
  <c r="H257" i="32"/>
  <c r="G279" i="32"/>
  <c r="K363" i="32"/>
  <c r="L199" i="32"/>
  <c r="A203" i="32"/>
  <c r="L203" i="32"/>
  <c r="A211" i="32"/>
  <c r="Q223" i="32"/>
  <c r="Y223" i="32" s="1"/>
  <c r="H227" i="32"/>
  <c r="I229" i="32"/>
  <c r="O249" i="32"/>
  <c r="W249" i="32" s="1"/>
  <c r="L263" i="32"/>
  <c r="A281" i="32"/>
  <c r="A284" i="32"/>
  <c r="M313" i="32"/>
  <c r="H322" i="32"/>
  <c r="A353" i="32"/>
  <c r="D389" i="32"/>
  <c r="T389" i="32" s="1"/>
  <c r="J427" i="32"/>
  <c r="A429" i="32"/>
  <c r="J434" i="32"/>
  <c r="C439" i="32"/>
  <c r="S439" i="32" s="1"/>
  <c r="J473" i="32"/>
  <c r="D535" i="32"/>
  <c r="J567" i="32"/>
  <c r="D415" i="32"/>
  <c r="T415" i="32" s="1"/>
  <c r="J415" i="32"/>
  <c r="J200" i="32"/>
  <c r="O200" i="32"/>
  <c r="W200" i="32" s="1"/>
  <c r="M200" i="32"/>
  <c r="F200" i="32"/>
  <c r="V200" i="32" s="1"/>
  <c r="H200" i="32"/>
  <c r="G200" i="32"/>
  <c r="F581" i="32"/>
  <c r="C371" i="32"/>
  <c r="S371" i="32" s="1"/>
  <c r="O185" i="32"/>
  <c r="W185" i="32" s="1"/>
  <c r="D375" i="32"/>
  <c r="T375" i="32" s="1"/>
  <c r="Q185" i="32"/>
  <c r="Y185" i="32" s="1"/>
  <c r="X200" i="32"/>
  <c r="Q204" i="32"/>
  <c r="Y204" i="32" s="1"/>
  <c r="H204" i="32"/>
  <c r="O204" i="32"/>
  <c r="W204" i="32" s="1"/>
  <c r="J204" i="32"/>
  <c r="I204" i="32"/>
  <c r="A204" i="32"/>
  <c r="C211" i="32"/>
  <c r="S211" i="32" s="1"/>
  <c r="H224" i="32"/>
  <c r="Q224" i="32"/>
  <c r="Y224" i="32" s="1"/>
  <c r="K224" i="32"/>
  <c r="J224" i="32"/>
  <c r="I224" i="32"/>
  <c r="J244" i="32"/>
  <c r="Q244" i="32"/>
  <c r="Y244" i="32" s="1"/>
  <c r="X244" i="32"/>
  <c r="H244" i="32"/>
  <c r="F244" i="32"/>
  <c r="V244" i="32" s="1"/>
  <c r="G244" i="32"/>
  <c r="K280" i="32"/>
  <c r="M302" i="32"/>
  <c r="I302" i="32"/>
  <c r="J302" i="32"/>
  <c r="F540" i="32"/>
  <c r="Q200" i="32"/>
  <c r="Y200" i="32" s="1"/>
  <c r="E204" i="32"/>
  <c r="U204" i="32" s="1"/>
  <c r="C224" i="32"/>
  <c r="S224" i="32" s="1"/>
  <c r="J252" i="32"/>
  <c r="M252" i="32"/>
  <c r="L252" i="32"/>
  <c r="H252" i="32"/>
  <c r="G252" i="32"/>
  <c r="F252" i="32"/>
  <c r="V252" i="32" s="1"/>
  <c r="E252" i="32"/>
  <c r="U252" i="32" s="1"/>
  <c r="C264" i="32"/>
  <c r="S264" i="32" s="1"/>
  <c r="E302" i="32"/>
  <c r="U302" i="32" s="1"/>
  <c r="D360" i="32"/>
  <c r="T360" i="32" s="1"/>
  <c r="L360" i="32"/>
  <c r="F360" i="32"/>
  <c r="V360" i="32" s="1"/>
  <c r="E360" i="32"/>
  <c r="U360" i="32" s="1"/>
  <c r="L371" i="32"/>
  <c r="E391" i="32"/>
  <c r="U391" i="32" s="1"/>
  <c r="G204" i="32"/>
  <c r="J219" i="32"/>
  <c r="G219" i="32"/>
  <c r="F219" i="32"/>
  <c r="V219" i="32" s="1"/>
  <c r="E219" i="32"/>
  <c r="U219" i="32" s="1"/>
  <c r="C219" i="32"/>
  <c r="S219" i="32" s="1"/>
  <c r="D219" i="32"/>
  <c r="T219" i="32" s="1"/>
  <c r="I239" i="32"/>
  <c r="M264" i="32"/>
  <c r="G302" i="32"/>
  <c r="K352" i="32"/>
  <c r="Q187" i="32"/>
  <c r="Y187" i="32" s="1"/>
  <c r="J187" i="32"/>
  <c r="K187" i="32"/>
  <c r="O187" i="32"/>
  <c r="W187" i="32" s="1"/>
  <c r="D193" i="32"/>
  <c r="T193" i="32" s="1"/>
  <c r="M201" i="32"/>
  <c r="Q201" i="32"/>
  <c r="Y201" i="32" s="1"/>
  <c r="O201" i="32"/>
  <c r="W201" i="32" s="1"/>
  <c r="L201" i="32"/>
  <c r="I201" i="32"/>
  <c r="G201" i="32"/>
  <c r="H201" i="32"/>
  <c r="I219" i="32"/>
  <c r="M239" i="32"/>
  <c r="D252" i="32"/>
  <c r="T252" i="32" s="1"/>
  <c r="L352" i="32"/>
  <c r="E420" i="32"/>
  <c r="U420" i="32" s="1"/>
  <c r="F530" i="32"/>
  <c r="C187" i="32"/>
  <c r="S187" i="32" s="1"/>
  <c r="D201" i="32"/>
  <c r="T201" i="32" s="1"/>
  <c r="E205" i="32"/>
  <c r="U205" i="32" s="1"/>
  <c r="L219" i="32"/>
  <c r="O252" i="32"/>
  <c r="W252" i="32" s="1"/>
  <c r="L276" i="32"/>
  <c r="O276" i="32"/>
  <c r="W276" i="32" s="1"/>
  <c r="K276" i="32"/>
  <c r="I276" i="32"/>
  <c r="H276" i="32"/>
  <c r="O290" i="32"/>
  <c r="W290" i="32" s="1"/>
  <c r="M290" i="32"/>
  <c r="K290" i="32"/>
  <c r="I290" i="32"/>
  <c r="H290" i="32"/>
  <c r="G290" i="32"/>
  <c r="L332" i="32"/>
  <c r="J332" i="32"/>
  <c r="J530" i="32"/>
  <c r="O191" i="32"/>
  <c r="W191" i="32" s="1"/>
  <c r="L191" i="32"/>
  <c r="K217" i="32"/>
  <c r="C217" i="32"/>
  <c r="S217" i="32" s="1"/>
  <c r="D422" i="32"/>
  <c r="T422" i="32" s="1"/>
  <c r="J422" i="32"/>
  <c r="F422" i="32"/>
  <c r="V422" i="32" s="1"/>
  <c r="E422" i="32"/>
  <c r="U422" i="32" s="1"/>
  <c r="C422" i="32"/>
  <c r="S422" i="32" s="1"/>
  <c r="J371" i="32"/>
  <c r="A371" i="32"/>
  <c r="C382" i="32"/>
  <c r="S382" i="32" s="1"/>
  <c r="E415" i="32"/>
  <c r="U415" i="32" s="1"/>
  <c r="C442" i="32"/>
  <c r="S442" i="32" s="1"/>
  <c r="E481" i="32"/>
  <c r="U481" i="32" s="1"/>
  <c r="J481" i="32"/>
  <c r="D200" i="32"/>
  <c r="T200" i="32" s="1"/>
  <c r="C375" i="32"/>
  <c r="S375" i="32" s="1"/>
  <c r="L375" i="32"/>
  <c r="K375" i="32"/>
  <c r="D517" i="32"/>
  <c r="T517" i="32" s="1"/>
  <c r="J517" i="32"/>
  <c r="F517" i="32"/>
  <c r="V517" i="32" s="1"/>
  <c r="E517" i="32"/>
  <c r="U517" i="32" s="1"/>
  <c r="C517" i="32"/>
  <c r="S517" i="32" s="1"/>
  <c r="E200" i="32"/>
  <c r="U200" i="32" s="1"/>
  <c r="E371" i="32"/>
  <c r="U371" i="32" s="1"/>
  <c r="F481" i="32"/>
  <c r="V481" i="32" s="1"/>
  <c r="C521" i="32"/>
  <c r="S521" i="32" s="1"/>
  <c r="D540" i="32"/>
  <c r="M238" i="32"/>
  <c r="Q238" i="32"/>
  <c r="Y238" i="32" s="1"/>
  <c r="O238" i="32"/>
  <c r="W238" i="32" s="1"/>
  <c r="L238" i="32"/>
  <c r="D238" i="32"/>
  <c r="T238" i="32" s="1"/>
  <c r="I238" i="32"/>
  <c r="J264" i="32"/>
  <c r="K264" i="32"/>
  <c r="I264" i="32"/>
  <c r="H264" i="32"/>
  <c r="G264" i="32"/>
  <c r="D264" i="32"/>
  <c r="T264" i="32" s="1"/>
  <c r="E264" i="32"/>
  <c r="U264" i="32" s="1"/>
  <c r="L289" i="32"/>
  <c r="I289" i="32"/>
  <c r="F289" i="32"/>
  <c r="V289" i="32" s="1"/>
  <c r="H289" i="32"/>
  <c r="K371" i="32"/>
  <c r="E375" i="32"/>
  <c r="U375" i="32" s="1"/>
  <c r="F570" i="32"/>
  <c r="J570" i="32"/>
  <c r="C252" i="32"/>
  <c r="S252" i="32" s="1"/>
  <c r="M219" i="32"/>
  <c r="L233" i="32"/>
  <c r="K233" i="32"/>
  <c r="J233" i="32"/>
  <c r="I233" i="32"/>
  <c r="X252" i="32"/>
  <c r="M376" i="32"/>
  <c r="L376" i="32"/>
  <c r="J376" i="32"/>
  <c r="F376" i="32"/>
  <c r="V376" i="32" s="1"/>
  <c r="E376" i="32"/>
  <c r="U376" i="32" s="1"/>
  <c r="A376" i="32"/>
  <c r="D191" i="32"/>
  <c r="T191" i="32" s="1"/>
  <c r="A382" i="32"/>
  <c r="F382" i="32"/>
  <c r="V382" i="32" s="1"/>
  <c r="C415" i="32"/>
  <c r="S415" i="32" s="1"/>
  <c r="F191" i="32"/>
  <c r="V191" i="32" s="1"/>
  <c r="M193" i="32"/>
  <c r="Q193" i="32"/>
  <c r="Y193" i="32" s="1"/>
  <c r="L193" i="32"/>
  <c r="O193" i="32"/>
  <c r="W193" i="32" s="1"/>
  <c r="K202" i="32"/>
  <c r="L202" i="32"/>
  <c r="O219" i="32"/>
  <c r="W219" i="32" s="1"/>
  <c r="D233" i="32"/>
  <c r="T233" i="32" s="1"/>
  <c r="O247" i="32"/>
  <c r="W247" i="32" s="1"/>
  <c r="Q252" i="32"/>
  <c r="Y252" i="32" s="1"/>
  <c r="A260" i="32"/>
  <c r="D276" i="32"/>
  <c r="T276" i="32" s="1"/>
  <c r="D290" i="32"/>
  <c r="T290" i="32" s="1"/>
  <c r="E332" i="32"/>
  <c r="U332" i="32" s="1"/>
  <c r="C361" i="32"/>
  <c r="S361" i="32" s="1"/>
  <c r="L361" i="32"/>
  <c r="K361" i="32"/>
  <c r="E361" i="32"/>
  <c r="U361" i="32" s="1"/>
  <c r="J361" i="32"/>
  <c r="F361" i="32"/>
  <c r="V361" i="32" s="1"/>
  <c r="C376" i="32"/>
  <c r="S376" i="32" s="1"/>
  <c r="C487" i="32"/>
  <c r="S487" i="32" s="1"/>
  <c r="E588" i="32"/>
  <c r="J397" i="32"/>
  <c r="D397" i="32"/>
  <c r="T397" i="32" s="1"/>
  <c r="F397" i="32"/>
  <c r="V397" i="32" s="1"/>
  <c r="D182" i="32"/>
  <c r="T182" i="32" s="1"/>
  <c r="E260" i="32"/>
  <c r="U260" i="32" s="1"/>
  <c r="E393" i="32"/>
  <c r="U393" i="32" s="1"/>
  <c r="J393" i="32"/>
  <c r="F393" i="32"/>
  <c r="V393" i="32" s="1"/>
  <c r="A393" i="32"/>
  <c r="J462" i="32"/>
  <c r="F492" i="32"/>
  <c r="V492" i="32" s="1"/>
  <c r="L189" i="32"/>
  <c r="L197" i="32"/>
  <c r="L235" i="32"/>
  <c r="D268" i="32"/>
  <c r="T268" i="32" s="1"/>
  <c r="O291" i="32"/>
  <c r="W291" i="32" s="1"/>
  <c r="G291" i="32"/>
  <c r="C393" i="32"/>
  <c r="S393" i="32" s="1"/>
  <c r="D418" i="32"/>
  <c r="T418" i="32" s="1"/>
  <c r="A418" i="32"/>
  <c r="D441" i="32"/>
  <c r="T441" i="32" s="1"/>
  <c r="E441" i="32"/>
  <c r="U441" i="32" s="1"/>
  <c r="J441" i="32"/>
  <c r="F441" i="32"/>
  <c r="V441" i="32" s="1"/>
  <c r="D564" i="32"/>
  <c r="H349" i="32"/>
  <c r="F564" i="32"/>
  <c r="M185" i="32"/>
  <c r="A185" i="32"/>
  <c r="L185" i="32"/>
  <c r="D431" i="32"/>
  <c r="T431" i="32" s="1"/>
  <c r="E431" i="32"/>
  <c r="U431" i="32" s="1"/>
  <c r="J431" i="32"/>
  <c r="J260" i="32"/>
  <c r="O260" i="32"/>
  <c r="W260" i="32" s="1"/>
  <c r="M260" i="32"/>
  <c r="I260" i="32"/>
  <c r="H260" i="32"/>
  <c r="G260" i="32"/>
  <c r="F260" i="32"/>
  <c r="V260" i="32" s="1"/>
  <c r="F369" i="32"/>
  <c r="V369" i="32" s="1"/>
  <c r="K369" i="32"/>
  <c r="J369" i="32"/>
  <c r="E369" i="32"/>
  <c r="U369" i="32" s="1"/>
  <c r="D369" i="32"/>
  <c r="T369" i="32" s="1"/>
  <c r="E483" i="32"/>
  <c r="U483" i="32" s="1"/>
  <c r="F483" i="32"/>
  <c r="V483" i="32" s="1"/>
  <c r="J483" i="32"/>
  <c r="Q196" i="32"/>
  <c r="Y196" i="32" s="1"/>
  <c r="L196" i="32"/>
  <c r="D196" i="32"/>
  <c r="T196" i="32" s="1"/>
  <c r="K196" i="32"/>
  <c r="G196" i="32"/>
  <c r="I196" i="32"/>
  <c r="D260" i="32"/>
  <c r="T260" i="32" s="1"/>
  <c r="F328" i="32"/>
  <c r="V328" i="32" s="1"/>
  <c r="M328" i="32"/>
  <c r="D462" i="32"/>
  <c r="T462" i="32" s="1"/>
  <c r="C483" i="32"/>
  <c r="S483" i="32" s="1"/>
  <c r="C268" i="32"/>
  <c r="S268" i="32" s="1"/>
  <c r="K337" i="32"/>
  <c r="E377" i="32"/>
  <c r="U377" i="32" s="1"/>
  <c r="A381" i="32"/>
  <c r="E381" i="32"/>
  <c r="U381" i="32" s="1"/>
  <c r="D381" i="32"/>
  <c r="T381" i="32" s="1"/>
  <c r="C381" i="32"/>
  <c r="S381" i="32" s="1"/>
  <c r="C449" i="32"/>
  <c r="S449" i="32" s="1"/>
  <c r="M351" i="32"/>
  <c r="C351" i="32"/>
  <c r="S351" i="32" s="1"/>
  <c r="I351" i="32"/>
  <c r="F351" i="32"/>
  <c r="V351" i="32" s="1"/>
  <c r="E351" i="32"/>
  <c r="U351" i="32" s="1"/>
  <c r="Q280" i="32"/>
  <c r="Y280" i="32" s="1"/>
  <c r="M280" i="32"/>
  <c r="L280" i="32"/>
  <c r="J211" i="32"/>
  <c r="Q211" i="32"/>
  <c r="Y211" i="32" s="1"/>
  <c r="L211" i="32"/>
  <c r="H211" i="32"/>
  <c r="I211" i="32"/>
  <c r="J182" i="32"/>
  <c r="O182" i="32"/>
  <c r="W182" i="32" s="1"/>
  <c r="I182" i="32"/>
  <c r="G182" i="32"/>
  <c r="F182" i="32"/>
  <c r="V182" i="32" s="1"/>
  <c r="L268" i="32"/>
  <c r="Q268" i="32"/>
  <c r="Y268" i="32" s="1"/>
  <c r="K333" i="32"/>
  <c r="F333" i="32"/>
  <c r="V333" i="32" s="1"/>
  <c r="J333" i="32"/>
  <c r="I333" i="32"/>
  <c r="H333" i="32"/>
  <c r="A333" i="32"/>
  <c r="K221" i="32"/>
  <c r="Q256" i="32"/>
  <c r="Y256" i="32" s="1"/>
  <c r="L256" i="32"/>
  <c r="J325" i="32"/>
  <c r="D333" i="32"/>
  <c r="T333" i="32" s="1"/>
  <c r="F398" i="32"/>
  <c r="V398" i="32" s="1"/>
  <c r="J398" i="32"/>
  <c r="F418" i="32"/>
  <c r="V418" i="32" s="1"/>
  <c r="F445" i="32"/>
  <c r="V445" i="32" s="1"/>
  <c r="E449" i="32"/>
  <c r="U449" i="32" s="1"/>
  <c r="J596" i="32"/>
  <c r="E596" i="32"/>
  <c r="J442" i="32"/>
  <c r="F442" i="32"/>
  <c r="V442" i="32" s="1"/>
  <c r="E442" i="32"/>
  <c r="U442" i="32" s="1"/>
  <c r="I185" i="32"/>
  <c r="F552" i="32"/>
  <c r="E552" i="32"/>
  <c r="M189" i="32"/>
  <c r="I242" i="32"/>
  <c r="M242" i="32"/>
  <c r="D242" i="32"/>
  <c r="T242" i="32" s="1"/>
  <c r="L242" i="32"/>
  <c r="H242" i="32"/>
  <c r="E242" i="32"/>
  <c r="U242" i="32" s="1"/>
  <c r="Q260" i="32"/>
  <c r="Y260" i="32" s="1"/>
  <c r="D393" i="32"/>
  <c r="T393" i="32" s="1"/>
  <c r="J184" i="32"/>
  <c r="Q184" i="32"/>
  <c r="Y184" i="32" s="1"/>
  <c r="X184" i="32"/>
  <c r="K184" i="32"/>
  <c r="H184" i="32"/>
  <c r="H268" i="32"/>
  <c r="A362" i="32"/>
  <c r="D362" i="32"/>
  <c r="T362" i="32" s="1"/>
  <c r="J362" i="32"/>
  <c r="F184" i="32"/>
  <c r="V184" i="32" s="1"/>
  <c r="I198" i="32"/>
  <c r="D208" i="32"/>
  <c r="T208" i="32" s="1"/>
  <c r="M208" i="32"/>
  <c r="J208" i="32"/>
  <c r="H208" i="32"/>
  <c r="I208" i="32"/>
  <c r="M221" i="32"/>
  <c r="D256" i="32"/>
  <c r="T256" i="32" s="1"/>
  <c r="I268" i="32"/>
  <c r="D285" i="32"/>
  <c r="T285" i="32" s="1"/>
  <c r="L285" i="32"/>
  <c r="G184" i="32"/>
  <c r="K198" i="32"/>
  <c r="F208" i="32"/>
  <c r="V208" i="32" s="1"/>
  <c r="L237" i="32"/>
  <c r="O237" i="32"/>
  <c r="W237" i="32" s="1"/>
  <c r="K237" i="32"/>
  <c r="I237" i="32"/>
  <c r="G237" i="32"/>
  <c r="H237" i="32"/>
  <c r="I243" i="32"/>
  <c r="O243" i="32"/>
  <c r="W243" i="32" s="1"/>
  <c r="M243" i="32"/>
  <c r="J243" i="32"/>
  <c r="H243" i="32"/>
  <c r="F243" i="32"/>
  <c r="V243" i="32" s="1"/>
  <c r="G243" i="32"/>
  <c r="M250" i="32"/>
  <c r="F250" i="32"/>
  <c r="V250" i="32" s="1"/>
  <c r="I256" i="32"/>
  <c r="C398" i="32"/>
  <c r="S398" i="32" s="1"/>
  <c r="J418" i="32"/>
  <c r="A422" i="32"/>
  <c r="J489" i="32"/>
  <c r="F489" i="32"/>
  <c r="V489" i="32" s="1"/>
  <c r="E489" i="32"/>
  <c r="U489" i="32" s="1"/>
  <c r="E516" i="32"/>
  <c r="U516" i="32" s="1"/>
  <c r="C520" i="32"/>
  <c r="S520" i="32" s="1"/>
  <c r="E543" i="32"/>
  <c r="E577" i="32"/>
  <c r="G186" i="32"/>
  <c r="C190" i="32"/>
  <c r="S190" i="32" s="1"/>
  <c r="F199" i="32"/>
  <c r="V199" i="32" s="1"/>
  <c r="M203" i="32"/>
  <c r="D206" i="32"/>
  <c r="T206" i="32" s="1"/>
  <c r="E220" i="32"/>
  <c r="U220" i="32" s="1"/>
  <c r="C229" i="32"/>
  <c r="S229" i="32" s="1"/>
  <c r="C241" i="32"/>
  <c r="S241" i="32" s="1"/>
  <c r="D298" i="32"/>
  <c r="T298" i="32" s="1"/>
  <c r="F316" i="32"/>
  <c r="V316" i="32" s="1"/>
  <c r="D320" i="32"/>
  <c r="T320" i="32" s="1"/>
  <c r="A335" i="32"/>
  <c r="D342" i="32"/>
  <c r="T342" i="32" s="1"/>
  <c r="C402" i="32"/>
  <c r="S402" i="32" s="1"/>
  <c r="F520" i="32"/>
  <c r="V520" i="32" s="1"/>
  <c r="D524" i="32"/>
  <c r="T524" i="32" s="1"/>
  <c r="D533" i="32"/>
  <c r="F543" i="32"/>
  <c r="E567" i="32"/>
  <c r="D591" i="32"/>
  <c r="D513" i="32"/>
  <c r="T513" i="32" s="1"/>
  <c r="C524" i="32"/>
  <c r="S524" i="32" s="1"/>
  <c r="H186" i="32"/>
  <c r="G190" i="32"/>
  <c r="G199" i="32"/>
  <c r="O203" i="32"/>
  <c r="W203" i="32" s="1"/>
  <c r="J206" i="32"/>
  <c r="D218" i="32"/>
  <c r="T218" i="32" s="1"/>
  <c r="F220" i="32"/>
  <c r="V220" i="32" s="1"/>
  <c r="E229" i="32"/>
  <c r="U229" i="32" s="1"/>
  <c r="D241" i="32"/>
  <c r="T241" i="32" s="1"/>
  <c r="A270" i="32"/>
  <c r="E298" i="32"/>
  <c r="U298" i="32" s="1"/>
  <c r="G316" i="32"/>
  <c r="E320" i="32"/>
  <c r="U320" i="32" s="1"/>
  <c r="C389" i="32"/>
  <c r="S389" i="32" s="1"/>
  <c r="E402" i="32"/>
  <c r="U402" i="32" s="1"/>
  <c r="A406" i="32"/>
  <c r="C450" i="32"/>
  <c r="S450" i="32" s="1"/>
  <c r="C467" i="32"/>
  <c r="S467" i="32" s="1"/>
  <c r="J520" i="32"/>
  <c r="E524" i="32"/>
  <c r="U524" i="32" s="1"/>
  <c r="F533" i="32"/>
  <c r="J543" i="32"/>
  <c r="F567" i="32"/>
  <c r="F591" i="32"/>
  <c r="I298" i="32"/>
  <c r="M316" i="32"/>
  <c r="C339" i="32"/>
  <c r="S339" i="32" s="1"/>
  <c r="J402" i="32"/>
  <c r="C406" i="32"/>
  <c r="S406" i="32" s="1"/>
  <c r="J467" i="32"/>
  <c r="D556" i="32"/>
  <c r="D580" i="32"/>
  <c r="M186" i="32"/>
  <c r="K190" i="32"/>
  <c r="I194" i="32"/>
  <c r="O199" i="32"/>
  <c r="W199" i="32" s="1"/>
  <c r="Q206" i="32"/>
  <c r="Y206" i="32" s="1"/>
  <c r="H220" i="32"/>
  <c r="G229" i="32"/>
  <c r="I241" i="32"/>
  <c r="C270" i="32"/>
  <c r="S270" i="32" s="1"/>
  <c r="C305" i="32"/>
  <c r="S305" i="32" s="1"/>
  <c r="G320" i="32"/>
  <c r="M190" i="32"/>
  <c r="L220" i="32"/>
  <c r="D225" i="32"/>
  <c r="T225" i="32" s="1"/>
  <c r="H229" i="32"/>
  <c r="D234" i="32"/>
  <c r="T234" i="32" s="1"/>
  <c r="K241" i="32"/>
  <c r="M249" i="32"/>
  <c r="F281" i="32"/>
  <c r="V281" i="32" s="1"/>
  <c r="M288" i="32"/>
  <c r="J298" i="32"/>
  <c r="F339" i="32"/>
  <c r="V339" i="32" s="1"/>
  <c r="G353" i="32"/>
  <c r="E406" i="32"/>
  <c r="U406" i="32" s="1"/>
  <c r="J413" i="32"/>
  <c r="J437" i="32"/>
  <c r="J450" i="32"/>
  <c r="C502" i="32"/>
  <c r="S502" i="32" s="1"/>
  <c r="C511" i="32"/>
  <c r="S511" i="32" s="1"/>
  <c r="E514" i="32"/>
  <c r="U514" i="32" s="1"/>
  <c r="F556" i="32"/>
  <c r="F580" i="32"/>
  <c r="D214" i="32"/>
  <c r="T214" i="32" s="1"/>
  <c r="L222" i="32"/>
  <c r="A227" i="32"/>
  <c r="Q229" i="32"/>
  <c r="Y229" i="32" s="1"/>
  <c r="F236" i="32"/>
  <c r="V236" i="32" s="1"/>
  <c r="A254" i="32"/>
  <c r="C258" i="32"/>
  <c r="S258" i="32" s="1"/>
  <c r="O265" i="32"/>
  <c r="W265" i="32" s="1"/>
  <c r="I278" i="32"/>
  <c r="Q281" i="32"/>
  <c r="Y281" i="32" s="1"/>
  <c r="E324" i="32"/>
  <c r="U324" i="32" s="1"/>
  <c r="E379" i="32"/>
  <c r="U379" i="32" s="1"/>
  <c r="D390" i="32"/>
  <c r="T390" i="32" s="1"/>
  <c r="D414" i="32"/>
  <c r="T414" i="32" s="1"/>
  <c r="C456" i="32"/>
  <c r="S456" i="32" s="1"/>
  <c r="C465" i="32"/>
  <c r="S465" i="32" s="1"/>
  <c r="C491" i="32"/>
  <c r="S491" i="32" s="1"/>
  <c r="E527" i="32"/>
  <c r="F192" i="32"/>
  <c r="V192" i="32" s="1"/>
  <c r="Q214" i="32"/>
  <c r="Y214" i="32" s="1"/>
  <c r="O222" i="32"/>
  <c r="W222" i="32" s="1"/>
  <c r="G236" i="32"/>
  <c r="G258" i="32"/>
  <c r="F263" i="32"/>
  <c r="V263" i="32" s="1"/>
  <c r="Q265" i="32"/>
  <c r="Y265" i="32" s="1"/>
  <c r="A273" i="32"/>
  <c r="O278" i="32"/>
  <c r="W278" i="32" s="1"/>
  <c r="A282" i="32"/>
  <c r="C299" i="32"/>
  <c r="S299" i="32" s="1"/>
  <c r="H324" i="32"/>
  <c r="D327" i="32"/>
  <c r="T327" i="32" s="1"/>
  <c r="F368" i="32"/>
  <c r="V368" i="32" s="1"/>
  <c r="E390" i="32"/>
  <c r="U390" i="32" s="1"/>
  <c r="C411" i="32"/>
  <c r="S411" i="32" s="1"/>
  <c r="E414" i="32"/>
  <c r="U414" i="32" s="1"/>
  <c r="C435" i="32"/>
  <c r="S435" i="32" s="1"/>
  <c r="E465" i="32"/>
  <c r="U465" i="32" s="1"/>
  <c r="D491" i="32"/>
  <c r="T491" i="32" s="1"/>
  <c r="J527" i="32"/>
  <c r="E537" i="32"/>
  <c r="E572" i="32"/>
  <c r="G192" i="32"/>
  <c r="A223" i="32"/>
  <c r="C227" i="32"/>
  <c r="S227" i="32" s="1"/>
  <c r="J236" i="32"/>
  <c r="J258" i="32"/>
  <c r="E299" i="32"/>
  <c r="U299" i="32" s="1"/>
  <c r="A306" i="32"/>
  <c r="I324" i="32"/>
  <c r="F327" i="32"/>
  <c r="V327" i="32" s="1"/>
  <c r="G344" i="32"/>
  <c r="J368" i="32"/>
  <c r="E411" i="32"/>
  <c r="U411" i="32" s="1"/>
  <c r="F414" i="32"/>
  <c r="V414" i="32" s="1"/>
  <c r="E435" i="32"/>
  <c r="U435" i="32" s="1"/>
  <c r="F465" i="32"/>
  <c r="V465" i="32" s="1"/>
  <c r="C473" i="32"/>
  <c r="S473" i="32" s="1"/>
  <c r="F480" i="32"/>
  <c r="V480" i="32" s="1"/>
  <c r="F491" i="32"/>
  <c r="V491" i="32" s="1"/>
  <c r="C495" i="32"/>
  <c r="S495" i="32" s="1"/>
  <c r="I188" i="32"/>
  <c r="H192" i="32"/>
  <c r="C203" i="32"/>
  <c r="S203" i="32" s="1"/>
  <c r="G227" i="32"/>
  <c r="L230" i="32"/>
  <c r="O255" i="32"/>
  <c r="W255" i="32" s="1"/>
  <c r="K258" i="32"/>
  <c r="J263" i="32"/>
  <c r="H327" i="32"/>
  <c r="J344" i="32"/>
  <c r="L348" i="32"/>
  <c r="C359" i="32"/>
  <c r="S359" i="32" s="1"/>
  <c r="E404" i="32"/>
  <c r="U404" i="32" s="1"/>
  <c r="J411" i="32"/>
  <c r="J435" i="32"/>
  <c r="J465" i="32"/>
  <c r="J491" i="32"/>
  <c r="O232" i="32"/>
  <c r="W232" i="32" s="1"/>
  <c r="I232" i="32"/>
  <c r="J232" i="32"/>
  <c r="F232" i="32"/>
  <c r="V232" i="32" s="1"/>
  <c r="O254" i="32"/>
  <c r="W254" i="32" s="1"/>
  <c r="I307" i="32"/>
  <c r="A307" i="32"/>
  <c r="J494" i="32"/>
  <c r="F494" i="32"/>
  <c r="V494" i="32" s="1"/>
  <c r="E494" i="32"/>
  <c r="U494" i="32" s="1"/>
  <c r="D494" i="32"/>
  <c r="T494" i="32" s="1"/>
  <c r="C494" i="32"/>
  <c r="S494" i="32" s="1"/>
  <c r="M210" i="32"/>
  <c r="G210" i="32"/>
  <c r="J210" i="32"/>
  <c r="D210" i="32"/>
  <c r="T210" i="32" s="1"/>
  <c r="H210" i="32"/>
  <c r="F210" i="32"/>
  <c r="V210" i="32" s="1"/>
  <c r="I277" i="32"/>
  <c r="Q277" i="32"/>
  <c r="Y277" i="32" s="1"/>
  <c r="L277" i="32"/>
  <c r="M277" i="32"/>
  <c r="E277" i="32"/>
  <c r="U277" i="32" s="1"/>
  <c r="D277" i="32"/>
  <c r="T277" i="32" s="1"/>
  <c r="H277" i="32"/>
  <c r="D583" i="32"/>
  <c r="J583" i="32"/>
  <c r="F583" i="32"/>
  <c r="E583" i="32"/>
  <c r="J212" i="32"/>
  <c r="E212" i="32"/>
  <c r="U212" i="32" s="1"/>
  <c r="Q212" i="32"/>
  <c r="Y212" i="32" s="1"/>
  <c r="H212" i="32"/>
  <c r="O212" i="32"/>
  <c r="W212" i="32" s="1"/>
  <c r="G212" i="32"/>
  <c r="K215" i="32"/>
  <c r="L215" i="32"/>
  <c r="C215" i="32"/>
  <c r="S215" i="32" s="1"/>
  <c r="I215" i="32"/>
  <c r="J272" i="32"/>
  <c r="Q272" i="32"/>
  <c r="Y272" i="32" s="1"/>
  <c r="E272" i="32"/>
  <c r="U272" i="32" s="1"/>
  <c r="X272" i="32"/>
  <c r="D272" i="32"/>
  <c r="T272" i="32" s="1"/>
  <c r="M272" i="32"/>
  <c r="A272" i="32"/>
  <c r="L272" i="32"/>
  <c r="I272" i="32"/>
  <c r="K272" i="32"/>
  <c r="G272" i="32"/>
  <c r="H272" i="32"/>
  <c r="C272" i="32"/>
  <c r="S272" i="32" s="1"/>
  <c r="E388" i="32"/>
  <c r="U388" i="32" s="1"/>
  <c r="A388" i="32"/>
  <c r="J388" i="32"/>
  <c r="C426" i="32"/>
  <c r="S426" i="32" s="1"/>
  <c r="A426" i="32"/>
  <c r="E426" i="32"/>
  <c r="U426" i="32" s="1"/>
  <c r="J426" i="32"/>
  <c r="D426" i="32"/>
  <c r="T426" i="32" s="1"/>
  <c r="F426" i="32"/>
  <c r="V426" i="32" s="1"/>
  <c r="E562" i="32"/>
  <c r="J562" i="32"/>
  <c r="F562" i="32"/>
  <c r="E228" i="32"/>
  <c r="U228" i="32" s="1"/>
  <c r="F228" i="32"/>
  <c r="V228" i="32" s="1"/>
  <c r="J262" i="32"/>
  <c r="F262" i="32"/>
  <c r="V262" i="32" s="1"/>
  <c r="E262" i="32"/>
  <c r="U262" i="32" s="1"/>
  <c r="A262" i="32"/>
  <c r="K262" i="32"/>
  <c r="O262" i="32"/>
  <c r="W262" i="32" s="1"/>
  <c r="M262" i="32"/>
  <c r="G262" i="32"/>
  <c r="I262" i="32"/>
  <c r="G315" i="32"/>
  <c r="F315" i="32"/>
  <c r="V315" i="32" s="1"/>
  <c r="E315" i="32"/>
  <c r="U315" i="32" s="1"/>
  <c r="A315" i="32"/>
  <c r="J315" i="32"/>
  <c r="F589" i="32"/>
  <c r="J589" i="32"/>
  <c r="D589" i="32"/>
  <c r="K226" i="32"/>
  <c r="E226" i="32"/>
  <c r="U226" i="32" s="1"/>
  <c r="C226" i="32"/>
  <c r="S226" i="32" s="1"/>
  <c r="J226" i="32"/>
  <c r="H226" i="32"/>
  <c r="D226" i="32"/>
  <c r="T226" i="32" s="1"/>
  <c r="J235" i="32"/>
  <c r="I235" i="32"/>
  <c r="A235" i="32"/>
  <c r="D235" i="32"/>
  <c r="T235" i="32" s="1"/>
  <c r="H235" i="32"/>
  <c r="F235" i="32"/>
  <c r="V235" i="32" s="1"/>
  <c r="M235" i="32"/>
  <c r="Q235" i="32"/>
  <c r="Y235" i="32" s="1"/>
  <c r="G235" i="32"/>
  <c r="O235" i="32"/>
  <c r="W235" i="32" s="1"/>
  <c r="E235" i="32"/>
  <c r="U235" i="32" s="1"/>
  <c r="J246" i="32"/>
  <c r="I246" i="32"/>
  <c r="H246" i="32"/>
  <c r="G246" i="32"/>
  <c r="C246" i="32"/>
  <c r="S246" i="32" s="1"/>
  <c r="F246" i="32"/>
  <c r="V246" i="32" s="1"/>
  <c r="Q246" i="32"/>
  <c r="Y246" i="32" s="1"/>
  <c r="J311" i="32"/>
  <c r="M311" i="32"/>
  <c r="I311" i="32"/>
  <c r="A311" i="32"/>
  <c r="E311" i="32"/>
  <c r="U311" i="32" s="1"/>
  <c r="F311" i="32"/>
  <c r="V311" i="32" s="1"/>
  <c r="E490" i="32"/>
  <c r="U490" i="32" s="1"/>
  <c r="F490" i="32"/>
  <c r="V490" i="32" s="1"/>
  <c r="C490" i="32"/>
  <c r="S490" i="32" s="1"/>
  <c r="D490" i="32"/>
  <c r="T490" i="32" s="1"/>
  <c r="K341" i="32"/>
  <c r="I341" i="32"/>
  <c r="A341" i="32"/>
  <c r="H341" i="32"/>
  <c r="L226" i="32"/>
  <c r="C235" i="32"/>
  <c r="S235" i="32" s="1"/>
  <c r="J240" i="32"/>
  <c r="K240" i="32"/>
  <c r="O240" i="32"/>
  <c r="W240" i="32" s="1"/>
  <c r="M246" i="32"/>
  <c r="M340" i="32"/>
  <c r="L340" i="32"/>
  <c r="J340" i="32"/>
  <c r="G340" i="32"/>
  <c r="E340" i="32"/>
  <c r="U340" i="32" s="1"/>
  <c r="F340" i="32"/>
  <c r="V340" i="32" s="1"/>
  <c r="D340" i="32"/>
  <c r="T340" i="32" s="1"/>
  <c r="E557" i="32"/>
  <c r="J557" i="32"/>
  <c r="F557" i="32"/>
  <c r="D557" i="32"/>
  <c r="K195" i="32"/>
  <c r="H195" i="32"/>
  <c r="J195" i="32"/>
  <c r="F310" i="32"/>
  <c r="V310" i="32" s="1"/>
  <c r="M310" i="32"/>
  <c r="A310" i="32"/>
  <c r="I310" i="32"/>
  <c r="J310" i="32"/>
  <c r="E310" i="32"/>
  <c r="U310" i="32" s="1"/>
  <c r="J254" i="32"/>
  <c r="I254" i="32"/>
  <c r="M254" i="32"/>
  <c r="F254" i="32"/>
  <c r="V254" i="32" s="1"/>
  <c r="C254" i="32"/>
  <c r="S254" i="32" s="1"/>
  <c r="K254" i="32"/>
  <c r="G254" i="32"/>
  <c r="E254" i="32"/>
  <c r="U254" i="32" s="1"/>
  <c r="L221" i="32"/>
  <c r="I221" i="32"/>
  <c r="C221" i="32"/>
  <c r="S221" i="32" s="1"/>
  <c r="H221" i="32"/>
  <c r="Q221" i="32"/>
  <c r="Y221" i="32" s="1"/>
  <c r="F221" i="32"/>
  <c r="V221" i="32" s="1"/>
  <c r="G221" i="32"/>
  <c r="O221" i="32"/>
  <c r="W221" i="32" s="1"/>
  <c r="E221" i="32"/>
  <c r="U221" i="32" s="1"/>
  <c r="A274" i="32"/>
  <c r="I274" i="32"/>
  <c r="M274" i="32"/>
  <c r="F486" i="32"/>
  <c r="V486" i="32" s="1"/>
  <c r="D486" i="32"/>
  <c r="T486" i="32" s="1"/>
  <c r="J486" i="32"/>
  <c r="E486" i="32"/>
  <c r="U486" i="32" s="1"/>
  <c r="A184" i="32"/>
  <c r="I184" i="32"/>
  <c r="A188" i="32"/>
  <c r="L190" i="32"/>
  <c r="A192" i="32"/>
  <c r="I192" i="32"/>
  <c r="C198" i="32"/>
  <c r="S198" i="32" s="1"/>
  <c r="M198" i="32"/>
  <c r="K211" i="32"/>
  <c r="O224" i="32"/>
  <c r="W224" i="32" s="1"/>
  <c r="K227" i="32"/>
  <c r="D230" i="32"/>
  <c r="T230" i="32" s="1"/>
  <c r="Q230" i="32"/>
  <c r="Y230" i="32" s="1"/>
  <c r="X238" i="32"/>
  <c r="A244" i="32"/>
  <c r="I244" i="32"/>
  <c r="D245" i="32"/>
  <c r="T245" i="32" s="1"/>
  <c r="C248" i="32"/>
  <c r="S248" i="32" s="1"/>
  <c r="Q248" i="32"/>
  <c r="Y248" i="32" s="1"/>
  <c r="D255" i="32"/>
  <c r="T255" i="32" s="1"/>
  <c r="J256" i="32"/>
  <c r="M256" i="32"/>
  <c r="C256" i="32"/>
  <c r="S256" i="32" s="1"/>
  <c r="D261" i="32"/>
  <c r="T261" i="32" s="1"/>
  <c r="J270" i="32"/>
  <c r="G270" i="32"/>
  <c r="F270" i="32"/>
  <c r="V270" i="32" s="1"/>
  <c r="J271" i="32"/>
  <c r="F271" i="32"/>
  <c r="V271" i="32" s="1"/>
  <c r="K275" i="32"/>
  <c r="F275" i="32"/>
  <c r="V275" i="32" s="1"/>
  <c r="J280" i="32"/>
  <c r="I280" i="32"/>
  <c r="H280" i="32"/>
  <c r="C284" i="32"/>
  <c r="S284" i="32" s="1"/>
  <c r="Q284" i="32"/>
  <c r="Y284" i="32" s="1"/>
  <c r="E286" i="32"/>
  <c r="U286" i="32" s="1"/>
  <c r="I301" i="32"/>
  <c r="F301" i="32"/>
  <c r="V301" i="32" s="1"/>
  <c r="M301" i="32"/>
  <c r="I303" i="32"/>
  <c r="A303" i="32"/>
  <c r="M303" i="32"/>
  <c r="K303" i="32"/>
  <c r="J303" i="32"/>
  <c r="F318" i="32"/>
  <c r="V318" i="32" s="1"/>
  <c r="J334" i="32"/>
  <c r="G338" i="32"/>
  <c r="I355" i="32"/>
  <c r="F355" i="32"/>
  <c r="V355" i="32" s="1"/>
  <c r="E355" i="32"/>
  <c r="U355" i="32" s="1"/>
  <c r="C355" i="32"/>
  <c r="S355" i="32" s="1"/>
  <c r="K370" i="32"/>
  <c r="L370" i="32"/>
  <c r="E370" i="32"/>
  <c r="U370" i="32" s="1"/>
  <c r="M370" i="32"/>
  <c r="E387" i="32"/>
  <c r="U387" i="32" s="1"/>
  <c r="F425" i="32"/>
  <c r="V425" i="32" s="1"/>
  <c r="D433" i="32"/>
  <c r="T433" i="32" s="1"/>
  <c r="C438" i="32"/>
  <c r="S438" i="32" s="1"/>
  <c r="A438" i="32"/>
  <c r="J438" i="32"/>
  <c r="F438" i="32"/>
  <c r="V438" i="32" s="1"/>
  <c r="E438" i="32"/>
  <c r="U438" i="32" s="1"/>
  <c r="D438" i="32"/>
  <c r="T438" i="32" s="1"/>
  <c r="E538" i="32"/>
  <c r="J538" i="32"/>
  <c r="F538" i="32"/>
  <c r="J554" i="32"/>
  <c r="M273" i="32"/>
  <c r="O273" i="32"/>
  <c r="W273" i="32" s="1"/>
  <c r="L273" i="32"/>
  <c r="F306" i="32"/>
  <c r="V306" i="32" s="1"/>
  <c r="J306" i="32"/>
  <c r="I306" i="32"/>
  <c r="E365" i="32"/>
  <c r="U365" i="32" s="1"/>
  <c r="M365" i="32"/>
  <c r="K365" i="32"/>
  <c r="F365" i="32"/>
  <c r="V365" i="32" s="1"/>
  <c r="D365" i="32"/>
  <c r="T365" i="32" s="1"/>
  <c r="A365" i="32"/>
  <c r="A396" i="32"/>
  <c r="E396" i="32"/>
  <c r="U396" i="32" s="1"/>
  <c r="L198" i="32"/>
  <c r="I266" i="32"/>
  <c r="G266" i="32"/>
  <c r="M284" i="32"/>
  <c r="J288" i="32"/>
  <c r="Q288" i="32"/>
  <c r="Y288" i="32" s="1"/>
  <c r="E288" i="32"/>
  <c r="U288" i="32" s="1"/>
  <c r="H288" i="32"/>
  <c r="G288" i="32"/>
  <c r="L295" i="32"/>
  <c r="H295" i="32"/>
  <c r="E295" i="32"/>
  <c r="U295" i="32" s="1"/>
  <c r="M295" i="32"/>
  <c r="G319" i="32"/>
  <c r="A319" i="32"/>
  <c r="C365" i="32"/>
  <c r="S365" i="32" s="1"/>
  <c r="C387" i="32"/>
  <c r="S387" i="32" s="1"/>
  <c r="C430" i="32"/>
  <c r="S430" i="32" s="1"/>
  <c r="A430" i="32"/>
  <c r="F430" i="32"/>
  <c r="V430" i="32" s="1"/>
  <c r="E430" i="32"/>
  <c r="U430" i="32" s="1"/>
  <c r="D430" i="32"/>
  <c r="T430" i="32" s="1"/>
  <c r="K244" i="32"/>
  <c r="M253" i="32"/>
  <c r="J253" i="32"/>
  <c r="F255" i="32"/>
  <c r="V255" i="32" s="1"/>
  <c r="M265" i="32"/>
  <c r="H265" i="32"/>
  <c r="F265" i="32"/>
  <c r="V265" i="32" s="1"/>
  <c r="H273" i="32"/>
  <c r="D284" i="32"/>
  <c r="T284" i="32" s="1"/>
  <c r="F286" i="32"/>
  <c r="V286" i="32" s="1"/>
  <c r="H297" i="32"/>
  <c r="F297" i="32"/>
  <c r="V297" i="32" s="1"/>
  <c r="E297" i="32"/>
  <c r="U297" i="32" s="1"/>
  <c r="A297" i="32"/>
  <c r="E424" i="32"/>
  <c r="U424" i="32" s="1"/>
  <c r="A424" i="32"/>
  <c r="E460" i="32"/>
  <c r="U460" i="32" s="1"/>
  <c r="F460" i="32"/>
  <c r="V460" i="32" s="1"/>
  <c r="D460" i="32"/>
  <c r="T460" i="32" s="1"/>
  <c r="E466" i="32"/>
  <c r="U466" i="32" s="1"/>
  <c r="C466" i="32"/>
  <c r="S466" i="32" s="1"/>
  <c r="F466" i="32"/>
  <c r="V466" i="32" s="1"/>
  <c r="D466" i="32"/>
  <c r="T466" i="32" s="1"/>
  <c r="F597" i="32"/>
  <c r="J597" i="32"/>
  <c r="A182" i="32"/>
  <c r="K182" i="32"/>
  <c r="C184" i="32"/>
  <c r="S184" i="32" s="1"/>
  <c r="L184" i="32"/>
  <c r="F185" i="32"/>
  <c r="V185" i="32" s="1"/>
  <c r="A186" i="32"/>
  <c r="C188" i="32"/>
  <c r="S188" i="32" s="1"/>
  <c r="D189" i="32"/>
  <c r="T189" i="32" s="1"/>
  <c r="D190" i="32"/>
  <c r="T190" i="32" s="1"/>
  <c r="O190" i="32"/>
  <c r="W190" i="32" s="1"/>
  <c r="C192" i="32"/>
  <c r="S192" i="32" s="1"/>
  <c r="L192" i="32"/>
  <c r="F193" i="32"/>
  <c r="V193" i="32" s="1"/>
  <c r="A196" i="32"/>
  <c r="X196" i="32"/>
  <c r="E198" i="32"/>
  <c r="U198" i="32" s="1"/>
  <c r="A200" i="32"/>
  <c r="I200" i="32"/>
  <c r="K203" i="32"/>
  <c r="G206" i="32"/>
  <c r="A208" i="32"/>
  <c r="Q208" i="32"/>
  <c r="Y208" i="32" s="1"/>
  <c r="D211" i="32"/>
  <c r="T211" i="32" s="1"/>
  <c r="M211" i="32"/>
  <c r="G214" i="32"/>
  <c r="I217" i="32"/>
  <c r="Q218" i="32"/>
  <c r="Y218" i="32" s="1"/>
  <c r="H219" i="32"/>
  <c r="O220" i="32"/>
  <c r="W220" i="32" s="1"/>
  <c r="A222" i="32"/>
  <c r="H223" i="32"/>
  <c r="D224" i="32"/>
  <c r="T224" i="32" s="1"/>
  <c r="D227" i="32"/>
  <c r="T227" i="32" s="1"/>
  <c r="M227" i="32"/>
  <c r="M229" i="32"/>
  <c r="G230" i="32"/>
  <c r="G231" i="32"/>
  <c r="E234" i="32"/>
  <c r="U234" i="32" s="1"/>
  <c r="M237" i="32"/>
  <c r="F238" i="32"/>
  <c r="V238" i="32" s="1"/>
  <c r="L243" i="32"/>
  <c r="C244" i="32"/>
  <c r="S244" i="32" s="1"/>
  <c r="L244" i="32"/>
  <c r="H245" i="32"/>
  <c r="D247" i="32"/>
  <c r="T247" i="32" s="1"/>
  <c r="G248" i="32"/>
  <c r="C249" i="32"/>
  <c r="S249" i="32" s="1"/>
  <c r="A252" i="32"/>
  <c r="I252" i="32"/>
  <c r="D253" i="32"/>
  <c r="T253" i="32" s="1"/>
  <c r="H255" i="32"/>
  <c r="E256" i="32"/>
  <c r="U256" i="32" s="1"/>
  <c r="A257" i="32"/>
  <c r="A258" i="32"/>
  <c r="L259" i="32"/>
  <c r="D265" i="32"/>
  <c r="T265" i="32" s="1"/>
  <c r="K268" i="32"/>
  <c r="E270" i="32"/>
  <c r="U270" i="32" s="1"/>
  <c r="O271" i="32"/>
  <c r="W271" i="32" s="1"/>
  <c r="I273" i="32"/>
  <c r="A276" i="32"/>
  <c r="D280" i="32"/>
  <c r="T280" i="32" s="1"/>
  <c r="I288" i="32"/>
  <c r="M294" i="32"/>
  <c r="I294" i="32"/>
  <c r="H294" i="32"/>
  <c r="F294" i="32"/>
  <c r="V294" i="32" s="1"/>
  <c r="D294" i="32"/>
  <c r="T294" i="32" s="1"/>
  <c r="C297" i="32"/>
  <c r="S297" i="32" s="1"/>
  <c r="A300" i="32"/>
  <c r="E301" i="32"/>
  <c r="U301" i="32" s="1"/>
  <c r="E303" i="32"/>
  <c r="U303" i="32" s="1"/>
  <c r="J319" i="32"/>
  <c r="H332" i="32"/>
  <c r="G332" i="32"/>
  <c r="J337" i="32"/>
  <c r="H337" i="32"/>
  <c r="F337" i="32"/>
  <c r="V337" i="32" s="1"/>
  <c r="J342" i="32"/>
  <c r="M342" i="32"/>
  <c r="G342" i="32"/>
  <c r="F343" i="32"/>
  <c r="V343" i="32" s="1"/>
  <c r="J349" i="32"/>
  <c r="G349" i="32"/>
  <c r="E349" i="32"/>
  <c r="U349" i="32" s="1"/>
  <c r="D370" i="32"/>
  <c r="T370" i="32" s="1"/>
  <c r="K378" i="32"/>
  <c r="M378" i="32"/>
  <c r="A378" i="32"/>
  <c r="F386" i="32"/>
  <c r="V386" i="32" s="1"/>
  <c r="J386" i="32"/>
  <c r="E386" i="32"/>
  <c r="U386" i="32" s="1"/>
  <c r="D386" i="32"/>
  <c r="T386" i="32" s="1"/>
  <c r="C386" i="32"/>
  <c r="S386" i="32" s="1"/>
  <c r="E397" i="32"/>
  <c r="U397" i="32" s="1"/>
  <c r="C397" i="32"/>
  <c r="S397" i="32" s="1"/>
  <c r="A397" i="32"/>
  <c r="A444" i="32"/>
  <c r="C460" i="32"/>
  <c r="S460" i="32" s="1"/>
  <c r="C498" i="32"/>
  <c r="S498" i="32" s="1"/>
  <c r="D498" i="32"/>
  <c r="T498" i="32" s="1"/>
  <c r="J503" i="32"/>
  <c r="F503" i="32"/>
  <c r="V503" i="32" s="1"/>
  <c r="E503" i="32"/>
  <c r="U503" i="32" s="1"/>
  <c r="D503" i="32"/>
  <c r="T503" i="32" s="1"/>
  <c r="C503" i="32"/>
  <c r="S503" i="32" s="1"/>
  <c r="J505" i="32"/>
  <c r="D505" i="32"/>
  <c r="T505" i="32" s="1"/>
  <c r="D597" i="32"/>
  <c r="J286" i="32"/>
  <c r="M286" i="32"/>
  <c r="A286" i="32"/>
  <c r="O286" i="32"/>
  <c r="W286" i="32" s="1"/>
  <c r="K286" i="32"/>
  <c r="F417" i="32"/>
  <c r="V417" i="32" s="1"/>
  <c r="D417" i="32"/>
  <c r="T417" i="32" s="1"/>
  <c r="J417" i="32"/>
  <c r="E417" i="32"/>
  <c r="U417" i="32" s="1"/>
  <c r="C417" i="32"/>
  <c r="S417" i="32" s="1"/>
  <c r="F584" i="32"/>
  <c r="E584" i="32"/>
  <c r="D584" i="32"/>
  <c r="J584" i="32"/>
  <c r="J261" i="32"/>
  <c r="H261" i="32"/>
  <c r="D273" i="32"/>
  <c r="T273" i="32" s="1"/>
  <c r="J284" i="32"/>
  <c r="F284" i="32"/>
  <c r="V284" i="32" s="1"/>
  <c r="O284" i="32"/>
  <c r="W284" i="32" s="1"/>
  <c r="E284" i="32"/>
  <c r="U284" i="32" s="1"/>
  <c r="J318" i="32"/>
  <c r="E318" i="32"/>
  <c r="U318" i="32" s="1"/>
  <c r="D318" i="32"/>
  <c r="T318" i="32" s="1"/>
  <c r="E546" i="32"/>
  <c r="J546" i="32"/>
  <c r="K192" i="32"/>
  <c r="O198" i="32"/>
  <c r="W198" i="32" s="1"/>
  <c r="E248" i="32"/>
  <c r="U248" i="32" s="1"/>
  <c r="L261" i="32"/>
  <c r="I285" i="32"/>
  <c r="Q285" i="32"/>
  <c r="Y285" i="32" s="1"/>
  <c r="M285" i="32"/>
  <c r="D288" i="32"/>
  <c r="T288" i="32" s="1"/>
  <c r="H318" i="32"/>
  <c r="F319" i="32"/>
  <c r="V319" i="32" s="1"/>
  <c r="J453" i="32"/>
  <c r="F453" i="32"/>
  <c r="V453" i="32" s="1"/>
  <c r="E453" i="32"/>
  <c r="U453" i="32" s="1"/>
  <c r="A453" i="32"/>
  <c r="L182" i="32"/>
  <c r="D184" i="32"/>
  <c r="T184" i="32" s="1"/>
  <c r="M184" i="32"/>
  <c r="G185" i="32"/>
  <c r="D188" i="32"/>
  <c r="T188" i="32" s="1"/>
  <c r="E189" i="32"/>
  <c r="U189" i="32" s="1"/>
  <c r="E190" i="32"/>
  <c r="U190" i="32" s="1"/>
  <c r="D192" i="32"/>
  <c r="T192" i="32" s="1"/>
  <c r="M192" i="32"/>
  <c r="G193" i="32"/>
  <c r="F198" i="32"/>
  <c r="V198" i="32" s="1"/>
  <c r="K200" i="32"/>
  <c r="H206" i="32"/>
  <c r="E211" i="32"/>
  <c r="U211" i="32" s="1"/>
  <c r="O211" i="32"/>
  <c r="W211" i="32" s="1"/>
  <c r="H214" i="32"/>
  <c r="L217" i="32"/>
  <c r="I223" i="32"/>
  <c r="F224" i="32"/>
  <c r="V224" i="32" s="1"/>
  <c r="E227" i="32"/>
  <c r="U227" i="32" s="1"/>
  <c r="O227" i="32"/>
  <c r="W227" i="32" s="1"/>
  <c r="H230" i="32"/>
  <c r="H231" i="32"/>
  <c r="G238" i="32"/>
  <c r="D244" i="32"/>
  <c r="T244" i="32" s="1"/>
  <c r="M244" i="32"/>
  <c r="M245" i="32"/>
  <c r="H247" i="32"/>
  <c r="H248" i="32"/>
  <c r="D249" i="32"/>
  <c r="T249" i="32" s="1"/>
  <c r="K252" i="32"/>
  <c r="E253" i="32"/>
  <c r="U253" i="32" s="1"/>
  <c r="J255" i="32"/>
  <c r="G256" i="32"/>
  <c r="Q261" i="32"/>
  <c r="Y261" i="32" s="1"/>
  <c r="I265" i="32"/>
  <c r="A268" i="32"/>
  <c r="I270" i="32"/>
  <c r="Q273" i="32"/>
  <c r="Y273" i="32" s="1"/>
  <c r="J276" i="32"/>
  <c r="Q276" i="32"/>
  <c r="Y276" i="32" s="1"/>
  <c r="G276" i="32"/>
  <c r="F276" i="32"/>
  <c r="V276" i="32" s="1"/>
  <c r="M276" i="32"/>
  <c r="J278" i="32"/>
  <c r="M278" i="32"/>
  <c r="A278" i="32"/>
  <c r="K278" i="32"/>
  <c r="O279" i="32"/>
  <c r="W279" i="32" s="1"/>
  <c r="E280" i="32"/>
  <c r="U280" i="32" s="1"/>
  <c r="H284" i="32"/>
  <c r="E285" i="32"/>
  <c r="U285" i="32" s="1"/>
  <c r="I286" i="32"/>
  <c r="K288" i="32"/>
  <c r="I293" i="32"/>
  <c r="M293" i="32"/>
  <c r="H293" i="32"/>
  <c r="E293" i="32"/>
  <c r="U293" i="32" s="1"/>
  <c r="I297" i="32"/>
  <c r="J301" i="32"/>
  <c r="F303" i="32"/>
  <c r="V303" i="32" s="1"/>
  <c r="E316" i="32"/>
  <c r="U316" i="32" s="1"/>
  <c r="D316" i="32"/>
  <c r="T316" i="32" s="1"/>
  <c r="J316" i="32"/>
  <c r="I316" i="32"/>
  <c r="M318" i="32"/>
  <c r="M362" i="32"/>
  <c r="F362" i="32"/>
  <c r="V362" i="32" s="1"/>
  <c r="E362" i="32"/>
  <c r="U362" i="32" s="1"/>
  <c r="L362" i="32"/>
  <c r="K362" i="32"/>
  <c r="J370" i="32"/>
  <c r="A394" i="32"/>
  <c r="J394" i="32"/>
  <c r="E394" i="32"/>
  <c r="U394" i="32" s="1"/>
  <c r="D394" i="32"/>
  <c r="T394" i="32" s="1"/>
  <c r="D399" i="32"/>
  <c r="T399" i="32" s="1"/>
  <c r="J399" i="32"/>
  <c r="D403" i="32"/>
  <c r="T403" i="32" s="1"/>
  <c r="C403" i="32"/>
  <c r="S403" i="32" s="1"/>
  <c r="J403" i="32"/>
  <c r="E409" i="32"/>
  <c r="U409" i="32" s="1"/>
  <c r="C409" i="32"/>
  <c r="S409" i="32" s="1"/>
  <c r="J409" i="32"/>
  <c r="A409" i="32"/>
  <c r="D419" i="32"/>
  <c r="T419" i="32" s="1"/>
  <c r="C419" i="32"/>
  <c r="S419" i="32" s="1"/>
  <c r="J419" i="32"/>
  <c r="E419" i="32"/>
  <c r="U419" i="32" s="1"/>
  <c r="D453" i="32"/>
  <c r="T453" i="32" s="1"/>
  <c r="F500" i="32"/>
  <c r="V500" i="32" s="1"/>
  <c r="E500" i="32"/>
  <c r="U500" i="32" s="1"/>
  <c r="D500" i="32"/>
  <c r="T500" i="32" s="1"/>
  <c r="J500" i="32"/>
  <c r="F578" i="32"/>
  <c r="F592" i="32"/>
  <c r="J592" i="32"/>
  <c r="E592" i="32"/>
  <c r="D592" i="32"/>
  <c r="E425" i="32"/>
  <c r="U425" i="32" s="1"/>
  <c r="C425" i="32"/>
  <c r="S425" i="32" s="1"/>
  <c r="C286" i="32"/>
  <c r="S286" i="32" s="1"/>
  <c r="E306" i="32"/>
  <c r="U306" i="32" s="1"/>
  <c r="F334" i="32"/>
  <c r="V334" i="32" s="1"/>
  <c r="E334" i="32"/>
  <c r="U334" i="32" s="1"/>
  <c r="J373" i="32"/>
  <c r="F380" i="32"/>
  <c r="V380" i="32" s="1"/>
  <c r="A380" i="32"/>
  <c r="J380" i="32"/>
  <c r="E380" i="32"/>
  <c r="U380" i="32" s="1"/>
  <c r="E433" i="32"/>
  <c r="U433" i="32" s="1"/>
  <c r="C433" i="32"/>
  <c r="S433" i="32" s="1"/>
  <c r="A433" i="32"/>
  <c r="J433" i="32"/>
  <c r="D479" i="32"/>
  <c r="T479" i="32" s="1"/>
  <c r="J479" i="32"/>
  <c r="F554" i="32"/>
  <c r="D198" i="32"/>
  <c r="T198" i="32" s="1"/>
  <c r="F230" i="32"/>
  <c r="V230" i="32" s="1"/>
  <c r="E245" i="32"/>
  <c r="U245" i="32" s="1"/>
  <c r="L365" i="32"/>
  <c r="F372" i="32"/>
  <c r="V372" i="32" s="1"/>
  <c r="A372" i="32"/>
  <c r="L372" i="32"/>
  <c r="K372" i="32"/>
  <c r="E372" i="32"/>
  <c r="U372" i="32" s="1"/>
  <c r="M372" i="32"/>
  <c r="D372" i="32"/>
  <c r="T372" i="32" s="1"/>
  <c r="J425" i="32"/>
  <c r="C182" i="32"/>
  <c r="S182" i="32" s="1"/>
  <c r="M182" i="32"/>
  <c r="E184" i="32"/>
  <c r="U184" i="32" s="1"/>
  <c r="O184" i="32"/>
  <c r="W184" i="32" s="1"/>
  <c r="H185" i="32"/>
  <c r="G188" i="32"/>
  <c r="J189" i="32"/>
  <c r="F190" i="32"/>
  <c r="V190" i="32" s="1"/>
  <c r="E192" i="32"/>
  <c r="U192" i="32" s="1"/>
  <c r="O192" i="32"/>
  <c r="W192" i="32" s="1"/>
  <c r="H193" i="32"/>
  <c r="C196" i="32"/>
  <c r="S196" i="32" s="1"/>
  <c r="G198" i="32"/>
  <c r="D199" i="32"/>
  <c r="T199" i="32" s="1"/>
  <c r="C200" i="32"/>
  <c r="S200" i="32" s="1"/>
  <c r="L200" i="32"/>
  <c r="F211" i="32"/>
  <c r="V211" i="32" s="1"/>
  <c r="O214" i="32"/>
  <c r="W214" i="32" s="1"/>
  <c r="K219" i="32"/>
  <c r="D220" i="32"/>
  <c r="T220" i="32" s="1"/>
  <c r="Q220" i="32"/>
  <c r="Y220" i="32" s="1"/>
  <c r="F227" i="32"/>
  <c r="V227" i="32" s="1"/>
  <c r="I230" i="32"/>
  <c r="H238" i="32"/>
  <c r="E244" i="32"/>
  <c r="U244" i="32" s="1"/>
  <c r="O244" i="32"/>
  <c r="W244" i="32" s="1"/>
  <c r="O245" i="32"/>
  <c r="W245" i="32" s="1"/>
  <c r="L247" i="32"/>
  <c r="H249" i="32"/>
  <c r="Q253" i="32"/>
  <c r="Y253" i="32" s="1"/>
  <c r="L255" i="32"/>
  <c r="H256" i="32"/>
  <c r="L265" i="32"/>
  <c r="J268" i="32"/>
  <c r="F268" i="32"/>
  <c r="V268" i="32" s="1"/>
  <c r="O268" i="32"/>
  <c r="W268" i="32" s="1"/>
  <c r="E268" i="32"/>
  <c r="U268" i="32" s="1"/>
  <c r="M268" i="32"/>
  <c r="K270" i="32"/>
  <c r="G280" i="32"/>
  <c r="I284" i="32"/>
  <c r="H285" i="32"/>
  <c r="L288" i="32"/>
  <c r="D293" i="32"/>
  <c r="T293" i="32" s="1"/>
  <c r="K296" i="32"/>
  <c r="J296" i="32"/>
  <c r="J297" i="32"/>
  <c r="I299" i="32"/>
  <c r="K299" i="32"/>
  <c r="J299" i="32"/>
  <c r="M299" i="32"/>
  <c r="F299" i="32"/>
  <c r="V299" i="32" s="1"/>
  <c r="K301" i="32"/>
  <c r="M305" i="32"/>
  <c r="A305" i="32"/>
  <c r="K305" i="32"/>
  <c r="J322" i="32"/>
  <c r="M322" i="32"/>
  <c r="E322" i="32"/>
  <c r="U322" i="32" s="1"/>
  <c r="D322" i="32"/>
  <c r="T322" i="32" s="1"/>
  <c r="J336" i="32"/>
  <c r="G336" i="32"/>
  <c r="F336" i="32"/>
  <c r="V336" i="32" s="1"/>
  <c r="K377" i="32"/>
  <c r="M377" i="32"/>
  <c r="C394" i="32"/>
  <c r="S394" i="32" s="1"/>
  <c r="C399" i="32"/>
  <c r="S399" i="32" s="1"/>
  <c r="E403" i="32"/>
  <c r="U403" i="32" s="1"/>
  <c r="D409" i="32"/>
  <c r="T409" i="32" s="1"/>
  <c r="D443" i="32"/>
  <c r="T443" i="32" s="1"/>
  <c r="J443" i="32"/>
  <c r="C500" i="32"/>
  <c r="S500" i="32" s="1"/>
  <c r="E507" i="32"/>
  <c r="U507" i="32" s="1"/>
  <c r="J507" i="32"/>
  <c r="F528" i="32"/>
  <c r="J528" i="32"/>
  <c r="E528" i="32"/>
  <c r="D528" i="32"/>
  <c r="J578" i="32"/>
  <c r="E385" i="32"/>
  <c r="U385" i="32" s="1"/>
  <c r="F385" i="32"/>
  <c r="V385" i="32" s="1"/>
  <c r="F405" i="32"/>
  <c r="V405" i="32" s="1"/>
  <c r="D405" i="32"/>
  <c r="T405" i="32" s="1"/>
  <c r="A405" i="32"/>
  <c r="D407" i="32"/>
  <c r="T407" i="32" s="1"/>
  <c r="C407" i="32"/>
  <c r="S407" i="32" s="1"/>
  <c r="E504" i="32"/>
  <c r="U504" i="32" s="1"/>
  <c r="J504" i="32"/>
  <c r="F504" i="32"/>
  <c r="V504" i="32" s="1"/>
  <c r="D504" i="32"/>
  <c r="T504" i="32" s="1"/>
  <c r="F536" i="32"/>
  <c r="J536" i="32"/>
  <c r="E536" i="32"/>
  <c r="F544" i="32"/>
  <c r="E544" i="32"/>
  <c r="D544" i="32"/>
  <c r="J548" i="32"/>
  <c r="D548" i="32"/>
  <c r="F548" i="32"/>
  <c r="D559" i="32"/>
  <c r="J559" i="32"/>
  <c r="F559" i="32"/>
  <c r="E559" i="32"/>
  <c r="K260" i="32"/>
  <c r="M289" i="32"/>
  <c r="O289" i="32"/>
  <c r="W289" i="32" s="1"/>
  <c r="F308" i="32"/>
  <c r="V308" i="32" s="1"/>
  <c r="M308" i="32"/>
  <c r="J308" i="32"/>
  <c r="G324" i="32"/>
  <c r="F324" i="32"/>
  <c r="V324" i="32" s="1"/>
  <c r="H326" i="32"/>
  <c r="F326" i="32"/>
  <c r="V326" i="32" s="1"/>
  <c r="E326" i="32"/>
  <c r="U326" i="32" s="1"/>
  <c r="C385" i="32"/>
  <c r="S385" i="32" s="1"/>
  <c r="F390" i="32"/>
  <c r="V390" i="32" s="1"/>
  <c r="A390" i="32"/>
  <c r="E401" i="32"/>
  <c r="U401" i="32" s="1"/>
  <c r="F401" i="32"/>
  <c r="V401" i="32" s="1"/>
  <c r="C401" i="32"/>
  <c r="S401" i="32" s="1"/>
  <c r="J401" i="32"/>
  <c r="D401" i="32"/>
  <c r="T401" i="32" s="1"/>
  <c r="C405" i="32"/>
  <c r="S405" i="32" s="1"/>
  <c r="E407" i="32"/>
  <c r="U407" i="32" s="1"/>
  <c r="C410" i="32"/>
  <c r="S410" i="32" s="1"/>
  <c r="A410" i="32"/>
  <c r="J410" i="32"/>
  <c r="D448" i="32"/>
  <c r="T448" i="32" s="1"/>
  <c r="C452" i="32"/>
  <c r="S452" i="32" s="1"/>
  <c r="F470" i="32"/>
  <c r="V470" i="32" s="1"/>
  <c r="D470" i="32"/>
  <c r="T470" i="32" s="1"/>
  <c r="E474" i="32"/>
  <c r="U474" i="32" s="1"/>
  <c r="F474" i="32"/>
  <c r="V474" i="32" s="1"/>
  <c r="F478" i="32"/>
  <c r="V478" i="32" s="1"/>
  <c r="J478" i="32"/>
  <c r="E478" i="32"/>
  <c r="U478" i="32" s="1"/>
  <c r="E482" i="32"/>
  <c r="U482" i="32" s="1"/>
  <c r="C482" i="32"/>
  <c r="S482" i="32" s="1"/>
  <c r="F482" i="32"/>
  <c r="V482" i="32" s="1"/>
  <c r="D482" i="32"/>
  <c r="T482" i="32" s="1"/>
  <c r="E496" i="32"/>
  <c r="U496" i="32" s="1"/>
  <c r="F496" i="32"/>
  <c r="V496" i="32" s="1"/>
  <c r="D496" i="32"/>
  <c r="T496" i="32" s="1"/>
  <c r="D501" i="32"/>
  <c r="T501" i="32" s="1"/>
  <c r="J501" i="32"/>
  <c r="E501" i="32"/>
  <c r="U501" i="32" s="1"/>
  <c r="C504" i="32"/>
  <c r="S504" i="32" s="1"/>
  <c r="E525" i="32"/>
  <c r="D525" i="32"/>
  <c r="J525" i="32"/>
  <c r="F525" i="32"/>
  <c r="D536" i="32"/>
  <c r="E541" i="32"/>
  <c r="J541" i="32"/>
  <c r="F541" i="32"/>
  <c r="J544" i="32"/>
  <c r="E548" i="32"/>
  <c r="F560" i="32"/>
  <c r="E560" i="32"/>
  <c r="D560" i="32"/>
  <c r="F568" i="32"/>
  <c r="E568" i="32"/>
  <c r="D568" i="32"/>
  <c r="C260" i="32"/>
  <c r="S260" i="32" s="1"/>
  <c r="L260" i="32"/>
  <c r="L264" i="32"/>
  <c r="D281" i="32"/>
  <c r="T281" i="32" s="1"/>
  <c r="D289" i="32"/>
  <c r="T289" i="32" s="1"/>
  <c r="J290" i="32"/>
  <c r="F290" i="32"/>
  <c r="V290" i="32" s="1"/>
  <c r="L290" i="32"/>
  <c r="E308" i="32"/>
  <c r="U308" i="32" s="1"/>
  <c r="J313" i="32"/>
  <c r="A313" i="32"/>
  <c r="J320" i="32"/>
  <c r="A320" i="32"/>
  <c r="I320" i="32"/>
  <c r="G323" i="32"/>
  <c r="J323" i="32"/>
  <c r="D324" i="32"/>
  <c r="T324" i="32" s="1"/>
  <c r="G326" i="32"/>
  <c r="D335" i="32"/>
  <c r="T335" i="32" s="1"/>
  <c r="C347" i="32"/>
  <c r="S347" i="32" s="1"/>
  <c r="K348" i="32"/>
  <c r="J379" i="32"/>
  <c r="M379" i="32"/>
  <c r="A384" i="32"/>
  <c r="E384" i="32"/>
  <c r="U384" i="32" s="1"/>
  <c r="D385" i="32"/>
  <c r="T385" i="32" s="1"/>
  <c r="C390" i="32"/>
  <c r="S390" i="32" s="1"/>
  <c r="C391" i="32"/>
  <c r="S391" i="32" s="1"/>
  <c r="D395" i="32"/>
  <c r="T395" i="32" s="1"/>
  <c r="J395" i="32"/>
  <c r="E395" i="32"/>
  <c r="U395" i="32" s="1"/>
  <c r="E405" i="32"/>
  <c r="U405" i="32" s="1"/>
  <c r="J407" i="32"/>
  <c r="D410" i="32"/>
  <c r="T410" i="32" s="1"/>
  <c r="F448" i="32"/>
  <c r="V448" i="32" s="1"/>
  <c r="E470" i="32"/>
  <c r="U470" i="32" s="1"/>
  <c r="C474" i="32"/>
  <c r="S474" i="32" s="1"/>
  <c r="D478" i="32"/>
  <c r="T478" i="32" s="1"/>
  <c r="F495" i="32"/>
  <c r="V495" i="32" s="1"/>
  <c r="E495" i="32"/>
  <c r="U495" i="32" s="1"/>
  <c r="C496" i="32"/>
  <c r="S496" i="32" s="1"/>
  <c r="C501" i="32"/>
  <c r="S501" i="32" s="1"/>
  <c r="C522" i="32"/>
  <c r="S522" i="32" s="1"/>
  <c r="J522" i="32"/>
  <c r="E522" i="32"/>
  <c r="U522" i="32" s="1"/>
  <c r="D522" i="32"/>
  <c r="T522" i="32" s="1"/>
  <c r="F522" i="32"/>
  <c r="V522" i="32" s="1"/>
  <c r="D541" i="32"/>
  <c r="J560" i="32"/>
  <c r="E565" i="32"/>
  <c r="J565" i="32"/>
  <c r="F565" i="32"/>
  <c r="J568" i="32"/>
  <c r="E573" i="32"/>
  <c r="J573" i="32"/>
  <c r="F573" i="32"/>
  <c r="D573" i="32"/>
  <c r="E581" i="32"/>
  <c r="J581" i="32"/>
  <c r="E586" i="32"/>
  <c r="J586" i="32"/>
  <c r="E594" i="32"/>
  <c r="J594" i="32"/>
  <c r="F594" i="32"/>
  <c r="E429" i="32"/>
  <c r="U429" i="32" s="1"/>
  <c r="C429" i="32"/>
  <c r="S429" i="32" s="1"/>
  <c r="C445" i="32"/>
  <c r="S445" i="32" s="1"/>
  <c r="A445" i="32"/>
  <c r="A446" i="32"/>
  <c r="J446" i="32"/>
  <c r="F446" i="32"/>
  <c r="V446" i="32" s="1"/>
  <c r="C447" i="32"/>
  <c r="S447" i="32" s="1"/>
  <c r="J447" i="32"/>
  <c r="E447" i="32"/>
  <c r="U447" i="32" s="1"/>
  <c r="D509" i="32"/>
  <c r="T509" i="32" s="1"/>
  <c r="J509" i="32"/>
  <c r="F509" i="32"/>
  <c r="V509" i="32" s="1"/>
  <c r="J532" i="32"/>
  <c r="E532" i="32"/>
  <c r="D532" i="32"/>
  <c r="F576" i="32"/>
  <c r="J576" i="32"/>
  <c r="E576" i="32"/>
  <c r="A298" i="32"/>
  <c r="A302" i="32"/>
  <c r="A327" i="32"/>
  <c r="A339" i="32"/>
  <c r="M368" i="32"/>
  <c r="E368" i="32"/>
  <c r="U368" i="32" s="1"/>
  <c r="C368" i="32"/>
  <c r="S368" i="32" s="1"/>
  <c r="J383" i="32"/>
  <c r="E383" i="32"/>
  <c r="U383" i="32" s="1"/>
  <c r="E408" i="32"/>
  <c r="U408" i="32" s="1"/>
  <c r="A408" i="32"/>
  <c r="C414" i="32"/>
  <c r="S414" i="32" s="1"/>
  <c r="A414" i="32"/>
  <c r="F421" i="32"/>
  <c r="V421" i="32" s="1"/>
  <c r="D421" i="32"/>
  <c r="T421" i="32" s="1"/>
  <c r="D423" i="32"/>
  <c r="T423" i="32" s="1"/>
  <c r="C423" i="32"/>
  <c r="S423" i="32" s="1"/>
  <c r="D429" i="32"/>
  <c r="T429" i="32" s="1"/>
  <c r="A436" i="32"/>
  <c r="E436" i="32"/>
  <c r="U436" i="32" s="1"/>
  <c r="D445" i="32"/>
  <c r="T445" i="32" s="1"/>
  <c r="C446" i="32"/>
  <c r="S446" i="32" s="1"/>
  <c r="D447" i="32"/>
  <c r="T447" i="32" s="1"/>
  <c r="F459" i="32"/>
  <c r="V459" i="32" s="1"/>
  <c r="E499" i="32"/>
  <c r="U499" i="32" s="1"/>
  <c r="D499" i="32"/>
  <c r="T499" i="32" s="1"/>
  <c r="C509" i="32"/>
  <c r="S509" i="32" s="1"/>
  <c r="C516" i="32"/>
  <c r="S516" i="32" s="1"/>
  <c r="F532" i="32"/>
  <c r="E549" i="32"/>
  <c r="J549" i="32"/>
  <c r="F549" i="32"/>
  <c r="D576" i="32"/>
  <c r="C360" i="32"/>
  <c r="S360" i="32" s="1"/>
  <c r="D368" i="32"/>
  <c r="T368" i="32" s="1"/>
  <c r="F381" i="32"/>
  <c r="V381" i="32" s="1"/>
  <c r="J381" i="32"/>
  <c r="J382" i="32"/>
  <c r="E382" i="32"/>
  <c r="U382" i="32" s="1"/>
  <c r="E389" i="32"/>
  <c r="U389" i="32" s="1"/>
  <c r="A389" i="32"/>
  <c r="E413" i="32"/>
  <c r="U413" i="32" s="1"/>
  <c r="C413" i="32"/>
  <c r="S413" i="32" s="1"/>
  <c r="C421" i="32"/>
  <c r="S421" i="32" s="1"/>
  <c r="E423" i="32"/>
  <c r="U423" i="32" s="1"/>
  <c r="F429" i="32"/>
  <c r="V429" i="32" s="1"/>
  <c r="C434" i="32"/>
  <c r="S434" i="32" s="1"/>
  <c r="A434" i="32"/>
  <c r="E445" i="32"/>
  <c r="U445" i="32" s="1"/>
  <c r="D446" i="32"/>
  <c r="T446" i="32" s="1"/>
  <c r="F456" i="32"/>
  <c r="V456" i="32" s="1"/>
  <c r="D456" i="32"/>
  <c r="T456" i="32" s="1"/>
  <c r="E509" i="32"/>
  <c r="U509" i="32" s="1"/>
  <c r="E512" i="32"/>
  <c r="U512" i="32" s="1"/>
  <c r="C512" i="32"/>
  <c r="S512" i="32" s="1"/>
  <c r="D516" i="32"/>
  <c r="T516" i="32" s="1"/>
  <c r="M369" i="32"/>
  <c r="K376" i="32"/>
  <c r="C437" i="32"/>
  <c r="S437" i="32" s="1"/>
  <c r="C481" i="32"/>
  <c r="S481" i="32" s="1"/>
  <c r="C508" i="32"/>
  <c r="S508" i="32" s="1"/>
  <c r="D514" i="32"/>
  <c r="T514" i="32" s="1"/>
  <c r="C519" i="32"/>
  <c r="S519" i="32" s="1"/>
  <c r="D527" i="32"/>
  <c r="D552" i="32"/>
  <c r="D572" i="32"/>
  <c r="D588" i="32"/>
  <c r="D596" i="32"/>
  <c r="D371" i="32"/>
  <c r="T371" i="32" s="1"/>
  <c r="D450" i="32"/>
  <c r="T450" i="32" s="1"/>
  <c r="E462" i="32"/>
  <c r="U462" i="32" s="1"/>
  <c r="D467" i="32"/>
  <c r="T467" i="32" s="1"/>
  <c r="J471" i="32"/>
  <c r="D483" i="32"/>
  <c r="T483" i="32" s="1"/>
  <c r="J487" i="32"/>
  <c r="F514" i="32"/>
  <c r="V514" i="32" s="1"/>
  <c r="D520" i="32"/>
  <c r="T520" i="32" s="1"/>
  <c r="E540" i="32"/>
  <c r="J552" i="32"/>
  <c r="E556" i="32"/>
  <c r="E564" i="32"/>
  <c r="F572" i="32"/>
  <c r="E580" i="32"/>
  <c r="F588" i="32"/>
  <c r="F596" i="32"/>
  <c r="K183" i="32"/>
  <c r="C183" i="32"/>
  <c r="S183" i="32" s="1"/>
  <c r="I183" i="32"/>
  <c r="A183" i="32"/>
  <c r="X183" i="32"/>
  <c r="E183" i="32"/>
  <c r="U183" i="32" s="1"/>
  <c r="O183" i="32"/>
  <c r="W183" i="32" s="1"/>
  <c r="D183" i="32"/>
  <c r="T183" i="32" s="1"/>
  <c r="H183" i="32"/>
  <c r="G183" i="32"/>
  <c r="F183" i="32"/>
  <c r="V183" i="32" s="1"/>
  <c r="Q183" i="32"/>
  <c r="Y183" i="32" s="1"/>
  <c r="M183" i="32"/>
  <c r="L183" i="32"/>
  <c r="J183" i="32"/>
  <c r="G317" i="32"/>
  <c r="F317" i="32"/>
  <c r="V317" i="32" s="1"/>
  <c r="M317" i="32"/>
  <c r="D317" i="32"/>
  <c r="T317" i="32" s="1"/>
  <c r="L317" i="32"/>
  <c r="C317" i="32"/>
  <c r="S317" i="32" s="1"/>
  <c r="I317" i="32"/>
  <c r="H317" i="32"/>
  <c r="E317" i="32"/>
  <c r="U317" i="32" s="1"/>
  <c r="A317" i="32"/>
  <c r="K317" i="32"/>
  <c r="J317" i="32"/>
  <c r="I269" i="32"/>
  <c r="A269" i="32"/>
  <c r="X269" i="32"/>
  <c r="G269" i="32"/>
  <c r="O269" i="32"/>
  <c r="W269" i="32" s="1"/>
  <c r="F269" i="32"/>
  <c r="V269" i="32" s="1"/>
  <c r="K269" i="32"/>
  <c r="C269" i="32"/>
  <c r="S269" i="32" s="1"/>
  <c r="L269" i="32"/>
  <c r="H269" i="32"/>
  <c r="E269" i="32"/>
  <c r="U269" i="32" s="1"/>
  <c r="Q269" i="32"/>
  <c r="Y269" i="32" s="1"/>
  <c r="M269" i="32"/>
  <c r="J269" i="32"/>
  <c r="D269" i="32"/>
  <c r="T269" i="32" s="1"/>
  <c r="X195" i="32"/>
  <c r="G195" i="32"/>
  <c r="O195" i="32"/>
  <c r="W195" i="32" s="1"/>
  <c r="F195" i="32"/>
  <c r="V195" i="32" s="1"/>
  <c r="M195" i="32"/>
  <c r="E195" i="32"/>
  <c r="U195" i="32" s="1"/>
  <c r="L195" i="32"/>
  <c r="D195" i="32"/>
  <c r="T195" i="32" s="1"/>
  <c r="I195" i="32"/>
  <c r="A195" i="32"/>
  <c r="Q195" i="32"/>
  <c r="Y195" i="32" s="1"/>
  <c r="C195" i="32"/>
  <c r="S195" i="32" s="1"/>
  <c r="I197" i="32"/>
  <c r="A197" i="32"/>
  <c r="Q197" i="32"/>
  <c r="Y197" i="32" s="1"/>
  <c r="H197" i="32"/>
  <c r="G197" i="32"/>
  <c r="O197" i="32"/>
  <c r="W197" i="32" s="1"/>
  <c r="F197" i="32"/>
  <c r="V197" i="32" s="1"/>
  <c r="K197" i="32"/>
  <c r="C197" i="32"/>
  <c r="S197" i="32" s="1"/>
  <c r="E197" i="32"/>
  <c r="U197" i="32" s="1"/>
  <c r="D197" i="32"/>
  <c r="T197" i="32" s="1"/>
  <c r="M197" i="32"/>
  <c r="Q209" i="32"/>
  <c r="Y209" i="32" s="1"/>
  <c r="H209" i="32"/>
  <c r="J209" i="32"/>
  <c r="A209" i="32"/>
  <c r="I209" i="32"/>
  <c r="G209" i="32"/>
  <c r="F209" i="32"/>
  <c r="V209" i="32" s="1"/>
  <c r="L209" i="32"/>
  <c r="C209" i="32"/>
  <c r="S209" i="32" s="1"/>
  <c r="E209" i="32"/>
  <c r="U209" i="32" s="1"/>
  <c r="O194" i="32"/>
  <c r="W194" i="32" s="1"/>
  <c r="F194" i="32"/>
  <c r="V194" i="32" s="1"/>
  <c r="M194" i="32"/>
  <c r="L194" i="32"/>
  <c r="D194" i="32"/>
  <c r="T194" i="32" s="1"/>
  <c r="K194" i="32"/>
  <c r="C194" i="32"/>
  <c r="S194" i="32" s="1"/>
  <c r="Q194" i="32"/>
  <c r="Y194" i="32" s="1"/>
  <c r="H194" i="32"/>
  <c r="A194" i="32"/>
  <c r="G194" i="32"/>
  <c r="O207" i="32"/>
  <c r="W207" i="32" s="1"/>
  <c r="F207" i="32"/>
  <c r="V207" i="32" s="1"/>
  <c r="J207" i="32"/>
  <c r="A207" i="32"/>
  <c r="I207" i="32"/>
  <c r="H207" i="32"/>
  <c r="Q207" i="32"/>
  <c r="Y207" i="32" s="1"/>
  <c r="G207" i="32"/>
  <c r="L207" i="32"/>
  <c r="C207" i="32"/>
  <c r="S207" i="32" s="1"/>
  <c r="E207" i="32"/>
  <c r="U207" i="32" s="1"/>
  <c r="D207" i="32"/>
  <c r="T207" i="32" s="1"/>
  <c r="D209" i="32"/>
  <c r="T209" i="32" s="1"/>
  <c r="K191" i="32"/>
  <c r="C191" i="32"/>
  <c r="S191" i="32" s="1"/>
  <c r="I191" i="32"/>
  <c r="A191" i="32"/>
  <c r="Q191" i="32"/>
  <c r="Y191" i="32" s="1"/>
  <c r="H191" i="32"/>
  <c r="M191" i="32"/>
  <c r="E191" i="32"/>
  <c r="U191" i="32" s="1"/>
  <c r="J191" i="32"/>
  <c r="G191" i="32"/>
  <c r="X191" i="32"/>
  <c r="E194" i="32"/>
  <c r="U194" i="32" s="1"/>
  <c r="K207" i="32"/>
  <c r="K209" i="32"/>
  <c r="K228" i="32"/>
  <c r="C228" i="32"/>
  <c r="S228" i="32" s="1"/>
  <c r="I228" i="32"/>
  <c r="A228" i="32"/>
  <c r="Q228" i="32"/>
  <c r="Y228" i="32" s="1"/>
  <c r="H228" i="32"/>
  <c r="M228" i="32"/>
  <c r="L228" i="32"/>
  <c r="J228" i="32"/>
  <c r="G228" i="32"/>
  <c r="X228" i="32"/>
  <c r="D228" i="32"/>
  <c r="T228" i="32" s="1"/>
  <c r="O228" i="32"/>
  <c r="W228" i="32" s="1"/>
  <c r="O186" i="32"/>
  <c r="W186" i="32" s="1"/>
  <c r="F186" i="32"/>
  <c r="V186" i="32" s="1"/>
  <c r="L186" i="32"/>
  <c r="D186" i="32"/>
  <c r="T186" i="32" s="1"/>
  <c r="K186" i="32"/>
  <c r="C186" i="32"/>
  <c r="S186" i="32" s="1"/>
  <c r="Q186" i="32"/>
  <c r="Y186" i="32" s="1"/>
  <c r="H187" i="32"/>
  <c r="H189" i="32"/>
  <c r="L205" i="32"/>
  <c r="D205" i="32"/>
  <c r="T205" i="32" s="1"/>
  <c r="J205" i="32"/>
  <c r="A205" i="32"/>
  <c r="I205" i="32"/>
  <c r="H205" i="32"/>
  <c r="Q205" i="32"/>
  <c r="Y205" i="32" s="1"/>
  <c r="G205" i="32"/>
  <c r="M205" i="32"/>
  <c r="C205" i="32"/>
  <c r="S205" i="32" s="1"/>
  <c r="O231" i="32"/>
  <c r="W231" i="32" s="1"/>
  <c r="F231" i="32"/>
  <c r="V231" i="32" s="1"/>
  <c r="L231" i="32"/>
  <c r="D231" i="32"/>
  <c r="T231" i="32" s="1"/>
  <c r="K231" i="32"/>
  <c r="C231" i="32"/>
  <c r="S231" i="32" s="1"/>
  <c r="A231" i="32"/>
  <c r="M231" i="32"/>
  <c r="J231" i="32"/>
  <c r="I231" i="32"/>
  <c r="E231" i="32"/>
  <c r="U231" i="32" s="1"/>
  <c r="I186" i="32"/>
  <c r="I202" i="32"/>
  <c r="A202" i="32"/>
  <c r="Q202" i="32"/>
  <c r="Y202" i="32" s="1"/>
  <c r="G202" i="32"/>
  <c r="F202" i="32"/>
  <c r="V202" i="32" s="1"/>
  <c r="O202" i="32"/>
  <c r="W202" i="32" s="1"/>
  <c r="E202" i="32"/>
  <c r="U202" i="32" s="1"/>
  <c r="M202" i="32"/>
  <c r="D202" i="32"/>
  <c r="T202" i="32" s="1"/>
  <c r="J202" i="32"/>
  <c r="O205" i="32"/>
  <c r="W205" i="32" s="1"/>
  <c r="M222" i="32"/>
  <c r="E222" i="32"/>
  <c r="U222" i="32" s="1"/>
  <c r="K222" i="32"/>
  <c r="C222" i="32"/>
  <c r="S222" i="32" s="1"/>
  <c r="H222" i="32"/>
  <c r="G222" i="32"/>
  <c r="Q222" i="32"/>
  <c r="Y222" i="32" s="1"/>
  <c r="F222" i="32"/>
  <c r="V222" i="32" s="1"/>
  <c r="D222" i="32"/>
  <c r="T222" i="32" s="1"/>
  <c r="J222" i="32"/>
  <c r="G187" i="32"/>
  <c r="M187" i="32"/>
  <c r="E187" i="32"/>
  <c r="U187" i="32" s="1"/>
  <c r="L187" i="32"/>
  <c r="D187" i="32"/>
  <c r="T187" i="32" s="1"/>
  <c r="I187" i="32"/>
  <c r="A187" i="32"/>
  <c r="I189" i="32"/>
  <c r="A189" i="32"/>
  <c r="G189" i="32"/>
  <c r="O189" i="32"/>
  <c r="W189" i="32" s="1"/>
  <c r="F189" i="32"/>
  <c r="V189" i="32" s="1"/>
  <c r="K189" i="32"/>
  <c r="C189" i="32"/>
  <c r="S189" i="32" s="1"/>
  <c r="L213" i="32"/>
  <c r="D213" i="32"/>
  <c r="T213" i="32" s="1"/>
  <c r="H213" i="32"/>
  <c r="Q213" i="32"/>
  <c r="Y213" i="32" s="1"/>
  <c r="G213" i="32"/>
  <c r="F213" i="32"/>
  <c r="V213" i="32" s="1"/>
  <c r="O213" i="32"/>
  <c r="W213" i="32" s="1"/>
  <c r="E213" i="32"/>
  <c r="U213" i="32" s="1"/>
  <c r="J213" i="32"/>
  <c r="A213" i="32"/>
  <c r="O215" i="32"/>
  <c r="W215" i="32" s="1"/>
  <c r="F215" i="32"/>
  <c r="V215" i="32" s="1"/>
  <c r="H215" i="32"/>
  <c r="Q215" i="32"/>
  <c r="Y215" i="32" s="1"/>
  <c r="G215" i="32"/>
  <c r="X215" i="32"/>
  <c r="E215" i="32"/>
  <c r="U215" i="32" s="1"/>
  <c r="M215" i="32"/>
  <c r="D215" i="32"/>
  <c r="T215" i="32" s="1"/>
  <c r="J215" i="32"/>
  <c r="A215" i="32"/>
  <c r="Q217" i="32"/>
  <c r="Y217" i="32" s="1"/>
  <c r="H217" i="32"/>
  <c r="G217" i="32"/>
  <c r="X217" i="32"/>
  <c r="F217" i="32"/>
  <c r="V217" i="32" s="1"/>
  <c r="O217" i="32"/>
  <c r="W217" i="32" s="1"/>
  <c r="E217" i="32"/>
  <c r="U217" i="32" s="1"/>
  <c r="M217" i="32"/>
  <c r="D217" i="32"/>
  <c r="T217" i="32" s="1"/>
  <c r="J217" i="32"/>
  <c r="A217" i="32"/>
  <c r="K287" i="32"/>
  <c r="C287" i="32"/>
  <c r="S287" i="32" s="1"/>
  <c r="I287" i="32"/>
  <c r="A287" i="32"/>
  <c r="Q287" i="32"/>
  <c r="Y287" i="32" s="1"/>
  <c r="H287" i="32"/>
  <c r="M287" i="32"/>
  <c r="E287" i="32"/>
  <c r="U287" i="32" s="1"/>
  <c r="L287" i="32"/>
  <c r="D287" i="32"/>
  <c r="T287" i="32" s="1"/>
  <c r="F287" i="32"/>
  <c r="V287" i="32" s="1"/>
  <c r="J287" i="32"/>
  <c r="G287" i="32"/>
  <c r="O287" i="32"/>
  <c r="W287" i="32" s="1"/>
  <c r="X267" i="32"/>
  <c r="G267" i="32"/>
  <c r="M267" i="32"/>
  <c r="E267" i="32"/>
  <c r="U267" i="32" s="1"/>
  <c r="L267" i="32"/>
  <c r="D267" i="32"/>
  <c r="T267" i="32" s="1"/>
  <c r="I267" i="32"/>
  <c r="A267" i="32"/>
  <c r="J267" i="32"/>
  <c r="F267" i="32"/>
  <c r="V267" i="32" s="1"/>
  <c r="C267" i="32"/>
  <c r="S267" i="32" s="1"/>
  <c r="O267" i="32"/>
  <c r="W267" i="32" s="1"/>
  <c r="K267" i="32"/>
  <c r="Q267" i="32"/>
  <c r="Y267" i="32" s="1"/>
  <c r="H267" i="32"/>
  <c r="X287" i="32"/>
  <c r="G321" i="32"/>
  <c r="F321" i="32"/>
  <c r="V321" i="32" s="1"/>
  <c r="M321" i="32"/>
  <c r="D321" i="32"/>
  <c r="T321" i="32" s="1"/>
  <c r="L321" i="32"/>
  <c r="C321" i="32"/>
  <c r="S321" i="32" s="1"/>
  <c r="I321" i="32"/>
  <c r="H321" i="32"/>
  <c r="J321" i="32"/>
  <c r="E321" i="32"/>
  <c r="U321" i="32" s="1"/>
  <c r="K321" i="32"/>
  <c r="A321" i="32"/>
  <c r="K330" i="32"/>
  <c r="C330" i="32"/>
  <c r="S330" i="32" s="1"/>
  <c r="I330" i="32"/>
  <c r="A330" i="32"/>
  <c r="H330" i="32"/>
  <c r="F330" i="32"/>
  <c r="V330" i="32" s="1"/>
  <c r="E330" i="32"/>
  <c r="U330" i="32" s="1"/>
  <c r="L330" i="32"/>
  <c r="J330" i="32"/>
  <c r="D330" i="32"/>
  <c r="T330" i="32" s="1"/>
  <c r="M330" i="32"/>
  <c r="G330" i="32"/>
  <c r="J188" i="32"/>
  <c r="J196" i="32"/>
  <c r="E199" i="32"/>
  <c r="U199" i="32" s="1"/>
  <c r="M199" i="32"/>
  <c r="F212" i="32"/>
  <c r="V212" i="32" s="1"/>
  <c r="X212" i="32"/>
  <c r="F214" i="32"/>
  <c r="V214" i="32" s="1"/>
  <c r="E216" i="32"/>
  <c r="U216" i="32" s="1"/>
  <c r="O216" i="32"/>
  <c r="W216" i="32" s="1"/>
  <c r="E218" i="32"/>
  <c r="U218" i="32" s="1"/>
  <c r="O218" i="32"/>
  <c r="W218" i="32" s="1"/>
  <c r="E225" i="32"/>
  <c r="U225" i="32" s="1"/>
  <c r="H232" i="32"/>
  <c r="I234" i="32"/>
  <c r="A234" i="32"/>
  <c r="G234" i="32"/>
  <c r="O234" i="32"/>
  <c r="W234" i="32" s="1"/>
  <c r="F234" i="32"/>
  <c r="V234" i="32" s="1"/>
  <c r="K234" i="32"/>
  <c r="C234" i="32"/>
  <c r="S234" i="32" s="1"/>
  <c r="J239" i="32"/>
  <c r="O282" i="32"/>
  <c r="W282" i="32" s="1"/>
  <c r="F282" i="32"/>
  <c r="V282" i="32" s="1"/>
  <c r="L282" i="32"/>
  <c r="D282" i="32"/>
  <c r="T282" i="32" s="1"/>
  <c r="K282" i="32"/>
  <c r="C282" i="32"/>
  <c r="S282" i="32" s="1"/>
  <c r="Q282" i="32"/>
  <c r="Y282" i="32" s="1"/>
  <c r="H282" i="32"/>
  <c r="G282" i="32"/>
  <c r="M282" i="32"/>
  <c r="I282" i="32"/>
  <c r="E282" i="32"/>
  <c r="U282" i="32" s="1"/>
  <c r="H350" i="32"/>
  <c r="L350" i="32"/>
  <c r="C350" i="32"/>
  <c r="S350" i="32" s="1"/>
  <c r="J350" i="32"/>
  <c r="A350" i="32"/>
  <c r="I350" i="32"/>
  <c r="E350" i="32"/>
  <c r="U350" i="32" s="1"/>
  <c r="M350" i="32"/>
  <c r="D350" i="32"/>
  <c r="T350" i="32" s="1"/>
  <c r="G350" i="32"/>
  <c r="F350" i="32"/>
  <c r="V350" i="32" s="1"/>
  <c r="K350" i="32"/>
  <c r="J185" i="32"/>
  <c r="E188" i="32"/>
  <c r="U188" i="32" s="1"/>
  <c r="M188" i="32"/>
  <c r="J193" i="32"/>
  <c r="E196" i="32"/>
  <c r="U196" i="32" s="1"/>
  <c r="M196" i="32"/>
  <c r="H199" i="32"/>
  <c r="Q199" i="32"/>
  <c r="Y199" i="32" s="1"/>
  <c r="J201" i="32"/>
  <c r="K204" i="32"/>
  <c r="C204" i="32"/>
  <c r="S204" i="32" s="1"/>
  <c r="L204" i="32"/>
  <c r="M206" i="32"/>
  <c r="E206" i="32"/>
  <c r="U206" i="32" s="1"/>
  <c r="K206" i="32"/>
  <c r="X208" i="32"/>
  <c r="G208" i="32"/>
  <c r="K208" i="32"/>
  <c r="I210" i="32"/>
  <c r="A210" i="32"/>
  <c r="K210" i="32"/>
  <c r="I212" i="32"/>
  <c r="I214" i="32"/>
  <c r="I216" i="32"/>
  <c r="H218" i="32"/>
  <c r="O223" i="32"/>
  <c r="W223" i="32" s="1"/>
  <c r="F223" i="32"/>
  <c r="V223" i="32" s="1"/>
  <c r="L223" i="32"/>
  <c r="D223" i="32"/>
  <c r="T223" i="32" s="1"/>
  <c r="M223" i="32"/>
  <c r="J225" i="32"/>
  <c r="K232" i="32"/>
  <c r="Q233" i="32"/>
  <c r="Y233" i="32" s="1"/>
  <c r="H233" i="32"/>
  <c r="O233" i="32"/>
  <c r="W233" i="32" s="1"/>
  <c r="F233" i="32"/>
  <c r="V233" i="32" s="1"/>
  <c r="M233" i="32"/>
  <c r="E233" i="32"/>
  <c r="U233" i="32" s="1"/>
  <c r="H234" i="32"/>
  <c r="X283" i="32"/>
  <c r="G283" i="32"/>
  <c r="M283" i="32"/>
  <c r="E283" i="32"/>
  <c r="U283" i="32" s="1"/>
  <c r="L283" i="32"/>
  <c r="D283" i="32"/>
  <c r="T283" i="32" s="1"/>
  <c r="I283" i="32"/>
  <c r="A283" i="32"/>
  <c r="Q283" i="32"/>
  <c r="Y283" i="32" s="1"/>
  <c r="H283" i="32"/>
  <c r="K283" i="32"/>
  <c r="F283" i="32"/>
  <c r="V283" i="32" s="1"/>
  <c r="C283" i="32"/>
  <c r="S283" i="32" s="1"/>
  <c r="O283" i="32"/>
  <c r="W283" i="32" s="1"/>
  <c r="O292" i="32"/>
  <c r="W292" i="32" s="1"/>
  <c r="F292" i="32"/>
  <c r="V292" i="32" s="1"/>
  <c r="L292" i="32"/>
  <c r="D292" i="32"/>
  <c r="T292" i="32" s="1"/>
  <c r="K292" i="32"/>
  <c r="C292" i="32"/>
  <c r="S292" i="32" s="1"/>
  <c r="H292" i="32"/>
  <c r="G292" i="32"/>
  <c r="E292" i="32"/>
  <c r="U292" i="32" s="1"/>
  <c r="A292" i="32"/>
  <c r="J292" i="32"/>
  <c r="I292" i="32"/>
  <c r="H182" i="32"/>
  <c r="Q182" i="32"/>
  <c r="Y182" i="32" s="1"/>
  <c r="C185" i="32"/>
  <c r="S185" i="32" s="1"/>
  <c r="K185" i="32"/>
  <c r="F188" i="32"/>
  <c r="V188" i="32" s="1"/>
  <c r="O188" i="32"/>
  <c r="W188" i="32" s="1"/>
  <c r="H190" i="32"/>
  <c r="Q190" i="32"/>
  <c r="Y190" i="32" s="1"/>
  <c r="C193" i="32"/>
  <c r="S193" i="32" s="1"/>
  <c r="K193" i="32"/>
  <c r="F196" i="32"/>
  <c r="V196" i="32" s="1"/>
  <c r="O196" i="32"/>
  <c r="W196" i="32" s="1"/>
  <c r="H198" i="32"/>
  <c r="Q198" i="32"/>
  <c r="Y198" i="32" s="1"/>
  <c r="A199" i="32"/>
  <c r="I199" i="32"/>
  <c r="C201" i="32"/>
  <c r="S201" i="32" s="1"/>
  <c r="K201" i="32"/>
  <c r="D204" i="32"/>
  <c r="T204" i="32" s="1"/>
  <c r="M204" i="32"/>
  <c r="C206" i="32"/>
  <c r="S206" i="32" s="1"/>
  <c r="L206" i="32"/>
  <c r="C208" i="32"/>
  <c r="S208" i="32" s="1"/>
  <c r="L208" i="32"/>
  <c r="C210" i="32"/>
  <c r="S210" i="32" s="1"/>
  <c r="L210" i="32"/>
  <c r="A212" i="32"/>
  <c r="A214" i="32"/>
  <c r="A216" i="32"/>
  <c r="C223" i="32"/>
  <c r="S223" i="32" s="1"/>
  <c r="G224" i="32"/>
  <c r="M224" i="32"/>
  <c r="E224" i="32"/>
  <c r="U224" i="32" s="1"/>
  <c r="L224" i="32"/>
  <c r="A225" i="32"/>
  <c r="I226" i="32"/>
  <c r="A226" i="32"/>
  <c r="G226" i="32"/>
  <c r="O226" i="32"/>
  <c r="W226" i="32" s="1"/>
  <c r="F226" i="32"/>
  <c r="V226" i="32" s="1"/>
  <c r="M226" i="32"/>
  <c r="A232" i="32"/>
  <c r="C233" i="32"/>
  <c r="S233" i="32" s="1"/>
  <c r="J234" i="32"/>
  <c r="L250" i="32"/>
  <c r="D250" i="32"/>
  <c r="T250" i="32" s="1"/>
  <c r="Q250" i="32"/>
  <c r="Y250" i="32" s="1"/>
  <c r="H250" i="32"/>
  <c r="G250" i="32"/>
  <c r="E250" i="32"/>
  <c r="U250" i="32" s="1"/>
  <c r="O250" i="32"/>
  <c r="W250" i="32" s="1"/>
  <c r="C250" i="32"/>
  <c r="S250" i="32" s="1"/>
  <c r="J250" i="32"/>
  <c r="I250" i="32"/>
  <c r="J283" i="32"/>
  <c r="M292" i="32"/>
  <c r="K356" i="32"/>
  <c r="J356" i="32"/>
  <c r="E356" i="32"/>
  <c r="U356" i="32" s="1"/>
  <c r="D356" i="32"/>
  <c r="T356" i="32" s="1"/>
  <c r="M356" i="32"/>
  <c r="A356" i="32"/>
  <c r="L356" i="32"/>
  <c r="C356" i="32"/>
  <c r="S356" i="32" s="1"/>
  <c r="F356" i="32"/>
  <c r="V356" i="32" s="1"/>
  <c r="J199" i="32"/>
  <c r="K212" i="32"/>
  <c r="C212" i="32"/>
  <c r="S212" i="32" s="1"/>
  <c r="L212" i="32"/>
  <c r="M214" i="32"/>
  <c r="E214" i="32"/>
  <c r="U214" i="32" s="1"/>
  <c r="K214" i="32"/>
  <c r="G216" i="32"/>
  <c r="K216" i="32"/>
  <c r="I218" i="32"/>
  <c r="A218" i="32"/>
  <c r="K218" i="32"/>
  <c r="Q225" i="32"/>
  <c r="Y225" i="32" s="1"/>
  <c r="H225" i="32"/>
  <c r="O225" i="32"/>
  <c r="W225" i="32" s="1"/>
  <c r="F225" i="32"/>
  <c r="V225" i="32" s="1"/>
  <c r="M225" i="32"/>
  <c r="L225" i="32"/>
  <c r="X232" i="32"/>
  <c r="G232" i="32"/>
  <c r="M232" i="32"/>
  <c r="E232" i="32"/>
  <c r="U232" i="32" s="1"/>
  <c r="L232" i="32"/>
  <c r="D232" i="32"/>
  <c r="T232" i="32" s="1"/>
  <c r="Q232" i="32"/>
  <c r="Y232" i="32" s="1"/>
  <c r="L234" i="32"/>
  <c r="O239" i="32"/>
  <c r="W239" i="32" s="1"/>
  <c r="F239" i="32"/>
  <c r="V239" i="32" s="1"/>
  <c r="L239" i="32"/>
  <c r="D239" i="32"/>
  <c r="T239" i="32" s="1"/>
  <c r="K239" i="32"/>
  <c r="C239" i="32"/>
  <c r="S239" i="32" s="1"/>
  <c r="Q239" i="32"/>
  <c r="Y239" i="32" s="1"/>
  <c r="H239" i="32"/>
  <c r="G239" i="32"/>
  <c r="G240" i="32"/>
  <c r="M240" i="32"/>
  <c r="E240" i="32"/>
  <c r="U240" i="32" s="1"/>
  <c r="L240" i="32"/>
  <c r="D240" i="32"/>
  <c r="T240" i="32" s="1"/>
  <c r="I240" i="32"/>
  <c r="A240" i="32"/>
  <c r="Q240" i="32"/>
  <c r="Y240" i="32" s="1"/>
  <c r="H240" i="32"/>
  <c r="G259" i="32"/>
  <c r="M259" i="32"/>
  <c r="E259" i="32"/>
  <c r="U259" i="32" s="1"/>
  <c r="I259" i="32"/>
  <c r="A259" i="32"/>
  <c r="H259" i="32"/>
  <c r="D259" i="32"/>
  <c r="T259" i="32" s="1"/>
  <c r="Q259" i="32"/>
  <c r="Y259" i="32" s="1"/>
  <c r="C259" i="32"/>
  <c r="S259" i="32" s="1"/>
  <c r="K259" i="32"/>
  <c r="J259" i="32"/>
  <c r="F314" i="32"/>
  <c r="V314" i="32" s="1"/>
  <c r="L314" i="32"/>
  <c r="D314" i="32"/>
  <c r="T314" i="32" s="1"/>
  <c r="K314" i="32"/>
  <c r="C314" i="32"/>
  <c r="S314" i="32" s="1"/>
  <c r="H314" i="32"/>
  <c r="G314" i="32"/>
  <c r="M314" i="32"/>
  <c r="I314" i="32"/>
  <c r="E314" i="32"/>
  <c r="U314" i="32" s="1"/>
  <c r="A314" i="32"/>
  <c r="G329" i="32"/>
  <c r="M329" i="32"/>
  <c r="E329" i="32"/>
  <c r="U329" i="32" s="1"/>
  <c r="H329" i="32"/>
  <c r="D329" i="32"/>
  <c r="T329" i="32" s="1"/>
  <c r="C329" i="32"/>
  <c r="S329" i="32" s="1"/>
  <c r="J329" i="32"/>
  <c r="I329" i="32"/>
  <c r="F329" i="32"/>
  <c r="V329" i="32" s="1"/>
  <c r="A329" i="32"/>
  <c r="L329" i="32"/>
  <c r="K329" i="32"/>
  <c r="E185" i="32"/>
  <c r="U185" i="32" s="1"/>
  <c r="H188" i="32"/>
  <c r="E193" i="32"/>
  <c r="U193" i="32" s="1"/>
  <c r="H196" i="32"/>
  <c r="C199" i="32"/>
  <c r="S199" i="32" s="1"/>
  <c r="E201" i="32"/>
  <c r="U201" i="32" s="1"/>
  <c r="F204" i="32"/>
  <c r="V204" i="32" s="1"/>
  <c r="X204" i="32"/>
  <c r="F206" i="32"/>
  <c r="V206" i="32" s="1"/>
  <c r="E208" i="32"/>
  <c r="U208" i="32" s="1"/>
  <c r="O208" i="32"/>
  <c r="W208" i="32" s="1"/>
  <c r="E210" i="32"/>
  <c r="U210" i="32" s="1"/>
  <c r="O210" i="32"/>
  <c r="W210" i="32" s="1"/>
  <c r="D212" i="32"/>
  <c r="T212" i="32" s="1"/>
  <c r="M212" i="32"/>
  <c r="C214" i="32"/>
  <c r="S214" i="32" s="1"/>
  <c r="L214" i="32"/>
  <c r="C216" i="32"/>
  <c r="S216" i="32" s="1"/>
  <c r="L216" i="32"/>
  <c r="C218" i="32"/>
  <c r="S218" i="32" s="1"/>
  <c r="L218" i="32"/>
  <c r="K220" i="32"/>
  <c r="C220" i="32"/>
  <c r="S220" i="32" s="1"/>
  <c r="I220" i="32"/>
  <c r="A220" i="32"/>
  <c r="M220" i="32"/>
  <c r="G223" i="32"/>
  <c r="C225" i="32"/>
  <c r="S225" i="32" s="1"/>
  <c r="C232" i="32"/>
  <c r="S232" i="32" s="1"/>
  <c r="G233" i="32"/>
  <c r="M234" i="32"/>
  <c r="K236" i="32"/>
  <c r="C236" i="32"/>
  <c r="S236" i="32" s="1"/>
  <c r="I236" i="32"/>
  <c r="A236" i="32"/>
  <c r="Q236" i="32"/>
  <c r="Y236" i="32" s="1"/>
  <c r="H236" i="32"/>
  <c r="M236" i="32"/>
  <c r="E236" i="32"/>
  <c r="U236" i="32" s="1"/>
  <c r="L236" i="32"/>
  <c r="D236" i="32"/>
  <c r="T236" i="32" s="1"/>
  <c r="E239" i="32"/>
  <c r="U239" i="32" s="1"/>
  <c r="C240" i="32"/>
  <c r="S240" i="32" s="1"/>
  <c r="K250" i="32"/>
  <c r="F259" i="32"/>
  <c r="V259" i="32" s="1"/>
  <c r="J314" i="32"/>
  <c r="J242" i="32"/>
  <c r="A245" i="32"/>
  <c r="A247" i="32"/>
  <c r="A249" i="32"/>
  <c r="O266" i="32"/>
  <c r="W266" i="32" s="1"/>
  <c r="F266" i="32"/>
  <c r="V266" i="32" s="1"/>
  <c r="L266" i="32"/>
  <c r="D266" i="32"/>
  <c r="T266" i="32" s="1"/>
  <c r="K266" i="32"/>
  <c r="C266" i="32"/>
  <c r="S266" i="32" s="1"/>
  <c r="Q266" i="32"/>
  <c r="Y266" i="32" s="1"/>
  <c r="H266" i="32"/>
  <c r="H296" i="32"/>
  <c r="F296" i="32"/>
  <c r="V296" i="32" s="1"/>
  <c r="M296" i="32"/>
  <c r="D296" i="32"/>
  <c r="T296" i="32" s="1"/>
  <c r="L296" i="32"/>
  <c r="C296" i="32"/>
  <c r="S296" i="32" s="1"/>
  <c r="I296" i="32"/>
  <c r="G296" i="32"/>
  <c r="L304" i="32"/>
  <c r="D304" i="32"/>
  <c r="T304" i="32" s="1"/>
  <c r="K304" i="32"/>
  <c r="C304" i="32"/>
  <c r="S304" i="32" s="1"/>
  <c r="H304" i="32"/>
  <c r="I304" i="32"/>
  <c r="F304" i="32"/>
  <c r="V304" i="32" s="1"/>
  <c r="E304" i="32"/>
  <c r="U304" i="32" s="1"/>
  <c r="M304" i="32"/>
  <c r="J304" i="32"/>
  <c r="H309" i="32"/>
  <c r="G309" i="32"/>
  <c r="L309" i="32"/>
  <c r="D309" i="32"/>
  <c r="T309" i="32" s="1"/>
  <c r="K309" i="32"/>
  <c r="C309" i="32"/>
  <c r="S309" i="32" s="1"/>
  <c r="J309" i="32"/>
  <c r="F309" i="32"/>
  <c r="V309" i="32" s="1"/>
  <c r="E309" i="32"/>
  <c r="U309" i="32" s="1"/>
  <c r="M309" i="32"/>
  <c r="G331" i="32"/>
  <c r="M331" i="32"/>
  <c r="E331" i="32"/>
  <c r="U331" i="32" s="1"/>
  <c r="I331" i="32"/>
  <c r="F331" i="32"/>
  <c r="V331" i="32" s="1"/>
  <c r="D331" i="32"/>
  <c r="T331" i="32" s="1"/>
  <c r="K331" i="32"/>
  <c r="A331" i="32"/>
  <c r="J331" i="32"/>
  <c r="C331" i="32"/>
  <c r="S331" i="32" s="1"/>
  <c r="L331" i="32"/>
  <c r="H331" i="32"/>
  <c r="H346" i="32"/>
  <c r="L346" i="32"/>
  <c r="C346" i="32"/>
  <c r="S346" i="32" s="1"/>
  <c r="J346" i="32"/>
  <c r="A346" i="32"/>
  <c r="I346" i="32"/>
  <c r="E346" i="32"/>
  <c r="U346" i="32" s="1"/>
  <c r="M346" i="32"/>
  <c r="D346" i="32"/>
  <c r="T346" i="32" s="1"/>
  <c r="G346" i="32"/>
  <c r="F346" i="32"/>
  <c r="V346" i="32" s="1"/>
  <c r="K346" i="32"/>
  <c r="J241" i="32"/>
  <c r="C242" i="32"/>
  <c r="S242" i="32" s="1"/>
  <c r="K242" i="32"/>
  <c r="K245" i="32"/>
  <c r="C245" i="32"/>
  <c r="S245" i="32" s="1"/>
  <c r="L245" i="32"/>
  <c r="M247" i="32"/>
  <c r="E247" i="32"/>
  <c r="U247" i="32" s="1"/>
  <c r="K247" i="32"/>
  <c r="K249" i="32"/>
  <c r="G249" i="32"/>
  <c r="L249" i="32"/>
  <c r="I253" i="32"/>
  <c r="A253" i="32"/>
  <c r="X253" i="32"/>
  <c r="G253" i="32"/>
  <c r="K253" i="32"/>
  <c r="C253" i="32"/>
  <c r="S253" i="32" s="1"/>
  <c r="O253" i="32"/>
  <c r="W253" i="32" s="1"/>
  <c r="F312" i="32"/>
  <c r="V312" i="32" s="1"/>
  <c r="L312" i="32"/>
  <c r="D312" i="32"/>
  <c r="T312" i="32" s="1"/>
  <c r="K312" i="32"/>
  <c r="C312" i="32"/>
  <c r="S312" i="32" s="1"/>
  <c r="H312" i="32"/>
  <c r="G312" i="32"/>
  <c r="E312" i="32"/>
  <c r="U312" i="32" s="1"/>
  <c r="A312" i="32"/>
  <c r="J312" i="32"/>
  <c r="I312" i="32"/>
  <c r="J230" i="32"/>
  <c r="J238" i="32"/>
  <c r="E241" i="32"/>
  <c r="U241" i="32" s="1"/>
  <c r="M241" i="32"/>
  <c r="F242" i="32"/>
  <c r="V242" i="32" s="1"/>
  <c r="O242" i="32"/>
  <c r="W242" i="32" s="1"/>
  <c r="F245" i="32"/>
  <c r="V245" i="32" s="1"/>
  <c r="F247" i="32"/>
  <c r="V247" i="32" s="1"/>
  <c r="E249" i="32"/>
  <c r="U249" i="32" s="1"/>
  <c r="Q249" i="32"/>
  <c r="Y249" i="32" s="1"/>
  <c r="M251" i="32"/>
  <c r="E251" i="32"/>
  <c r="U251" i="32" s="1"/>
  <c r="I251" i="32"/>
  <c r="A251" i="32"/>
  <c r="L251" i="32"/>
  <c r="F253" i="32"/>
  <c r="V253" i="32" s="1"/>
  <c r="J266" i="32"/>
  <c r="K271" i="32"/>
  <c r="C271" i="32"/>
  <c r="S271" i="32" s="1"/>
  <c r="I271" i="32"/>
  <c r="A271" i="32"/>
  <c r="Q271" i="32"/>
  <c r="Y271" i="32" s="1"/>
  <c r="H271" i="32"/>
  <c r="M271" i="32"/>
  <c r="E271" i="32"/>
  <c r="U271" i="32" s="1"/>
  <c r="O274" i="32"/>
  <c r="W274" i="32" s="1"/>
  <c r="F274" i="32"/>
  <c r="V274" i="32" s="1"/>
  <c r="L274" i="32"/>
  <c r="D274" i="32"/>
  <c r="T274" i="32" s="1"/>
  <c r="K274" i="32"/>
  <c r="C274" i="32"/>
  <c r="S274" i="32" s="1"/>
  <c r="Q274" i="32"/>
  <c r="Y274" i="32" s="1"/>
  <c r="H274" i="32"/>
  <c r="X274" i="32"/>
  <c r="G274" i="32"/>
  <c r="G275" i="32"/>
  <c r="M275" i="32"/>
  <c r="E275" i="32"/>
  <c r="U275" i="32" s="1"/>
  <c r="L275" i="32"/>
  <c r="D275" i="32"/>
  <c r="T275" i="32" s="1"/>
  <c r="I275" i="32"/>
  <c r="A275" i="32"/>
  <c r="Q275" i="32"/>
  <c r="Y275" i="32" s="1"/>
  <c r="H275" i="32"/>
  <c r="K291" i="32"/>
  <c r="C291" i="32"/>
  <c r="S291" i="32" s="1"/>
  <c r="I291" i="32"/>
  <c r="A291" i="32"/>
  <c r="H291" i="32"/>
  <c r="M291" i="32"/>
  <c r="E291" i="32"/>
  <c r="U291" i="32" s="1"/>
  <c r="L291" i="32"/>
  <c r="D291" i="32"/>
  <c r="T291" i="32" s="1"/>
  <c r="H354" i="32"/>
  <c r="L354" i="32"/>
  <c r="C354" i="32"/>
  <c r="S354" i="32" s="1"/>
  <c r="J354" i="32"/>
  <c r="A354" i="32"/>
  <c r="I354" i="32"/>
  <c r="E354" i="32"/>
  <c r="U354" i="32" s="1"/>
  <c r="M354" i="32"/>
  <c r="D354" i="32"/>
  <c r="T354" i="32" s="1"/>
  <c r="G354" i="32"/>
  <c r="F354" i="32"/>
  <c r="V354" i="32" s="1"/>
  <c r="K354" i="32"/>
  <c r="J221" i="32"/>
  <c r="J229" i="32"/>
  <c r="C230" i="32"/>
  <c r="S230" i="32" s="1"/>
  <c r="K230" i="32"/>
  <c r="J237" i="32"/>
  <c r="C238" i="32"/>
  <c r="S238" i="32" s="1"/>
  <c r="K238" i="32"/>
  <c r="F241" i="32"/>
  <c r="V241" i="32" s="1"/>
  <c r="O241" i="32"/>
  <c r="W241" i="32" s="1"/>
  <c r="G242" i="32"/>
  <c r="G245" i="32"/>
  <c r="Q245" i="32"/>
  <c r="Y245" i="32" s="1"/>
  <c r="L246" i="32"/>
  <c r="D246" i="32"/>
  <c r="T246" i="32" s="1"/>
  <c r="K246" i="32"/>
  <c r="G247" i="32"/>
  <c r="Q247" i="32"/>
  <c r="Y247" i="32" s="1"/>
  <c r="O248" i="32"/>
  <c r="W248" i="32" s="1"/>
  <c r="F248" i="32"/>
  <c r="V248" i="32" s="1"/>
  <c r="K248" i="32"/>
  <c r="F249" i="32"/>
  <c r="V249" i="32" s="1"/>
  <c r="C251" i="32"/>
  <c r="S251" i="32" s="1"/>
  <c r="O251" i="32"/>
  <c r="W251" i="32" s="1"/>
  <c r="H253" i="32"/>
  <c r="O258" i="32"/>
  <c r="W258" i="32" s="1"/>
  <c r="F258" i="32"/>
  <c r="V258" i="32" s="1"/>
  <c r="L258" i="32"/>
  <c r="D258" i="32"/>
  <c r="T258" i="32" s="1"/>
  <c r="Q258" i="32"/>
  <c r="Y258" i="32" s="1"/>
  <c r="H258" i="32"/>
  <c r="I261" i="32"/>
  <c r="A261" i="32"/>
  <c r="G261" i="32"/>
  <c r="O261" i="32"/>
  <c r="W261" i="32" s="1"/>
  <c r="F261" i="32"/>
  <c r="V261" i="32" s="1"/>
  <c r="K261" i="32"/>
  <c r="C261" i="32"/>
  <c r="S261" i="32" s="1"/>
  <c r="M266" i="32"/>
  <c r="D271" i="32"/>
  <c r="T271" i="32" s="1"/>
  <c r="E274" i="32"/>
  <c r="U274" i="32" s="1"/>
  <c r="C275" i="32"/>
  <c r="S275" i="32" s="1"/>
  <c r="F291" i="32"/>
  <c r="V291" i="32" s="1"/>
  <c r="L300" i="32"/>
  <c r="D300" i="32"/>
  <c r="T300" i="32" s="1"/>
  <c r="K300" i="32"/>
  <c r="C300" i="32"/>
  <c r="S300" i="32" s="1"/>
  <c r="H300" i="32"/>
  <c r="I300" i="32"/>
  <c r="F300" i="32"/>
  <c r="V300" i="32" s="1"/>
  <c r="E300" i="32"/>
  <c r="U300" i="32" s="1"/>
  <c r="M300" i="32"/>
  <c r="J300" i="32"/>
  <c r="D221" i="32"/>
  <c r="T221" i="32" s="1"/>
  <c r="D229" i="32"/>
  <c r="T229" i="32" s="1"/>
  <c r="E230" i="32"/>
  <c r="U230" i="32" s="1"/>
  <c r="D237" i="32"/>
  <c r="T237" i="32" s="1"/>
  <c r="E238" i="32"/>
  <c r="U238" i="32" s="1"/>
  <c r="H241" i="32"/>
  <c r="A242" i="32"/>
  <c r="K243" i="32"/>
  <c r="I245" i="32"/>
  <c r="E246" i="32"/>
  <c r="U246" i="32" s="1"/>
  <c r="O246" i="32"/>
  <c r="W246" i="32" s="1"/>
  <c r="I247" i="32"/>
  <c r="D248" i="32"/>
  <c r="T248" i="32" s="1"/>
  <c r="M248" i="32"/>
  <c r="I249" i="32"/>
  <c r="F251" i="32"/>
  <c r="V251" i="32" s="1"/>
  <c r="Q251" i="32"/>
  <c r="Y251" i="32" s="1"/>
  <c r="L253" i="32"/>
  <c r="K255" i="32"/>
  <c r="C255" i="32"/>
  <c r="S255" i="32" s="1"/>
  <c r="I255" i="32"/>
  <c r="A255" i="32"/>
  <c r="M255" i="32"/>
  <c r="E255" i="32"/>
  <c r="U255" i="32" s="1"/>
  <c r="M257" i="32"/>
  <c r="E257" i="32"/>
  <c r="U257" i="32" s="1"/>
  <c r="K257" i="32"/>
  <c r="C257" i="32"/>
  <c r="S257" i="32" s="1"/>
  <c r="G257" i="32"/>
  <c r="Q257" i="32"/>
  <c r="Y257" i="32" s="1"/>
  <c r="E258" i="32"/>
  <c r="U258" i="32" s="1"/>
  <c r="E261" i="32"/>
  <c r="U261" i="32" s="1"/>
  <c r="K263" i="32"/>
  <c r="C263" i="32"/>
  <c r="S263" i="32" s="1"/>
  <c r="I263" i="32"/>
  <c r="A263" i="32"/>
  <c r="Q263" i="32"/>
  <c r="Y263" i="32" s="1"/>
  <c r="H263" i="32"/>
  <c r="M263" i="32"/>
  <c r="E263" i="32"/>
  <c r="U263" i="32" s="1"/>
  <c r="A266" i="32"/>
  <c r="G271" i="32"/>
  <c r="J274" i="32"/>
  <c r="J275" i="32"/>
  <c r="K279" i="32"/>
  <c r="C279" i="32"/>
  <c r="S279" i="32" s="1"/>
  <c r="I279" i="32"/>
  <c r="A279" i="32"/>
  <c r="Q279" i="32"/>
  <c r="Y279" i="32" s="1"/>
  <c r="H279" i="32"/>
  <c r="M279" i="32"/>
  <c r="E279" i="32"/>
  <c r="U279" i="32" s="1"/>
  <c r="L279" i="32"/>
  <c r="D279" i="32"/>
  <c r="T279" i="32" s="1"/>
  <c r="J291" i="32"/>
  <c r="A296" i="32"/>
  <c r="A304" i="32"/>
  <c r="H307" i="32"/>
  <c r="G307" i="32"/>
  <c r="L307" i="32"/>
  <c r="D307" i="32"/>
  <c r="T307" i="32" s="1"/>
  <c r="K307" i="32"/>
  <c r="C307" i="32"/>
  <c r="S307" i="32" s="1"/>
  <c r="J307" i="32"/>
  <c r="F307" i="32"/>
  <c r="V307" i="32" s="1"/>
  <c r="E307" i="32"/>
  <c r="U307" i="32" s="1"/>
  <c r="M307" i="32"/>
  <c r="A309" i="32"/>
  <c r="J277" i="32"/>
  <c r="J285" i="32"/>
  <c r="J293" i="32"/>
  <c r="J295" i="32"/>
  <c r="G325" i="32"/>
  <c r="F325" i="32"/>
  <c r="V325" i="32" s="1"/>
  <c r="M325" i="32"/>
  <c r="D325" i="32"/>
  <c r="T325" i="32" s="1"/>
  <c r="L325" i="32"/>
  <c r="C325" i="32"/>
  <c r="S325" i="32" s="1"/>
  <c r="I325" i="32"/>
  <c r="H325" i="32"/>
  <c r="F400" i="32"/>
  <c r="V400" i="32" s="1"/>
  <c r="D400" i="32"/>
  <c r="T400" i="32" s="1"/>
  <c r="C400" i="32"/>
  <c r="S400" i="32" s="1"/>
  <c r="J400" i="32"/>
  <c r="E400" i="32"/>
  <c r="U400" i="32" s="1"/>
  <c r="D254" i="32"/>
  <c r="T254" i="32" s="1"/>
  <c r="L254" i="32"/>
  <c r="F256" i="32"/>
  <c r="V256" i="32" s="1"/>
  <c r="O256" i="32"/>
  <c r="W256" i="32" s="1"/>
  <c r="D262" i="32"/>
  <c r="T262" i="32" s="1"/>
  <c r="L262" i="32"/>
  <c r="F264" i="32"/>
  <c r="V264" i="32" s="1"/>
  <c r="O264" i="32"/>
  <c r="W264" i="32" s="1"/>
  <c r="G265" i="32"/>
  <c r="D270" i="32"/>
  <c r="T270" i="32" s="1"/>
  <c r="L270" i="32"/>
  <c r="F272" i="32"/>
  <c r="V272" i="32" s="1"/>
  <c r="O272" i="32"/>
  <c r="W272" i="32" s="1"/>
  <c r="G273" i="32"/>
  <c r="C277" i="32"/>
  <c r="S277" i="32" s="1"/>
  <c r="K277" i="32"/>
  <c r="D278" i="32"/>
  <c r="T278" i="32" s="1"/>
  <c r="L278" i="32"/>
  <c r="F280" i="32"/>
  <c r="V280" i="32" s="1"/>
  <c r="O280" i="32"/>
  <c r="W280" i="32" s="1"/>
  <c r="G281" i="32"/>
  <c r="C285" i="32"/>
  <c r="S285" i="32" s="1"/>
  <c r="K285" i="32"/>
  <c r="D286" i="32"/>
  <c r="T286" i="32" s="1"/>
  <c r="L286" i="32"/>
  <c r="F288" i="32"/>
  <c r="V288" i="32" s="1"/>
  <c r="O288" i="32"/>
  <c r="W288" i="32" s="1"/>
  <c r="G289" i="32"/>
  <c r="C293" i="32"/>
  <c r="S293" i="32" s="1"/>
  <c r="K293" i="32"/>
  <c r="G294" i="32"/>
  <c r="C295" i="32"/>
  <c r="S295" i="32" s="1"/>
  <c r="K295" i="32"/>
  <c r="H301" i="32"/>
  <c r="G301" i="32"/>
  <c r="L301" i="32"/>
  <c r="D301" i="32"/>
  <c r="T301" i="32" s="1"/>
  <c r="F302" i="32"/>
  <c r="V302" i="32" s="1"/>
  <c r="H305" i="32"/>
  <c r="G305" i="32"/>
  <c r="L305" i="32"/>
  <c r="D305" i="32"/>
  <c r="T305" i="32" s="1"/>
  <c r="E325" i="32"/>
  <c r="U325" i="32" s="1"/>
  <c r="J265" i="32"/>
  <c r="J273" i="32"/>
  <c r="F277" i="32"/>
  <c r="V277" i="32" s="1"/>
  <c r="O277" i="32"/>
  <c r="W277" i="32" s="1"/>
  <c r="J281" i="32"/>
  <c r="F285" i="32"/>
  <c r="V285" i="32" s="1"/>
  <c r="O285" i="32"/>
  <c r="W285" i="32" s="1"/>
  <c r="J289" i="32"/>
  <c r="F293" i="32"/>
  <c r="V293" i="32" s="1"/>
  <c r="J294" i="32"/>
  <c r="F295" i="32"/>
  <c r="V295" i="32" s="1"/>
  <c r="F358" i="32"/>
  <c r="V358" i="32" s="1"/>
  <c r="K358" i="32"/>
  <c r="E358" i="32"/>
  <c r="U358" i="32" s="1"/>
  <c r="D358" i="32"/>
  <c r="T358" i="32" s="1"/>
  <c r="M358" i="32"/>
  <c r="A358" i="32"/>
  <c r="L358" i="32"/>
  <c r="C358" i="32"/>
  <c r="S358" i="32" s="1"/>
  <c r="J358" i="32"/>
  <c r="H254" i="32"/>
  <c r="Q254" i="32"/>
  <c r="Y254" i="32" s="1"/>
  <c r="H262" i="32"/>
  <c r="Q262" i="32"/>
  <c r="Y262" i="32" s="1"/>
  <c r="C265" i="32"/>
  <c r="S265" i="32" s="1"/>
  <c r="K265" i="32"/>
  <c r="H270" i="32"/>
  <c r="Q270" i="32"/>
  <c r="Y270" i="32" s="1"/>
  <c r="C273" i="32"/>
  <c r="S273" i="32" s="1"/>
  <c r="K273" i="32"/>
  <c r="G277" i="32"/>
  <c r="X277" i="32"/>
  <c r="H278" i="32"/>
  <c r="Q278" i="32"/>
  <c r="Y278" i="32" s="1"/>
  <c r="C281" i="32"/>
  <c r="S281" i="32" s="1"/>
  <c r="K281" i="32"/>
  <c r="G285" i="32"/>
  <c r="X285" i="32"/>
  <c r="H286" i="32"/>
  <c r="Q286" i="32"/>
  <c r="Y286" i="32" s="1"/>
  <c r="C289" i="32"/>
  <c r="S289" i="32" s="1"/>
  <c r="K289" i="32"/>
  <c r="G293" i="32"/>
  <c r="C294" i="32"/>
  <c r="S294" i="32" s="1"/>
  <c r="K294" i="32"/>
  <c r="G295" i="32"/>
  <c r="G297" i="32"/>
  <c r="L297" i="32"/>
  <c r="D297" i="32"/>
  <c r="T297" i="32" s="1"/>
  <c r="M297" i="32"/>
  <c r="K298" i="32"/>
  <c r="C298" i="32"/>
  <c r="S298" i="32" s="1"/>
  <c r="H298" i="32"/>
  <c r="M298" i="32"/>
  <c r="H299" i="32"/>
  <c r="G299" i="32"/>
  <c r="L299" i="32"/>
  <c r="D299" i="32"/>
  <c r="T299" i="32" s="1"/>
  <c r="H303" i="32"/>
  <c r="G303" i="32"/>
  <c r="L303" i="32"/>
  <c r="D303" i="32"/>
  <c r="T303" i="32" s="1"/>
  <c r="K328" i="32"/>
  <c r="C328" i="32"/>
  <c r="S328" i="32" s="1"/>
  <c r="I328" i="32"/>
  <c r="A328" i="32"/>
  <c r="G328" i="32"/>
  <c r="E328" i="32"/>
  <c r="U328" i="32" s="1"/>
  <c r="D328" i="32"/>
  <c r="T328" i="32" s="1"/>
  <c r="J328" i="32"/>
  <c r="H328" i="32"/>
  <c r="G345" i="32"/>
  <c r="M345" i="32"/>
  <c r="E345" i="32"/>
  <c r="U345" i="32" s="1"/>
  <c r="L345" i="32"/>
  <c r="D345" i="32"/>
  <c r="T345" i="32" s="1"/>
  <c r="I345" i="32"/>
  <c r="A345" i="32"/>
  <c r="H345" i="32"/>
  <c r="J345" i="32"/>
  <c r="F345" i="32"/>
  <c r="V345" i="32" s="1"/>
  <c r="F364" i="32"/>
  <c r="V364" i="32" s="1"/>
  <c r="M364" i="32"/>
  <c r="A364" i="32"/>
  <c r="J364" i="32"/>
  <c r="D364" i="32"/>
  <c r="T364" i="32" s="1"/>
  <c r="C364" i="32"/>
  <c r="S364" i="32" s="1"/>
  <c r="L364" i="32"/>
  <c r="K364" i="32"/>
  <c r="E364" i="32"/>
  <c r="U364" i="32" s="1"/>
  <c r="E265" i="32"/>
  <c r="U265" i="32" s="1"/>
  <c r="E273" i="32"/>
  <c r="U273" i="32" s="1"/>
  <c r="A277" i="32"/>
  <c r="E281" i="32"/>
  <c r="U281" i="32" s="1"/>
  <c r="A285" i="32"/>
  <c r="E289" i="32"/>
  <c r="U289" i="32" s="1"/>
  <c r="A293" i="32"/>
  <c r="E294" i="32"/>
  <c r="U294" i="32" s="1"/>
  <c r="A295" i="32"/>
  <c r="I295" i="32"/>
  <c r="L302" i="32"/>
  <c r="D302" i="32"/>
  <c r="T302" i="32" s="1"/>
  <c r="K302" i="32"/>
  <c r="C302" i="32"/>
  <c r="S302" i="32" s="1"/>
  <c r="H302" i="32"/>
  <c r="L306" i="32"/>
  <c r="D306" i="32"/>
  <c r="T306" i="32" s="1"/>
  <c r="K306" i="32"/>
  <c r="C306" i="32"/>
  <c r="S306" i="32" s="1"/>
  <c r="H306" i="32"/>
  <c r="G306" i="32"/>
  <c r="L308" i="32"/>
  <c r="D308" i="32"/>
  <c r="T308" i="32" s="1"/>
  <c r="K308" i="32"/>
  <c r="C308" i="32"/>
  <c r="S308" i="32" s="1"/>
  <c r="H308" i="32"/>
  <c r="G308" i="32"/>
  <c r="L310" i="32"/>
  <c r="D310" i="32"/>
  <c r="T310" i="32" s="1"/>
  <c r="K310" i="32"/>
  <c r="C310" i="32"/>
  <c r="S310" i="32" s="1"/>
  <c r="H310" i="32"/>
  <c r="G310" i="32"/>
  <c r="A325" i="32"/>
  <c r="L328" i="32"/>
  <c r="K338" i="32"/>
  <c r="C338" i="32"/>
  <c r="S338" i="32" s="1"/>
  <c r="I338" i="32"/>
  <c r="A338" i="32"/>
  <c r="H338" i="32"/>
  <c r="D338" i="32"/>
  <c r="T338" i="32" s="1"/>
  <c r="M338" i="32"/>
  <c r="L338" i="32"/>
  <c r="F338" i="32"/>
  <c r="V338" i="32" s="1"/>
  <c r="E338" i="32"/>
  <c r="U338" i="32" s="1"/>
  <c r="K345" i="32"/>
  <c r="J357" i="32"/>
  <c r="K357" i="32"/>
  <c r="E357" i="32"/>
  <c r="U357" i="32" s="1"/>
  <c r="D357" i="32"/>
  <c r="T357" i="32" s="1"/>
  <c r="M357" i="32"/>
  <c r="A357" i="32"/>
  <c r="L357" i="32"/>
  <c r="C357" i="32"/>
  <c r="S357" i="32" s="1"/>
  <c r="F357" i="32"/>
  <c r="V357" i="32" s="1"/>
  <c r="A400" i="32"/>
  <c r="C311" i="32"/>
  <c r="S311" i="32" s="1"/>
  <c r="K311" i="32"/>
  <c r="C313" i="32"/>
  <c r="S313" i="32" s="1"/>
  <c r="K313" i="32"/>
  <c r="C315" i="32"/>
  <c r="S315" i="32" s="1"/>
  <c r="L315" i="32"/>
  <c r="C319" i="32"/>
  <c r="S319" i="32" s="1"/>
  <c r="L319" i="32"/>
  <c r="C323" i="32"/>
  <c r="S323" i="32" s="1"/>
  <c r="L323" i="32"/>
  <c r="K334" i="32"/>
  <c r="C334" i="32"/>
  <c r="S334" i="32" s="1"/>
  <c r="I334" i="32"/>
  <c r="A334" i="32"/>
  <c r="M334" i="32"/>
  <c r="G335" i="32"/>
  <c r="M335" i="32"/>
  <c r="E335" i="32"/>
  <c r="U335" i="32" s="1"/>
  <c r="L335" i="32"/>
  <c r="D336" i="32"/>
  <c r="T336" i="32" s="1"/>
  <c r="C337" i="32"/>
  <c r="S337" i="32" s="1"/>
  <c r="C341" i="32"/>
  <c r="S341" i="32" s="1"/>
  <c r="G343" i="32"/>
  <c r="M343" i="32"/>
  <c r="E343" i="32"/>
  <c r="U343" i="32" s="1"/>
  <c r="L343" i="32"/>
  <c r="D343" i="32"/>
  <c r="T343" i="32" s="1"/>
  <c r="I343" i="32"/>
  <c r="A343" i="32"/>
  <c r="H343" i="32"/>
  <c r="C348" i="32"/>
  <c r="S348" i="32" s="1"/>
  <c r="C352" i="32"/>
  <c r="S352" i="32" s="1"/>
  <c r="D311" i="32"/>
  <c r="T311" i="32" s="1"/>
  <c r="L311" i="32"/>
  <c r="D313" i="32"/>
  <c r="T313" i="32" s="1"/>
  <c r="L313" i="32"/>
  <c r="D315" i="32"/>
  <c r="T315" i="32" s="1"/>
  <c r="M315" i="32"/>
  <c r="K316" i="32"/>
  <c r="C316" i="32"/>
  <c r="S316" i="32" s="1"/>
  <c r="L316" i="32"/>
  <c r="G318" i="32"/>
  <c r="D319" i="32"/>
  <c r="T319" i="32" s="1"/>
  <c r="M319" i="32"/>
  <c r="K320" i="32"/>
  <c r="C320" i="32"/>
  <c r="S320" i="32" s="1"/>
  <c r="L320" i="32"/>
  <c r="G322" i="32"/>
  <c r="D323" i="32"/>
  <c r="T323" i="32" s="1"/>
  <c r="M323" i="32"/>
  <c r="K324" i="32"/>
  <c r="C324" i="32"/>
  <c r="S324" i="32" s="1"/>
  <c r="L324" i="32"/>
  <c r="K332" i="32"/>
  <c r="C332" i="32"/>
  <c r="S332" i="32" s="1"/>
  <c r="I332" i="32"/>
  <c r="A332" i="32"/>
  <c r="M332" i="32"/>
  <c r="G333" i="32"/>
  <c r="M333" i="32"/>
  <c r="E333" i="32"/>
  <c r="U333" i="32" s="1"/>
  <c r="L333" i="32"/>
  <c r="D334" i="32"/>
  <c r="T334" i="32" s="1"/>
  <c r="C335" i="32"/>
  <c r="S335" i="32" s="1"/>
  <c r="E336" i="32"/>
  <c r="U336" i="32" s="1"/>
  <c r="D337" i="32"/>
  <c r="T337" i="32" s="1"/>
  <c r="K340" i="32"/>
  <c r="C340" i="32"/>
  <c r="S340" i="32" s="1"/>
  <c r="I340" i="32"/>
  <c r="A340" i="32"/>
  <c r="H340" i="32"/>
  <c r="F341" i="32"/>
  <c r="V341" i="32" s="1"/>
  <c r="C343" i="32"/>
  <c r="S343" i="32" s="1"/>
  <c r="K344" i="32"/>
  <c r="C344" i="32"/>
  <c r="S344" i="32" s="1"/>
  <c r="I344" i="32"/>
  <c r="A344" i="32"/>
  <c r="H344" i="32"/>
  <c r="M344" i="32"/>
  <c r="E344" i="32"/>
  <c r="U344" i="32" s="1"/>
  <c r="L344" i="32"/>
  <c r="D344" i="32"/>
  <c r="T344" i="32" s="1"/>
  <c r="G311" i="32"/>
  <c r="G313" i="32"/>
  <c r="H315" i="32"/>
  <c r="A318" i="32"/>
  <c r="H319" i="32"/>
  <c r="A322" i="32"/>
  <c r="H323" i="32"/>
  <c r="K326" i="32"/>
  <c r="C326" i="32"/>
  <c r="S326" i="32" s="1"/>
  <c r="I326" i="32"/>
  <c r="A326" i="32"/>
  <c r="M326" i="32"/>
  <c r="G327" i="32"/>
  <c r="M327" i="32"/>
  <c r="E327" i="32"/>
  <c r="U327" i="32" s="1"/>
  <c r="L327" i="32"/>
  <c r="G334" i="32"/>
  <c r="H335" i="32"/>
  <c r="H336" i="32"/>
  <c r="I337" i="32"/>
  <c r="G339" i="32"/>
  <c r="M339" i="32"/>
  <c r="E339" i="32"/>
  <c r="U339" i="32" s="1"/>
  <c r="L339" i="32"/>
  <c r="D339" i="32"/>
  <c r="T339" i="32" s="1"/>
  <c r="J341" i="32"/>
  <c r="K342" i="32"/>
  <c r="C342" i="32"/>
  <c r="S342" i="32" s="1"/>
  <c r="I342" i="32"/>
  <c r="A342" i="32"/>
  <c r="H342" i="32"/>
  <c r="L342" i="32"/>
  <c r="K343" i="32"/>
  <c r="C367" i="32"/>
  <c r="S367" i="32" s="1"/>
  <c r="M367" i="32"/>
  <c r="A367" i="32"/>
  <c r="L367" i="32"/>
  <c r="F367" i="32"/>
  <c r="V367" i="32" s="1"/>
  <c r="E367" i="32"/>
  <c r="U367" i="32" s="1"/>
  <c r="D367" i="32"/>
  <c r="T367" i="32" s="1"/>
  <c r="K367" i="32"/>
  <c r="J367" i="32"/>
  <c r="E497" i="32"/>
  <c r="U497" i="32" s="1"/>
  <c r="F497" i="32"/>
  <c r="V497" i="32" s="1"/>
  <c r="D497" i="32"/>
  <c r="T497" i="32" s="1"/>
  <c r="C497" i="32"/>
  <c r="S497" i="32" s="1"/>
  <c r="J497" i="32"/>
  <c r="H311" i="32"/>
  <c r="H313" i="32"/>
  <c r="I315" i="32"/>
  <c r="K318" i="32"/>
  <c r="C318" i="32"/>
  <c r="S318" i="32" s="1"/>
  <c r="L318" i="32"/>
  <c r="I319" i="32"/>
  <c r="K322" i="32"/>
  <c r="C322" i="32"/>
  <c r="S322" i="32" s="1"/>
  <c r="L322" i="32"/>
  <c r="I323" i="32"/>
  <c r="D326" i="32"/>
  <c r="T326" i="32" s="1"/>
  <c r="C327" i="32"/>
  <c r="S327" i="32" s="1"/>
  <c r="H334" i="32"/>
  <c r="I335" i="32"/>
  <c r="K315" i="32"/>
  <c r="K319" i="32"/>
  <c r="K323" i="32"/>
  <c r="K336" i="32"/>
  <c r="C336" i="32"/>
  <c r="S336" i="32" s="1"/>
  <c r="I336" i="32"/>
  <c r="A336" i="32"/>
  <c r="M336" i="32"/>
  <c r="G337" i="32"/>
  <c r="M337" i="32"/>
  <c r="E337" i="32"/>
  <c r="U337" i="32" s="1"/>
  <c r="L337" i="32"/>
  <c r="G341" i="32"/>
  <c r="M341" i="32"/>
  <c r="E341" i="32"/>
  <c r="U341" i="32" s="1"/>
  <c r="L341" i="32"/>
  <c r="D341" i="32"/>
  <c r="T341" i="32" s="1"/>
  <c r="H348" i="32"/>
  <c r="G348" i="32"/>
  <c r="E348" i="32"/>
  <c r="U348" i="32" s="1"/>
  <c r="M348" i="32"/>
  <c r="D348" i="32"/>
  <c r="T348" i="32" s="1"/>
  <c r="J348" i="32"/>
  <c r="A348" i="32"/>
  <c r="I348" i="32"/>
  <c r="H352" i="32"/>
  <c r="G352" i="32"/>
  <c r="E352" i="32"/>
  <c r="U352" i="32" s="1"/>
  <c r="M352" i="32"/>
  <c r="D352" i="32"/>
  <c r="T352" i="32" s="1"/>
  <c r="J352" i="32"/>
  <c r="A352" i="32"/>
  <c r="I352" i="32"/>
  <c r="D366" i="32"/>
  <c r="T366" i="32" s="1"/>
  <c r="L366" i="32"/>
  <c r="K366" i="32"/>
  <c r="E366" i="32"/>
  <c r="U366" i="32" s="1"/>
  <c r="C366" i="32"/>
  <c r="S366" i="32" s="1"/>
  <c r="F366" i="32"/>
  <c r="V366" i="32" s="1"/>
  <c r="A366" i="32"/>
  <c r="M366" i="32"/>
  <c r="J366" i="32"/>
  <c r="F416" i="32"/>
  <c r="V416" i="32" s="1"/>
  <c r="D416" i="32"/>
  <c r="T416" i="32" s="1"/>
  <c r="C416" i="32"/>
  <c r="S416" i="32" s="1"/>
  <c r="J416" i="32"/>
  <c r="E416" i="32"/>
  <c r="U416" i="32" s="1"/>
  <c r="A416" i="32"/>
  <c r="J585" i="32"/>
  <c r="F585" i="32"/>
  <c r="E585" i="32"/>
  <c r="D585" i="32"/>
  <c r="L347" i="32"/>
  <c r="D347" i="32"/>
  <c r="T347" i="32" s="1"/>
  <c r="K347" i="32"/>
  <c r="L351" i="32"/>
  <c r="D351" i="32"/>
  <c r="T351" i="32" s="1"/>
  <c r="K351" i="32"/>
  <c r="L355" i="32"/>
  <c r="D355" i="32"/>
  <c r="T355" i="32" s="1"/>
  <c r="K355" i="32"/>
  <c r="A359" i="32"/>
  <c r="M359" i="32"/>
  <c r="E373" i="32"/>
  <c r="U373" i="32" s="1"/>
  <c r="D373" i="32"/>
  <c r="T373" i="32" s="1"/>
  <c r="C373" i="32"/>
  <c r="S373" i="32" s="1"/>
  <c r="L373" i="32"/>
  <c r="K373" i="32"/>
  <c r="D374" i="32"/>
  <c r="T374" i="32" s="1"/>
  <c r="K374" i="32"/>
  <c r="F374" i="32"/>
  <c r="V374" i="32" s="1"/>
  <c r="E374" i="32"/>
  <c r="U374" i="32" s="1"/>
  <c r="M374" i="32"/>
  <c r="A374" i="32"/>
  <c r="L374" i="32"/>
  <c r="A458" i="32"/>
  <c r="F458" i="32"/>
  <c r="V458" i="32" s="1"/>
  <c r="C458" i="32"/>
  <c r="S458" i="32" s="1"/>
  <c r="D458" i="32"/>
  <c r="T458" i="32" s="1"/>
  <c r="J458" i="32"/>
  <c r="E458" i="32"/>
  <c r="U458" i="32" s="1"/>
  <c r="M355" i="32"/>
  <c r="F373" i="32"/>
  <c r="V373" i="32" s="1"/>
  <c r="C374" i="32"/>
  <c r="S374" i="32" s="1"/>
  <c r="F432" i="32"/>
  <c r="V432" i="32" s="1"/>
  <c r="D432" i="32"/>
  <c r="T432" i="32" s="1"/>
  <c r="C432" i="32"/>
  <c r="S432" i="32" s="1"/>
  <c r="J432" i="32"/>
  <c r="A432" i="32"/>
  <c r="G347" i="32"/>
  <c r="L349" i="32"/>
  <c r="D349" i="32"/>
  <c r="T349" i="32" s="1"/>
  <c r="K349" i="32"/>
  <c r="G351" i="32"/>
  <c r="L353" i="32"/>
  <c r="D353" i="32"/>
  <c r="T353" i="32" s="1"/>
  <c r="K353" i="32"/>
  <c r="G355" i="32"/>
  <c r="F359" i="32"/>
  <c r="V359" i="32" s="1"/>
  <c r="J360" i="32"/>
  <c r="F392" i="32"/>
  <c r="V392" i="32" s="1"/>
  <c r="C392" i="32"/>
  <c r="S392" i="32" s="1"/>
  <c r="E392" i="32"/>
  <c r="U392" i="32" s="1"/>
  <c r="D392" i="32"/>
  <c r="T392" i="32" s="1"/>
  <c r="H347" i="32"/>
  <c r="C349" i="32"/>
  <c r="S349" i="32" s="1"/>
  <c r="M349" i="32"/>
  <c r="H351" i="32"/>
  <c r="C353" i="32"/>
  <c r="S353" i="32" s="1"/>
  <c r="M353" i="32"/>
  <c r="H355" i="32"/>
  <c r="J359" i="32"/>
  <c r="K360" i="32"/>
  <c r="J363" i="32"/>
  <c r="M363" i="32"/>
  <c r="A363" i="32"/>
  <c r="J392" i="32"/>
  <c r="A347" i="32"/>
  <c r="J347" i="32"/>
  <c r="F349" i="32"/>
  <c r="V349" i="32" s="1"/>
  <c r="A351" i="32"/>
  <c r="J351" i="32"/>
  <c r="F353" i="32"/>
  <c r="V353" i="32" s="1"/>
  <c r="A355" i="32"/>
  <c r="J355" i="32"/>
  <c r="L359" i="32"/>
  <c r="A360" i="32"/>
  <c r="M360" i="32"/>
  <c r="D363" i="32"/>
  <c r="T363" i="32" s="1"/>
  <c r="A373" i="32"/>
  <c r="F428" i="32"/>
  <c r="V428" i="32" s="1"/>
  <c r="D428" i="32"/>
  <c r="T428" i="32" s="1"/>
  <c r="C428" i="32"/>
  <c r="S428" i="32" s="1"/>
  <c r="J428" i="32"/>
  <c r="E428" i="32"/>
  <c r="U428" i="32" s="1"/>
  <c r="J464" i="32"/>
  <c r="D464" i="32"/>
  <c r="T464" i="32" s="1"/>
  <c r="C464" i="32"/>
  <c r="S464" i="32" s="1"/>
  <c r="F464" i="32"/>
  <c r="V464" i="32" s="1"/>
  <c r="E464" i="32"/>
  <c r="U464" i="32" s="1"/>
  <c r="F370" i="32"/>
  <c r="V370" i="32" s="1"/>
  <c r="F371" i="32"/>
  <c r="V371" i="32" s="1"/>
  <c r="J372" i="32"/>
  <c r="A375" i="32"/>
  <c r="M375" i="32"/>
  <c r="C377" i="32"/>
  <c r="S377" i="32" s="1"/>
  <c r="C378" i="32"/>
  <c r="S378" i="32" s="1"/>
  <c r="C379" i="32"/>
  <c r="S379" i="32" s="1"/>
  <c r="C380" i="32"/>
  <c r="S380" i="32" s="1"/>
  <c r="F383" i="32"/>
  <c r="V383" i="32" s="1"/>
  <c r="J385" i="32"/>
  <c r="D388" i="32"/>
  <c r="T388" i="32" s="1"/>
  <c r="D391" i="32"/>
  <c r="T391" i="32" s="1"/>
  <c r="A391" i="32"/>
  <c r="F391" i="32"/>
  <c r="V391" i="32" s="1"/>
  <c r="F408" i="32"/>
  <c r="V408" i="32" s="1"/>
  <c r="D408" i="32"/>
  <c r="T408" i="32" s="1"/>
  <c r="C408" i="32"/>
  <c r="S408" i="32" s="1"/>
  <c r="J408" i="32"/>
  <c r="F440" i="32"/>
  <c r="V440" i="32" s="1"/>
  <c r="D440" i="32"/>
  <c r="T440" i="32" s="1"/>
  <c r="C440" i="32"/>
  <c r="S440" i="32" s="1"/>
  <c r="J440" i="32"/>
  <c r="D377" i="32"/>
  <c r="T377" i="32" s="1"/>
  <c r="D378" i="32"/>
  <c r="T378" i="32" s="1"/>
  <c r="D379" i="32"/>
  <c r="T379" i="32" s="1"/>
  <c r="D380" i="32"/>
  <c r="T380" i="32" s="1"/>
  <c r="F384" i="32"/>
  <c r="V384" i="32" s="1"/>
  <c r="C384" i="32"/>
  <c r="S384" i="32" s="1"/>
  <c r="F404" i="32"/>
  <c r="V404" i="32" s="1"/>
  <c r="D404" i="32"/>
  <c r="T404" i="32" s="1"/>
  <c r="C404" i="32"/>
  <c r="S404" i="32" s="1"/>
  <c r="J404" i="32"/>
  <c r="F436" i="32"/>
  <c r="V436" i="32" s="1"/>
  <c r="D436" i="32"/>
  <c r="T436" i="32" s="1"/>
  <c r="C436" i="32"/>
  <c r="S436" i="32" s="1"/>
  <c r="J436" i="32"/>
  <c r="J488" i="32"/>
  <c r="E488" i="32"/>
  <c r="U488" i="32" s="1"/>
  <c r="D488" i="32"/>
  <c r="T488" i="32" s="1"/>
  <c r="F488" i="32"/>
  <c r="V488" i="32" s="1"/>
  <c r="C488" i="32"/>
  <c r="S488" i="32" s="1"/>
  <c r="L369" i="32"/>
  <c r="A369" i="32"/>
  <c r="F375" i="32"/>
  <c r="V375" i="32" s="1"/>
  <c r="J377" i="32"/>
  <c r="J378" i="32"/>
  <c r="K379" i="32"/>
  <c r="J384" i="32"/>
  <c r="D387" i="32"/>
  <c r="T387" i="32" s="1"/>
  <c r="A387" i="32"/>
  <c r="F387" i="32"/>
  <c r="V387" i="32" s="1"/>
  <c r="F424" i="32"/>
  <c r="V424" i="32" s="1"/>
  <c r="D424" i="32"/>
  <c r="T424" i="32" s="1"/>
  <c r="C424" i="32"/>
  <c r="S424" i="32" s="1"/>
  <c r="J424" i="32"/>
  <c r="C455" i="32"/>
  <c r="S455" i="32" s="1"/>
  <c r="E455" i="32"/>
  <c r="U455" i="32" s="1"/>
  <c r="D455" i="32"/>
  <c r="T455" i="32" s="1"/>
  <c r="A455" i="32"/>
  <c r="J455" i="32"/>
  <c r="F455" i="32"/>
  <c r="V455" i="32" s="1"/>
  <c r="J553" i="32"/>
  <c r="F553" i="32"/>
  <c r="E553" i="32"/>
  <c r="D553" i="32"/>
  <c r="L378" i="32"/>
  <c r="L379" i="32"/>
  <c r="D383" i="32"/>
  <c r="T383" i="32" s="1"/>
  <c r="A383" i="32"/>
  <c r="F396" i="32"/>
  <c r="V396" i="32" s="1"/>
  <c r="D396" i="32"/>
  <c r="T396" i="32" s="1"/>
  <c r="C396" i="32"/>
  <c r="S396" i="32" s="1"/>
  <c r="J396" i="32"/>
  <c r="F420" i="32"/>
  <c r="V420" i="32" s="1"/>
  <c r="D420" i="32"/>
  <c r="T420" i="32" s="1"/>
  <c r="C420" i="32"/>
  <c r="S420" i="32" s="1"/>
  <c r="J420" i="32"/>
  <c r="E452" i="32"/>
  <c r="U452" i="32" s="1"/>
  <c r="F452" i="32"/>
  <c r="V452" i="32" s="1"/>
  <c r="D452" i="32"/>
  <c r="T452" i="32" s="1"/>
  <c r="A452" i="32"/>
  <c r="J472" i="32"/>
  <c r="E472" i="32"/>
  <c r="U472" i="32" s="1"/>
  <c r="D472" i="32"/>
  <c r="T472" i="32" s="1"/>
  <c r="F472" i="32"/>
  <c r="V472" i="32" s="1"/>
  <c r="C472" i="32"/>
  <c r="S472" i="32" s="1"/>
  <c r="L377" i="32"/>
  <c r="A377" i="32"/>
  <c r="F388" i="32"/>
  <c r="V388" i="32" s="1"/>
  <c r="C388" i="32"/>
  <c r="S388" i="32" s="1"/>
  <c r="F412" i="32"/>
  <c r="V412" i="32" s="1"/>
  <c r="D412" i="32"/>
  <c r="T412" i="32" s="1"/>
  <c r="C412" i="32"/>
  <c r="S412" i="32" s="1"/>
  <c r="J412" i="32"/>
  <c r="F444" i="32"/>
  <c r="V444" i="32" s="1"/>
  <c r="D444" i="32"/>
  <c r="T444" i="32" s="1"/>
  <c r="C444" i="32"/>
  <c r="S444" i="32" s="1"/>
  <c r="J444" i="32"/>
  <c r="C451" i="32"/>
  <c r="S451" i="32" s="1"/>
  <c r="D451" i="32"/>
  <c r="T451" i="32" s="1"/>
  <c r="A451" i="32"/>
  <c r="F451" i="32"/>
  <c r="V451" i="32" s="1"/>
  <c r="E451" i="32"/>
  <c r="U451" i="32" s="1"/>
  <c r="A454" i="32"/>
  <c r="C454" i="32"/>
  <c r="S454" i="32" s="1"/>
  <c r="J454" i="32"/>
  <c r="E454" i="32"/>
  <c r="U454" i="32" s="1"/>
  <c r="D454" i="32"/>
  <c r="T454" i="32" s="1"/>
  <c r="C459" i="32"/>
  <c r="S459" i="32" s="1"/>
  <c r="E459" i="32"/>
  <c r="U459" i="32" s="1"/>
  <c r="F477" i="32"/>
  <c r="V477" i="32" s="1"/>
  <c r="D477" i="32"/>
  <c r="T477" i="32" s="1"/>
  <c r="C477" i="32"/>
  <c r="S477" i="32" s="1"/>
  <c r="J477" i="32"/>
  <c r="D493" i="32"/>
  <c r="T493" i="32" s="1"/>
  <c r="J493" i="32"/>
  <c r="E493" i="32"/>
  <c r="U493" i="32" s="1"/>
  <c r="C493" i="32"/>
  <c r="S493" i="32" s="1"/>
  <c r="J542" i="32"/>
  <c r="F542" i="32"/>
  <c r="E542" i="32"/>
  <c r="D542" i="32"/>
  <c r="J558" i="32"/>
  <c r="F558" i="32"/>
  <c r="E558" i="32"/>
  <c r="J563" i="32"/>
  <c r="F563" i="32"/>
  <c r="E563" i="32"/>
  <c r="D563" i="32"/>
  <c r="J574" i="32"/>
  <c r="F574" i="32"/>
  <c r="E574" i="32"/>
  <c r="D574" i="32"/>
  <c r="F395" i="32"/>
  <c r="V395" i="32" s="1"/>
  <c r="F399" i="32"/>
  <c r="V399" i="32" s="1"/>
  <c r="F403" i="32"/>
  <c r="V403" i="32" s="1"/>
  <c r="F407" i="32"/>
  <c r="V407" i="32" s="1"/>
  <c r="F411" i="32"/>
  <c r="V411" i="32" s="1"/>
  <c r="F415" i="32"/>
  <c r="V415" i="32" s="1"/>
  <c r="F419" i="32"/>
  <c r="V419" i="32" s="1"/>
  <c r="F423" i="32"/>
  <c r="V423" i="32" s="1"/>
  <c r="F427" i="32"/>
  <c r="V427" i="32" s="1"/>
  <c r="F431" i="32"/>
  <c r="V431" i="32" s="1"/>
  <c r="F435" i="32"/>
  <c r="V435" i="32" s="1"/>
  <c r="F439" i="32"/>
  <c r="V439" i="32" s="1"/>
  <c r="F443" i="32"/>
  <c r="V443" i="32" s="1"/>
  <c r="C448" i="32"/>
  <c r="S448" i="32" s="1"/>
  <c r="F449" i="32"/>
  <c r="V449" i="32" s="1"/>
  <c r="E456" i="32"/>
  <c r="U456" i="32" s="1"/>
  <c r="J456" i="32"/>
  <c r="D459" i="32"/>
  <c r="T459" i="32" s="1"/>
  <c r="C476" i="32"/>
  <c r="S476" i="32" s="1"/>
  <c r="E476" i="32"/>
  <c r="U476" i="32" s="1"/>
  <c r="D476" i="32"/>
  <c r="T476" i="32" s="1"/>
  <c r="E477" i="32"/>
  <c r="U477" i="32" s="1"/>
  <c r="C492" i="32"/>
  <c r="S492" i="32" s="1"/>
  <c r="E492" i="32"/>
  <c r="U492" i="32" s="1"/>
  <c r="D492" i="32"/>
  <c r="T492" i="32" s="1"/>
  <c r="F493" i="32"/>
  <c r="V493" i="32" s="1"/>
  <c r="D558" i="32"/>
  <c r="A395" i="32"/>
  <c r="A399" i="32"/>
  <c r="A403" i="32"/>
  <c r="A407" i="32"/>
  <c r="A411" i="32"/>
  <c r="A415" i="32"/>
  <c r="A419" i="32"/>
  <c r="A423" i="32"/>
  <c r="A427" i="32"/>
  <c r="A431" i="32"/>
  <c r="A435" i="32"/>
  <c r="A439" i="32"/>
  <c r="A443" i="32"/>
  <c r="J448" i="32"/>
  <c r="A449" i="32"/>
  <c r="J457" i="32"/>
  <c r="D457" i="32"/>
  <c r="T457" i="32" s="1"/>
  <c r="A457" i="32"/>
  <c r="J461" i="32"/>
  <c r="D461" i="32"/>
  <c r="T461" i="32" s="1"/>
  <c r="A461" i="32"/>
  <c r="F469" i="32"/>
  <c r="V469" i="32" s="1"/>
  <c r="D469" i="32"/>
  <c r="T469" i="32" s="1"/>
  <c r="C469" i="32"/>
  <c r="S469" i="32" s="1"/>
  <c r="J469" i="32"/>
  <c r="F485" i="32"/>
  <c r="V485" i="32" s="1"/>
  <c r="D485" i="32"/>
  <c r="T485" i="32" s="1"/>
  <c r="C485" i="32"/>
  <c r="S485" i="32" s="1"/>
  <c r="J485" i="32"/>
  <c r="C457" i="32"/>
  <c r="S457" i="32" s="1"/>
  <c r="C461" i="32"/>
  <c r="S461" i="32" s="1"/>
  <c r="D463" i="32"/>
  <c r="T463" i="32" s="1"/>
  <c r="F463" i="32"/>
  <c r="V463" i="32" s="1"/>
  <c r="E463" i="32"/>
  <c r="U463" i="32" s="1"/>
  <c r="C468" i="32"/>
  <c r="S468" i="32" s="1"/>
  <c r="E468" i="32"/>
  <c r="U468" i="32" s="1"/>
  <c r="D468" i="32"/>
  <c r="T468" i="32" s="1"/>
  <c r="E469" i="32"/>
  <c r="U469" i="32" s="1"/>
  <c r="C484" i="32"/>
  <c r="S484" i="32" s="1"/>
  <c r="E484" i="32"/>
  <c r="U484" i="32" s="1"/>
  <c r="D484" i="32"/>
  <c r="T484" i="32" s="1"/>
  <c r="E485" i="32"/>
  <c r="U485" i="32" s="1"/>
  <c r="C506" i="32"/>
  <c r="S506" i="32" s="1"/>
  <c r="J506" i="32"/>
  <c r="E506" i="32"/>
  <c r="U506" i="32" s="1"/>
  <c r="D506" i="32"/>
  <c r="T506" i="32" s="1"/>
  <c r="J526" i="32"/>
  <c r="F526" i="32"/>
  <c r="E526" i="32"/>
  <c r="J531" i="32"/>
  <c r="F531" i="32"/>
  <c r="E531" i="32"/>
  <c r="D531" i="32"/>
  <c r="F447" i="32"/>
  <c r="V447" i="32" s="1"/>
  <c r="A448" i="32"/>
  <c r="D449" i="32"/>
  <c r="T449" i="32" s="1"/>
  <c r="F457" i="32"/>
  <c r="V457" i="32" s="1"/>
  <c r="A459" i="32"/>
  <c r="F461" i="32"/>
  <c r="V461" i="32" s="1"/>
  <c r="J463" i="32"/>
  <c r="J468" i="32"/>
  <c r="J480" i="32"/>
  <c r="E480" i="32"/>
  <c r="U480" i="32" s="1"/>
  <c r="D480" i="32"/>
  <c r="T480" i="32" s="1"/>
  <c r="J484" i="32"/>
  <c r="J595" i="32"/>
  <c r="F595" i="32"/>
  <c r="E595" i="32"/>
  <c r="D595" i="32"/>
  <c r="E471" i="32"/>
  <c r="U471" i="32" s="1"/>
  <c r="E479" i="32"/>
  <c r="U479" i="32" s="1"/>
  <c r="E487" i="32"/>
  <c r="U487" i="32" s="1"/>
  <c r="F498" i="32"/>
  <c r="V498" i="32" s="1"/>
  <c r="J510" i="32"/>
  <c r="F510" i="32"/>
  <c r="V510" i="32" s="1"/>
  <c r="E510" i="32"/>
  <c r="U510" i="32" s="1"/>
  <c r="D510" i="32"/>
  <c r="T510" i="32" s="1"/>
  <c r="J550" i="32"/>
  <c r="F550" i="32"/>
  <c r="E550" i="32"/>
  <c r="D569" i="32"/>
  <c r="J582" i="32"/>
  <c r="F582" i="32"/>
  <c r="E582" i="32"/>
  <c r="J460" i="32"/>
  <c r="C462" i="32"/>
  <c r="S462" i="32" s="1"/>
  <c r="J466" i="32"/>
  <c r="C470" i="32"/>
  <c r="S470" i="32" s="1"/>
  <c r="F471" i="32"/>
  <c r="V471" i="32" s="1"/>
  <c r="J474" i="32"/>
  <c r="C478" i="32"/>
  <c r="S478" i="32" s="1"/>
  <c r="F479" i="32"/>
  <c r="V479" i="32" s="1"/>
  <c r="J482" i="32"/>
  <c r="C486" i="32"/>
  <c r="S486" i="32" s="1"/>
  <c r="F487" i="32"/>
  <c r="V487" i="32" s="1"/>
  <c r="J490" i="32"/>
  <c r="J498" i="32"/>
  <c r="F505" i="32"/>
  <c r="V505" i="32" s="1"/>
  <c r="E505" i="32"/>
  <c r="U505" i="32" s="1"/>
  <c r="C510" i="32"/>
  <c r="S510" i="32" s="1"/>
  <c r="J545" i="32"/>
  <c r="F545" i="32"/>
  <c r="D550" i="32"/>
  <c r="J555" i="32"/>
  <c r="F555" i="32"/>
  <c r="E555" i="32"/>
  <c r="D555" i="32"/>
  <c r="J577" i="32"/>
  <c r="F577" i="32"/>
  <c r="D582" i="32"/>
  <c r="J587" i="32"/>
  <c r="F587" i="32"/>
  <c r="E587" i="32"/>
  <c r="D587" i="32"/>
  <c r="J590" i="32"/>
  <c r="F590" i="32"/>
  <c r="E590" i="32"/>
  <c r="F462" i="32"/>
  <c r="V462" i="32" s="1"/>
  <c r="F507" i="32"/>
  <c r="V507" i="32" s="1"/>
  <c r="D507" i="32"/>
  <c r="T507" i="32" s="1"/>
  <c r="C507" i="32"/>
  <c r="S507" i="32" s="1"/>
  <c r="J513" i="32"/>
  <c r="F513" i="32"/>
  <c r="V513" i="32" s="1"/>
  <c r="E513" i="32"/>
  <c r="U513" i="32" s="1"/>
  <c r="J515" i="32"/>
  <c r="F515" i="32"/>
  <c r="V515" i="32" s="1"/>
  <c r="E515" i="32"/>
  <c r="U515" i="32" s="1"/>
  <c r="D515" i="32"/>
  <c r="T515" i="32" s="1"/>
  <c r="C515" i="32"/>
  <c r="S515" i="32" s="1"/>
  <c r="J518" i="32"/>
  <c r="F518" i="32"/>
  <c r="V518" i="32" s="1"/>
  <c r="E518" i="32"/>
  <c r="U518" i="32" s="1"/>
  <c r="D518" i="32"/>
  <c r="T518" i="32" s="1"/>
  <c r="J534" i="32"/>
  <c r="F534" i="32"/>
  <c r="E534" i="32"/>
  <c r="J566" i="32"/>
  <c r="F566" i="32"/>
  <c r="E566" i="32"/>
  <c r="J593" i="32"/>
  <c r="F593" i="32"/>
  <c r="J508" i="32"/>
  <c r="F508" i="32"/>
  <c r="V508" i="32" s="1"/>
  <c r="J529" i="32"/>
  <c r="F529" i="32"/>
  <c r="J539" i="32"/>
  <c r="F539" i="32"/>
  <c r="E539" i="32"/>
  <c r="D539" i="32"/>
  <c r="J561" i="32"/>
  <c r="F561" i="32"/>
  <c r="D566" i="32"/>
  <c r="J571" i="32"/>
  <c r="F571" i="32"/>
  <c r="E571" i="32"/>
  <c r="D571" i="32"/>
  <c r="D593" i="32"/>
  <c r="E498" i="32"/>
  <c r="U498" i="32" s="1"/>
  <c r="F499" i="32"/>
  <c r="V499" i="32" s="1"/>
  <c r="C499" i="32"/>
  <c r="S499" i="32" s="1"/>
  <c r="F501" i="32"/>
  <c r="V501" i="32" s="1"/>
  <c r="J502" i="32"/>
  <c r="D502" i="32"/>
  <c r="T502" i="32" s="1"/>
  <c r="D508" i="32"/>
  <c r="T508" i="32" s="1"/>
  <c r="J521" i="32"/>
  <c r="F521" i="32"/>
  <c r="V521" i="32" s="1"/>
  <c r="E521" i="32"/>
  <c r="U521" i="32" s="1"/>
  <c r="J523" i="32"/>
  <c r="F523" i="32"/>
  <c r="V523" i="32" s="1"/>
  <c r="E523" i="32"/>
  <c r="U523" i="32" s="1"/>
  <c r="D523" i="32"/>
  <c r="T523" i="32" s="1"/>
  <c r="C523" i="32"/>
  <c r="S523" i="32" s="1"/>
  <c r="E529" i="32"/>
  <c r="J537" i="32"/>
  <c r="F537" i="32"/>
  <c r="J547" i="32"/>
  <c r="F547" i="32"/>
  <c r="E547" i="32"/>
  <c r="D547" i="32"/>
  <c r="E561" i="32"/>
  <c r="J569" i="32"/>
  <c r="F569" i="32"/>
  <c r="J579" i="32"/>
  <c r="F579" i="32"/>
  <c r="E579" i="32"/>
  <c r="D579" i="32"/>
  <c r="F516" i="32"/>
  <c r="V516" i="32" s="1"/>
  <c r="F524" i="32"/>
  <c r="V524" i="32" s="1"/>
  <c r="D530" i="32"/>
  <c r="D538" i="32"/>
  <c r="D546" i="32"/>
  <c r="D554" i="32"/>
  <c r="D562" i="32"/>
  <c r="D570" i="32"/>
  <c r="D578" i="32"/>
  <c r="D586" i="32"/>
  <c r="E589" i="32"/>
  <c r="D594" i="32"/>
  <c r="E597" i="32"/>
  <c r="T37" i="32"/>
  <c r="T36" i="32"/>
  <c r="T35" i="32"/>
  <c r="T34" i="32"/>
  <c r="T33" i="32"/>
  <c r="T32" i="32"/>
  <c r="T31" i="32"/>
  <c r="T30" i="32"/>
  <c r="T29" i="32"/>
  <c r="T28" i="32"/>
  <c r="T27" i="32"/>
  <c r="T26" i="32"/>
  <c r="T25" i="32"/>
  <c r="AR24" i="32"/>
  <c r="AT24" i="32" s="1"/>
  <c r="AN24" i="32"/>
  <c r="AJ24" i="32"/>
  <c r="T24" i="32"/>
  <c r="T23" i="32"/>
  <c r="T22" i="32"/>
  <c r="AL24" i="32" l="1"/>
  <c r="AP24" i="32"/>
  <c r="T21" i="32"/>
  <c r="T20" i="32"/>
  <c r="T19" i="32"/>
  <c r="T18" i="32"/>
  <c r="T17" i="32"/>
  <c r="T16" i="32"/>
  <c r="Y15" i="32"/>
  <c r="U15" i="32"/>
  <c r="T15" i="32"/>
  <c r="Y14" i="32"/>
  <c r="U14" i="32"/>
  <c r="T14" i="32"/>
  <c r="Y13" i="32"/>
  <c r="U13" i="32"/>
  <c r="T13" i="32"/>
  <c r="Y12" i="32"/>
  <c r="U12" i="32"/>
  <c r="T12" i="32"/>
  <c r="Y11" i="32"/>
  <c r="U11" i="32"/>
  <c r="T11" i="32"/>
  <c r="Y10" i="32"/>
  <c r="U10" i="32"/>
  <c r="T10" i="32"/>
  <c r="Y9" i="32"/>
  <c r="U9" i="32"/>
  <c r="T9" i="32"/>
  <c r="Y8" i="32"/>
  <c r="U8" i="32"/>
  <c r="T8" i="32"/>
  <c r="Y7" i="32"/>
  <c r="U7" i="32"/>
  <c r="T7" i="32"/>
  <c r="Y6" i="32"/>
  <c r="U6" i="32"/>
  <c r="T6" i="32"/>
  <c r="Y5" i="32"/>
  <c r="U5" i="32"/>
  <c r="T5" i="32"/>
  <c r="Y4" i="32"/>
  <c r="U4" i="32"/>
  <c r="T4" i="32"/>
  <c r="Y3" i="32"/>
  <c r="U3" i="32"/>
  <c r="T3" i="32"/>
  <c r="AC2" i="32"/>
  <c r="AC3" i="32" s="1"/>
  <c r="AC6" i="32" s="1"/>
  <c r="I102" i="31"/>
  <c r="H102" i="31"/>
  <c r="G102" i="31"/>
  <c r="F102" i="31"/>
  <c r="E102" i="31"/>
  <c r="I68" i="31"/>
  <c r="H68" i="31"/>
  <c r="G68" i="31"/>
  <c r="F68" i="31"/>
  <c r="E68" i="31"/>
  <c r="I61" i="31"/>
  <c r="H61" i="31"/>
  <c r="G61" i="31"/>
  <c r="F61" i="31"/>
  <c r="E61" i="31"/>
  <c r="I54" i="31"/>
  <c r="H54" i="31"/>
  <c r="G54" i="31"/>
  <c r="F54" i="31"/>
  <c r="E54" i="31"/>
  <c r="D50" i="31"/>
  <c r="D49" i="31"/>
  <c r="D48" i="31"/>
  <c r="D42" i="31"/>
  <c r="D40" i="31"/>
  <c r="D39" i="31"/>
  <c r="D33" i="31"/>
  <c r="D31" i="31"/>
  <c r="D30" i="31"/>
  <c r="I29" i="31"/>
  <c r="I38" i="31" s="1"/>
  <c r="I47" i="31" s="1"/>
  <c r="H29" i="31"/>
  <c r="H38" i="31" s="1"/>
  <c r="H47" i="31" s="1"/>
  <c r="G29" i="31"/>
  <c r="G38" i="31" s="1"/>
  <c r="G47" i="31" s="1"/>
  <c r="E29" i="31"/>
  <c r="E38" i="31" s="1"/>
  <c r="E47" i="31" s="1"/>
  <c r="L25" i="24"/>
  <c r="I23" i="24" a="1"/>
  <c r="I23" i="24" s="1"/>
  <c r="L21" i="24"/>
  <c r="L17" i="24"/>
  <c r="R79" i="23"/>
  <c r="P79" i="23"/>
  <c r="P80" i="23" s="1"/>
  <c r="P81" i="23" s="1"/>
  <c r="P82" i="23" s="1"/>
  <c r="P83" i="23" s="1"/>
  <c r="P84" i="23" s="1"/>
  <c r="P85" i="23" s="1"/>
  <c r="P86" i="23" s="1"/>
  <c r="P87" i="23" s="1"/>
  <c r="P88" i="23" s="1"/>
  <c r="P89" i="23" s="1"/>
  <c r="R78" i="23"/>
  <c r="C78" i="23"/>
  <c r="M78" i="23" s="1"/>
  <c r="P76" i="23"/>
  <c r="R66" i="23"/>
  <c r="P66" i="23"/>
  <c r="P67" i="23" s="1"/>
  <c r="P68" i="23" s="1"/>
  <c r="P69" i="23" s="1"/>
  <c r="P70" i="23" s="1"/>
  <c r="P71" i="23" s="1"/>
  <c r="P72" i="23" s="1"/>
  <c r="P73" i="23" s="1"/>
  <c r="P74" i="23" s="1"/>
  <c r="P75" i="23" s="1"/>
  <c r="R65" i="23"/>
  <c r="C65" i="23"/>
  <c r="M65" i="23" s="1"/>
  <c r="P61" i="23"/>
  <c r="P62" i="23" s="1"/>
  <c r="P63" i="23" s="1"/>
  <c r="P53" i="23"/>
  <c r="P54" i="23" s="1"/>
  <c r="P55" i="23" s="1"/>
  <c r="P56" i="23" s="1"/>
  <c r="P57" i="23" s="1"/>
  <c r="P58" i="23" s="1"/>
  <c r="P59" i="23" s="1"/>
  <c r="P60" i="23" s="1"/>
  <c r="R52" i="23"/>
  <c r="R53" i="23" s="1"/>
  <c r="C52" i="23"/>
  <c r="P47" i="23"/>
  <c r="P48" i="23" s="1"/>
  <c r="P49" i="23" s="1"/>
  <c r="P50" i="23" s="1"/>
  <c r="P41" i="23"/>
  <c r="P42" i="23" s="1"/>
  <c r="P43" i="23" s="1"/>
  <c r="P44" i="23" s="1"/>
  <c r="P45" i="23" s="1"/>
  <c r="P46" i="23" s="1"/>
  <c r="R40" i="23"/>
  <c r="P40" i="23"/>
  <c r="R39" i="23"/>
  <c r="C39" i="23"/>
  <c r="A76" i="10"/>
  <c r="E4" i="10"/>
  <c r="D4" i="10"/>
  <c r="C4" i="10"/>
  <c r="B506" i="21"/>
  <c r="B505" i="21"/>
  <c r="B504" i="21"/>
  <c r="B503" i="21"/>
  <c r="B502" i="21"/>
  <c r="B501" i="21"/>
  <c r="B500" i="21"/>
  <c r="B499" i="21"/>
  <c r="B498" i="21"/>
  <c r="B497" i="21"/>
  <c r="B496" i="21"/>
  <c r="B495" i="21"/>
  <c r="B494" i="21"/>
  <c r="B493" i="21"/>
  <c r="B492" i="21"/>
  <c r="B491" i="21"/>
  <c r="B490" i="21"/>
  <c r="B489" i="21"/>
  <c r="B488" i="21"/>
  <c r="B487" i="21"/>
  <c r="B486" i="21"/>
  <c r="B485" i="21"/>
  <c r="B484" i="21"/>
  <c r="B483" i="21"/>
  <c r="B482" i="21"/>
  <c r="B481" i="21"/>
  <c r="B480" i="21"/>
  <c r="B479" i="21"/>
  <c r="B478" i="21"/>
  <c r="B477" i="21"/>
  <c r="B476" i="21"/>
  <c r="B475" i="21"/>
  <c r="B474" i="21"/>
  <c r="B473" i="21"/>
  <c r="B472" i="21"/>
  <c r="B471" i="21"/>
  <c r="B470" i="21"/>
  <c r="B469" i="21"/>
  <c r="B468" i="21"/>
  <c r="B467" i="21"/>
  <c r="B466" i="21"/>
  <c r="B465" i="21"/>
  <c r="B464" i="21"/>
  <c r="B463" i="21"/>
  <c r="B462" i="21"/>
  <c r="B461" i="21"/>
  <c r="B460" i="21"/>
  <c r="B459" i="21"/>
  <c r="B458" i="21"/>
  <c r="B457" i="21"/>
  <c r="B456" i="21"/>
  <c r="B455" i="21"/>
  <c r="B454" i="21"/>
  <c r="B453" i="21"/>
  <c r="B452" i="21"/>
  <c r="B451" i="21"/>
  <c r="B450" i="21"/>
  <c r="B449" i="21"/>
  <c r="B448" i="21"/>
  <c r="B447" i="21"/>
  <c r="B446" i="21"/>
  <c r="B445" i="21"/>
  <c r="B444" i="21"/>
  <c r="B443" i="21"/>
  <c r="B442" i="21"/>
  <c r="B441" i="21"/>
  <c r="B440" i="21"/>
  <c r="B439" i="21"/>
  <c r="B438" i="21"/>
  <c r="B437" i="21"/>
  <c r="B436" i="21"/>
  <c r="B435" i="21"/>
  <c r="B434" i="21"/>
  <c r="B433" i="21"/>
  <c r="B432" i="21"/>
  <c r="B431" i="21"/>
  <c r="B430" i="21"/>
  <c r="B429" i="21"/>
  <c r="B428" i="21"/>
  <c r="B427" i="21"/>
  <c r="B426" i="21"/>
  <c r="B425" i="21"/>
  <c r="B424" i="21"/>
  <c r="B423" i="21"/>
  <c r="B422" i="21"/>
  <c r="B421" i="21"/>
  <c r="B420" i="21"/>
  <c r="B419" i="21"/>
  <c r="B418" i="21"/>
  <c r="B417" i="21"/>
  <c r="B416" i="21"/>
  <c r="B415" i="21"/>
  <c r="B414" i="21"/>
  <c r="B413" i="21"/>
  <c r="B412" i="21"/>
  <c r="B411" i="21"/>
  <c r="B410" i="21"/>
  <c r="B409" i="21"/>
  <c r="B408" i="21"/>
  <c r="B407" i="21"/>
  <c r="B406" i="21"/>
  <c r="B405" i="21"/>
  <c r="B404" i="21"/>
  <c r="B403" i="21"/>
  <c r="B402" i="21"/>
  <c r="B401" i="21"/>
  <c r="B400" i="21"/>
  <c r="B399" i="21"/>
  <c r="B398" i="21"/>
  <c r="B397" i="21"/>
  <c r="B396" i="21"/>
  <c r="B395" i="21"/>
  <c r="B394" i="21"/>
  <c r="B393" i="21"/>
  <c r="B392" i="21"/>
  <c r="B391" i="21"/>
  <c r="B390" i="21"/>
  <c r="B389" i="21"/>
  <c r="B388" i="21"/>
  <c r="B387" i="21"/>
  <c r="B386" i="21"/>
  <c r="B385" i="21"/>
  <c r="B384" i="21"/>
  <c r="B383" i="21"/>
  <c r="B382" i="21"/>
  <c r="B381" i="21"/>
  <c r="B380" i="21"/>
  <c r="B379" i="21"/>
  <c r="B378" i="21"/>
  <c r="B377" i="21"/>
  <c r="B376" i="21"/>
  <c r="B375" i="21"/>
  <c r="B374" i="21"/>
  <c r="B373" i="21"/>
  <c r="B372" i="21"/>
  <c r="B371" i="21"/>
  <c r="B370" i="21"/>
  <c r="B369" i="21"/>
  <c r="B368" i="21"/>
  <c r="B367" i="21"/>
  <c r="B366" i="21"/>
  <c r="B365" i="21"/>
  <c r="B364" i="21"/>
  <c r="B363" i="21"/>
  <c r="B362" i="21"/>
  <c r="B361" i="21"/>
  <c r="B360" i="21"/>
  <c r="B359" i="21"/>
  <c r="B358" i="21"/>
  <c r="B357" i="21"/>
  <c r="B356" i="21"/>
  <c r="B355" i="21"/>
  <c r="B354" i="21"/>
  <c r="B353" i="21"/>
  <c r="B352" i="21"/>
  <c r="B351" i="21"/>
  <c r="B350" i="21"/>
  <c r="B349" i="21"/>
  <c r="B348" i="21"/>
  <c r="B347" i="21"/>
  <c r="B346" i="21"/>
  <c r="B345" i="21"/>
  <c r="B344" i="21"/>
  <c r="B343" i="21"/>
  <c r="B342" i="21"/>
  <c r="B341" i="21"/>
  <c r="B340" i="21"/>
  <c r="B339" i="21"/>
  <c r="B338" i="21"/>
  <c r="B337" i="21"/>
  <c r="B336" i="21"/>
  <c r="B335" i="21"/>
  <c r="B334" i="21"/>
  <c r="B333" i="21"/>
  <c r="B332" i="21"/>
  <c r="B331" i="21"/>
  <c r="B330" i="21"/>
  <c r="B329" i="21"/>
  <c r="B328" i="21"/>
  <c r="B327" i="21"/>
  <c r="B326" i="21"/>
  <c r="B325" i="21"/>
  <c r="B324" i="21"/>
  <c r="B323" i="21"/>
  <c r="B322" i="21"/>
  <c r="B321" i="21"/>
  <c r="B320" i="21"/>
  <c r="B319" i="21"/>
  <c r="B318" i="21"/>
  <c r="B317" i="21"/>
  <c r="B316" i="21"/>
  <c r="B315" i="21"/>
  <c r="B314" i="21"/>
  <c r="B313" i="21"/>
  <c r="B312" i="21"/>
  <c r="B311" i="21"/>
  <c r="B310" i="21"/>
  <c r="B309" i="21"/>
  <c r="B308" i="21"/>
  <c r="B307" i="21"/>
  <c r="B306" i="21"/>
  <c r="B305" i="21"/>
  <c r="B304" i="21"/>
  <c r="B303" i="21"/>
  <c r="B302" i="21"/>
  <c r="B301" i="21"/>
  <c r="B300" i="21"/>
  <c r="B299" i="21"/>
  <c r="B298" i="21"/>
  <c r="B297" i="21"/>
  <c r="B296" i="21"/>
  <c r="B295" i="21"/>
  <c r="B294" i="21"/>
  <c r="B293" i="21"/>
  <c r="B292" i="21"/>
  <c r="B291" i="21"/>
  <c r="B290" i="21"/>
  <c r="B289" i="21"/>
  <c r="B288" i="21"/>
  <c r="B287" i="21"/>
  <c r="B286" i="21"/>
  <c r="B285" i="21"/>
  <c r="B284" i="21"/>
  <c r="B283" i="21"/>
  <c r="B282" i="21"/>
  <c r="B281" i="21"/>
  <c r="B280" i="21"/>
  <c r="B279" i="21"/>
  <c r="B278" i="21"/>
  <c r="B277" i="21"/>
  <c r="B276" i="21"/>
  <c r="B275" i="21"/>
  <c r="B274" i="21"/>
  <c r="B273" i="21"/>
  <c r="B272" i="21"/>
  <c r="B271" i="21"/>
  <c r="B270" i="21"/>
  <c r="B269" i="21"/>
  <c r="B268" i="21"/>
  <c r="B267" i="21"/>
  <c r="B266" i="21"/>
  <c r="B265" i="21"/>
  <c r="B264" i="21"/>
  <c r="B263" i="21"/>
  <c r="B262" i="21"/>
  <c r="B261" i="21"/>
  <c r="B260" i="21"/>
  <c r="B259" i="21"/>
  <c r="B258" i="21"/>
  <c r="B257" i="21"/>
  <c r="B256" i="21"/>
  <c r="B255" i="21"/>
  <c r="B254" i="21"/>
  <c r="B253" i="21"/>
  <c r="B252" i="21"/>
  <c r="B251" i="21"/>
  <c r="B250" i="21"/>
  <c r="B249" i="21"/>
  <c r="B248" i="21"/>
  <c r="B247" i="21"/>
  <c r="B246" i="21"/>
  <c r="B245" i="21"/>
  <c r="B244" i="21"/>
  <c r="B243" i="21"/>
  <c r="B242" i="21"/>
  <c r="B241" i="21"/>
  <c r="B240" i="21"/>
  <c r="B239" i="21"/>
  <c r="B238" i="21"/>
  <c r="B237" i="21"/>
  <c r="B236" i="21"/>
  <c r="B235" i="21"/>
  <c r="B234" i="21"/>
  <c r="B233" i="21"/>
  <c r="B232" i="21"/>
  <c r="B231" i="21"/>
  <c r="B230" i="21"/>
  <c r="B229" i="21"/>
  <c r="B228" i="21"/>
  <c r="B227" i="21"/>
  <c r="B226" i="21"/>
  <c r="B225" i="21"/>
  <c r="B224" i="21"/>
  <c r="B223" i="21"/>
  <c r="B222" i="21"/>
  <c r="B221" i="21"/>
  <c r="B220" i="21"/>
  <c r="B219" i="21"/>
  <c r="B218" i="21"/>
  <c r="B217" i="21"/>
  <c r="B216" i="21"/>
  <c r="B215" i="21"/>
  <c r="B214" i="21"/>
  <c r="B213" i="21"/>
  <c r="B212" i="21"/>
  <c r="B211" i="21"/>
  <c r="B210" i="21"/>
  <c r="B209" i="21"/>
  <c r="B208" i="21"/>
  <c r="B207" i="21"/>
  <c r="B206" i="21"/>
  <c r="B205" i="21"/>
  <c r="B204" i="21"/>
  <c r="B203" i="21"/>
  <c r="B202" i="21"/>
  <c r="B201" i="21"/>
  <c r="B200" i="21"/>
  <c r="B199" i="21"/>
  <c r="B198" i="21"/>
  <c r="B197" i="21"/>
  <c r="B196" i="21"/>
  <c r="B195" i="21"/>
  <c r="B194" i="21"/>
  <c r="B193" i="21"/>
  <c r="B192" i="21"/>
  <c r="B191" i="21"/>
  <c r="B190" i="21"/>
  <c r="B189" i="21"/>
  <c r="B188" i="21"/>
  <c r="B187" i="21"/>
  <c r="B186" i="21"/>
  <c r="B185" i="21"/>
  <c r="B184" i="21"/>
  <c r="B183" i="21"/>
  <c r="B182" i="21"/>
  <c r="B181" i="21"/>
  <c r="B180" i="21"/>
  <c r="B179" i="21"/>
  <c r="B178" i="21"/>
  <c r="B177" i="21"/>
  <c r="B176" i="21"/>
  <c r="B175" i="21"/>
  <c r="B174" i="21"/>
  <c r="B173" i="21"/>
  <c r="B172" i="21"/>
  <c r="B171" i="21"/>
  <c r="B170" i="21"/>
  <c r="B169" i="21"/>
  <c r="B168" i="21"/>
  <c r="B167" i="21"/>
  <c r="B166" i="21"/>
  <c r="B165" i="21"/>
  <c r="B164" i="21"/>
  <c r="B163" i="21"/>
  <c r="K162" i="21"/>
  <c r="K161" i="21"/>
  <c r="K160" i="21"/>
  <c r="K159" i="21"/>
  <c r="D159" i="21"/>
  <c r="K158" i="21"/>
  <c r="D158" i="21"/>
  <c r="P157" i="21"/>
  <c r="K157" i="21"/>
  <c r="D157" i="21"/>
  <c r="P156" i="21"/>
  <c r="K156" i="21"/>
  <c r="D156" i="21"/>
  <c r="P155" i="21"/>
  <c r="K155" i="21"/>
  <c r="D155" i="21"/>
  <c r="P154" i="21"/>
  <c r="K154" i="21"/>
  <c r="D154" i="21"/>
  <c r="P153" i="21"/>
  <c r="K153" i="21"/>
  <c r="D153" i="21"/>
  <c r="P152" i="21"/>
  <c r="K152" i="21"/>
  <c r="D152" i="21"/>
  <c r="P151" i="21"/>
  <c r="K151" i="21"/>
  <c r="D151" i="21"/>
  <c r="P150" i="21"/>
  <c r="K150" i="21"/>
  <c r="D150" i="21"/>
  <c r="P149" i="21"/>
  <c r="K149" i="21"/>
  <c r="D149" i="21"/>
  <c r="P148" i="21"/>
  <c r="K148" i="21"/>
  <c r="D148" i="21"/>
  <c r="P147" i="21"/>
  <c r="K147" i="21"/>
  <c r="D147" i="21"/>
  <c r="P146" i="21"/>
  <c r="K146" i="21"/>
  <c r="D146" i="21"/>
  <c r="W145" i="21"/>
  <c r="R145" i="21"/>
  <c r="P145" i="21"/>
  <c r="K145" i="21"/>
  <c r="D145" i="21"/>
  <c r="W144" i="21"/>
  <c r="R144" i="21"/>
  <c r="P144" i="21"/>
  <c r="K144" i="21"/>
  <c r="D144" i="21"/>
  <c r="W143" i="21"/>
  <c r="R143" i="21"/>
  <c r="P143" i="21"/>
  <c r="K143" i="21"/>
  <c r="D143" i="21"/>
  <c r="R142" i="21"/>
  <c r="K142" i="21"/>
  <c r="D142" i="21"/>
  <c r="R141" i="21"/>
  <c r="K141" i="21"/>
  <c r="D141" i="21"/>
  <c r="R140" i="21"/>
  <c r="K140" i="21"/>
  <c r="D140" i="21"/>
  <c r="R139" i="21"/>
  <c r="K139" i="21"/>
  <c r="D139" i="21"/>
  <c r="R138" i="21"/>
  <c r="K138" i="21"/>
  <c r="D138" i="21"/>
  <c r="R137" i="21"/>
  <c r="K137" i="21"/>
  <c r="D137" i="21"/>
  <c r="R136" i="21"/>
  <c r="K136" i="21"/>
  <c r="D136" i="21"/>
  <c r="R135" i="21"/>
  <c r="K135" i="21"/>
  <c r="D135" i="21"/>
  <c r="R134" i="21"/>
  <c r="K134" i="21"/>
  <c r="D134" i="21"/>
  <c r="R133" i="21"/>
  <c r="K133" i="21"/>
  <c r="D133" i="21"/>
  <c r="R132" i="21"/>
  <c r="K132" i="21"/>
  <c r="D132" i="21"/>
  <c r="R131" i="21"/>
  <c r="K131" i="21"/>
  <c r="D131" i="21"/>
  <c r="R130" i="21"/>
  <c r="K130" i="21"/>
  <c r="D130" i="21"/>
  <c r="H157" i="21" s="1"/>
  <c r="R129" i="21"/>
  <c r="K129" i="21"/>
  <c r="D129" i="21"/>
  <c r="R128" i="21"/>
  <c r="K128" i="21"/>
  <c r="D128" i="21"/>
  <c r="R127" i="21"/>
  <c r="K127" i="21"/>
  <c r="D127" i="21"/>
  <c r="R126" i="21"/>
  <c r="K126" i="21"/>
  <c r="D126" i="21"/>
  <c r="R125" i="21"/>
  <c r="K125" i="21"/>
  <c r="I125" i="21"/>
  <c r="D125" i="21" s="1"/>
  <c r="R124" i="21"/>
  <c r="K124" i="21"/>
  <c r="D124" i="21"/>
  <c r="R123" i="21"/>
  <c r="K123" i="21"/>
  <c r="D123" i="21"/>
  <c r="R122" i="21"/>
  <c r="K122" i="21"/>
  <c r="D122" i="21"/>
  <c r="R121" i="21"/>
  <c r="K121" i="21"/>
  <c r="D121" i="21"/>
  <c r="R120" i="21"/>
  <c r="K120" i="21"/>
  <c r="D120" i="21"/>
  <c r="R119" i="21"/>
  <c r="K119" i="21"/>
  <c r="D119" i="21"/>
  <c r="R118" i="21"/>
  <c r="K118" i="21"/>
  <c r="D118" i="21"/>
  <c r="R117" i="21"/>
  <c r="K117" i="21"/>
  <c r="D117" i="21"/>
  <c r="R116" i="21"/>
  <c r="K116" i="21"/>
  <c r="D116" i="21"/>
  <c r="R115" i="21"/>
  <c r="K115" i="21"/>
  <c r="D115" i="21"/>
  <c r="R114" i="21"/>
  <c r="K114" i="21"/>
  <c r="D114" i="21"/>
  <c r="H149" i="21" s="1"/>
  <c r="R113" i="21"/>
  <c r="K113" i="21"/>
  <c r="D113" i="21"/>
  <c r="R112" i="21"/>
  <c r="K112" i="21"/>
  <c r="D112" i="21"/>
  <c r="H147" i="21" s="1"/>
  <c r="R111" i="21"/>
  <c r="K111" i="21"/>
  <c r="D111" i="21"/>
  <c r="R110" i="21"/>
  <c r="K110" i="21"/>
  <c r="D110" i="21"/>
  <c r="R109" i="21"/>
  <c r="K109" i="21"/>
  <c r="D109" i="21"/>
  <c r="R108" i="21"/>
  <c r="K108" i="21"/>
  <c r="D108" i="21"/>
  <c r="H143" i="21" s="1"/>
  <c r="R107" i="21"/>
  <c r="K107" i="21"/>
  <c r="D107" i="21"/>
  <c r="R106" i="21"/>
  <c r="K106" i="21"/>
  <c r="D106" i="21"/>
  <c r="R105" i="21"/>
  <c r="K105" i="21"/>
  <c r="I105" i="21"/>
  <c r="D105" i="21" s="1"/>
  <c r="R104" i="21"/>
  <c r="K104" i="21"/>
  <c r="I104" i="21"/>
  <c r="D104" i="21" s="1"/>
  <c r="R103" i="21"/>
  <c r="K103" i="21"/>
  <c r="I103" i="21"/>
  <c r="D103" i="21"/>
  <c r="R102" i="21"/>
  <c r="K102" i="21"/>
  <c r="I102" i="21"/>
  <c r="D102" i="21"/>
  <c r="R101" i="21"/>
  <c r="K101" i="21"/>
  <c r="I101" i="21"/>
  <c r="D101" i="21"/>
  <c r="R100" i="21"/>
  <c r="K100" i="21"/>
  <c r="I100" i="21"/>
  <c r="D100" i="21"/>
  <c r="R99" i="21"/>
  <c r="K99" i="21"/>
  <c r="I99" i="21"/>
  <c r="D99" i="21"/>
  <c r="R98" i="21"/>
  <c r="K98" i="21"/>
  <c r="I98" i="21"/>
  <c r="D98" i="21" s="1"/>
  <c r="R97" i="21"/>
  <c r="K97" i="21"/>
  <c r="I97" i="21"/>
  <c r="D97" i="21" s="1"/>
  <c r="R96" i="21"/>
  <c r="K96" i="21"/>
  <c r="I96" i="21"/>
  <c r="D96" i="21" s="1"/>
  <c r="R95" i="21"/>
  <c r="K95" i="21"/>
  <c r="I95" i="21"/>
  <c r="D95" i="21" s="1"/>
  <c r="R94" i="21"/>
  <c r="K94" i="21"/>
  <c r="I94" i="21"/>
  <c r="D94" i="21"/>
  <c r="R93" i="21"/>
  <c r="K93" i="21"/>
  <c r="I93" i="21"/>
  <c r="D93" i="21"/>
  <c r="R92" i="21"/>
  <c r="K92" i="21"/>
  <c r="I92" i="21"/>
  <c r="D92" i="21"/>
  <c r="R91" i="21"/>
  <c r="K91" i="21"/>
  <c r="I91" i="21"/>
  <c r="D91" i="21" s="1"/>
  <c r="R90" i="21"/>
  <c r="K90" i="21"/>
  <c r="I90" i="21"/>
  <c r="D90" i="21"/>
  <c r="R89" i="21"/>
  <c r="K89" i="21"/>
  <c r="D89" i="21"/>
  <c r="R88" i="21"/>
  <c r="K88" i="21"/>
  <c r="D88" i="21"/>
  <c r="R87" i="21"/>
  <c r="K87" i="21"/>
  <c r="D87" i="21"/>
  <c r="R86" i="21"/>
  <c r="K86" i="21"/>
  <c r="D86" i="21"/>
  <c r="R85" i="21"/>
  <c r="K85" i="21"/>
  <c r="D85" i="21"/>
  <c r="R84" i="21"/>
  <c r="K84" i="21"/>
  <c r="D84" i="21"/>
  <c r="R83" i="21"/>
  <c r="K83" i="21"/>
  <c r="D83" i="21"/>
  <c r="R82" i="21"/>
  <c r="K82" i="21"/>
  <c r="D82" i="21"/>
  <c r="R81" i="21"/>
  <c r="K81" i="21"/>
  <c r="D81" i="21"/>
  <c r="R80" i="21"/>
  <c r="K80" i="21"/>
  <c r="D80" i="21"/>
  <c r="R79" i="21"/>
  <c r="K79" i="21"/>
  <c r="D79" i="21"/>
  <c r="R78" i="21"/>
  <c r="K78" i="21"/>
  <c r="D78" i="21"/>
  <c r="R77" i="21"/>
  <c r="K77" i="21"/>
  <c r="D77" i="21"/>
  <c r="R76" i="21"/>
  <c r="K76" i="21"/>
  <c r="D76" i="21"/>
  <c r="R75" i="21"/>
  <c r="K75" i="21"/>
  <c r="D75" i="21"/>
  <c r="R74" i="21"/>
  <c r="K74" i="21"/>
  <c r="D74" i="21"/>
  <c r="R73" i="21"/>
  <c r="K73" i="21"/>
  <c r="D73" i="21"/>
  <c r="R72" i="21"/>
  <c r="K72" i="21"/>
  <c r="D72" i="21"/>
  <c r="R71" i="21"/>
  <c r="K71" i="21"/>
  <c r="D71" i="21"/>
  <c r="R70" i="21"/>
  <c r="K70" i="21"/>
  <c r="D70" i="21"/>
  <c r="R69" i="21"/>
  <c r="K69" i="21"/>
  <c r="D69" i="21"/>
  <c r="R68" i="21"/>
  <c r="K68" i="21"/>
  <c r="D68" i="21"/>
  <c r="R67" i="21"/>
  <c r="K67" i="21"/>
  <c r="D67" i="21"/>
  <c r="R66" i="21"/>
  <c r="K66" i="21"/>
  <c r="D66" i="21"/>
  <c r="R65" i="21"/>
  <c r="K65" i="21"/>
  <c r="D65" i="21"/>
  <c r="R64" i="21"/>
  <c r="K64" i="21"/>
  <c r="D64" i="21"/>
  <c r="R63" i="21"/>
  <c r="K63" i="21"/>
  <c r="D63" i="21"/>
  <c r="R62" i="21"/>
  <c r="K62" i="21"/>
  <c r="D62" i="21"/>
  <c r="R61" i="21"/>
  <c r="K61" i="21"/>
  <c r="D61" i="21"/>
  <c r="R60" i="21"/>
  <c r="K60" i="21"/>
  <c r="D60" i="21"/>
  <c r="R59" i="21"/>
  <c r="K59" i="21"/>
  <c r="D59" i="21"/>
  <c r="R58" i="21"/>
  <c r="K58" i="21"/>
  <c r="D58" i="21"/>
  <c r="R57" i="21"/>
  <c r="K57" i="21"/>
  <c r="D57" i="21"/>
  <c r="R56" i="21"/>
  <c r="K56" i="21"/>
  <c r="D56" i="21"/>
  <c r="R55" i="21"/>
  <c r="K55" i="21"/>
  <c r="D55" i="21"/>
  <c r="R54" i="21"/>
  <c r="K54" i="21"/>
  <c r="D54" i="21"/>
  <c r="R53" i="21"/>
  <c r="K53" i="21"/>
  <c r="D53" i="21"/>
  <c r="R52" i="21"/>
  <c r="K52" i="21"/>
  <c r="D52" i="21"/>
  <c r="R51" i="21"/>
  <c r="K51" i="21"/>
  <c r="D51" i="21"/>
  <c r="R50" i="21"/>
  <c r="K50" i="21"/>
  <c r="D50" i="21"/>
  <c r="R49" i="21"/>
  <c r="K49" i="21"/>
  <c r="D49" i="21"/>
  <c r="R48" i="21"/>
  <c r="K48" i="21"/>
  <c r="D48" i="21"/>
  <c r="R47" i="21"/>
  <c r="K47" i="21"/>
  <c r="D47" i="21"/>
  <c r="R46" i="21"/>
  <c r="K46" i="21"/>
  <c r="D46" i="21"/>
  <c r="R45" i="21"/>
  <c r="K45" i="21"/>
  <c r="D45" i="21"/>
  <c r="R44" i="21"/>
  <c r="K44" i="21"/>
  <c r="D44" i="21"/>
  <c r="R43" i="21"/>
  <c r="K43" i="21"/>
  <c r="D43" i="21"/>
  <c r="R42" i="21"/>
  <c r="K42" i="21"/>
  <c r="D42" i="21"/>
  <c r="R41" i="21"/>
  <c r="K41" i="21"/>
  <c r="D41" i="21"/>
  <c r="R40" i="21"/>
  <c r="K40" i="21"/>
  <c r="D40" i="21"/>
  <c r="R39" i="21"/>
  <c r="K39" i="21"/>
  <c r="D39" i="21"/>
  <c r="R38" i="21"/>
  <c r="K38" i="21"/>
  <c r="D38" i="21"/>
  <c r="R37" i="21"/>
  <c r="K37" i="21"/>
  <c r="D37" i="21"/>
  <c r="R36" i="21"/>
  <c r="K36" i="21"/>
  <c r="D36" i="21"/>
  <c r="R35" i="21"/>
  <c r="K35" i="21"/>
  <c r="D35" i="21"/>
  <c r="R34" i="21"/>
  <c r="K34" i="21"/>
  <c r="D34" i="21"/>
  <c r="R33" i="21"/>
  <c r="K33" i="21"/>
  <c r="D33" i="21"/>
  <c r="R32" i="21"/>
  <c r="K32" i="21"/>
  <c r="D32" i="21"/>
  <c r="R31" i="21"/>
  <c r="K31" i="21"/>
  <c r="D31" i="21"/>
  <c r="R30" i="21"/>
  <c r="K30" i="21"/>
  <c r="D30" i="21"/>
  <c r="R29" i="21"/>
  <c r="K29" i="21"/>
  <c r="D29" i="21"/>
  <c r="R28" i="21"/>
  <c r="K28" i="21"/>
  <c r="D28" i="21"/>
  <c r="R27" i="21"/>
  <c r="K27" i="21"/>
  <c r="D27" i="21"/>
  <c r="R26" i="21"/>
  <c r="K26" i="21"/>
  <c r="D26" i="21"/>
  <c r="R25" i="21"/>
  <c r="K25" i="21"/>
  <c r="D25" i="21"/>
  <c r="R24" i="21"/>
  <c r="K24" i="21"/>
  <c r="D24" i="21"/>
  <c r="R23" i="21"/>
  <c r="K23" i="21"/>
  <c r="D23" i="21"/>
  <c r="R22" i="21"/>
  <c r="K22" i="21"/>
  <c r="D22" i="21"/>
  <c r="R21" i="21"/>
  <c r="K21" i="21"/>
  <c r="D21" i="21"/>
  <c r="R20" i="21"/>
  <c r="K20" i="21"/>
  <c r="D20" i="21"/>
  <c r="R19" i="21"/>
  <c r="K19" i="21"/>
  <c r="D19" i="21"/>
  <c r="T18" i="21"/>
  <c r="T19" i="21" s="1"/>
  <c r="R18" i="21"/>
  <c r="M18" i="21"/>
  <c r="M19" i="21" s="1"/>
  <c r="K18" i="21"/>
  <c r="D18" i="21"/>
  <c r="B18" i="21"/>
  <c r="T17" i="21"/>
  <c r="R17" i="21"/>
  <c r="M17" i="21"/>
  <c r="K17" i="21"/>
  <c r="D17" i="21"/>
  <c r="E17" i="21" s="1"/>
  <c r="E18" i="21" s="1"/>
  <c r="E19" i="21" s="1"/>
  <c r="B17" i="21"/>
  <c r="R16" i="21"/>
  <c r="K16" i="21"/>
  <c r="B505" i="29"/>
  <c r="B504" i="29"/>
  <c r="B503" i="29"/>
  <c r="B502" i="29"/>
  <c r="B501" i="29"/>
  <c r="B500" i="29"/>
  <c r="B499" i="29"/>
  <c r="B498" i="29"/>
  <c r="B497" i="29"/>
  <c r="B496" i="29"/>
  <c r="B495" i="29"/>
  <c r="B494" i="29"/>
  <c r="B493" i="29"/>
  <c r="B492" i="29"/>
  <c r="B491" i="29"/>
  <c r="B490" i="29"/>
  <c r="B489" i="29"/>
  <c r="B488" i="29"/>
  <c r="B487" i="29"/>
  <c r="B486" i="29"/>
  <c r="B485" i="29"/>
  <c r="B484" i="29"/>
  <c r="B483" i="29"/>
  <c r="B482" i="29"/>
  <c r="B481" i="29"/>
  <c r="B480" i="29"/>
  <c r="B479" i="29"/>
  <c r="B478" i="29"/>
  <c r="B477" i="29"/>
  <c r="B476" i="29"/>
  <c r="B475" i="29"/>
  <c r="B474" i="29"/>
  <c r="B473" i="29"/>
  <c r="B472" i="29"/>
  <c r="B471" i="29"/>
  <c r="B470" i="29"/>
  <c r="B469" i="29"/>
  <c r="B468" i="29"/>
  <c r="B467" i="29"/>
  <c r="B466" i="29"/>
  <c r="B465" i="29"/>
  <c r="B464" i="29"/>
  <c r="B463" i="29"/>
  <c r="B462" i="29"/>
  <c r="B461" i="29"/>
  <c r="B460" i="29"/>
  <c r="B459" i="29"/>
  <c r="B458" i="29"/>
  <c r="B457" i="29"/>
  <c r="B456" i="29"/>
  <c r="B455" i="29"/>
  <c r="B454" i="29"/>
  <c r="B453" i="29"/>
  <c r="B452" i="29"/>
  <c r="B451" i="29"/>
  <c r="B450" i="29"/>
  <c r="B449" i="29"/>
  <c r="B448" i="29"/>
  <c r="B447" i="29"/>
  <c r="B446" i="29"/>
  <c r="B445" i="29"/>
  <c r="B444" i="29"/>
  <c r="B443" i="29"/>
  <c r="B442" i="29"/>
  <c r="B441" i="29"/>
  <c r="B440" i="29"/>
  <c r="B439" i="29"/>
  <c r="B438" i="29"/>
  <c r="B437" i="29"/>
  <c r="B436" i="29"/>
  <c r="B435" i="29"/>
  <c r="B434" i="29"/>
  <c r="B433" i="29"/>
  <c r="B432" i="29"/>
  <c r="B431" i="29"/>
  <c r="B430" i="29"/>
  <c r="B429" i="29"/>
  <c r="B428" i="29"/>
  <c r="B427" i="29"/>
  <c r="B426" i="29"/>
  <c r="B425" i="29"/>
  <c r="B424" i="29"/>
  <c r="B423" i="29"/>
  <c r="B422" i="29"/>
  <c r="B421" i="29"/>
  <c r="B420" i="29"/>
  <c r="B419" i="29"/>
  <c r="B418" i="29"/>
  <c r="B417" i="29"/>
  <c r="B416" i="29"/>
  <c r="B415" i="29"/>
  <c r="B414" i="29"/>
  <c r="B413" i="29"/>
  <c r="B412" i="29"/>
  <c r="B411" i="29"/>
  <c r="B410" i="29"/>
  <c r="B409" i="29"/>
  <c r="B408" i="29"/>
  <c r="B407" i="29"/>
  <c r="B406" i="29"/>
  <c r="B405" i="29"/>
  <c r="B404" i="29"/>
  <c r="B403" i="29"/>
  <c r="B402" i="29"/>
  <c r="B401" i="29"/>
  <c r="B400" i="29"/>
  <c r="B399" i="29"/>
  <c r="B398" i="29"/>
  <c r="B397" i="29"/>
  <c r="B396" i="29"/>
  <c r="B395" i="29"/>
  <c r="B394" i="29"/>
  <c r="B393" i="29"/>
  <c r="B392" i="29"/>
  <c r="B391" i="29"/>
  <c r="B390" i="29"/>
  <c r="B389" i="29"/>
  <c r="B388" i="29"/>
  <c r="B387" i="29"/>
  <c r="B386" i="29"/>
  <c r="B385" i="29"/>
  <c r="B384" i="29"/>
  <c r="B383" i="29"/>
  <c r="B382" i="29"/>
  <c r="B381" i="29"/>
  <c r="B380" i="29"/>
  <c r="B379" i="29"/>
  <c r="B378" i="29"/>
  <c r="B377" i="29"/>
  <c r="B376" i="29"/>
  <c r="B375" i="29"/>
  <c r="B374" i="29"/>
  <c r="B373" i="29"/>
  <c r="B372" i="29"/>
  <c r="B371" i="29"/>
  <c r="B370" i="29"/>
  <c r="B369" i="29"/>
  <c r="B368" i="29"/>
  <c r="B367" i="29"/>
  <c r="B366" i="29"/>
  <c r="B365" i="29"/>
  <c r="B364" i="29"/>
  <c r="B363" i="29"/>
  <c r="B362" i="29"/>
  <c r="B361" i="29"/>
  <c r="B360" i="29"/>
  <c r="B359" i="29"/>
  <c r="B358" i="29"/>
  <c r="B357" i="29"/>
  <c r="B356" i="29"/>
  <c r="B355" i="29"/>
  <c r="B354" i="29"/>
  <c r="B353" i="29"/>
  <c r="B352" i="29"/>
  <c r="B351" i="29"/>
  <c r="B350" i="29"/>
  <c r="B349" i="29"/>
  <c r="B348" i="29"/>
  <c r="B347" i="29"/>
  <c r="B346" i="29"/>
  <c r="B345" i="29"/>
  <c r="B344" i="29"/>
  <c r="B343" i="29"/>
  <c r="B342" i="29"/>
  <c r="B341" i="29"/>
  <c r="B340" i="29"/>
  <c r="B339" i="29"/>
  <c r="B338" i="29"/>
  <c r="B337" i="29"/>
  <c r="B336" i="29"/>
  <c r="B335" i="29"/>
  <c r="B334" i="29"/>
  <c r="B333" i="29"/>
  <c r="B332" i="29"/>
  <c r="B331" i="29"/>
  <c r="B330" i="29"/>
  <c r="B329" i="29"/>
  <c r="B328" i="29"/>
  <c r="B327" i="29"/>
  <c r="B326" i="29"/>
  <c r="B325" i="29"/>
  <c r="B324" i="29"/>
  <c r="B323" i="29"/>
  <c r="B322" i="29"/>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D76" i="29"/>
  <c r="D75" i="29"/>
  <c r="D74" i="29"/>
  <c r="D73" i="29"/>
  <c r="D72" i="29"/>
  <c r="D71" i="29"/>
  <c r="D70" i="29"/>
  <c r="D69" i="29"/>
  <c r="D68" i="29"/>
  <c r="D67" i="29"/>
  <c r="D66" i="29"/>
  <c r="D65" i="29"/>
  <c r="D64" i="29"/>
  <c r="C64" i="29"/>
  <c r="D63" i="29"/>
  <c r="C63" i="29"/>
  <c r="D62" i="29"/>
  <c r="C62" i="29"/>
  <c r="D61" i="29"/>
  <c r="C61" i="29"/>
  <c r="D60" i="29"/>
  <c r="C60" i="29"/>
  <c r="D59" i="29"/>
  <c r="C59" i="29"/>
  <c r="D58" i="29"/>
  <c r="C58" i="29"/>
  <c r="AC57" i="29"/>
  <c r="D57" i="29"/>
  <c r="C57" i="29"/>
  <c r="AC56" i="29"/>
  <c r="V56" i="29"/>
  <c r="O56" i="29"/>
  <c r="H56" i="29"/>
  <c r="D56" i="29"/>
  <c r="C56" i="29"/>
  <c r="P56" i="29" s="1"/>
  <c r="AC55" i="29"/>
  <c r="V55" i="29"/>
  <c r="O55" i="29"/>
  <c r="H55" i="29"/>
  <c r="D55" i="29"/>
  <c r="C55" i="29"/>
  <c r="AD55" i="29" s="1"/>
  <c r="AC54" i="29"/>
  <c r="V54" i="29"/>
  <c r="O54" i="29"/>
  <c r="H54" i="29"/>
  <c r="D54" i="29"/>
  <c r="C54" i="29"/>
  <c r="P54" i="29" s="1"/>
  <c r="AC53" i="29"/>
  <c r="V53" i="29"/>
  <c r="O53" i="29"/>
  <c r="H53" i="29"/>
  <c r="D53" i="29"/>
  <c r="C53" i="29"/>
  <c r="AC52" i="29"/>
  <c r="V52" i="29"/>
  <c r="O52" i="29"/>
  <c r="H52" i="29"/>
  <c r="D52" i="29"/>
  <c r="C52" i="29"/>
  <c r="AD52" i="29" s="1"/>
  <c r="AC51" i="29"/>
  <c r="V51" i="29"/>
  <c r="O51" i="29"/>
  <c r="H51" i="29"/>
  <c r="D51" i="29"/>
  <c r="C51" i="29"/>
  <c r="P51" i="29" s="1"/>
  <c r="AC50" i="29"/>
  <c r="V50" i="29"/>
  <c r="O50" i="29"/>
  <c r="H50" i="29"/>
  <c r="D50" i="29"/>
  <c r="C50" i="29"/>
  <c r="P50" i="29" s="1"/>
  <c r="AC49" i="29"/>
  <c r="V49" i="29"/>
  <c r="O49" i="29"/>
  <c r="H49" i="29"/>
  <c r="D49" i="29"/>
  <c r="C49" i="29"/>
  <c r="P49" i="29" s="1"/>
  <c r="AC48" i="29"/>
  <c r="V48" i="29"/>
  <c r="O48" i="29"/>
  <c r="H48" i="29"/>
  <c r="D48" i="29"/>
  <c r="C48" i="29"/>
  <c r="P48" i="29" s="1"/>
  <c r="AC47" i="29"/>
  <c r="V47" i="29"/>
  <c r="O47" i="29"/>
  <c r="H47" i="29"/>
  <c r="D47" i="29"/>
  <c r="C47" i="29"/>
  <c r="P47" i="29" s="1"/>
  <c r="AC46" i="29"/>
  <c r="V46" i="29"/>
  <c r="O46" i="29"/>
  <c r="H46" i="29"/>
  <c r="D46" i="29"/>
  <c r="C46" i="29"/>
  <c r="AD46" i="29" s="1"/>
  <c r="AC45" i="29"/>
  <c r="V45" i="29"/>
  <c r="O45" i="29"/>
  <c r="H45" i="29"/>
  <c r="D45" i="29"/>
  <c r="C45" i="29"/>
  <c r="P45" i="29" s="1"/>
  <c r="AC44" i="29"/>
  <c r="V44" i="29"/>
  <c r="O44" i="29"/>
  <c r="H44" i="29"/>
  <c r="D44" i="29"/>
  <c r="C44" i="29"/>
  <c r="P44" i="29" s="1"/>
  <c r="AC43" i="29"/>
  <c r="V43" i="29"/>
  <c r="O43" i="29"/>
  <c r="H43" i="29"/>
  <c r="D43" i="29"/>
  <c r="C43" i="29"/>
  <c r="AD43" i="29" s="1"/>
  <c r="AC42" i="29"/>
  <c r="V42" i="29"/>
  <c r="O42" i="29"/>
  <c r="H42" i="29"/>
  <c r="D42" i="29"/>
  <c r="C42" i="29"/>
  <c r="AC41" i="29"/>
  <c r="V41" i="29"/>
  <c r="O41" i="29"/>
  <c r="H41" i="29"/>
  <c r="D41" i="29"/>
  <c r="C41" i="29"/>
  <c r="P41" i="29" s="1"/>
  <c r="AC40" i="29"/>
  <c r="V40" i="29"/>
  <c r="O40" i="29"/>
  <c r="H40" i="29"/>
  <c r="D40" i="29"/>
  <c r="C40" i="29"/>
  <c r="P40" i="29" s="1"/>
  <c r="AC39" i="29"/>
  <c r="V39" i="29"/>
  <c r="O39" i="29"/>
  <c r="H39" i="29"/>
  <c r="D39" i="29"/>
  <c r="C39" i="29"/>
  <c r="AC38" i="29"/>
  <c r="V38" i="29"/>
  <c r="O38" i="29"/>
  <c r="H38" i="29"/>
  <c r="D38" i="29"/>
  <c r="C38" i="29"/>
  <c r="P38" i="29" s="1"/>
  <c r="AC37" i="29"/>
  <c r="V37" i="29"/>
  <c r="O37" i="29"/>
  <c r="H37" i="29"/>
  <c r="D37" i="29"/>
  <c r="C37" i="29"/>
  <c r="P37" i="29" s="1"/>
  <c r="AC36" i="29"/>
  <c r="V36" i="29"/>
  <c r="O36" i="29"/>
  <c r="H36" i="29"/>
  <c r="D36" i="29"/>
  <c r="C36" i="29"/>
  <c r="P36" i="29" s="1"/>
  <c r="AC35" i="29"/>
  <c r="V35" i="29"/>
  <c r="O35" i="29"/>
  <c r="H35" i="29"/>
  <c r="D35" i="29"/>
  <c r="C35" i="29"/>
  <c r="P35" i="29" s="1"/>
  <c r="AC34" i="29"/>
  <c r="V34" i="29"/>
  <c r="O34" i="29"/>
  <c r="H34" i="29"/>
  <c r="D34" i="29"/>
  <c r="C34" i="29"/>
  <c r="P34" i="29" s="1"/>
  <c r="AC33" i="29"/>
  <c r="V33" i="29"/>
  <c r="O33" i="29"/>
  <c r="H33" i="29"/>
  <c r="D33" i="29"/>
  <c r="C33" i="29"/>
  <c r="P33" i="29" s="1"/>
  <c r="AC32" i="29"/>
  <c r="V32" i="29"/>
  <c r="O32" i="29"/>
  <c r="H32" i="29"/>
  <c r="D32" i="29"/>
  <c r="C32" i="29"/>
  <c r="P32" i="29" s="1"/>
  <c r="AC31" i="29"/>
  <c r="V31" i="29"/>
  <c r="O31" i="29"/>
  <c r="H31" i="29"/>
  <c r="D31" i="29"/>
  <c r="C31" i="29"/>
  <c r="P31" i="29" s="1"/>
  <c r="AC30" i="29"/>
  <c r="V30" i="29"/>
  <c r="O30" i="29"/>
  <c r="H30" i="29"/>
  <c r="D30" i="29"/>
  <c r="C30" i="29"/>
  <c r="P30" i="29" s="1"/>
  <c r="AC29" i="29"/>
  <c r="V29" i="29"/>
  <c r="O29" i="29"/>
  <c r="H29" i="29"/>
  <c r="D29" i="29"/>
  <c r="C29" i="29"/>
  <c r="P29" i="29" s="1"/>
  <c r="AC28" i="29"/>
  <c r="V28" i="29"/>
  <c r="O28" i="29"/>
  <c r="H28" i="29"/>
  <c r="D28" i="29"/>
  <c r="C28" i="29"/>
  <c r="P28" i="29" s="1"/>
  <c r="AC27" i="29"/>
  <c r="V27" i="29"/>
  <c r="O27" i="29"/>
  <c r="H27" i="29"/>
  <c r="D27" i="29"/>
  <c r="C27" i="29"/>
  <c r="P27" i="29" s="1"/>
  <c r="AC26" i="29"/>
  <c r="V26" i="29"/>
  <c r="O26" i="29"/>
  <c r="H26" i="29"/>
  <c r="D26" i="29"/>
  <c r="C26" i="29"/>
  <c r="P26" i="29" s="1"/>
  <c r="AC25" i="29"/>
  <c r="X25" i="29"/>
  <c r="X26" i="29" s="1"/>
  <c r="X27" i="29" s="1"/>
  <c r="X28" i="29" s="1"/>
  <c r="X29" i="29" s="1"/>
  <c r="X30" i="29" s="1"/>
  <c r="X31" i="29" s="1"/>
  <c r="X32" i="29" s="1"/>
  <c r="X33" i="29" s="1"/>
  <c r="X34" i="29" s="1"/>
  <c r="X35" i="29" s="1"/>
  <c r="X36" i="29" s="1"/>
  <c r="X37" i="29" s="1"/>
  <c r="X38" i="29" s="1"/>
  <c r="X39" i="29" s="1"/>
  <c r="X40" i="29" s="1"/>
  <c r="V25" i="29"/>
  <c r="O25" i="29"/>
  <c r="H25" i="29"/>
  <c r="D25" i="29"/>
  <c r="C25" i="29"/>
  <c r="AC24" i="29"/>
  <c r="V24" i="29"/>
  <c r="O24" i="29"/>
  <c r="H24" i="29"/>
  <c r="D24" i="29"/>
  <c r="C24" i="29"/>
  <c r="AC23" i="29"/>
  <c r="V23" i="29"/>
  <c r="O23" i="29"/>
  <c r="H23" i="29"/>
  <c r="D23" i="29"/>
  <c r="C23" i="29"/>
  <c r="AC22" i="29"/>
  <c r="V22" i="29"/>
  <c r="O22" i="29"/>
  <c r="H22" i="29"/>
  <c r="D22" i="29"/>
  <c r="C22" i="29"/>
  <c r="AC21" i="29"/>
  <c r="V21" i="29"/>
  <c r="O21" i="29"/>
  <c r="H21" i="29"/>
  <c r="D21" i="29"/>
  <c r="C21" i="29"/>
  <c r="AC20" i="29"/>
  <c r="X20" i="29"/>
  <c r="X21" i="29" s="1"/>
  <c r="X22" i="29" s="1"/>
  <c r="X23" i="29" s="1"/>
  <c r="X24" i="29" s="1"/>
  <c r="V20" i="29"/>
  <c r="O20" i="29"/>
  <c r="H20" i="29"/>
  <c r="D20" i="29"/>
  <c r="C20" i="29"/>
  <c r="AC19" i="29"/>
  <c r="V19" i="29"/>
  <c r="O19" i="29"/>
  <c r="H19" i="29"/>
  <c r="D19" i="29"/>
  <c r="C19" i="29"/>
  <c r="AC18" i="29"/>
  <c r="V18" i="29"/>
  <c r="Q18" i="29"/>
  <c r="Q19" i="29" s="1"/>
  <c r="Q20" i="29" s="1"/>
  <c r="Q21" i="29" s="1"/>
  <c r="Q22" i="29" s="1"/>
  <c r="Q23" i="29" s="1"/>
  <c r="Q24" i="29" s="1"/>
  <c r="Q25" i="29" s="1"/>
  <c r="O18" i="29"/>
  <c r="H18" i="29"/>
  <c r="D18" i="29"/>
  <c r="C18" i="29"/>
  <c r="AE17" i="29"/>
  <c r="AE18" i="29" s="1"/>
  <c r="AE19" i="29" s="1"/>
  <c r="AC17" i="29"/>
  <c r="X17" i="29"/>
  <c r="X18" i="29" s="1"/>
  <c r="X19" i="29" s="1"/>
  <c r="V17" i="29"/>
  <c r="Q17" i="29"/>
  <c r="O17" i="29"/>
  <c r="H17" i="29"/>
  <c r="D17" i="29"/>
  <c r="C17" i="29"/>
  <c r="B17" i="29"/>
  <c r="AE16" i="29"/>
  <c r="AC16" i="29"/>
  <c r="X16" i="29"/>
  <c r="V16" i="29"/>
  <c r="Q16" i="29"/>
  <c r="O16" i="29"/>
  <c r="J16" i="29"/>
  <c r="J17" i="29" s="1"/>
  <c r="J18" i="29" s="1"/>
  <c r="J19" i="29" s="1"/>
  <c r="J20" i="29" s="1"/>
  <c r="J21" i="29" s="1"/>
  <c r="J22" i="29" s="1"/>
  <c r="J23" i="29" s="1"/>
  <c r="J24" i="29" s="1"/>
  <c r="J25" i="29" s="1"/>
  <c r="J26" i="29" s="1"/>
  <c r="J27" i="29" s="1"/>
  <c r="J28" i="29" s="1"/>
  <c r="H16" i="29"/>
  <c r="D16" i="29"/>
  <c r="C16" i="29"/>
  <c r="B16" i="29"/>
  <c r="AC15" i="29"/>
  <c r="V15" i="29"/>
  <c r="O15" i="29"/>
  <c r="H15" i="29"/>
  <c r="W244" i="26"/>
  <c r="Q244" i="26"/>
  <c r="P244" i="26"/>
  <c r="K244" i="26"/>
  <c r="J244" i="26"/>
  <c r="W243" i="26"/>
  <c r="Q243" i="26"/>
  <c r="P243" i="26"/>
  <c r="K243" i="26"/>
  <c r="J243" i="26"/>
  <c r="W242" i="26"/>
  <c r="Q242" i="26"/>
  <c r="P242" i="26"/>
  <c r="K242" i="26"/>
  <c r="J242" i="26"/>
  <c r="W241" i="26"/>
  <c r="Q241" i="26"/>
  <c r="P241" i="26"/>
  <c r="K241" i="26"/>
  <c r="J241" i="26"/>
  <c r="W240" i="26"/>
  <c r="Q240" i="26"/>
  <c r="P240" i="26"/>
  <c r="K240" i="26"/>
  <c r="J240" i="26"/>
  <c r="W239" i="26"/>
  <c r="Q239" i="26"/>
  <c r="P239" i="26"/>
  <c r="K239" i="26"/>
  <c r="J239" i="26"/>
  <c r="W238" i="26"/>
  <c r="Q238" i="26"/>
  <c r="P238" i="26"/>
  <c r="K238" i="26"/>
  <c r="J238" i="26"/>
  <c r="W237" i="26"/>
  <c r="Q237" i="26"/>
  <c r="P237" i="26"/>
  <c r="K237" i="26"/>
  <c r="J237" i="26"/>
  <c r="W236" i="26"/>
  <c r="Q236" i="26"/>
  <c r="P236" i="26"/>
  <c r="K236" i="26"/>
  <c r="J236" i="26"/>
  <c r="W235" i="26"/>
  <c r="Q235" i="26"/>
  <c r="P235" i="26"/>
  <c r="K235" i="26"/>
  <c r="J235" i="26"/>
  <c r="W234" i="26"/>
  <c r="Q234" i="26"/>
  <c r="P234" i="26"/>
  <c r="K234" i="26"/>
  <c r="J234" i="26"/>
  <c r="W233" i="26"/>
  <c r="Q233" i="26"/>
  <c r="P233" i="26"/>
  <c r="K233" i="26"/>
  <c r="J233" i="26"/>
  <c r="W232" i="26"/>
  <c r="Q232" i="26"/>
  <c r="P232" i="26"/>
  <c r="K232" i="26"/>
  <c r="J232" i="26"/>
  <c r="Z231" i="26"/>
  <c r="X231" i="26"/>
  <c r="W231" i="26"/>
  <c r="Q231" i="26"/>
  <c r="P231" i="26"/>
  <c r="K231" i="26"/>
  <c r="J231" i="26"/>
  <c r="Z230" i="26"/>
  <c r="X230" i="26"/>
  <c r="W230" i="26"/>
  <c r="Q230" i="26"/>
  <c r="P230" i="26"/>
  <c r="K230" i="26"/>
  <c r="J230" i="26"/>
  <c r="Z229" i="26"/>
  <c r="X229" i="26"/>
  <c r="W229" i="26"/>
  <c r="Q229" i="26"/>
  <c r="P229" i="26"/>
  <c r="K229" i="26"/>
  <c r="J229" i="26"/>
  <c r="Z228" i="26"/>
  <c r="X228" i="26"/>
  <c r="W228" i="26"/>
  <c r="Q228" i="26"/>
  <c r="P228" i="26"/>
  <c r="K228" i="26"/>
  <c r="J228" i="26"/>
  <c r="Z227" i="26"/>
  <c r="X227" i="26"/>
  <c r="W227" i="26"/>
  <c r="Q227" i="26"/>
  <c r="P227" i="26"/>
  <c r="K227" i="26"/>
  <c r="J227" i="26"/>
  <c r="Z226" i="26"/>
  <c r="X226" i="26"/>
  <c r="W226" i="26"/>
  <c r="Q226" i="26"/>
  <c r="P226" i="26"/>
  <c r="K226" i="26"/>
  <c r="J226" i="26"/>
  <c r="Z225" i="26"/>
  <c r="X225" i="26"/>
  <c r="W225" i="26"/>
  <c r="Q225" i="26"/>
  <c r="P225" i="26"/>
  <c r="K225" i="26"/>
  <c r="J225" i="26"/>
  <c r="Z224" i="26"/>
  <c r="X224" i="26"/>
  <c r="W224" i="26"/>
  <c r="Q224" i="26"/>
  <c r="P224" i="26"/>
  <c r="K224" i="26"/>
  <c r="J224" i="26"/>
  <c r="Z223" i="26"/>
  <c r="X223" i="26"/>
  <c r="W223" i="26"/>
  <c r="Q223" i="26"/>
  <c r="P223" i="26"/>
  <c r="K223" i="26"/>
  <c r="J223" i="26"/>
  <c r="Z222" i="26"/>
  <c r="X222" i="26"/>
  <c r="AB222" i="26" s="1"/>
  <c r="W222" i="26"/>
  <c r="Q222" i="26"/>
  <c r="P222" i="26"/>
  <c r="K222" i="26"/>
  <c r="J222" i="26"/>
  <c r="Z221" i="26"/>
  <c r="X221" i="26"/>
  <c r="AB221" i="26" s="1"/>
  <c r="W221" i="26"/>
  <c r="Q221" i="26"/>
  <c r="P221" i="26"/>
  <c r="K221" i="26"/>
  <c r="J221" i="26"/>
  <c r="Z220" i="26"/>
  <c r="X220" i="26"/>
  <c r="W220" i="26"/>
  <c r="Q220" i="26"/>
  <c r="P220" i="26"/>
  <c r="K220" i="26"/>
  <c r="J220" i="26"/>
  <c r="AB219" i="26"/>
  <c r="Z219" i="26"/>
  <c r="X219" i="26"/>
  <c r="W219" i="26"/>
  <c r="Q219" i="26"/>
  <c r="P219" i="26"/>
  <c r="K219" i="26"/>
  <c r="J219" i="26"/>
  <c r="Z218" i="26"/>
  <c r="X218" i="26"/>
  <c r="W218" i="26"/>
  <c r="Q218" i="26"/>
  <c r="P218" i="26"/>
  <c r="K218" i="26"/>
  <c r="J218" i="26"/>
  <c r="Z217" i="26"/>
  <c r="X217" i="26"/>
  <c r="W217" i="26"/>
  <c r="Q217" i="26"/>
  <c r="P217" i="26"/>
  <c r="K217" i="26"/>
  <c r="J217" i="26"/>
  <c r="Z216" i="26"/>
  <c r="X216" i="26"/>
  <c r="W216" i="26"/>
  <c r="Q216" i="26"/>
  <c r="P216" i="26"/>
  <c r="K216" i="26"/>
  <c r="J216" i="26"/>
  <c r="Z215" i="26"/>
  <c r="X215" i="26"/>
  <c r="W215" i="26"/>
  <c r="Q215" i="26"/>
  <c r="P215" i="26"/>
  <c r="K215" i="26"/>
  <c r="J215" i="26"/>
  <c r="Z214" i="26"/>
  <c r="X214" i="26"/>
  <c r="W214" i="26"/>
  <c r="Q214" i="26"/>
  <c r="P214" i="26"/>
  <c r="K214" i="26"/>
  <c r="J214" i="26"/>
  <c r="Z213" i="26"/>
  <c r="X213" i="26"/>
  <c r="W213" i="26"/>
  <c r="Q213" i="26"/>
  <c r="P213" i="26"/>
  <c r="K213" i="26"/>
  <c r="J213" i="26"/>
  <c r="Z212" i="26"/>
  <c r="X212" i="26"/>
  <c r="W212" i="26"/>
  <c r="Q212" i="26"/>
  <c r="P212" i="26"/>
  <c r="K212" i="26"/>
  <c r="J212" i="26"/>
  <c r="Z211" i="26"/>
  <c r="X211" i="26"/>
  <c r="W211" i="26"/>
  <c r="Q211" i="26"/>
  <c r="P211" i="26"/>
  <c r="K211" i="26"/>
  <c r="J211" i="26"/>
  <c r="Z210" i="26"/>
  <c r="X210" i="26"/>
  <c r="W210" i="26"/>
  <c r="Q210" i="26"/>
  <c r="P210" i="26"/>
  <c r="K210" i="26"/>
  <c r="J210" i="26"/>
  <c r="Z209" i="26"/>
  <c r="X209" i="26"/>
  <c r="W209" i="26"/>
  <c r="Q209" i="26"/>
  <c r="P209" i="26"/>
  <c r="K209" i="26"/>
  <c r="J209" i="26"/>
  <c r="Z208" i="26"/>
  <c r="AB208" i="26" s="1"/>
  <c r="X208" i="26"/>
  <c r="W208" i="26"/>
  <c r="Q208" i="26"/>
  <c r="P208" i="26"/>
  <c r="K208" i="26"/>
  <c r="J208" i="26"/>
  <c r="Z207" i="26"/>
  <c r="X207" i="26"/>
  <c r="W207" i="26"/>
  <c r="Q207" i="26"/>
  <c r="P207" i="26"/>
  <c r="K207" i="26"/>
  <c r="J207" i="26"/>
  <c r="Z206" i="26"/>
  <c r="X206" i="26"/>
  <c r="W206" i="26"/>
  <c r="Q206" i="26"/>
  <c r="P206" i="26"/>
  <c r="K206" i="26"/>
  <c r="J206" i="26"/>
  <c r="Z205" i="26"/>
  <c r="X205" i="26"/>
  <c r="W205" i="26"/>
  <c r="Q205" i="26"/>
  <c r="P205" i="26"/>
  <c r="K205" i="26"/>
  <c r="J205" i="26"/>
  <c r="Z204" i="26"/>
  <c r="X204" i="26"/>
  <c r="W204" i="26"/>
  <c r="Q204" i="26"/>
  <c r="P204" i="26"/>
  <c r="K204" i="26"/>
  <c r="J204" i="26"/>
  <c r="Z203" i="26"/>
  <c r="X203" i="26"/>
  <c r="W203" i="26"/>
  <c r="Q203" i="26"/>
  <c r="P203" i="26"/>
  <c r="K203" i="26"/>
  <c r="J203" i="26"/>
  <c r="Z202" i="26"/>
  <c r="X202" i="26"/>
  <c r="W202" i="26"/>
  <c r="Q202" i="26"/>
  <c r="P202" i="26"/>
  <c r="K202" i="26"/>
  <c r="J202" i="26"/>
  <c r="Z201" i="26"/>
  <c r="X201" i="26"/>
  <c r="W201" i="26"/>
  <c r="Q201" i="26"/>
  <c r="P201" i="26"/>
  <c r="K201" i="26"/>
  <c r="J201" i="26"/>
  <c r="Z200" i="26"/>
  <c r="X200" i="26"/>
  <c r="W200" i="26"/>
  <c r="Q200" i="26"/>
  <c r="P200" i="26"/>
  <c r="K200" i="26"/>
  <c r="J200" i="26"/>
  <c r="Z199" i="26"/>
  <c r="X199" i="26"/>
  <c r="W199" i="26"/>
  <c r="Q199" i="26"/>
  <c r="P199" i="26"/>
  <c r="K199" i="26"/>
  <c r="J199" i="26"/>
  <c r="AB198" i="26"/>
  <c r="AA199" i="26" s="1"/>
  <c r="D199" i="26" s="1"/>
  <c r="Z198" i="26"/>
  <c r="X198" i="26"/>
  <c r="W198" i="26"/>
  <c r="Q198" i="26"/>
  <c r="P198" i="26"/>
  <c r="K198" i="26"/>
  <c r="J198" i="26"/>
  <c r="AB197" i="26"/>
  <c r="Z197" i="26"/>
  <c r="X197" i="26"/>
  <c r="W197" i="26"/>
  <c r="Q197" i="26"/>
  <c r="P197" i="26"/>
  <c r="K197" i="26"/>
  <c r="J197" i="26"/>
  <c r="AB196" i="26"/>
  <c r="Z196" i="26"/>
  <c r="X196" i="26"/>
  <c r="W196" i="26"/>
  <c r="Q196" i="26"/>
  <c r="P196" i="26"/>
  <c r="K196" i="26"/>
  <c r="J196" i="26"/>
  <c r="AB195" i="26"/>
  <c r="AA196" i="26" s="1"/>
  <c r="D196" i="26" s="1"/>
  <c r="Z195" i="26"/>
  <c r="X195" i="26"/>
  <c r="W195" i="26"/>
  <c r="Q195" i="26"/>
  <c r="P195" i="26"/>
  <c r="K195" i="26"/>
  <c r="J195" i="26"/>
  <c r="AB194" i="26"/>
  <c r="Z194" i="26"/>
  <c r="X194" i="26"/>
  <c r="W194" i="26"/>
  <c r="Q194" i="26"/>
  <c r="P194" i="26"/>
  <c r="K194" i="26"/>
  <c r="J194" i="26"/>
  <c r="Z193" i="26"/>
  <c r="X193" i="26"/>
  <c r="W193" i="26"/>
  <c r="Q193" i="26"/>
  <c r="P193" i="26"/>
  <c r="K193" i="26"/>
  <c r="J193" i="26"/>
  <c r="Z192" i="26"/>
  <c r="X192" i="26"/>
  <c r="W192" i="26"/>
  <c r="Q192" i="26"/>
  <c r="P192" i="26"/>
  <c r="K192" i="26"/>
  <c r="J192" i="26"/>
  <c r="Z191" i="26"/>
  <c r="X191" i="26"/>
  <c r="W191" i="26"/>
  <c r="Q191" i="26"/>
  <c r="P191" i="26"/>
  <c r="K191" i="26"/>
  <c r="J191" i="26"/>
  <c r="Z190" i="26"/>
  <c r="X190" i="26"/>
  <c r="W190" i="26"/>
  <c r="Q190" i="26"/>
  <c r="P190" i="26"/>
  <c r="K190" i="26"/>
  <c r="J190" i="26"/>
  <c r="Z189" i="26"/>
  <c r="X189" i="26"/>
  <c r="W189" i="26"/>
  <c r="Q189" i="26"/>
  <c r="P189" i="26"/>
  <c r="K189" i="26"/>
  <c r="J189" i="26"/>
  <c r="Z188" i="26"/>
  <c r="X188" i="26"/>
  <c r="W188" i="26"/>
  <c r="Q188" i="26"/>
  <c r="P188" i="26"/>
  <c r="K188" i="26"/>
  <c r="J188" i="26"/>
  <c r="Z187" i="26"/>
  <c r="AB187" i="26" s="1"/>
  <c r="X187" i="26"/>
  <c r="W187" i="26"/>
  <c r="Q187" i="26"/>
  <c r="P187" i="26"/>
  <c r="K187" i="26"/>
  <c r="J187" i="26"/>
  <c r="Z186" i="26"/>
  <c r="X186" i="26"/>
  <c r="W186" i="26"/>
  <c r="Q186" i="26"/>
  <c r="P186" i="26"/>
  <c r="K186" i="26"/>
  <c r="J186" i="26"/>
  <c r="Z185" i="26"/>
  <c r="X185" i="26"/>
  <c r="W185" i="26"/>
  <c r="Q185" i="26"/>
  <c r="P185" i="26"/>
  <c r="K185" i="26"/>
  <c r="J185" i="26"/>
  <c r="Z184" i="26"/>
  <c r="X184" i="26"/>
  <c r="W184" i="26"/>
  <c r="Q184" i="26"/>
  <c r="P184" i="26"/>
  <c r="K184" i="26"/>
  <c r="J184" i="26"/>
  <c r="Z183" i="26"/>
  <c r="X183" i="26"/>
  <c r="W183" i="26"/>
  <c r="Q183" i="26"/>
  <c r="P183" i="26"/>
  <c r="K183" i="26"/>
  <c r="J183" i="26"/>
  <c r="Z182" i="26"/>
  <c r="X182" i="26"/>
  <c r="W182" i="26"/>
  <c r="Q182" i="26"/>
  <c r="P182" i="26"/>
  <c r="K182" i="26"/>
  <c r="J182" i="26"/>
  <c r="Z181" i="26"/>
  <c r="X181" i="26"/>
  <c r="W181" i="26"/>
  <c r="Q181" i="26"/>
  <c r="P181" i="26"/>
  <c r="K181" i="26"/>
  <c r="J181" i="26"/>
  <c r="Z180" i="26"/>
  <c r="X180" i="26"/>
  <c r="AB180" i="26" s="1"/>
  <c r="W180" i="26"/>
  <c r="Q180" i="26"/>
  <c r="P180" i="26"/>
  <c r="K180" i="26"/>
  <c r="J180" i="26"/>
  <c r="Z179" i="26"/>
  <c r="X179" i="26"/>
  <c r="W179" i="26"/>
  <c r="Q179" i="26"/>
  <c r="P179" i="26"/>
  <c r="K179" i="26"/>
  <c r="J179" i="26"/>
  <c r="Z178" i="26"/>
  <c r="X178" i="26"/>
  <c r="W178" i="26"/>
  <c r="Q178" i="26"/>
  <c r="P178" i="26"/>
  <c r="K178" i="26"/>
  <c r="J178" i="26"/>
  <c r="Z177" i="26"/>
  <c r="X177" i="26"/>
  <c r="W177" i="26"/>
  <c r="Q177" i="26"/>
  <c r="P177" i="26"/>
  <c r="K177" i="26"/>
  <c r="J177" i="26"/>
  <c r="Z176" i="26"/>
  <c r="X176" i="26"/>
  <c r="W176" i="26"/>
  <c r="Q176" i="26"/>
  <c r="P176" i="26"/>
  <c r="K176" i="26"/>
  <c r="J176" i="26"/>
  <c r="Z175" i="26"/>
  <c r="X175" i="26"/>
  <c r="AB175" i="26" s="1"/>
  <c r="W175" i="26"/>
  <c r="Q175" i="26"/>
  <c r="P175" i="26"/>
  <c r="K175" i="26"/>
  <c r="J175" i="26"/>
  <c r="Z174" i="26"/>
  <c r="X174" i="26"/>
  <c r="W174" i="26"/>
  <c r="Q174" i="26"/>
  <c r="P174" i="26"/>
  <c r="K174" i="26"/>
  <c r="J174" i="26"/>
  <c r="Z173" i="26"/>
  <c r="X173" i="26"/>
  <c r="W173" i="26"/>
  <c r="Q173" i="26"/>
  <c r="P173" i="26"/>
  <c r="K173" i="26"/>
  <c r="J173" i="26"/>
  <c r="Z172" i="26"/>
  <c r="X172" i="26"/>
  <c r="W172" i="26"/>
  <c r="Q172" i="26"/>
  <c r="P172" i="26"/>
  <c r="K172" i="26"/>
  <c r="J172" i="26"/>
  <c r="Z171" i="26"/>
  <c r="AB171" i="26" s="1"/>
  <c r="X171" i="26"/>
  <c r="W171" i="26"/>
  <c r="Q171" i="26"/>
  <c r="P171" i="26"/>
  <c r="K171" i="26"/>
  <c r="J171" i="26"/>
  <c r="Z170" i="26"/>
  <c r="AB170" i="26" s="1"/>
  <c r="X170" i="26"/>
  <c r="W170" i="26"/>
  <c r="Q170" i="26"/>
  <c r="P170" i="26"/>
  <c r="K170" i="26"/>
  <c r="J170" i="26"/>
  <c r="Z169" i="26"/>
  <c r="X169" i="26"/>
  <c r="W169" i="26"/>
  <c r="Q169" i="26"/>
  <c r="P169" i="26"/>
  <c r="K169" i="26"/>
  <c r="J169" i="26"/>
  <c r="Z168" i="26"/>
  <c r="X168" i="26"/>
  <c r="W168" i="26"/>
  <c r="Q168" i="26"/>
  <c r="P168" i="26"/>
  <c r="K168" i="26"/>
  <c r="J168" i="26"/>
  <c r="Z167" i="26"/>
  <c r="X167" i="26"/>
  <c r="W167" i="26"/>
  <c r="Q167" i="26"/>
  <c r="P167" i="26"/>
  <c r="K167" i="26"/>
  <c r="J167" i="26"/>
  <c r="Z166" i="26"/>
  <c r="X166" i="26"/>
  <c r="W166" i="26"/>
  <c r="Q166" i="26"/>
  <c r="P166" i="26"/>
  <c r="K166" i="26"/>
  <c r="J166" i="26"/>
  <c r="AB165" i="26"/>
  <c r="Z165" i="26"/>
  <c r="X165" i="26"/>
  <c r="W165" i="26"/>
  <c r="Q165" i="26"/>
  <c r="P165" i="26"/>
  <c r="K165" i="26"/>
  <c r="J165" i="26"/>
  <c r="AB164" i="26"/>
  <c r="Z164" i="26"/>
  <c r="X164" i="26"/>
  <c r="W164" i="26"/>
  <c r="Q164" i="26"/>
  <c r="P164" i="26"/>
  <c r="K164" i="26"/>
  <c r="J164" i="26"/>
  <c r="AB163" i="26"/>
  <c r="Z163" i="26"/>
  <c r="X163" i="26"/>
  <c r="W163" i="26"/>
  <c r="Q163" i="26"/>
  <c r="P163" i="26"/>
  <c r="K163" i="26"/>
  <c r="J163" i="26"/>
  <c r="AB162" i="26"/>
  <c r="Z162" i="26"/>
  <c r="X162" i="26"/>
  <c r="W162" i="26"/>
  <c r="Q162" i="26"/>
  <c r="P162" i="26"/>
  <c r="K162" i="26"/>
  <c r="J162" i="26"/>
  <c r="AB161" i="26"/>
  <c r="Z161" i="26"/>
  <c r="X161" i="26"/>
  <c r="W161" i="26"/>
  <c r="Q161" i="26"/>
  <c r="P161" i="26"/>
  <c r="K161" i="26"/>
  <c r="J161" i="26"/>
  <c r="Z160" i="26"/>
  <c r="X160" i="26"/>
  <c r="W160" i="26"/>
  <c r="Q160" i="26"/>
  <c r="P160" i="26"/>
  <c r="K160" i="26"/>
  <c r="J160" i="26"/>
  <c r="Z159" i="26"/>
  <c r="X159" i="26"/>
  <c r="W159" i="26"/>
  <c r="Q159" i="26"/>
  <c r="P159" i="26"/>
  <c r="K159" i="26"/>
  <c r="J159" i="26"/>
  <c r="AC158" i="26"/>
  <c r="Z158" i="26"/>
  <c r="X158" i="26"/>
  <c r="W158" i="26"/>
  <c r="Q158" i="26"/>
  <c r="P158" i="26"/>
  <c r="K158" i="26"/>
  <c r="J158" i="26"/>
  <c r="AC157" i="26"/>
  <c r="Z157" i="26"/>
  <c r="X157" i="26"/>
  <c r="W157" i="26"/>
  <c r="Q157" i="26"/>
  <c r="P157" i="26"/>
  <c r="K157" i="26"/>
  <c r="J157" i="26"/>
  <c r="AC156" i="26"/>
  <c r="Z156" i="26"/>
  <c r="X156" i="26"/>
  <c r="W156" i="26"/>
  <c r="Q156" i="26"/>
  <c r="P156" i="26"/>
  <c r="K156" i="26"/>
  <c r="J156" i="26"/>
  <c r="AC155" i="26"/>
  <c r="Z155" i="26"/>
  <c r="X155" i="26"/>
  <c r="W155" i="26"/>
  <c r="Q155" i="26"/>
  <c r="P155" i="26"/>
  <c r="K155" i="26"/>
  <c r="J155" i="26"/>
  <c r="AC154" i="26"/>
  <c r="Z154" i="26"/>
  <c r="X154" i="26"/>
  <c r="W154" i="26"/>
  <c r="Q154" i="26"/>
  <c r="P154" i="26"/>
  <c r="K154" i="26"/>
  <c r="J154" i="26"/>
  <c r="AC153" i="26"/>
  <c r="Z153" i="26"/>
  <c r="X153" i="26"/>
  <c r="W153" i="26"/>
  <c r="Q153" i="26"/>
  <c r="P153" i="26"/>
  <c r="K153" i="26"/>
  <c r="J153" i="26"/>
  <c r="AC152" i="26"/>
  <c r="Z152" i="26"/>
  <c r="X152" i="26"/>
  <c r="AB152" i="26" s="1"/>
  <c r="W152" i="26"/>
  <c r="Q152" i="26"/>
  <c r="P152" i="26"/>
  <c r="K152" i="26"/>
  <c r="J152" i="26"/>
  <c r="AC151" i="26"/>
  <c r="Z151" i="26"/>
  <c r="X151" i="26"/>
  <c r="Q151" i="26"/>
  <c r="P151" i="26"/>
  <c r="K151" i="26"/>
  <c r="J151" i="26"/>
  <c r="AC150" i="26"/>
  <c r="Q150" i="26"/>
  <c r="P150" i="26"/>
  <c r="K150" i="26"/>
  <c r="J150" i="26"/>
  <c r="AC149" i="26"/>
  <c r="Q149" i="26"/>
  <c r="P149" i="26"/>
  <c r="K149" i="26"/>
  <c r="J149" i="26"/>
  <c r="Q148" i="26"/>
  <c r="P148" i="26"/>
  <c r="K148" i="26"/>
  <c r="J148" i="26"/>
  <c r="Q147" i="26"/>
  <c r="P147" i="26"/>
  <c r="K147" i="26"/>
  <c r="J147" i="26"/>
  <c r="Q146" i="26"/>
  <c r="P146" i="26"/>
  <c r="K146" i="26"/>
  <c r="J146" i="26"/>
  <c r="Q145" i="26"/>
  <c r="P145" i="26"/>
  <c r="K145" i="26"/>
  <c r="J145" i="26"/>
  <c r="Q144" i="26"/>
  <c r="P144" i="26"/>
  <c r="K144" i="26"/>
  <c r="J144" i="26"/>
  <c r="Q143" i="26"/>
  <c r="P143" i="26"/>
  <c r="K143" i="26"/>
  <c r="J143" i="26"/>
  <c r="Q142" i="26"/>
  <c r="P142" i="26"/>
  <c r="K142" i="26"/>
  <c r="J142" i="26"/>
  <c r="Q141" i="26"/>
  <c r="P141" i="26"/>
  <c r="K141" i="26"/>
  <c r="J141" i="26"/>
  <c r="Q140" i="26"/>
  <c r="P140" i="26"/>
  <c r="K140" i="26"/>
  <c r="J140" i="26"/>
  <c r="Q139" i="26"/>
  <c r="P139" i="26"/>
  <c r="K139" i="26"/>
  <c r="J139" i="26"/>
  <c r="Q138" i="26"/>
  <c r="P138" i="26"/>
  <c r="K138" i="26"/>
  <c r="J138" i="26"/>
  <c r="Q137" i="26"/>
  <c r="P137" i="26"/>
  <c r="K137" i="26"/>
  <c r="J137" i="26"/>
  <c r="Q136" i="26"/>
  <c r="P136" i="26"/>
  <c r="K136" i="26"/>
  <c r="J136" i="26"/>
  <c r="Q135" i="26"/>
  <c r="P135" i="26"/>
  <c r="K135" i="26"/>
  <c r="J135" i="26"/>
  <c r="Q134" i="26"/>
  <c r="P134" i="26"/>
  <c r="K134" i="26"/>
  <c r="J134" i="26"/>
  <c r="Q133" i="26"/>
  <c r="P133" i="26"/>
  <c r="K133" i="26"/>
  <c r="J133" i="26"/>
  <c r="Q132" i="26"/>
  <c r="P132" i="26"/>
  <c r="K132" i="26"/>
  <c r="J132" i="26"/>
  <c r="Q131" i="26"/>
  <c r="P131" i="26"/>
  <c r="K131" i="26"/>
  <c r="J131" i="26"/>
  <c r="Q130" i="26"/>
  <c r="P130" i="26"/>
  <c r="K130" i="26"/>
  <c r="J130" i="26"/>
  <c r="Q129" i="26"/>
  <c r="P129" i="26"/>
  <c r="K129" i="26"/>
  <c r="J129" i="26"/>
  <c r="Q128" i="26"/>
  <c r="P128" i="26"/>
  <c r="K128" i="26"/>
  <c r="J128" i="26"/>
  <c r="Q127" i="26"/>
  <c r="P127" i="26"/>
  <c r="K127" i="26"/>
  <c r="J127" i="26"/>
  <c r="Q126" i="26"/>
  <c r="P126" i="26"/>
  <c r="K126" i="26"/>
  <c r="J126" i="26"/>
  <c r="Q125" i="26"/>
  <c r="P125" i="26"/>
  <c r="K125" i="26"/>
  <c r="J125" i="26"/>
  <c r="Q124" i="26"/>
  <c r="P124" i="26"/>
  <c r="K124" i="26"/>
  <c r="J124" i="26"/>
  <c r="Q123" i="26"/>
  <c r="P123" i="26"/>
  <c r="K123" i="26"/>
  <c r="J123" i="26"/>
  <c r="Q122" i="26"/>
  <c r="P122" i="26"/>
  <c r="K122" i="26"/>
  <c r="J122" i="26"/>
  <c r="Q121" i="26"/>
  <c r="P121" i="26"/>
  <c r="K121" i="26"/>
  <c r="J121" i="26"/>
  <c r="Q120" i="26"/>
  <c r="P120" i="26"/>
  <c r="K120" i="26"/>
  <c r="J120" i="26"/>
  <c r="Q119" i="26"/>
  <c r="P119" i="26"/>
  <c r="K119" i="26"/>
  <c r="J119" i="26"/>
  <c r="Q118" i="26"/>
  <c r="P118" i="26"/>
  <c r="K118" i="26"/>
  <c r="J118" i="26"/>
  <c r="Q117" i="26"/>
  <c r="P117" i="26"/>
  <c r="K117" i="26"/>
  <c r="J117" i="26"/>
  <c r="Q116" i="26"/>
  <c r="P116" i="26"/>
  <c r="K116" i="26"/>
  <c r="J116" i="26"/>
  <c r="Q115" i="26"/>
  <c r="P115" i="26"/>
  <c r="K115" i="26"/>
  <c r="J115" i="26"/>
  <c r="Q114" i="26"/>
  <c r="P114" i="26"/>
  <c r="K114" i="26"/>
  <c r="J114" i="26"/>
  <c r="Q113" i="26"/>
  <c r="P113" i="26"/>
  <c r="K113" i="26"/>
  <c r="J113" i="26"/>
  <c r="Q112" i="26"/>
  <c r="P112" i="26"/>
  <c r="K112" i="26"/>
  <c r="J112" i="26"/>
  <c r="Q111" i="26"/>
  <c r="P111" i="26"/>
  <c r="K111" i="26"/>
  <c r="J111" i="26"/>
  <c r="Q110" i="26"/>
  <c r="P110" i="26"/>
  <c r="K110" i="26"/>
  <c r="J110" i="26"/>
  <c r="Q109" i="26"/>
  <c r="P109" i="26"/>
  <c r="K109" i="26"/>
  <c r="J109" i="26"/>
  <c r="Q108" i="26"/>
  <c r="P108" i="26"/>
  <c r="K108" i="26"/>
  <c r="J108" i="26"/>
  <c r="Q107" i="26"/>
  <c r="P107" i="26"/>
  <c r="K107" i="26"/>
  <c r="J107" i="26"/>
  <c r="Q106" i="26"/>
  <c r="P106" i="26"/>
  <c r="K106" i="26"/>
  <c r="J106" i="26"/>
  <c r="Q105" i="26"/>
  <c r="P105" i="26"/>
  <c r="K105" i="26"/>
  <c r="J105" i="26"/>
  <c r="Q104" i="26"/>
  <c r="P104" i="26"/>
  <c r="K104" i="26"/>
  <c r="J104" i="26"/>
  <c r="Q103" i="26"/>
  <c r="P103" i="26"/>
  <c r="K103" i="26"/>
  <c r="J103" i="26"/>
  <c r="Q102" i="26"/>
  <c r="P102" i="26"/>
  <c r="K102" i="26"/>
  <c r="J102" i="26"/>
  <c r="Q101" i="26"/>
  <c r="P101" i="26"/>
  <c r="K101" i="26"/>
  <c r="J101" i="26"/>
  <c r="Q100" i="26"/>
  <c r="P100" i="26"/>
  <c r="K100" i="26"/>
  <c r="J100" i="26"/>
  <c r="Q99" i="26"/>
  <c r="P99" i="26"/>
  <c r="K99" i="26"/>
  <c r="J99" i="26"/>
  <c r="Q98" i="26"/>
  <c r="P98" i="26"/>
  <c r="K98" i="26"/>
  <c r="J98" i="26"/>
  <c r="Q97" i="26"/>
  <c r="P97" i="26"/>
  <c r="K97" i="26"/>
  <c r="J97" i="26"/>
  <c r="Q96" i="26"/>
  <c r="P96" i="26"/>
  <c r="K96" i="26"/>
  <c r="J96" i="26"/>
  <c r="Q95" i="26"/>
  <c r="P95" i="26"/>
  <c r="K95" i="26"/>
  <c r="J95" i="26"/>
  <c r="Q94" i="26"/>
  <c r="P94" i="26"/>
  <c r="K94" i="26"/>
  <c r="J94" i="26"/>
  <c r="Q93" i="26"/>
  <c r="P93" i="26"/>
  <c r="K93" i="26"/>
  <c r="J93" i="26"/>
  <c r="Q92" i="26"/>
  <c r="P92" i="26"/>
  <c r="K92" i="26"/>
  <c r="J92" i="26"/>
  <c r="Q91" i="26"/>
  <c r="P91" i="26"/>
  <c r="K91" i="26"/>
  <c r="J91" i="26"/>
  <c r="Q90" i="26"/>
  <c r="P90" i="26"/>
  <c r="K90" i="26"/>
  <c r="J90" i="26"/>
  <c r="Q89" i="26"/>
  <c r="P89" i="26"/>
  <c r="K89" i="26"/>
  <c r="J89" i="26"/>
  <c r="Q88" i="26"/>
  <c r="P88" i="26"/>
  <c r="K88" i="26"/>
  <c r="J88" i="26"/>
  <c r="Q87" i="26"/>
  <c r="P87" i="26"/>
  <c r="K87" i="26"/>
  <c r="J87" i="26"/>
  <c r="Q86" i="26"/>
  <c r="P86" i="26"/>
  <c r="K86" i="26"/>
  <c r="J86" i="26"/>
  <c r="Q85" i="26"/>
  <c r="P85" i="26"/>
  <c r="K85" i="26"/>
  <c r="J85" i="26"/>
  <c r="Q84" i="26"/>
  <c r="P84" i="26"/>
  <c r="K84" i="26"/>
  <c r="J84" i="26"/>
  <c r="Q83" i="26"/>
  <c r="P83" i="26"/>
  <c r="K83" i="26"/>
  <c r="J83" i="26"/>
  <c r="Q82" i="26"/>
  <c r="P82" i="26"/>
  <c r="K82" i="26"/>
  <c r="J82" i="26"/>
  <c r="Q81" i="26"/>
  <c r="P81" i="26"/>
  <c r="K81" i="26"/>
  <c r="J81" i="26"/>
  <c r="Q80" i="26"/>
  <c r="P80" i="26"/>
  <c r="K80" i="26"/>
  <c r="J80" i="26"/>
  <c r="Q79" i="26"/>
  <c r="P79" i="26"/>
  <c r="K79" i="26"/>
  <c r="J79" i="26"/>
  <c r="Q78" i="26"/>
  <c r="P78" i="26"/>
  <c r="K78" i="26"/>
  <c r="J78" i="26"/>
  <c r="Q77" i="26"/>
  <c r="P77" i="26"/>
  <c r="K77" i="26"/>
  <c r="J77" i="26"/>
  <c r="Q76" i="26"/>
  <c r="P76" i="26"/>
  <c r="K76" i="26"/>
  <c r="J76" i="26"/>
  <c r="Q75" i="26"/>
  <c r="P75" i="26"/>
  <c r="K75" i="26"/>
  <c r="J75" i="26"/>
  <c r="Q74" i="26"/>
  <c r="P74" i="26"/>
  <c r="K74" i="26"/>
  <c r="J74" i="26"/>
  <c r="Q73" i="26"/>
  <c r="P73" i="26"/>
  <c r="K73" i="26"/>
  <c r="J73" i="26"/>
  <c r="Q72" i="26"/>
  <c r="P72" i="26"/>
  <c r="K72" i="26"/>
  <c r="J72" i="26"/>
  <c r="Q71" i="26"/>
  <c r="P71" i="26"/>
  <c r="K71" i="26"/>
  <c r="J71" i="26"/>
  <c r="Q70" i="26"/>
  <c r="P70" i="26"/>
  <c r="K70" i="26"/>
  <c r="J70" i="26"/>
  <c r="Q69" i="26"/>
  <c r="P69" i="26"/>
  <c r="K69" i="26"/>
  <c r="J69" i="26"/>
  <c r="Q68" i="26"/>
  <c r="P68" i="26"/>
  <c r="K68" i="26"/>
  <c r="J68" i="26"/>
  <c r="Q67" i="26"/>
  <c r="P67" i="26"/>
  <c r="K67" i="26"/>
  <c r="J67" i="26"/>
  <c r="Q66" i="26"/>
  <c r="P66" i="26"/>
  <c r="K66" i="26"/>
  <c r="J66" i="26"/>
  <c r="Q65" i="26"/>
  <c r="P65" i="26"/>
  <c r="K65" i="26"/>
  <c r="J65" i="26"/>
  <c r="Q64" i="26"/>
  <c r="P64" i="26"/>
  <c r="K64" i="26"/>
  <c r="J64" i="26"/>
  <c r="Q63" i="26"/>
  <c r="P63" i="26"/>
  <c r="K63" i="26"/>
  <c r="J63" i="26"/>
  <c r="Q62" i="26"/>
  <c r="P62" i="26"/>
  <c r="K62" i="26"/>
  <c r="J62" i="26"/>
  <c r="Q61" i="26"/>
  <c r="P61" i="26"/>
  <c r="K61" i="26"/>
  <c r="J61" i="26"/>
  <c r="Q60" i="26"/>
  <c r="P60" i="26"/>
  <c r="K60" i="26"/>
  <c r="J60" i="26"/>
  <c r="Q59" i="26"/>
  <c r="P59" i="26"/>
  <c r="K59" i="26"/>
  <c r="J59" i="26"/>
  <c r="Q58" i="26"/>
  <c r="P58" i="26"/>
  <c r="K58" i="26"/>
  <c r="J58" i="26"/>
  <c r="Q57" i="26"/>
  <c r="P57" i="26"/>
  <c r="K57" i="26"/>
  <c r="J57" i="26"/>
  <c r="Q56" i="26"/>
  <c r="P56" i="26"/>
  <c r="K56" i="26"/>
  <c r="J56" i="26"/>
  <c r="Q55" i="26"/>
  <c r="P55" i="26"/>
  <c r="K55" i="26"/>
  <c r="J55" i="26"/>
  <c r="Q54" i="26"/>
  <c r="P54" i="26"/>
  <c r="K54" i="26"/>
  <c r="J54" i="26"/>
  <c r="Q53" i="26"/>
  <c r="P53" i="26"/>
  <c r="K53" i="26"/>
  <c r="J53" i="26"/>
  <c r="Q52" i="26"/>
  <c r="P52" i="26"/>
  <c r="K52" i="26"/>
  <c r="J52" i="26"/>
  <c r="Q51" i="26"/>
  <c r="P51" i="26"/>
  <c r="K51" i="26"/>
  <c r="J51" i="26"/>
  <c r="Q50" i="26"/>
  <c r="P50" i="26"/>
  <c r="K50" i="26"/>
  <c r="J50" i="26"/>
  <c r="Q49" i="26"/>
  <c r="P49" i="26"/>
  <c r="K49" i="26"/>
  <c r="J49" i="26"/>
  <c r="Q48" i="26"/>
  <c r="P48" i="26"/>
  <c r="K48" i="26"/>
  <c r="J48" i="26"/>
  <c r="Q47" i="26"/>
  <c r="P47" i="26"/>
  <c r="K47" i="26"/>
  <c r="J47" i="26"/>
  <c r="Q46" i="26"/>
  <c r="P46" i="26"/>
  <c r="K46" i="26"/>
  <c r="J46" i="26"/>
  <c r="Q45" i="26"/>
  <c r="P45" i="26"/>
  <c r="K45" i="26"/>
  <c r="J45" i="26"/>
  <c r="Q44" i="26"/>
  <c r="P44" i="26"/>
  <c r="K44" i="26"/>
  <c r="J44" i="26"/>
  <c r="Q43" i="26"/>
  <c r="P43" i="26"/>
  <c r="K43" i="26"/>
  <c r="J43" i="26"/>
  <c r="Q42" i="26"/>
  <c r="P42" i="26"/>
  <c r="K42" i="26"/>
  <c r="J42" i="26"/>
  <c r="Q41" i="26"/>
  <c r="P41" i="26"/>
  <c r="K41" i="26"/>
  <c r="J41" i="26"/>
  <c r="Q40" i="26"/>
  <c r="P40" i="26"/>
  <c r="K40" i="26"/>
  <c r="J40" i="26"/>
  <c r="Q39" i="26"/>
  <c r="P39" i="26"/>
  <c r="K39" i="26"/>
  <c r="J39" i="26"/>
  <c r="Q38" i="26"/>
  <c r="P38" i="26"/>
  <c r="K38" i="26"/>
  <c r="J38" i="26"/>
  <c r="Q37" i="26"/>
  <c r="P37" i="26"/>
  <c r="K37" i="26"/>
  <c r="J37" i="26"/>
  <c r="Q36" i="26"/>
  <c r="P36" i="26"/>
  <c r="K36" i="26"/>
  <c r="J36" i="26"/>
  <c r="Q35" i="26"/>
  <c r="P35" i="26"/>
  <c r="K35" i="26"/>
  <c r="J35" i="26"/>
  <c r="Q34" i="26"/>
  <c r="P34" i="26"/>
  <c r="K34" i="26"/>
  <c r="J34" i="26"/>
  <c r="Q33" i="26"/>
  <c r="P33" i="26"/>
  <c r="K33" i="26"/>
  <c r="J33" i="26"/>
  <c r="Q32" i="26"/>
  <c r="P32" i="26"/>
  <c r="K32" i="26"/>
  <c r="J32" i="26"/>
  <c r="Q31" i="26"/>
  <c r="P31" i="26"/>
  <c r="K31" i="26"/>
  <c r="J31" i="26"/>
  <c r="Q30" i="26"/>
  <c r="P30" i="26"/>
  <c r="K30" i="26"/>
  <c r="J30" i="26"/>
  <c r="Q29" i="26"/>
  <c r="P29" i="26"/>
  <c r="K29" i="26"/>
  <c r="J29" i="26"/>
  <c r="Q28" i="26"/>
  <c r="P28" i="26"/>
  <c r="K28" i="26"/>
  <c r="J28" i="26"/>
  <c r="Q27" i="26"/>
  <c r="P27" i="26"/>
  <c r="K27" i="26"/>
  <c r="J27" i="26"/>
  <c r="Q26" i="26"/>
  <c r="P26" i="26"/>
  <c r="K26" i="26"/>
  <c r="J26" i="26"/>
  <c r="Q25" i="26"/>
  <c r="P25" i="26"/>
  <c r="K25" i="26"/>
  <c r="J25" i="26"/>
  <c r="Q24" i="26"/>
  <c r="P24" i="26"/>
  <c r="K24" i="26"/>
  <c r="J24" i="26"/>
  <c r="Q23" i="26"/>
  <c r="P23" i="26"/>
  <c r="K23" i="26"/>
  <c r="J23" i="26"/>
  <c r="Q22" i="26"/>
  <c r="P22" i="26"/>
  <c r="K22" i="26"/>
  <c r="J22" i="26"/>
  <c r="E22" i="26"/>
  <c r="E23" i="26" s="1"/>
  <c r="E24" i="26" s="1"/>
  <c r="E25" i="26" s="1"/>
  <c r="Q21" i="26"/>
  <c r="P21" i="26"/>
  <c r="K21" i="26"/>
  <c r="J21" i="26"/>
  <c r="E21" i="26"/>
  <c r="Q20" i="26"/>
  <c r="P20" i="26"/>
  <c r="K20" i="26"/>
  <c r="J20" i="26"/>
  <c r="E20" i="26"/>
  <c r="Q19" i="26"/>
  <c r="P19" i="26"/>
  <c r="K19" i="26"/>
  <c r="J19" i="26"/>
  <c r="Q18" i="26"/>
  <c r="P18" i="26"/>
  <c r="K18" i="26"/>
  <c r="J18" i="26"/>
  <c r="Q17" i="26"/>
  <c r="R17" i="26" s="1"/>
  <c r="P17" i="26"/>
  <c r="K17" i="26"/>
  <c r="L17" i="26" s="1"/>
  <c r="J17" i="26"/>
  <c r="E17" i="26"/>
  <c r="E18" i="26" s="1"/>
  <c r="E19" i="26" s="1"/>
  <c r="G19" i="26" s="1"/>
  <c r="B17" i="26"/>
  <c r="P16" i="26"/>
  <c r="J16" i="26"/>
  <c r="L11" i="26"/>
  <c r="G11" i="26"/>
  <c r="F11" i="26"/>
  <c r="V244" i="6"/>
  <c r="P244" i="6"/>
  <c r="D244" i="6"/>
  <c r="P243" i="6"/>
  <c r="J243" i="6"/>
  <c r="D243" i="6"/>
  <c r="P242" i="6"/>
  <c r="J242" i="6"/>
  <c r="D242" i="6"/>
  <c r="P241" i="6"/>
  <c r="J241" i="6"/>
  <c r="P240" i="6"/>
  <c r="J240" i="6"/>
  <c r="P239" i="6"/>
  <c r="J239" i="6"/>
  <c r="P238" i="6"/>
  <c r="J238" i="6"/>
  <c r="P237" i="6"/>
  <c r="J237" i="6"/>
  <c r="P236" i="6"/>
  <c r="J236" i="6"/>
  <c r="P235" i="6"/>
  <c r="J235" i="6"/>
  <c r="P234" i="6"/>
  <c r="J234" i="6"/>
  <c r="P233" i="6"/>
  <c r="J233" i="6"/>
  <c r="P232" i="6"/>
  <c r="J232" i="6"/>
  <c r="AB231" i="6"/>
  <c r="P231" i="6"/>
  <c r="J231" i="6"/>
  <c r="AB230" i="6"/>
  <c r="AA231" i="6" s="1"/>
  <c r="D231" i="6" s="1"/>
  <c r="P230" i="6"/>
  <c r="J230" i="6"/>
  <c r="AB229" i="6"/>
  <c r="AA230" i="6" s="1"/>
  <c r="D230" i="6" s="1"/>
  <c r="P229" i="6"/>
  <c r="J229" i="6"/>
  <c r="AB228" i="6"/>
  <c r="AA229" i="6" s="1"/>
  <c r="D229" i="6" s="1"/>
  <c r="AA228" i="6"/>
  <c r="D228" i="6" s="1"/>
  <c r="P228" i="6"/>
  <c r="J228" i="6"/>
  <c r="AB227" i="6"/>
  <c r="P227" i="6"/>
  <c r="J227" i="6"/>
  <c r="AB226" i="6"/>
  <c r="AA227" i="6" s="1"/>
  <c r="D227" i="6" s="1"/>
  <c r="AA226" i="6"/>
  <c r="D226" i="6" s="1"/>
  <c r="P226" i="6"/>
  <c r="J226" i="6"/>
  <c r="AB225" i="6"/>
  <c r="P225" i="6"/>
  <c r="J225" i="6"/>
  <c r="AB224" i="6"/>
  <c r="AA225" i="6" s="1"/>
  <c r="D225" i="6" s="1"/>
  <c r="P224" i="6"/>
  <c r="J224" i="6"/>
  <c r="AB223" i="6"/>
  <c r="AA224" i="6" s="1"/>
  <c r="D224" i="6" s="1"/>
  <c r="AA223" i="6"/>
  <c r="D223" i="6" s="1"/>
  <c r="P223" i="6"/>
  <c r="J223" i="6"/>
  <c r="AB222" i="6"/>
  <c r="P222" i="6"/>
  <c r="J222" i="6"/>
  <c r="AB221" i="6"/>
  <c r="AA222" i="6" s="1"/>
  <c r="D222" i="6" s="1"/>
  <c r="P221" i="6"/>
  <c r="J221" i="6"/>
  <c r="AB220" i="6"/>
  <c r="AA221" i="6" s="1"/>
  <c r="D221" i="6" s="1"/>
  <c r="P220" i="6"/>
  <c r="J220" i="6"/>
  <c r="D220" i="6"/>
  <c r="AB219" i="6"/>
  <c r="AA220" i="6" s="1"/>
  <c r="P219" i="6"/>
  <c r="J219" i="6"/>
  <c r="AB218" i="6"/>
  <c r="AA219" i="6" s="1"/>
  <c r="D219" i="6" s="1"/>
  <c r="P218" i="6"/>
  <c r="J218" i="6"/>
  <c r="AB217" i="6"/>
  <c r="AA218" i="6" s="1"/>
  <c r="D218" i="6" s="1"/>
  <c r="P217" i="6"/>
  <c r="J217" i="6"/>
  <c r="AB216" i="6"/>
  <c r="AA217" i="6" s="1"/>
  <c r="D217" i="6" s="1"/>
  <c r="P216" i="6"/>
  <c r="J216" i="6"/>
  <c r="D216" i="6"/>
  <c r="AB215" i="6"/>
  <c r="AA216" i="6" s="1"/>
  <c r="P215" i="6"/>
  <c r="J215" i="6"/>
  <c r="AB214" i="6"/>
  <c r="AA215" i="6" s="1"/>
  <c r="D215" i="6" s="1"/>
  <c r="P214" i="6"/>
  <c r="J214" i="6"/>
  <c r="AB213" i="6"/>
  <c r="AA214" i="6" s="1"/>
  <c r="D214" i="6" s="1"/>
  <c r="AA213" i="6"/>
  <c r="D213" i="6" s="1"/>
  <c r="P213" i="6"/>
  <c r="J213" i="6"/>
  <c r="AB212" i="6"/>
  <c r="AA212" i="6"/>
  <c r="D212" i="6" s="1"/>
  <c r="P212" i="6"/>
  <c r="J212" i="6"/>
  <c r="AB211" i="6"/>
  <c r="P211" i="6"/>
  <c r="J211" i="6"/>
  <c r="AB210" i="6"/>
  <c r="AA211" i="6" s="1"/>
  <c r="D211" i="6" s="1"/>
  <c r="AA210" i="6"/>
  <c r="D210" i="6" s="1"/>
  <c r="P210" i="6"/>
  <c r="J210" i="6"/>
  <c r="AB209" i="6"/>
  <c r="P209" i="6"/>
  <c r="J209" i="6"/>
  <c r="AB208" i="6"/>
  <c r="AA209" i="6" s="1"/>
  <c r="D209" i="6" s="1"/>
  <c r="P208" i="6"/>
  <c r="J208" i="6"/>
  <c r="AB207" i="6"/>
  <c r="AA208" i="6" s="1"/>
  <c r="D208" i="6" s="1"/>
  <c r="P207" i="6"/>
  <c r="J207" i="6"/>
  <c r="AB206" i="6"/>
  <c r="AA207" i="6" s="1"/>
  <c r="D207" i="6" s="1"/>
  <c r="AA206" i="6"/>
  <c r="D206" i="6" s="1"/>
  <c r="P206" i="6"/>
  <c r="J206" i="6"/>
  <c r="AB205" i="6"/>
  <c r="P205" i="6"/>
  <c r="J205" i="6"/>
  <c r="AB204" i="6"/>
  <c r="AA205" i="6" s="1"/>
  <c r="D205" i="6" s="1"/>
  <c r="P204" i="6"/>
  <c r="J204" i="6"/>
  <c r="AB203" i="6"/>
  <c r="AA204" i="6" s="1"/>
  <c r="D204" i="6" s="1"/>
  <c r="P203" i="6"/>
  <c r="J203" i="6"/>
  <c r="AB202" i="6"/>
  <c r="AA203" i="6" s="1"/>
  <c r="D203" i="6" s="1"/>
  <c r="AA202" i="6"/>
  <c r="P202" i="6"/>
  <c r="J202" i="6"/>
  <c r="D202" i="6"/>
  <c r="AB201" i="6"/>
  <c r="P201" i="6"/>
  <c r="J201" i="6"/>
  <c r="AB200" i="6"/>
  <c r="AA201" i="6" s="1"/>
  <c r="D201" i="6" s="1"/>
  <c r="P200" i="6"/>
  <c r="J200" i="6"/>
  <c r="AB199" i="6"/>
  <c r="AA200" i="6" s="1"/>
  <c r="D200" i="6" s="1"/>
  <c r="P199" i="6"/>
  <c r="J199" i="6"/>
  <c r="AB198" i="6"/>
  <c r="AA199" i="6" s="1"/>
  <c r="D199" i="6" s="1"/>
  <c r="P198" i="6"/>
  <c r="J198" i="6"/>
  <c r="D198" i="6"/>
  <c r="AB197" i="6"/>
  <c r="AA198" i="6" s="1"/>
  <c r="P197" i="6"/>
  <c r="J197" i="6"/>
  <c r="AB196" i="6"/>
  <c r="AA197" i="6" s="1"/>
  <c r="D197" i="6" s="1"/>
  <c r="P196" i="6"/>
  <c r="J196" i="6"/>
  <c r="D196" i="6"/>
  <c r="AB195" i="6"/>
  <c r="AA196" i="6" s="1"/>
  <c r="P195" i="6"/>
  <c r="J195" i="6"/>
  <c r="AB194" i="6"/>
  <c r="AA195" i="6" s="1"/>
  <c r="D195" i="6" s="1"/>
  <c r="P194" i="6"/>
  <c r="J194" i="6"/>
  <c r="AB193" i="6"/>
  <c r="AA194" i="6" s="1"/>
  <c r="D194" i="6" s="1"/>
  <c r="P193" i="6"/>
  <c r="J193" i="6"/>
  <c r="AB192" i="6"/>
  <c r="AA193" i="6" s="1"/>
  <c r="D193" i="6" s="1"/>
  <c r="P192" i="6"/>
  <c r="J192" i="6"/>
  <c r="D192" i="6"/>
  <c r="AB191" i="6"/>
  <c r="AA192" i="6" s="1"/>
  <c r="P191" i="6"/>
  <c r="J191" i="6"/>
  <c r="AB190" i="6"/>
  <c r="AA191" i="6" s="1"/>
  <c r="D191" i="6" s="1"/>
  <c r="P190" i="6"/>
  <c r="J190" i="6"/>
  <c r="AB189" i="6"/>
  <c r="AA190" i="6" s="1"/>
  <c r="D190" i="6" s="1"/>
  <c r="AA189" i="6"/>
  <c r="D189" i="6" s="1"/>
  <c r="P189" i="6"/>
  <c r="J189" i="6"/>
  <c r="AB188" i="6"/>
  <c r="AA188" i="6"/>
  <c r="D188" i="6" s="1"/>
  <c r="P188" i="6"/>
  <c r="J188" i="6"/>
  <c r="AB187" i="6"/>
  <c r="P187" i="6"/>
  <c r="J187" i="6"/>
  <c r="AB186" i="6"/>
  <c r="AA187" i="6" s="1"/>
  <c r="D187" i="6" s="1"/>
  <c r="AA186" i="6"/>
  <c r="D186" i="6" s="1"/>
  <c r="P186" i="6"/>
  <c r="J186" i="6"/>
  <c r="AB185" i="6"/>
  <c r="P185" i="6"/>
  <c r="J185" i="6"/>
  <c r="AB184" i="6"/>
  <c r="AA185" i="6" s="1"/>
  <c r="D185" i="6" s="1"/>
  <c r="AA184" i="6"/>
  <c r="D184" i="6" s="1"/>
  <c r="P184" i="6"/>
  <c r="J184" i="6"/>
  <c r="AB183" i="6"/>
  <c r="P183" i="6"/>
  <c r="J183" i="6"/>
  <c r="AB182" i="6"/>
  <c r="AA183" i="6" s="1"/>
  <c r="D183" i="6" s="1"/>
  <c r="AA182" i="6"/>
  <c r="D182" i="6" s="1"/>
  <c r="P182" i="6"/>
  <c r="J182" i="6"/>
  <c r="AB181" i="6"/>
  <c r="P181" i="6"/>
  <c r="J181" i="6"/>
  <c r="AB180" i="6"/>
  <c r="AA181" i="6" s="1"/>
  <c r="D181" i="6" s="1"/>
  <c r="P180" i="6"/>
  <c r="J180" i="6"/>
  <c r="AB179" i="6"/>
  <c r="AA180" i="6" s="1"/>
  <c r="D180" i="6" s="1"/>
  <c r="P179" i="6"/>
  <c r="J179" i="6"/>
  <c r="AB178" i="6"/>
  <c r="AA179" i="6" s="1"/>
  <c r="D179" i="6" s="1"/>
  <c r="AA178" i="6"/>
  <c r="P178" i="6"/>
  <c r="J178" i="6"/>
  <c r="D178" i="6"/>
  <c r="AB177" i="6"/>
  <c r="P177" i="6"/>
  <c r="J177" i="6"/>
  <c r="AB176" i="6"/>
  <c r="AA177" i="6" s="1"/>
  <c r="D177" i="6" s="1"/>
  <c r="P176" i="6"/>
  <c r="J176" i="6"/>
  <c r="AB175" i="6"/>
  <c r="AA176" i="6" s="1"/>
  <c r="D176" i="6" s="1"/>
  <c r="P175" i="6"/>
  <c r="J175" i="6"/>
  <c r="AB174" i="6"/>
  <c r="AA175" i="6" s="1"/>
  <c r="D175" i="6" s="1"/>
  <c r="P174" i="6"/>
  <c r="J174" i="6"/>
  <c r="D174" i="6"/>
  <c r="AC173" i="6"/>
  <c r="AB173" i="6"/>
  <c r="AA174" i="6" s="1"/>
  <c r="P173" i="6"/>
  <c r="J173" i="6"/>
  <c r="AB172" i="6"/>
  <c r="AA173" i="6" s="1"/>
  <c r="D173" i="6" s="1"/>
  <c r="P172" i="6"/>
  <c r="J172" i="6"/>
  <c r="D172" i="6"/>
  <c r="AB171" i="6"/>
  <c r="AA172" i="6" s="1"/>
  <c r="P171" i="6"/>
  <c r="J171" i="6"/>
  <c r="AB170" i="6"/>
  <c r="AA171" i="6" s="1"/>
  <c r="D171" i="6" s="1"/>
  <c r="P170" i="6"/>
  <c r="J170" i="6"/>
  <c r="D170" i="6"/>
  <c r="AB169" i="6"/>
  <c r="AA170" i="6" s="1"/>
  <c r="P169" i="6"/>
  <c r="J169" i="6"/>
  <c r="AB168" i="6"/>
  <c r="AA169" i="6" s="1"/>
  <c r="D169" i="6" s="1"/>
  <c r="P168" i="6"/>
  <c r="J168" i="6"/>
  <c r="AB167" i="6"/>
  <c r="AA168" i="6" s="1"/>
  <c r="D168" i="6" s="1"/>
  <c r="AA167" i="6"/>
  <c r="D167" i="6" s="1"/>
  <c r="P167" i="6"/>
  <c r="J167" i="6"/>
  <c r="AB166" i="6"/>
  <c r="P166" i="6"/>
  <c r="J166" i="6"/>
  <c r="AB165" i="6"/>
  <c r="AA166" i="6" s="1"/>
  <c r="D166" i="6" s="1"/>
  <c r="AA165" i="6"/>
  <c r="D165" i="6" s="1"/>
  <c r="P165" i="6"/>
  <c r="J165" i="6"/>
  <c r="AB164" i="6"/>
  <c r="AA164" i="6"/>
  <c r="D164" i="6" s="1"/>
  <c r="P164" i="6"/>
  <c r="J164" i="6"/>
  <c r="AB163" i="6"/>
  <c r="P163" i="6"/>
  <c r="J163" i="6"/>
  <c r="AB162" i="6"/>
  <c r="AA163" i="6" s="1"/>
  <c r="D163" i="6" s="1"/>
  <c r="P162" i="6"/>
  <c r="J162" i="6"/>
  <c r="AB161" i="6"/>
  <c r="AA162" i="6" s="1"/>
  <c r="D162" i="6" s="1"/>
  <c r="AA161" i="6"/>
  <c r="D161" i="6" s="1"/>
  <c r="P161" i="6"/>
  <c r="J161" i="6"/>
  <c r="AB160" i="6"/>
  <c r="P160" i="6"/>
  <c r="J160" i="6"/>
  <c r="AB159" i="6"/>
  <c r="AA160" i="6" s="1"/>
  <c r="D160" i="6" s="1"/>
  <c r="AA159" i="6"/>
  <c r="D159" i="6" s="1"/>
  <c r="P159" i="6"/>
  <c r="J159" i="6"/>
  <c r="AC158" i="6"/>
  <c r="AB158" i="6"/>
  <c r="AA158" i="6"/>
  <c r="P158" i="6"/>
  <c r="J158" i="6"/>
  <c r="D158" i="6"/>
  <c r="AC157" i="6"/>
  <c r="AB157" i="6"/>
  <c r="AA157" i="6"/>
  <c r="D157" i="6" s="1"/>
  <c r="P157" i="6"/>
  <c r="J157" i="6"/>
  <c r="AC156" i="6"/>
  <c r="AB156" i="6"/>
  <c r="P156" i="6"/>
  <c r="J156" i="6"/>
  <c r="AC155" i="6"/>
  <c r="AB155" i="6"/>
  <c r="AA156" i="6" s="1"/>
  <c r="D156" i="6" s="1"/>
  <c r="P155" i="6"/>
  <c r="J155" i="6"/>
  <c r="D155" i="6"/>
  <c r="AC154" i="6"/>
  <c r="AB154" i="6"/>
  <c r="AA155" i="6" s="1"/>
  <c r="P154" i="6"/>
  <c r="J154" i="6"/>
  <c r="AC153" i="6"/>
  <c r="AB153" i="6"/>
  <c r="AA154" i="6" s="1"/>
  <c r="D154" i="6" s="1"/>
  <c r="AA153" i="6"/>
  <c r="D153" i="6" s="1"/>
  <c r="P153" i="6"/>
  <c r="J153" i="6"/>
  <c r="AC152" i="6"/>
  <c r="AB152" i="6"/>
  <c r="AA152" i="6"/>
  <c r="D152" i="6" s="1"/>
  <c r="P152" i="6"/>
  <c r="J152" i="6"/>
  <c r="AC151" i="6"/>
  <c r="AB151" i="6"/>
  <c r="P151" i="6"/>
  <c r="J151" i="6"/>
  <c r="AC150" i="6"/>
  <c r="P150" i="6"/>
  <c r="J150" i="6"/>
  <c r="AC149" i="6"/>
  <c r="P149" i="6"/>
  <c r="J149" i="6"/>
  <c r="P148" i="6"/>
  <c r="J148" i="6"/>
  <c r="P147" i="6"/>
  <c r="J147" i="6"/>
  <c r="P146" i="6"/>
  <c r="J146" i="6"/>
  <c r="P145" i="6"/>
  <c r="J145" i="6"/>
  <c r="P144" i="6"/>
  <c r="J144" i="6"/>
  <c r="P143" i="6"/>
  <c r="J143" i="6"/>
  <c r="P142" i="6"/>
  <c r="J142" i="6"/>
  <c r="P141" i="6"/>
  <c r="J141" i="6"/>
  <c r="P140" i="6"/>
  <c r="J140" i="6"/>
  <c r="P139" i="6"/>
  <c r="J139" i="6"/>
  <c r="P138" i="6"/>
  <c r="J138" i="6"/>
  <c r="P137" i="6"/>
  <c r="J137" i="6"/>
  <c r="P136" i="6"/>
  <c r="J136" i="6"/>
  <c r="P135" i="6"/>
  <c r="J135" i="6"/>
  <c r="P134" i="6"/>
  <c r="J134" i="6"/>
  <c r="P133" i="6"/>
  <c r="J133" i="6"/>
  <c r="P132" i="6"/>
  <c r="J132" i="6"/>
  <c r="P131" i="6"/>
  <c r="J131" i="6"/>
  <c r="P130" i="6"/>
  <c r="J130" i="6"/>
  <c r="P129" i="6"/>
  <c r="J129" i="6"/>
  <c r="P128" i="6"/>
  <c r="J128" i="6"/>
  <c r="P127" i="6"/>
  <c r="J127" i="6"/>
  <c r="P126" i="6"/>
  <c r="J126" i="6"/>
  <c r="P125" i="6"/>
  <c r="J125" i="6"/>
  <c r="P124" i="6"/>
  <c r="J124" i="6"/>
  <c r="P123" i="6"/>
  <c r="J123" i="6"/>
  <c r="P122" i="6"/>
  <c r="J122" i="6"/>
  <c r="P121" i="6"/>
  <c r="J121" i="6"/>
  <c r="P120" i="6"/>
  <c r="J120" i="6"/>
  <c r="P119" i="6"/>
  <c r="J119" i="6"/>
  <c r="P118" i="6"/>
  <c r="J118" i="6"/>
  <c r="P117" i="6"/>
  <c r="J117" i="6"/>
  <c r="P116" i="6"/>
  <c r="J116" i="6"/>
  <c r="P115" i="6"/>
  <c r="J115" i="6"/>
  <c r="P114" i="6"/>
  <c r="J114" i="6"/>
  <c r="P113" i="6"/>
  <c r="J113" i="6"/>
  <c r="P112" i="6"/>
  <c r="J112" i="6"/>
  <c r="P111" i="6"/>
  <c r="J111" i="6"/>
  <c r="P110" i="6"/>
  <c r="J110" i="6"/>
  <c r="P109" i="6"/>
  <c r="J109" i="6"/>
  <c r="P108" i="6"/>
  <c r="J108" i="6"/>
  <c r="P107" i="6"/>
  <c r="J107" i="6"/>
  <c r="P106" i="6"/>
  <c r="J106" i="6"/>
  <c r="P105" i="6"/>
  <c r="J105" i="6"/>
  <c r="P104" i="6"/>
  <c r="J104" i="6"/>
  <c r="P103" i="6"/>
  <c r="J103" i="6"/>
  <c r="P102" i="6"/>
  <c r="J102" i="6"/>
  <c r="P101" i="6"/>
  <c r="J101" i="6"/>
  <c r="P100" i="6"/>
  <c r="J100" i="6"/>
  <c r="P99" i="6"/>
  <c r="J99" i="6"/>
  <c r="P98" i="6"/>
  <c r="J98" i="6"/>
  <c r="P97" i="6"/>
  <c r="J97" i="6"/>
  <c r="P96" i="6"/>
  <c r="J96" i="6"/>
  <c r="P95" i="6"/>
  <c r="J95" i="6"/>
  <c r="P94" i="6"/>
  <c r="J94" i="6"/>
  <c r="P93" i="6"/>
  <c r="J93" i="6"/>
  <c r="P92" i="6"/>
  <c r="J92" i="6"/>
  <c r="P91" i="6"/>
  <c r="J91" i="6"/>
  <c r="P90" i="6"/>
  <c r="J90" i="6"/>
  <c r="P89" i="6"/>
  <c r="J89" i="6"/>
  <c r="P88" i="6"/>
  <c r="J88" i="6"/>
  <c r="P87" i="6"/>
  <c r="J87" i="6"/>
  <c r="P86" i="6"/>
  <c r="J86" i="6"/>
  <c r="P85" i="6"/>
  <c r="J85" i="6"/>
  <c r="P84" i="6"/>
  <c r="J84" i="6"/>
  <c r="P83" i="6"/>
  <c r="J83" i="6"/>
  <c r="P82" i="6"/>
  <c r="J82" i="6"/>
  <c r="P81" i="6"/>
  <c r="J81" i="6"/>
  <c r="P80" i="6"/>
  <c r="J80" i="6"/>
  <c r="P79" i="6"/>
  <c r="J79" i="6"/>
  <c r="P78" i="6"/>
  <c r="J78" i="6"/>
  <c r="P77" i="6"/>
  <c r="J77" i="6"/>
  <c r="P76" i="6"/>
  <c r="J76" i="6"/>
  <c r="P75" i="6"/>
  <c r="J75" i="6"/>
  <c r="P74" i="6"/>
  <c r="J74" i="6"/>
  <c r="P73" i="6"/>
  <c r="J73" i="6"/>
  <c r="P72" i="6"/>
  <c r="J72" i="6"/>
  <c r="P71" i="6"/>
  <c r="J71" i="6"/>
  <c r="P70" i="6"/>
  <c r="J70" i="6"/>
  <c r="P69" i="6"/>
  <c r="J69" i="6"/>
  <c r="P68" i="6"/>
  <c r="J68" i="6"/>
  <c r="P67" i="6"/>
  <c r="J67" i="6"/>
  <c r="P66" i="6"/>
  <c r="J66" i="6"/>
  <c r="P65" i="6"/>
  <c r="J65" i="6"/>
  <c r="P64" i="6"/>
  <c r="J64" i="6"/>
  <c r="P63" i="6"/>
  <c r="J63" i="6"/>
  <c r="P62" i="6"/>
  <c r="J62" i="6"/>
  <c r="P61" i="6"/>
  <c r="J61" i="6"/>
  <c r="P60" i="6"/>
  <c r="J60" i="6"/>
  <c r="P59" i="6"/>
  <c r="J59" i="6"/>
  <c r="P58" i="6"/>
  <c r="J58" i="6"/>
  <c r="P57" i="6"/>
  <c r="J57" i="6"/>
  <c r="P56" i="6"/>
  <c r="J56" i="6"/>
  <c r="P55" i="6"/>
  <c r="J55" i="6"/>
  <c r="P54" i="6"/>
  <c r="J54" i="6"/>
  <c r="P53" i="6"/>
  <c r="J53" i="6"/>
  <c r="P52" i="6"/>
  <c r="J52" i="6"/>
  <c r="P51" i="6"/>
  <c r="J51" i="6"/>
  <c r="P50" i="6"/>
  <c r="J50" i="6"/>
  <c r="P49" i="6"/>
  <c r="J49" i="6"/>
  <c r="P48" i="6"/>
  <c r="J48" i="6"/>
  <c r="P47" i="6"/>
  <c r="J47" i="6"/>
  <c r="P46" i="6"/>
  <c r="J46" i="6"/>
  <c r="P45" i="6"/>
  <c r="J45" i="6"/>
  <c r="P44" i="6"/>
  <c r="J44" i="6"/>
  <c r="P43" i="6"/>
  <c r="J43" i="6"/>
  <c r="P42" i="6"/>
  <c r="J42" i="6"/>
  <c r="P41" i="6"/>
  <c r="J41" i="6"/>
  <c r="P40" i="6"/>
  <c r="J40" i="6"/>
  <c r="P39" i="6"/>
  <c r="J39" i="6"/>
  <c r="P38" i="6"/>
  <c r="J38" i="6"/>
  <c r="P37" i="6"/>
  <c r="J37" i="6"/>
  <c r="P36" i="6"/>
  <c r="J36" i="6"/>
  <c r="P35" i="6"/>
  <c r="J35" i="6"/>
  <c r="P34" i="6"/>
  <c r="J34" i="6"/>
  <c r="P33" i="6"/>
  <c r="J33" i="6"/>
  <c r="P32" i="6"/>
  <c r="J32" i="6"/>
  <c r="P31" i="6"/>
  <c r="J31" i="6"/>
  <c r="P30" i="6"/>
  <c r="J30" i="6"/>
  <c r="P29" i="6"/>
  <c r="J29" i="6"/>
  <c r="P28" i="6"/>
  <c r="J28" i="6"/>
  <c r="P27" i="6"/>
  <c r="J27" i="6"/>
  <c r="P26" i="6"/>
  <c r="J26" i="6"/>
  <c r="P25" i="6"/>
  <c r="J25" i="6"/>
  <c r="P24" i="6"/>
  <c r="J24" i="6"/>
  <c r="P23" i="6"/>
  <c r="J23" i="6"/>
  <c r="P22" i="6"/>
  <c r="J22" i="6"/>
  <c r="P21" i="6"/>
  <c r="J21" i="6"/>
  <c r="P20" i="6"/>
  <c r="J20" i="6"/>
  <c r="P19" i="6"/>
  <c r="J19" i="6"/>
  <c r="R18" i="6"/>
  <c r="R19" i="6" s="1"/>
  <c r="P18" i="6"/>
  <c r="L18" i="6"/>
  <c r="L19" i="6" s="1"/>
  <c r="J18" i="6"/>
  <c r="B18" i="6"/>
  <c r="B19" i="6" s="1"/>
  <c r="R17" i="6"/>
  <c r="P17" i="6"/>
  <c r="L17" i="6"/>
  <c r="J17" i="6"/>
  <c r="E17" i="6"/>
  <c r="E18" i="6" s="1"/>
  <c r="E19" i="6" s="1"/>
  <c r="B17" i="6"/>
  <c r="P16" i="6"/>
  <c r="J16" i="6"/>
  <c r="R11" i="6"/>
  <c r="L11" i="6"/>
  <c r="G11" i="6"/>
  <c r="F11" i="6"/>
  <c r="E11" i="6"/>
  <c r="B506" i="12"/>
  <c r="B505" i="12"/>
  <c r="B504" i="12"/>
  <c r="B503" i="12"/>
  <c r="B502" i="12"/>
  <c r="B501" i="12"/>
  <c r="B500" i="12"/>
  <c r="B499" i="12"/>
  <c r="B498" i="12"/>
  <c r="B497" i="12"/>
  <c r="B496" i="12"/>
  <c r="B495" i="12"/>
  <c r="B494" i="12"/>
  <c r="B493" i="12"/>
  <c r="B492" i="12"/>
  <c r="B491" i="12"/>
  <c r="B490" i="12"/>
  <c r="B489" i="12"/>
  <c r="B488" i="12"/>
  <c r="B487" i="12"/>
  <c r="B486" i="12"/>
  <c r="B485" i="12"/>
  <c r="B484" i="12"/>
  <c r="B483" i="12"/>
  <c r="B482" i="12"/>
  <c r="B481" i="12"/>
  <c r="B480" i="12"/>
  <c r="B479" i="12"/>
  <c r="B478" i="12"/>
  <c r="B477" i="12"/>
  <c r="B476" i="12"/>
  <c r="B475" i="12"/>
  <c r="B474" i="12"/>
  <c r="B473" i="12"/>
  <c r="B472" i="12"/>
  <c r="B471" i="12"/>
  <c r="B470" i="12"/>
  <c r="B469" i="12"/>
  <c r="B468" i="12"/>
  <c r="B467" i="12"/>
  <c r="B466" i="12"/>
  <c r="B465" i="12"/>
  <c r="B464" i="12"/>
  <c r="B463" i="12"/>
  <c r="B462" i="12"/>
  <c r="B461" i="12"/>
  <c r="B460" i="12"/>
  <c r="B459" i="12"/>
  <c r="B458" i="12"/>
  <c r="B457" i="12"/>
  <c r="B456" i="12"/>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70" i="12"/>
  <c r="B369"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J216" i="12"/>
  <c r="J215" i="12"/>
  <c r="J214" i="12"/>
  <c r="J213" i="12"/>
  <c r="J212" i="12"/>
  <c r="P211" i="12"/>
  <c r="J211" i="12"/>
  <c r="P210" i="12"/>
  <c r="J210" i="12"/>
  <c r="P209" i="12"/>
  <c r="J209" i="12"/>
  <c r="P208" i="12"/>
  <c r="J208" i="12"/>
  <c r="P207" i="12"/>
  <c r="J207" i="12"/>
  <c r="P206" i="12"/>
  <c r="J206" i="12"/>
  <c r="P205" i="12"/>
  <c r="J205" i="12"/>
  <c r="P204" i="12"/>
  <c r="J204" i="12"/>
  <c r="P203" i="12"/>
  <c r="J203" i="12"/>
  <c r="P202" i="12"/>
  <c r="J202" i="12"/>
  <c r="P201" i="12"/>
  <c r="J201" i="12"/>
  <c r="P200" i="12"/>
  <c r="J200" i="12"/>
  <c r="P199" i="12"/>
  <c r="J199" i="12"/>
  <c r="P198" i="12"/>
  <c r="J198" i="12"/>
  <c r="P197" i="12"/>
  <c r="J197" i="12"/>
  <c r="P196" i="12"/>
  <c r="J196" i="12"/>
  <c r="P195" i="12"/>
  <c r="J195" i="12"/>
  <c r="P194" i="12"/>
  <c r="J194" i="12"/>
  <c r="P193" i="12"/>
  <c r="J193" i="12"/>
  <c r="P192" i="12"/>
  <c r="J192" i="12"/>
  <c r="P191" i="12"/>
  <c r="J191" i="12"/>
  <c r="P190" i="12"/>
  <c r="J190" i="12"/>
  <c r="P189" i="12"/>
  <c r="J189" i="12"/>
  <c r="P188" i="12"/>
  <c r="J188" i="12"/>
  <c r="P187" i="12"/>
  <c r="J187" i="12"/>
  <c r="P186" i="12"/>
  <c r="J186" i="12"/>
  <c r="P185" i="12"/>
  <c r="J185" i="12"/>
  <c r="P184" i="12"/>
  <c r="J184" i="12"/>
  <c r="P183" i="12"/>
  <c r="J183" i="12"/>
  <c r="P182" i="12"/>
  <c r="J182" i="12"/>
  <c r="P181" i="12"/>
  <c r="J181" i="12"/>
  <c r="H181" i="12"/>
  <c r="P180" i="12"/>
  <c r="J180" i="12"/>
  <c r="P179" i="12"/>
  <c r="J179" i="12"/>
  <c r="P178" i="12"/>
  <c r="J178" i="12"/>
  <c r="P177" i="12"/>
  <c r="J177" i="12"/>
  <c r="P176" i="12"/>
  <c r="J176" i="12"/>
  <c r="P175" i="12"/>
  <c r="J175" i="12"/>
  <c r="P174" i="12"/>
  <c r="J174" i="12"/>
  <c r="P173" i="12"/>
  <c r="J173" i="12"/>
  <c r="P172" i="12"/>
  <c r="J172" i="12"/>
  <c r="P171" i="12"/>
  <c r="J171" i="12"/>
  <c r="P170" i="12"/>
  <c r="J170" i="12"/>
  <c r="P169" i="12"/>
  <c r="J169" i="12"/>
  <c r="P168" i="12"/>
  <c r="J168" i="12"/>
  <c r="P167" i="12"/>
  <c r="J167" i="12"/>
  <c r="P166" i="12"/>
  <c r="J166" i="12"/>
  <c r="P165" i="12"/>
  <c r="J165" i="12"/>
  <c r="P164" i="12"/>
  <c r="J164" i="12"/>
  <c r="P163" i="12"/>
  <c r="J163" i="12"/>
  <c r="P162" i="12"/>
  <c r="J162" i="12"/>
  <c r="P161" i="12"/>
  <c r="J161" i="12"/>
  <c r="P160" i="12"/>
  <c r="J160" i="12"/>
  <c r="P159" i="12"/>
  <c r="J159" i="12"/>
  <c r="P158" i="12"/>
  <c r="J158" i="12"/>
  <c r="P157" i="12"/>
  <c r="J157" i="12"/>
  <c r="P156" i="12"/>
  <c r="J156" i="12"/>
  <c r="P155" i="12"/>
  <c r="J155" i="12"/>
  <c r="P154" i="12"/>
  <c r="J154" i="12"/>
  <c r="P153" i="12"/>
  <c r="J153" i="12"/>
  <c r="P152" i="12"/>
  <c r="J152" i="12"/>
  <c r="P151" i="12"/>
  <c r="J151" i="12"/>
  <c r="P150" i="12"/>
  <c r="J150" i="12"/>
  <c r="P149" i="12"/>
  <c r="J149" i="12"/>
  <c r="P148" i="12"/>
  <c r="J148" i="12"/>
  <c r="P147" i="12"/>
  <c r="J147" i="12"/>
  <c r="P146" i="12"/>
  <c r="J146" i="12"/>
  <c r="P145" i="12"/>
  <c r="J145" i="12"/>
  <c r="P144" i="12"/>
  <c r="J144" i="12"/>
  <c r="P143" i="12"/>
  <c r="J143" i="12"/>
  <c r="P142" i="12"/>
  <c r="J142" i="12"/>
  <c r="P141" i="12"/>
  <c r="J141" i="12"/>
  <c r="P140" i="12"/>
  <c r="J140" i="12"/>
  <c r="P139" i="12"/>
  <c r="J139" i="12"/>
  <c r="P138" i="12"/>
  <c r="J138" i="12"/>
  <c r="P137" i="12"/>
  <c r="J137" i="12"/>
  <c r="P136" i="12"/>
  <c r="J136" i="12"/>
  <c r="P135" i="12"/>
  <c r="J135" i="12"/>
  <c r="P134" i="12"/>
  <c r="J134" i="12"/>
  <c r="P133" i="12"/>
  <c r="J133" i="12"/>
  <c r="P132" i="12"/>
  <c r="J132" i="12"/>
  <c r="P131" i="12"/>
  <c r="J131" i="12"/>
  <c r="P130" i="12"/>
  <c r="J130" i="12"/>
  <c r="P129" i="12"/>
  <c r="J129" i="12"/>
  <c r="P128" i="12"/>
  <c r="J128" i="12"/>
  <c r="P127" i="12"/>
  <c r="J127" i="12"/>
  <c r="P126" i="12"/>
  <c r="J126" i="12"/>
  <c r="P125" i="12"/>
  <c r="J125" i="12"/>
  <c r="P124" i="12"/>
  <c r="J124" i="12"/>
  <c r="P123" i="12"/>
  <c r="J123" i="12"/>
  <c r="P122" i="12"/>
  <c r="J122" i="12"/>
  <c r="P121" i="12"/>
  <c r="J121" i="12"/>
  <c r="P120" i="12"/>
  <c r="J120" i="12"/>
  <c r="P119" i="12"/>
  <c r="J119" i="12"/>
  <c r="P118" i="12"/>
  <c r="J118" i="12"/>
  <c r="P117" i="12"/>
  <c r="J117" i="12"/>
  <c r="P116" i="12"/>
  <c r="J116" i="12"/>
  <c r="P115" i="12"/>
  <c r="J115" i="12"/>
  <c r="P114" i="12"/>
  <c r="J114" i="12"/>
  <c r="P113" i="12"/>
  <c r="J113" i="12"/>
  <c r="P112" i="12"/>
  <c r="J112" i="12"/>
  <c r="P111" i="12"/>
  <c r="J111" i="12"/>
  <c r="P110" i="12"/>
  <c r="J110" i="12"/>
  <c r="P109" i="12"/>
  <c r="J109" i="12"/>
  <c r="P108" i="12"/>
  <c r="J108" i="12"/>
  <c r="P107" i="12"/>
  <c r="J107" i="12"/>
  <c r="P106" i="12"/>
  <c r="J106" i="12"/>
  <c r="P105" i="12"/>
  <c r="J105" i="12"/>
  <c r="P104" i="12"/>
  <c r="J104" i="12"/>
  <c r="P103" i="12"/>
  <c r="J103" i="12"/>
  <c r="P102" i="12"/>
  <c r="J102" i="12"/>
  <c r="P101" i="12"/>
  <c r="J101" i="12"/>
  <c r="P100" i="12"/>
  <c r="J100" i="12"/>
  <c r="P99" i="12"/>
  <c r="J99" i="12"/>
  <c r="P98" i="12"/>
  <c r="J98" i="12"/>
  <c r="P97" i="12"/>
  <c r="J97" i="12"/>
  <c r="P96" i="12"/>
  <c r="J96" i="12"/>
  <c r="P95" i="12"/>
  <c r="J95" i="12"/>
  <c r="P94" i="12"/>
  <c r="J94" i="12"/>
  <c r="P93" i="12"/>
  <c r="J93" i="12"/>
  <c r="P92" i="12"/>
  <c r="J92" i="12"/>
  <c r="P91" i="12"/>
  <c r="J91" i="12"/>
  <c r="P90" i="12"/>
  <c r="J90" i="12"/>
  <c r="P89" i="12"/>
  <c r="J89" i="12"/>
  <c r="P88" i="12"/>
  <c r="J88" i="12"/>
  <c r="P87" i="12"/>
  <c r="J87" i="12"/>
  <c r="P86" i="12"/>
  <c r="J86" i="12"/>
  <c r="P85" i="12"/>
  <c r="J85" i="12"/>
  <c r="P84" i="12"/>
  <c r="J84" i="12"/>
  <c r="P83" i="12"/>
  <c r="J83" i="12"/>
  <c r="P82" i="12"/>
  <c r="J82" i="12"/>
  <c r="P81" i="12"/>
  <c r="J81" i="12"/>
  <c r="P80" i="12"/>
  <c r="J80" i="12"/>
  <c r="P79" i="12"/>
  <c r="J79" i="12"/>
  <c r="P78" i="12"/>
  <c r="J78" i="12"/>
  <c r="P77" i="12"/>
  <c r="J77" i="12"/>
  <c r="P76" i="12"/>
  <c r="J76" i="12"/>
  <c r="P75" i="12"/>
  <c r="J75" i="12"/>
  <c r="P74" i="12"/>
  <c r="J74" i="12"/>
  <c r="P73" i="12"/>
  <c r="J73" i="12"/>
  <c r="P72" i="12"/>
  <c r="J72" i="12"/>
  <c r="P71" i="12"/>
  <c r="J71" i="12"/>
  <c r="P70" i="12"/>
  <c r="J70" i="12"/>
  <c r="P69" i="12"/>
  <c r="J69" i="12"/>
  <c r="P68" i="12"/>
  <c r="J68" i="12"/>
  <c r="P67" i="12"/>
  <c r="J67" i="12"/>
  <c r="P66" i="12"/>
  <c r="J66" i="12"/>
  <c r="P65" i="12"/>
  <c r="J65" i="12"/>
  <c r="P64" i="12"/>
  <c r="J64" i="12"/>
  <c r="P63" i="12"/>
  <c r="J63" i="12"/>
  <c r="P62" i="12"/>
  <c r="J62" i="12"/>
  <c r="P61" i="12"/>
  <c r="J61" i="12"/>
  <c r="P60" i="12"/>
  <c r="J60" i="12"/>
  <c r="P59" i="12"/>
  <c r="J59" i="12"/>
  <c r="P58" i="12"/>
  <c r="J58" i="12"/>
  <c r="P57" i="12"/>
  <c r="J57" i="12"/>
  <c r="P56" i="12"/>
  <c r="J56" i="12"/>
  <c r="P55" i="12"/>
  <c r="J55" i="12"/>
  <c r="P54" i="12"/>
  <c r="J54" i="12"/>
  <c r="P53" i="12"/>
  <c r="J53" i="12"/>
  <c r="P52" i="12"/>
  <c r="J52" i="12"/>
  <c r="P51" i="12"/>
  <c r="J51" i="12"/>
  <c r="P50" i="12"/>
  <c r="J50" i="12"/>
  <c r="P49" i="12"/>
  <c r="J49" i="12"/>
  <c r="P48" i="12"/>
  <c r="J48" i="12"/>
  <c r="P47" i="12"/>
  <c r="J47" i="12"/>
  <c r="P46" i="12"/>
  <c r="J46" i="12"/>
  <c r="P45" i="12"/>
  <c r="J45" i="12"/>
  <c r="P44" i="12"/>
  <c r="J44" i="12"/>
  <c r="P43" i="12"/>
  <c r="J43" i="12"/>
  <c r="P42" i="12"/>
  <c r="J42" i="12"/>
  <c r="P41" i="12"/>
  <c r="J41" i="12"/>
  <c r="P40" i="12"/>
  <c r="J40" i="12"/>
  <c r="P39" i="12"/>
  <c r="J39" i="12"/>
  <c r="P38" i="12"/>
  <c r="J38" i="12"/>
  <c r="P37" i="12"/>
  <c r="J37" i="12"/>
  <c r="P36" i="12"/>
  <c r="J36" i="12"/>
  <c r="P35" i="12"/>
  <c r="J35" i="12"/>
  <c r="P34" i="12"/>
  <c r="J34" i="12"/>
  <c r="P33" i="12"/>
  <c r="J33" i="12"/>
  <c r="P32" i="12"/>
  <c r="J32" i="12"/>
  <c r="P31" i="12"/>
  <c r="J31" i="12"/>
  <c r="P30" i="12"/>
  <c r="J30" i="12"/>
  <c r="P29" i="12"/>
  <c r="J29" i="12"/>
  <c r="P28" i="12"/>
  <c r="J28" i="12"/>
  <c r="P27" i="12"/>
  <c r="J27" i="12"/>
  <c r="P26" i="12"/>
  <c r="J26" i="12"/>
  <c r="P25" i="12"/>
  <c r="J25" i="12"/>
  <c r="P24" i="12"/>
  <c r="J24" i="12"/>
  <c r="P23" i="12"/>
  <c r="J23" i="12"/>
  <c r="P22" i="12"/>
  <c r="J22" i="12"/>
  <c r="P21" i="12"/>
  <c r="J21" i="12"/>
  <c r="P20" i="12"/>
  <c r="J20" i="12"/>
  <c r="P19" i="12"/>
  <c r="J19" i="12"/>
  <c r="P18" i="12"/>
  <c r="J18" i="12"/>
  <c r="B18" i="12"/>
  <c r="B19" i="12" s="1"/>
  <c r="P17" i="12"/>
  <c r="L17" i="12"/>
  <c r="L18" i="12" s="1"/>
  <c r="L19" i="12" s="1"/>
  <c r="J17" i="12"/>
  <c r="E17" i="12"/>
  <c r="E18" i="12" s="1"/>
  <c r="E19" i="12" s="1"/>
  <c r="G19" i="12" s="1"/>
  <c r="B17" i="12"/>
  <c r="P16" i="12"/>
  <c r="J16" i="12"/>
  <c r="Q43" i="37"/>
  <c r="P43" i="37"/>
  <c r="K43" i="37"/>
  <c r="J43" i="37"/>
  <c r="Q42" i="37"/>
  <c r="P42" i="37"/>
  <c r="K42" i="37"/>
  <c r="J42" i="37"/>
  <c r="Q41" i="37"/>
  <c r="P41" i="37"/>
  <c r="K41" i="37"/>
  <c r="J41" i="37"/>
  <c r="Q40" i="37"/>
  <c r="P40" i="37"/>
  <c r="K40" i="37"/>
  <c r="J40" i="37"/>
  <c r="Q39" i="37"/>
  <c r="P39" i="37"/>
  <c r="K39" i="37"/>
  <c r="J39" i="37"/>
  <c r="Q38" i="37"/>
  <c r="P38" i="37"/>
  <c r="K38" i="37"/>
  <c r="J38" i="37"/>
  <c r="Q37" i="37"/>
  <c r="P37" i="37"/>
  <c r="K37" i="37"/>
  <c r="J37" i="37"/>
  <c r="Q36" i="37"/>
  <c r="P36" i="37"/>
  <c r="K36" i="37"/>
  <c r="J36" i="37"/>
  <c r="Q35" i="37"/>
  <c r="P35" i="37"/>
  <c r="K35" i="37"/>
  <c r="J35" i="37"/>
  <c r="Q34" i="37"/>
  <c r="P34" i="37"/>
  <c r="K34" i="37"/>
  <c r="J34" i="37"/>
  <c r="V33" i="37"/>
  <c r="Q33" i="37"/>
  <c r="P33" i="37"/>
  <c r="K33" i="37"/>
  <c r="J33" i="37"/>
  <c r="V32" i="37"/>
  <c r="Q32" i="37"/>
  <c r="P32" i="37"/>
  <c r="K32" i="37"/>
  <c r="J32" i="37"/>
  <c r="V31" i="37"/>
  <c r="Q31" i="37"/>
  <c r="P31" i="37"/>
  <c r="K31" i="37"/>
  <c r="J31" i="37"/>
  <c r="V30" i="37"/>
  <c r="Q30" i="37"/>
  <c r="P30" i="37"/>
  <c r="K30" i="37"/>
  <c r="J30" i="37"/>
  <c r="V29" i="37"/>
  <c r="Q29" i="37"/>
  <c r="P29" i="37"/>
  <c r="K29" i="37"/>
  <c r="J29" i="37"/>
  <c r="V28" i="37"/>
  <c r="Q28" i="37"/>
  <c r="P28" i="37"/>
  <c r="K28" i="37"/>
  <c r="J28" i="37"/>
  <c r="V27" i="37"/>
  <c r="Q27" i="37"/>
  <c r="P27" i="37"/>
  <c r="K27" i="37"/>
  <c r="J27" i="37"/>
  <c r="V26" i="37"/>
  <c r="Q26" i="37"/>
  <c r="P26" i="37"/>
  <c r="K26" i="37"/>
  <c r="J26" i="37"/>
  <c r="V25" i="37"/>
  <c r="Q25" i="37"/>
  <c r="P25" i="37"/>
  <c r="K25" i="37"/>
  <c r="J25" i="37"/>
  <c r="V24" i="37"/>
  <c r="Q24" i="37"/>
  <c r="P24" i="37"/>
  <c r="K24" i="37"/>
  <c r="J24" i="37"/>
  <c r="V23" i="37"/>
  <c r="Q23" i="37"/>
  <c r="P23" i="37"/>
  <c r="K23" i="37"/>
  <c r="J23" i="37"/>
  <c r="V22" i="37"/>
  <c r="Q22" i="37"/>
  <c r="P22" i="37"/>
  <c r="K22" i="37"/>
  <c r="J22" i="37"/>
  <c r="Q21" i="37"/>
  <c r="P21" i="37"/>
  <c r="K21" i="37"/>
  <c r="J21" i="37"/>
  <c r="Q20" i="37"/>
  <c r="P20" i="37"/>
  <c r="K20" i="37"/>
  <c r="J20" i="37"/>
  <c r="Q19" i="37"/>
  <c r="P19" i="37"/>
  <c r="K19" i="37"/>
  <c r="J19" i="37"/>
  <c r="Q18" i="37"/>
  <c r="P18" i="37"/>
  <c r="K18" i="37"/>
  <c r="J18" i="37"/>
  <c r="Q17" i="37"/>
  <c r="R17" i="37" s="1"/>
  <c r="P17" i="37"/>
  <c r="K17" i="37"/>
  <c r="L17" i="37" s="1"/>
  <c r="J17" i="37"/>
  <c r="E17" i="37"/>
  <c r="E18" i="37" s="1"/>
  <c r="E19" i="37" s="1"/>
  <c r="B17" i="37"/>
  <c r="P16" i="37"/>
  <c r="J16" i="37"/>
  <c r="K43" i="38"/>
  <c r="J43" i="38"/>
  <c r="K42" i="38"/>
  <c r="J42" i="38"/>
  <c r="K41" i="38"/>
  <c r="J41" i="38"/>
  <c r="K40" i="38"/>
  <c r="J40" i="38"/>
  <c r="K39" i="38"/>
  <c r="J39" i="38"/>
  <c r="K38" i="38"/>
  <c r="J38" i="38"/>
  <c r="K37" i="38"/>
  <c r="J37" i="38"/>
  <c r="K36" i="38"/>
  <c r="J36" i="38"/>
  <c r="K35" i="38"/>
  <c r="J35" i="38"/>
  <c r="K34" i="38"/>
  <c r="J34" i="38"/>
  <c r="K33" i="38"/>
  <c r="J33" i="38"/>
  <c r="K32" i="38"/>
  <c r="J32" i="38"/>
  <c r="K31" i="38"/>
  <c r="J31" i="38"/>
  <c r="K30" i="38"/>
  <c r="J30" i="38"/>
  <c r="K29" i="38"/>
  <c r="J29" i="38"/>
  <c r="K28" i="38"/>
  <c r="J28" i="38"/>
  <c r="K27" i="38"/>
  <c r="J27" i="38"/>
  <c r="K26" i="38"/>
  <c r="J26" i="38"/>
  <c r="K25" i="38"/>
  <c r="J25" i="38"/>
  <c r="K24" i="38"/>
  <c r="J24" i="38"/>
  <c r="K23" i="38"/>
  <c r="J23" i="38"/>
  <c r="K22" i="38"/>
  <c r="J22" i="38"/>
  <c r="K21" i="38"/>
  <c r="J21" i="38"/>
  <c r="K20" i="38"/>
  <c r="J20" i="38"/>
  <c r="K19" i="38"/>
  <c r="J19" i="38"/>
  <c r="K18" i="38"/>
  <c r="J18" i="38"/>
  <c r="E18" i="38"/>
  <c r="E19" i="38" s="1"/>
  <c r="K17" i="38"/>
  <c r="L17" i="38" s="1"/>
  <c r="J17" i="38"/>
  <c r="E17" i="38"/>
  <c r="B17" i="38"/>
  <c r="J16" i="38"/>
  <c r="P43" i="39"/>
  <c r="K43" i="39"/>
  <c r="J43" i="39"/>
  <c r="P42" i="39"/>
  <c r="K42" i="39"/>
  <c r="J42" i="39"/>
  <c r="P41" i="39"/>
  <c r="K41" i="39"/>
  <c r="J41" i="39"/>
  <c r="P40" i="39"/>
  <c r="K40" i="39"/>
  <c r="J40" i="39"/>
  <c r="P39" i="39"/>
  <c r="K39" i="39"/>
  <c r="J39" i="39"/>
  <c r="P38" i="39"/>
  <c r="K38" i="39"/>
  <c r="J38" i="39"/>
  <c r="P37" i="39"/>
  <c r="K37" i="39"/>
  <c r="J37" i="39"/>
  <c r="P36" i="39"/>
  <c r="K36" i="39"/>
  <c r="J36" i="39"/>
  <c r="P35" i="39"/>
  <c r="K35" i="39"/>
  <c r="J35" i="39"/>
  <c r="P34" i="39"/>
  <c r="K34" i="39"/>
  <c r="J34" i="39"/>
  <c r="P33" i="39"/>
  <c r="K33" i="39"/>
  <c r="J33" i="39"/>
  <c r="P32" i="39"/>
  <c r="K32" i="39"/>
  <c r="J32" i="39"/>
  <c r="P31" i="39"/>
  <c r="K31" i="39"/>
  <c r="J31" i="39"/>
  <c r="P30" i="39"/>
  <c r="K30" i="39"/>
  <c r="J30" i="39"/>
  <c r="P29" i="39"/>
  <c r="K29" i="39"/>
  <c r="J29" i="39"/>
  <c r="P28" i="39"/>
  <c r="K28" i="39"/>
  <c r="J28" i="39"/>
  <c r="P27" i="39"/>
  <c r="K27" i="39"/>
  <c r="J27" i="39"/>
  <c r="P26" i="39"/>
  <c r="K26" i="39"/>
  <c r="J26" i="39"/>
  <c r="P25" i="39"/>
  <c r="K25" i="39"/>
  <c r="J25" i="39"/>
  <c r="P24" i="39"/>
  <c r="K24" i="39"/>
  <c r="J24" i="39"/>
  <c r="P23" i="39"/>
  <c r="K23" i="39"/>
  <c r="J23" i="39"/>
  <c r="P22" i="39"/>
  <c r="K22" i="39"/>
  <c r="J22" i="39"/>
  <c r="P21" i="39"/>
  <c r="K21" i="39"/>
  <c r="J21" i="39"/>
  <c r="P20" i="39"/>
  <c r="K20" i="39"/>
  <c r="J20" i="39"/>
  <c r="P19" i="39"/>
  <c r="K19" i="39"/>
  <c r="J19" i="39"/>
  <c r="P18" i="39"/>
  <c r="K18" i="39"/>
  <c r="J18" i="39"/>
  <c r="R17" i="39"/>
  <c r="R18" i="39" s="1"/>
  <c r="R19" i="39" s="1"/>
  <c r="P17" i="39"/>
  <c r="K17" i="39"/>
  <c r="L17" i="39" s="1"/>
  <c r="J17" i="39"/>
  <c r="E17" i="39"/>
  <c r="E18" i="39" s="1"/>
  <c r="E19" i="39" s="1"/>
  <c r="B17" i="39"/>
  <c r="P16" i="39"/>
  <c r="J16" i="39"/>
  <c r="T43" i="40"/>
  <c r="S43" i="40"/>
  <c r="J43" i="40"/>
  <c r="T42" i="40"/>
  <c r="S42" i="40"/>
  <c r="J42" i="40"/>
  <c r="T41" i="40"/>
  <c r="S41" i="40"/>
  <c r="J41" i="40"/>
  <c r="T40" i="40"/>
  <c r="S40" i="40"/>
  <c r="J40" i="40"/>
  <c r="T39" i="40"/>
  <c r="S39" i="40"/>
  <c r="J39" i="40"/>
  <c r="T38" i="40"/>
  <c r="S38" i="40"/>
  <c r="J38" i="40"/>
  <c r="T37" i="40"/>
  <c r="S37" i="40"/>
  <c r="J37" i="40"/>
  <c r="T36" i="40"/>
  <c r="S36" i="40"/>
  <c r="J36" i="40"/>
  <c r="T35" i="40"/>
  <c r="S35" i="40"/>
  <c r="J35" i="40"/>
  <c r="T34" i="40"/>
  <c r="S34" i="40"/>
  <c r="J34" i="40"/>
  <c r="T33" i="40"/>
  <c r="S33" i="40"/>
  <c r="J33" i="40"/>
  <c r="T32" i="40"/>
  <c r="S32" i="40"/>
  <c r="J32" i="40"/>
  <c r="T31" i="40"/>
  <c r="S31" i="40"/>
  <c r="J31" i="40"/>
  <c r="T30" i="40"/>
  <c r="S30" i="40"/>
  <c r="J30" i="40"/>
  <c r="T29" i="40"/>
  <c r="S29" i="40"/>
  <c r="J29" i="40"/>
  <c r="T28" i="40"/>
  <c r="S28" i="40"/>
  <c r="J28" i="40"/>
  <c r="T27" i="40"/>
  <c r="S27" i="40"/>
  <c r="J27" i="40"/>
  <c r="T26" i="40"/>
  <c r="S26" i="40"/>
  <c r="J26" i="40"/>
  <c r="T25" i="40"/>
  <c r="S25" i="40"/>
  <c r="J25" i="40"/>
  <c r="T24" i="40"/>
  <c r="S24" i="40"/>
  <c r="J24" i="40"/>
  <c r="T23" i="40"/>
  <c r="S23" i="40"/>
  <c r="J23" i="40"/>
  <c r="T22" i="40"/>
  <c r="S22" i="40"/>
  <c r="J22" i="40"/>
  <c r="T21" i="40"/>
  <c r="S21" i="40"/>
  <c r="J21" i="40"/>
  <c r="T20" i="40"/>
  <c r="S20" i="40"/>
  <c r="J20" i="40"/>
  <c r="T19" i="40"/>
  <c r="S19" i="40"/>
  <c r="J19" i="40"/>
  <c r="T18" i="40"/>
  <c r="S18" i="40"/>
  <c r="J18" i="40"/>
  <c r="T17" i="40"/>
  <c r="S17" i="40"/>
  <c r="N17" i="40"/>
  <c r="N18" i="40" s="1"/>
  <c r="N19" i="40" s="1"/>
  <c r="P19" i="40" s="1"/>
  <c r="K17" i="40"/>
  <c r="J17" i="40"/>
  <c r="E17" i="40"/>
  <c r="E18" i="40" s="1"/>
  <c r="E19" i="40" s="1"/>
  <c r="B17" i="40"/>
  <c r="S16" i="40"/>
  <c r="J16" i="40"/>
  <c r="Z56" i="41"/>
  <c r="Y56" i="41"/>
  <c r="T56" i="41"/>
  <c r="S56" i="41"/>
  <c r="J56" i="41"/>
  <c r="Z55" i="41"/>
  <c r="Y55" i="41"/>
  <c r="T55" i="41"/>
  <c r="S55" i="41"/>
  <c r="J55" i="41"/>
  <c r="Z54" i="41"/>
  <c r="Y54" i="41"/>
  <c r="T54" i="41"/>
  <c r="S54" i="41"/>
  <c r="J54" i="41"/>
  <c r="Z53" i="41"/>
  <c r="Y53" i="41"/>
  <c r="T53" i="41"/>
  <c r="S53" i="41"/>
  <c r="J53" i="41"/>
  <c r="Z52" i="41"/>
  <c r="Y52" i="41"/>
  <c r="T52" i="41"/>
  <c r="S52" i="41"/>
  <c r="J52" i="41"/>
  <c r="Z51" i="41"/>
  <c r="Y51" i="41"/>
  <c r="T51" i="41"/>
  <c r="S51" i="41"/>
  <c r="J51" i="41"/>
  <c r="Z50" i="41"/>
  <c r="Y50" i="41"/>
  <c r="T50" i="41"/>
  <c r="S50" i="41"/>
  <c r="J50" i="41"/>
  <c r="Z49" i="41"/>
  <c r="Y49" i="41"/>
  <c r="T49" i="41"/>
  <c r="S49" i="41"/>
  <c r="J49" i="41"/>
  <c r="Z48" i="41"/>
  <c r="Y48" i="41"/>
  <c r="T48" i="41"/>
  <c r="S48" i="41"/>
  <c r="J48" i="41"/>
  <c r="Z47" i="41"/>
  <c r="Y47" i="41"/>
  <c r="T47" i="41"/>
  <c r="S47" i="41"/>
  <c r="J47" i="41"/>
  <c r="Z46" i="41"/>
  <c r="Y46" i="41"/>
  <c r="T46" i="41"/>
  <c r="S46" i="41"/>
  <c r="J46" i="41"/>
  <c r="Z45" i="41"/>
  <c r="Y45" i="41"/>
  <c r="T45" i="41"/>
  <c r="S45" i="41"/>
  <c r="J45" i="41"/>
  <c r="Z44" i="41"/>
  <c r="Y44" i="41"/>
  <c r="T44" i="41"/>
  <c r="S44" i="41"/>
  <c r="J44" i="41"/>
  <c r="Z43" i="41"/>
  <c r="Y43" i="41"/>
  <c r="T43" i="41"/>
  <c r="S43" i="41"/>
  <c r="J43" i="41"/>
  <c r="Z42" i="41"/>
  <c r="Y42" i="41"/>
  <c r="T42" i="41"/>
  <c r="S42" i="41"/>
  <c r="J42" i="41"/>
  <c r="Z41" i="41"/>
  <c r="Y41" i="41"/>
  <c r="T41" i="41"/>
  <c r="S41" i="41"/>
  <c r="J41" i="41"/>
  <c r="Z40" i="41"/>
  <c r="Y40" i="41"/>
  <c r="T40" i="41"/>
  <c r="S40" i="41"/>
  <c r="J40" i="41"/>
  <c r="Z39" i="41"/>
  <c r="Y39" i="41"/>
  <c r="T39" i="41"/>
  <c r="S39" i="41"/>
  <c r="J39" i="41"/>
  <c r="Z38" i="41"/>
  <c r="Y38" i="41"/>
  <c r="T38" i="41"/>
  <c r="S38" i="41"/>
  <c r="J38" i="41"/>
  <c r="Z37" i="41"/>
  <c r="Y37" i="41"/>
  <c r="T37" i="41"/>
  <c r="S37" i="41"/>
  <c r="J37" i="41"/>
  <c r="Z36" i="41"/>
  <c r="Y36" i="41"/>
  <c r="T36" i="41"/>
  <c r="S36" i="41"/>
  <c r="J36" i="41"/>
  <c r="Z35" i="41"/>
  <c r="Y35" i="41"/>
  <c r="T35" i="41"/>
  <c r="S35" i="41"/>
  <c r="J35" i="41"/>
  <c r="Z34" i="41"/>
  <c r="Y34" i="41"/>
  <c r="T34" i="41"/>
  <c r="S34" i="41"/>
  <c r="J34" i="41"/>
  <c r="Z33" i="41"/>
  <c r="Y33" i="41"/>
  <c r="T33" i="41"/>
  <c r="S33" i="41"/>
  <c r="J33" i="41"/>
  <c r="Z32" i="41"/>
  <c r="Y32" i="41"/>
  <c r="T32" i="41"/>
  <c r="S32" i="41"/>
  <c r="J32" i="41"/>
  <c r="Z31" i="41"/>
  <c r="Y31" i="41"/>
  <c r="T31" i="41"/>
  <c r="S31" i="41"/>
  <c r="J31" i="41"/>
  <c r="Z30" i="41"/>
  <c r="Y30" i="41"/>
  <c r="T30" i="41"/>
  <c r="S30" i="41"/>
  <c r="J30" i="41"/>
  <c r="Z29" i="41"/>
  <c r="Y29" i="41"/>
  <c r="T29" i="41"/>
  <c r="S29" i="41"/>
  <c r="J29" i="41"/>
  <c r="Z28" i="41"/>
  <c r="Y28" i="41"/>
  <c r="T28" i="41"/>
  <c r="S28" i="41"/>
  <c r="J28" i="41"/>
  <c r="Z27" i="41"/>
  <c r="Y27" i="41"/>
  <c r="T27" i="41"/>
  <c r="S27" i="41"/>
  <c r="J27" i="41"/>
  <c r="Z26" i="41"/>
  <c r="Y26" i="41"/>
  <c r="T26" i="41"/>
  <c r="S26" i="41"/>
  <c r="J26" i="41"/>
  <c r="Z25" i="41"/>
  <c r="Y25" i="41"/>
  <c r="T25" i="41"/>
  <c r="S25" i="41"/>
  <c r="J25" i="41"/>
  <c r="Z24" i="41"/>
  <c r="Y24" i="41"/>
  <c r="T24" i="41"/>
  <c r="S24" i="41"/>
  <c r="J24" i="41"/>
  <c r="Z23" i="41"/>
  <c r="Y23" i="41"/>
  <c r="T23" i="41"/>
  <c r="S23" i="41"/>
  <c r="J23" i="41"/>
  <c r="Z22" i="41"/>
  <c r="Y22" i="41"/>
  <c r="T22" i="41"/>
  <c r="S22" i="41"/>
  <c r="J22" i="41"/>
  <c r="Z21" i="41"/>
  <c r="Y21" i="41"/>
  <c r="T21" i="41"/>
  <c r="S21" i="41"/>
  <c r="J21" i="41"/>
  <c r="E21" i="41"/>
  <c r="E22" i="41" s="1"/>
  <c r="E23" i="41" s="1"/>
  <c r="Z20" i="41"/>
  <c r="Y20" i="41"/>
  <c r="T20" i="41"/>
  <c r="S20" i="41"/>
  <c r="J20" i="41"/>
  <c r="Z19" i="41"/>
  <c r="Y19" i="41"/>
  <c r="T19" i="41"/>
  <c r="S19" i="41"/>
  <c r="J19" i="41"/>
  <c r="E19" i="41"/>
  <c r="E20" i="41" s="1"/>
  <c r="G20" i="41" s="1"/>
  <c r="Z18" i="41"/>
  <c r="Y18" i="41"/>
  <c r="T18" i="41"/>
  <c r="S18" i="41"/>
  <c r="N18" i="41"/>
  <c r="N19" i="41" s="1"/>
  <c r="N20" i="41" s="1"/>
  <c r="J18" i="41"/>
  <c r="E18" i="41"/>
  <c r="Z17" i="41"/>
  <c r="AA17" i="41" s="1"/>
  <c r="Y17" i="41"/>
  <c r="T17" i="41"/>
  <c r="U17" i="41" s="1"/>
  <c r="S17" i="41"/>
  <c r="O17" i="41"/>
  <c r="N17" i="41"/>
  <c r="P17" i="41" s="1"/>
  <c r="J17" i="41"/>
  <c r="K17" i="41" s="1"/>
  <c r="F17" i="41"/>
  <c r="E17" i="41"/>
  <c r="B17" i="41"/>
  <c r="B18" i="41" s="1"/>
  <c r="B19" i="41" s="1"/>
  <c r="B20" i="41" s="1"/>
  <c r="B21" i="41" s="1"/>
  <c r="B22" i="41" s="1"/>
  <c r="B23" i="41" s="1"/>
  <c r="B24" i="41" s="1"/>
  <c r="B25" i="41" s="1"/>
  <c r="B26" i="41" s="1"/>
  <c r="B27" i="41" s="1"/>
  <c r="B28" i="41" s="1"/>
  <c r="B29" i="41" s="1"/>
  <c r="B30" i="41" s="1"/>
  <c r="B31" i="41" s="1"/>
  <c r="B32" i="41" s="1"/>
  <c r="B33" i="41" s="1"/>
  <c r="B34" i="41" s="1"/>
  <c r="B35" i="41" s="1"/>
  <c r="B36" i="41" s="1"/>
  <c r="B37" i="41" s="1"/>
  <c r="B38" i="41" s="1"/>
  <c r="B39" i="41" s="1"/>
  <c r="B40" i="41" s="1"/>
  <c r="B41" i="41" s="1"/>
  <c r="B42" i="41" s="1"/>
  <c r="B43" i="41" s="1"/>
  <c r="B44" i="41" s="1"/>
  <c r="B45" i="41" s="1"/>
  <c r="B46" i="41" s="1"/>
  <c r="B47" i="41" s="1"/>
  <c r="B48" i="41" s="1"/>
  <c r="B49" i="41" s="1"/>
  <c r="B50" i="41" s="1"/>
  <c r="B51" i="41" s="1"/>
  <c r="B52" i="41" s="1"/>
  <c r="B53" i="41" s="1"/>
  <c r="B54" i="41" s="1"/>
  <c r="B55" i="41" s="1"/>
  <c r="B56" i="41" s="1"/>
  <c r="B57" i="41" s="1"/>
  <c r="B58" i="41" s="1"/>
  <c r="B59" i="41" s="1"/>
  <c r="B60" i="41" s="1"/>
  <c r="B61" i="41" s="1"/>
  <c r="B62" i="41" s="1"/>
  <c r="B63" i="41" s="1"/>
  <c r="B64" i="41" s="1"/>
  <c r="B65" i="41" s="1"/>
  <c r="Y16" i="41"/>
  <c r="S16" i="41"/>
  <c r="J16" i="41"/>
  <c r="B505" i="28"/>
  <c r="B504" i="28"/>
  <c r="B503" i="28"/>
  <c r="B502" i="28"/>
  <c r="B501" i="28"/>
  <c r="B500" i="28"/>
  <c r="B499" i="28"/>
  <c r="B498" i="28"/>
  <c r="B497" i="28"/>
  <c r="B496" i="28"/>
  <c r="B495" i="28"/>
  <c r="B494" i="28"/>
  <c r="B493" i="28"/>
  <c r="B492" i="28"/>
  <c r="B491" i="28"/>
  <c r="B490" i="28"/>
  <c r="B489" i="28"/>
  <c r="B488" i="28"/>
  <c r="B487" i="28"/>
  <c r="B486" i="28"/>
  <c r="B485" i="28"/>
  <c r="B484" i="28"/>
  <c r="B483" i="28"/>
  <c r="B482" i="28"/>
  <c r="B481" i="28"/>
  <c r="B480" i="28"/>
  <c r="B479" i="28"/>
  <c r="B478" i="28"/>
  <c r="B477" i="28"/>
  <c r="B476" i="28"/>
  <c r="B475" i="28"/>
  <c r="B474" i="28"/>
  <c r="B473" i="28"/>
  <c r="B472" i="28"/>
  <c r="B471" i="28"/>
  <c r="B470" i="28"/>
  <c r="B469" i="28"/>
  <c r="B468" i="28"/>
  <c r="B467" i="28"/>
  <c r="B466" i="28"/>
  <c r="B465" i="28"/>
  <c r="B464" i="28"/>
  <c r="B463" i="28"/>
  <c r="B462" i="28"/>
  <c r="B461" i="28"/>
  <c r="B460" i="28"/>
  <c r="B459" i="28"/>
  <c r="B458" i="28"/>
  <c r="B457" i="28"/>
  <c r="B456" i="28"/>
  <c r="B455" i="28"/>
  <c r="B454" i="28"/>
  <c r="B453" i="28"/>
  <c r="B452" i="28"/>
  <c r="B451" i="28"/>
  <c r="B450" i="28"/>
  <c r="B449" i="28"/>
  <c r="B448" i="28"/>
  <c r="B447" i="28"/>
  <c r="B446" i="28"/>
  <c r="B445" i="28"/>
  <c r="B444" i="28"/>
  <c r="B443" i="28"/>
  <c r="B442" i="28"/>
  <c r="B441" i="28"/>
  <c r="B440" i="28"/>
  <c r="B439" i="28"/>
  <c r="B438" i="28"/>
  <c r="B437" i="28"/>
  <c r="B436" i="28"/>
  <c r="B435" i="28"/>
  <c r="B434" i="28"/>
  <c r="B433" i="28"/>
  <c r="B432" i="28"/>
  <c r="B431" i="28"/>
  <c r="B430" i="28"/>
  <c r="B429" i="28"/>
  <c r="B428" i="28"/>
  <c r="B427" i="28"/>
  <c r="B426" i="28"/>
  <c r="B425" i="28"/>
  <c r="B424" i="28"/>
  <c r="B423" i="28"/>
  <c r="B422" i="28"/>
  <c r="B421" i="28"/>
  <c r="B420" i="28"/>
  <c r="B419" i="28"/>
  <c r="B418" i="28"/>
  <c r="B417" i="28"/>
  <c r="B416" i="28"/>
  <c r="B415" i="28"/>
  <c r="B414" i="28"/>
  <c r="B413" i="28"/>
  <c r="B412" i="28"/>
  <c r="B411" i="28"/>
  <c r="B410" i="28"/>
  <c r="B409" i="28"/>
  <c r="B408" i="28"/>
  <c r="B407" i="28"/>
  <c r="B406" i="28"/>
  <c r="B405" i="28"/>
  <c r="B404" i="28"/>
  <c r="B403" i="28"/>
  <c r="B402" i="28"/>
  <c r="B401" i="28"/>
  <c r="B400" i="28"/>
  <c r="B399" i="28"/>
  <c r="B398" i="28"/>
  <c r="B397" i="28"/>
  <c r="B396" i="28"/>
  <c r="B395" i="28"/>
  <c r="B394" i="28"/>
  <c r="B393" i="28"/>
  <c r="B392" i="28"/>
  <c r="B391" i="28"/>
  <c r="B390" i="28"/>
  <c r="B389" i="28"/>
  <c r="B388" i="28"/>
  <c r="B387" i="28"/>
  <c r="B386" i="28"/>
  <c r="B385" i="28"/>
  <c r="B384" i="28"/>
  <c r="B383" i="28"/>
  <c r="B382" i="28"/>
  <c r="B381" i="28"/>
  <c r="B380" i="28"/>
  <c r="B379" i="28"/>
  <c r="B378" i="28"/>
  <c r="B377" i="28"/>
  <c r="B376" i="28"/>
  <c r="B375" i="28"/>
  <c r="B374" i="28"/>
  <c r="B373" i="28"/>
  <c r="B372" i="28"/>
  <c r="B371" i="28"/>
  <c r="B370" i="28"/>
  <c r="B369" i="28"/>
  <c r="B368" i="28"/>
  <c r="B367" i="28"/>
  <c r="B366" i="28"/>
  <c r="B365" i="28"/>
  <c r="B364" i="28"/>
  <c r="B363" i="28"/>
  <c r="B362" i="28"/>
  <c r="B361" i="28"/>
  <c r="B360" i="28"/>
  <c r="B359" i="28"/>
  <c r="B358" i="28"/>
  <c r="B357" i="28"/>
  <c r="B356" i="28"/>
  <c r="B355" i="28"/>
  <c r="B354" i="28"/>
  <c r="B353" i="28"/>
  <c r="B352" i="28"/>
  <c r="B351" i="28"/>
  <c r="B350" i="28"/>
  <c r="B349" i="28"/>
  <c r="B348" i="28"/>
  <c r="B347" i="28"/>
  <c r="B346" i="28"/>
  <c r="B345" i="28"/>
  <c r="B344" i="28"/>
  <c r="B343" i="28"/>
  <c r="B342" i="28"/>
  <c r="B341" i="28"/>
  <c r="B340" i="28"/>
  <c r="B339" i="28"/>
  <c r="B338" i="28"/>
  <c r="B337" i="28"/>
  <c r="B336" i="28"/>
  <c r="B335" i="28"/>
  <c r="B334" i="28"/>
  <c r="B333" i="28"/>
  <c r="B332" i="28"/>
  <c r="B331" i="28"/>
  <c r="B330" i="28"/>
  <c r="B329" i="28"/>
  <c r="B328" i="28"/>
  <c r="B327" i="28"/>
  <c r="B326" i="28"/>
  <c r="B325" i="28"/>
  <c r="B324" i="28"/>
  <c r="B323" i="28"/>
  <c r="B322" i="28"/>
  <c r="B321" i="28"/>
  <c r="B320" i="28"/>
  <c r="B319" i="28"/>
  <c r="B318" i="28"/>
  <c r="B317" i="28"/>
  <c r="B316" i="28"/>
  <c r="B315" i="28"/>
  <c r="B314" i="28"/>
  <c r="B313" i="28"/>
  <c r="B312" i="28"/>
  <c r="B311" i="28"/>
  <c r="B310" i="28"/>
  <c r="B309" i="28"/>
  <c r="B308" i="28"/>
  <c r="B307" i="28"/>
  <c r="B306" i="28"/>
  <c r="B305" i="28"/>
  <c r="B304" i="28"/>
  <c r="B303" i="28"/>
  <c r="B302" i="28"/>
  <c r="B301" i="28"/>
  <c r="B300" i="28"/>
  <c r="B299" i="28"/>
  <c r="B298" i="28"/>
  <c r="B297" i="28"/>
  <c r="B296" i="28"/>
  <c r="B295" i="28"/>
  <c r="B294" i="28"/>
  <c r="B293" i="28"/>
  <c r="B292" i="28"/>
  <c r="B291" i="28"/>
  <c r="B290" i="28"/>
  <c r="B289" i="28"/>
  <c r="B288" i="28"/>
  <c r="B287" i="28"/>
  <c r="B286" i="28"/>
  <c r="B285" i="28"/>
  <c r="B284" i="28"/>
  <c r="B283" i="28"/>
  <c r="B282" i="28"/>
  <c r="B281" i="28"/>
  <c r="B280" i="28"/>
  <c r="B279" i="28"/>
  <c r="B278" i="28"/>
  <c r="B277" i="28"/>
  <c r="B276" i="28"/>
  <c r="B275" i="28"/>
  <c r="B274" i="28"/>
  <c r="B273" i="28"/>
  <c r="B272" i="28"/>
  <c r="B271" i="28"/>
  <c r="B270" i="28"/>
  <c r="B269" i="28"/>
  <c r="B268" i="28"/>
  <c r="B267" i="28"/>
  <c r="B266" i="28"/>
  <c r="B265" i="28"/>
  <c r="B264" i="28"/>
  <c r="B263" i="28"/>
  <c r="B262" i="28"/>
  <c r="B261" i="28"/>
  <c r="B260" i="28"/>
  <c r="B259" i="28"/>
  <c r="B258" i="28"/>
  <c r="B257" i="28"/>
  <c r="B256" i="28"/>
  <c r="B255" i="28"/>
  <c r="B254" i="28"/>
  <c r="B253" i="28"/>
  <c r="B252" i="28"/>
  <c r="B251" i="28"/>
  <c r="B250" i="28"/>
  <c r="B249" i="28"/>
  <c r="B248" i="28"/>
  <c r="B247" i="28"/>
  <c r="B246" i="28"/>
  <c r="B245" i="28"/>
  <c r="B244" i="28"/>
  <c r="B243" i="28"/>
  <c r="B242" i="28"/>
  <c r="B241" i="28"/>
  <c r="B240" i="28"/>
  <c r="B239" i="28"/>
  <c r="B238" i="28"/>
  <c r="B237" i="28"/>
  <c r="B236" i="28"/>
  <c r="B235" i="28"/>
  <c r="B234" i="28"/>
  <c r="B233" i="28"/>
  <c r="B232" i="28"/>
  <c r="B231" i="28"/>
  <c r="B230" i="28"/>
  <c r="B229" i="28"/>
  <c r="B228" i="28"/>
  <c r="B227" i="28"/>
  <c r="B226" i="28"/>
  <c r="B225" i="28"/>
  <c r="B224" i="28"/>
  <c r="B223" i="28"/>
  <c r="B222" i="28"/>
  <c r="B221" i="28"/>
  <c r="B220" i="28"/>
  <c r="B219" i="28"/>
  <c r="B218" i="28"/>
  <c r="B217" i="28"/>
  <c r="B216" i="28"/>
  <c r="B215" i="28"/>
  <c r="B214" i="28"/>
  <c r="B213" i="28"/>
  <c r="B212" i="28"/>
  <c r="B211" i="28"/>
  <c r="B210" i="28"/>
  <c r="B209" i="28"/>
  <c r="B208" i="28"/>
  <c r="B207"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O145" i="28"/>
  <c r="BH145" i="28"/>
  <c r="BB145" i="28"/>
  <c r="AU145" i="28"/>
  <c r="CD145" i="28"/>
  <c r="BW145" i="28"/>
  <c r="AO145" i="28"/>
  <c r="AH145" i="28"/>
  <c r="AB145" i="28"/>
  <c r="U145" i="28"/>
  <c r="O145" i="28"/>
  <c r="H145" i="28"/>
  <c r="E145" i="28"/>
  <c r="C145" i="28"/>
  <c r="BO144" i="28"/>
  <c r="BH144" i="28"/>
  <c r="BB144" i="28"/>
  <c r="AU144" i="28"/>
  <c r="CD144" i="28"/>
  <c r="BW144" i="28"/>
  <c r="AO144" i="28"/>
  <c r="AH144" i="28"/>
  <c r="AB144" i="28"/>
  <c r="U144" i="28"/>
  <c r="O144" i="28"/>
  <c r="H144" i="28"/>
  <c r="E144" i="28"/>
  <c r="C144" i="28"/>
  <c r="BO143" i="28"/>
  <c r="BH143" i="28"/>
  <c r="BB143" i="28"/>
  <c r="AU143" i="28"/>
  <c r="CD143" i="28"/>
  <c r="BW143" i="28"/>
  <c r="AO143" i="28"/>
  <c r="AH143" i="28"/>
  <c r="AB143" i="28"/>
  <c r="U143" i="28"/>
  <c r="O143" i="28"/>
  <c r="H143" i="28"/>
  <c r="E143" i="28"/>
  <c r="C143" i="28"/>
  <c r="BO142" i="28"/>
  <c r="BH142" i="28"/>
  <c r="BB142" i="28"/>
  <c r="AU142" i="28"/>
  <c r="CD142" i="28"/>
  <c r="BW142" i="28"/>
  <c r="AO142" i="28"/>
  <c r="AH142" i="28"/>
  <c r="AB142" i="28"/>
  <c r="U142" i="28"/>
  <c r="O142" i="28"/>
  <c r="H142" i="28"/>
  <c r="E142" i="28"/>
  <c r="C142" i="28"/>
  <c r="BO141" i="28"/>
  <c r="BH141" i="28"/>
  <c r="BB141" i="28"/>
  <c r="AU141" i="28"/>
  <c r="CD141" i="28"/>
  <c r="BW141" i="28"/>
  <c r="AO141" i="28"/>
  <c r="AH141" i="28"/>
  <c r="AB141" i="28"/>
  <c r="U141" i="28"/>
  <c r="O141" i="28"/>
  <c r="H141" i="28"/>
  <c r="E141" i="28"/>
  <c r="C141" i="28"/>
  <c r="BO140" i="28"/>
  <c r="BH140" i="28"/>
  <c r="BB140" i="28"/>
  <c r="AU140" i="28"/>
  <c r="CD140" i="28"/>
  <c r="BW140" i="28"/>
  <c r="AO140" i="28"/>
  <c r="AH140" i="28"/>
  <c r="AB140" i="28"/>
  <c r="U140" i="28"/>
  <c r="O140" i="28"/>
  <c r="H140" i="28"/>
  <c r="E140" i="28"/>
  <c r="C140" i="28"/>
  <c r="BO139" i="28"/>
  <c r="BH139" i="28"/>
  <c r="BB139" i="28"/>
  <c r="AU139" i="28"/>
  <c r="CD139" i="28"/>
  <c r="BW139" i="28"/>
  <c r="AO139" i="28"/>
  <c r="AH139" i="28"/>
  <c r="AB139" i="28"/>
  <c r="U139" i="28"/>
  <c r="O139" i="28"/>
  <c r="H139" i="28"/>
  <c r="E139" i="28"/>
  <c r="C139" i="28"/>
  <c r="BO138" i="28"/>
  <c r="BH138" i="28"/>
  <c r="BB138" i="28"/>
  <c r="AU138" i="28"/>
  <c r="CD138" i="28"/>
  <c r="BW138" i="28"/>
  <c r="AO138" i="28"/>
  <c r="AH138" i="28"/>
  <c r="AB138" i="28"/>
  <c r="U138" i="28"/>
  <c r="O138" i="28"/>
  <c r="H138" i="28"/>
  <c r="E138" i="28"/>
  <c r="C138" i="28"/>
  <c r="BO137" i="28"/>
  <c r="BH137" i="28"/>
  <c r="BB137" i="28"/>
  <c r="AU137" i="28"/>
  <c r="CD137" i="28"/>
  <c r="BW137" i="28"/>
  <c r="AO137" i="28"/>
  <c r="AH137" i="28"/>
  <c r="AB137" i="28"/>
  <c r="U137" i="28"/>
  <c r="O137" i="28"/>
  <c r="H137" i="28"/>
  <c r="E137" i="28"/>
  <c r="C137" i="28"/>
  <c r="BO136" i="28"/>
  <c r="BH136" i="28"/>
  <c r="BB136" i="28"/>
  <c r="AU136" i="28"/>
  <c r="CD136" i="28"/>
  <c r="BW136" i="28"/>
  <c r="AO136" i="28"/>
  <c r="AH136" i="28"/>
  <c r="AB136" i="28"/>
  <c r="U136" i="28"/>
  <c r="O136" i="28"/>
  <c r="H136" i="28"/>
  <c r="E136" i="28"/>
  <c r="C136" i="28"/>
  <c r="BO135" i="28"/>
  <c r="BH135" i="28"/>
  <c r="BB135" i="28"/>
  <c r="AU135" i="28"/>
  <c r="CD135" i="28"/>
  <c r="BW135" i="28"/>
  <c r="AO135" i="28"/>
  <c r="AH135" i="28"/>
  <c r="AB135" i="28"/>
  <c r="U135" i="28"/>
  <c r="O135" i="28"/>
  <c r="H135" i="28"/>
  <c r="E135" i="28"/>
  <c r="C135" i="28"/>
  <c r="BO134" i="28"/>
  <c r="BH134" i="28"/>
  <c r="BB134" i="28"/>
  <c r="AU134" i="28"/>
  <c r="CD134" i="28"/>
  <c r="BW134" i="28"/>
  <c r="AO134" i="28"/>
  <c r="AH134" i="28"/>
  <c r="AB134" i="28"/>
  <c r="U134" i="28"/>
  <c r="O134" i="28"/>
  <c r="H134" i="28"/>
  <c r="E134" i="28"/>
  <c r="C134" i="28"/>
  <c r="BO133" i="28"/>
  <c r="BH133" i="28"/>
  <c r="BB133" i="28"/>
  <c r="AU133" i="28"/>
  <c r="CD133" i="28"/>
  <c r="BW133" i="28"/>
  <c r="AO133" i="28"/>
  <c r="AH133" i="28"/>
  <c r="AB133" i="28"/>
  <c r="U133" i="28"/>
  <c r="O133" i="28"/>
  <c r="H133" i="28"/>
  <c r="E133" i="28"/>
  <c r="C133" i="28"/>
  <c r="BO132" i="28"/>
  <c r="BH132" i="28"/>
  <c r="BB132" i="28"/>
  <c r="AU132" i="28"/>
  <c r="CD132" i="28"/>
  <c r="BW132" i="28"/>
  <c r="AO132" i="28"/>
  <c r="AH132" i="28"/>
  <c r="AB132" i="28"/>
  <c r="U132" i="28"/>
  <c r="O132" i="28"/>
  <c r="H132" i="28"/>
  <c r="E132" i="28"/>
  <c r="C132" i="28"/>
  <c r="BO131" i="28"/>
  <c r="BH131" i="28"/>
  <c r="BB131" i="28"/>
  <c r="AU131" i="28"/>
  <c r="CD131" i="28"/>
  <c r="BW131" i="28"/>
  <c r="AO131" i="28"/>
  <c r="AH131" i="28"/>
  <c r="AB131" i="28"/>
  <c r="U131" i="28"/>
  <c r="O131" i="28"/>
  <c r="H131" i="28"/>
  <c r="E131" i="28"/>
  <c r="C131" i="28"/>
  <c r="BO130" i="28"/>
  <c r="BH130" i="28"/>
  <c r="BB130" i="28"/>
  <c r="AU130" i="28"/>
  <c r="CD130" i="28"/>
  <c r="BW130" i="28"/>
  <c r="AO130" i="28"/>
  <c r="AH130" i="28"/>
  <c r="AB130" i="28"/>
  <c r="U130" i="28"/>
  <c r="O130" i="28"/>
  <c r="H130" i="28"/>
  <c r="E130" i="28"/>
  <c r="C130" i="28"/>
  <c r="BO129" i="28"/>
  <c r="BH129" i="28"/>
  <c r="BB129" i="28"/>
  <c r="AU129" i="28"/>
  <c r="CD129" i="28"/>
  <c r="BW129" i="28"/>
  <c r="AO129" i="28"/>
  <c r="AH129" i="28"/>
  <c r="AB129" i="28"/>
  <c r="U129" i="28"/>
  <c r="O129" i="28"/>
  <c r="H129" i="28"/>
  <c r="E129" i="28"/>
  <c r="C129" i="28"/>
  <c r="BO128" i="28"/>
  <c r="BH128" i="28"/>
  <c r="BB128" i="28"/>
  <c r="AU128" i="28"/>
  <c r="CD128" i="28"/>
  <c r="BW128" i="28"/>
  <c r="AO128" i="28"/>
  <c r="AH128" i="28"/>
  <c r="AB128" i="28"/>
  <c r="U128" i="28"/>
  <c r="O128" i="28"/>
  <c r="H128" i="28"/>
  <c r="E128" i="28"/>
  <c r="C128" i="28"/>
  <c r="BO127" i="28"/>
  <c r="BH127" i="28"/>
  <c r="BB127" i="28"/>
  <c r="AU127" i="28"/>
  <c r="CD127" i="28"/>
  <c r="BW127" i="28"/>
  <c r="AO127" i="28"/>
  <c r="AH127" i="28"/>
  <c r="AB127" i="28"/>
  <c r="U127" i="28"/>
  <c r="O127" i="28"/>
  <c r="H127" i="28"/>
  <c r="E127" i="28"/>
  <c r="C127" i="28"/>
  <c r="BO126" i="28"/>
  <c r="BH126" i="28"/>
  <c r="BB126" i="28"/>
  <c r="AU126" i="28"/>
  <c r="CD126" i="28"/>
  <c r="BW126" i="28"/>
  <c r="AO126" i="28"/>
  <c r="AH126" i="28"/>
  <c r="AB126" i="28"/>
  <c r="U126" i="28"/>
  <c r="O126" i="28"/>
  <c r="H126" i="28"/>
  <c r="F126" i="28"/>
  <c r="E126" i="28"/>
  <c r="C126" i="28"/>
  <c r="BO125" i="28"/>
  <c r="BH125" i="28"/>
  <c r="BB125" i="28"/>
  <c r="AU125" i="28"/>
  <c r="CD125" i="28"/>
  <c r="BW125" i="28"/>
  <c r="AO125" i="28"/>
  <c r="AH125" i="28"/>
  <c r="AB125" i="28"/>
  <c r="U125" i="28"/>
  <c r="O125" i="28"/>
  <c r="H125" i="28"/>
  <c r="F125" i="28"/>
  <c r="E125" i="28"/>
  <c r="C125" i="28"/>
  <c r="BO124" i="28"/>
  <c r="BH124" i="28"/>
  <c r="BB124" i="28"/>
  <c r="AU124" i="28"/>
  <c r="CD124" i="28"/>
  <c r="BW124" i="28"/>
  <c r="AO124" i="28"/>
  <c r="AH124" i="28"/>
  <c r="AB124" i="28"/>
  <c r="U124" i="28"/>
  <c r="O124" i="28"/>
  <c r="H124" i="28"/>
  <c r="F124" i="28"/>
  <c r="E124" i="28"/>
  <c r="C124" i="28"/>
  <c r="BO123" i="28"/>
  <c r="BH123" i="28"/>
  <c r="BB123" i="28"/>
  <c r="AU123" i="28"/>
  <c r="CD123" i="28"/>
  <c r="BW123" i="28"/>
  <c r="AO123" i="28"/>
  <c r="AH123" i="28"/>
  <c r="AB123" i="28"/>
  <c r="U123" i="28"/>
  <c r="O123" i="28"/>
  <c r="H123" i="28"/>
  <c r="F123" i="28"/>
  <c r="E123" i="28"/>
  <c r="C123" i="28"/>
  <c r="BO122" i="28"/>
  <c r="BH122" i="28"/>
  <c r="BB122" i="28"/>
  <c r="AU122" i="28"/>
  <c r="CD122" i="28"/>
  <c r="BW122" i="28"/>
  <c r="AO122" i="28"/>
  <c r="AH122" i="28"/>
  <c r="AB122" i="28"/>
  <c r="U122" i="28"/>
  <c r="O122" i="28"/>
  <c r="H122" i="28"/>
  <c r="F122" i="28"/>
  <c r="E122" i="28"/>
  <c r="C122" i="28"/>
  <c r="BO121" i="28"/>
  <c r="BH121" i="28"/>
  <c r="BB121" i="28"/>
  <c r="AU121" i="28"/>
  <c r="CD121" i="28"/>
  <c r="BW121" i="28"/>
  <c r="AO121" i="28"/>
  <c r="AH121" i="28"/>
  <c r="AB121" i="28"/>
  <c r="U121" i="28"/>
  <c r="O121" i="28"/>
  <c r="H121" i="28"/>
  <c r="F121" i="28"/>
  <c r="E121" i="28"/>
  <c r="C121" i="28"/>
  <c r="BO120" i="28"/>
  <c r="BH120" i="28"/>
  <c r="BB120" i="28"/>
  <c r="AU120" i="28"/>
  <c r="CD120" i="28"/>
  <c r="BW120" i="28"/>
  <c r="AO120" i="28"/>
  <c r="AH120" i="28"/>
  <c r="AB120" i="28"/>
  <c r="U120" i="28"/>
  <c r="O120" i="28"/>
  <c r="H120" i="28"/>
  <c r="F120" i="28"/>
  <c r="E120" i="28"/>
  <c r="C120" i="28"/>
  <c r="BO119" i="28"/>
  <c r="BH119" i="28"/>
  <c r="BB119" i="28"/>
  <c r="AU119" i="28"/>
  <c r="CD119" i="28"/>
  <c r="BW119" i="28"/>
  <c r="AO119" i="28"/>
  <c r="AH119" i="28"/>
  <c r="AB119" i="28"/>
  <c r="U119" i="28"/>
  <c r="O119" i="28"/>
  <c r="H119" i="28"/>
  <c r="F119" i="28"/>
  <c r="E119" i="28"/>
  <c r="C119" i="28"/>
  <c r="BO118" i="28"/>
  <c r="BH118" i="28"/>
  <c r="BB118" i="28"/>
  <c r="AU118" i="28"/>
  <c r="CD118" i="28"/>
  <c r="BW118" i="28"/>
  <c r="AO118" i="28"/>
  <c r="AH118" i="28"/>
  <c r="AB118" i="28"/>
  <c r="U118" i="28"/>
  <c r="O118" i="28"/>
  <c r="H118" i="28"/>
  <c r="F118" i="28"/>
  <c r="E118" i="28"/>
  <c r="C118" i="28"/>
  <c r="BO117" i="28"/>
  <c r="BH117" i="28"/>
  <c r="BB117" i="28"/>
  <c r="AU117" i="28"/>
  <c r="CD117" i="28"/>
  <c r="BW117" i="28"/>
  <c r="AO117" i="28"/>
  <c r="AH117" i="28"/>
  <c r="AB117" i="28"/>
  <c r="U117" i="28"/>
  <c r="O117" i="28"/>
  <c r="H117" i="28"/>
  <c r="F117" i="28"/>
  <c r="E117" i="28"/>
  <c r="C117" i="28"/>
  <c r="BO116" i="28"/>
  <c r="BH116" i="28"/>
  <c r="BB116" i="28"/>
  <c r="AU116" i="28"/>
  <c r="CD116" i="28"/>
  <c r="BW116" i="28"/>
  <c r="AO116" i="28"/>
  <c r="AH116" i="28"/>
  <c r="AB116" i="28"/>
  <c r="U116" i="28"/>
  <c r="O116" i="28"/>
  <c r="H116" i="28"/>
  <c r="F116" i="28"/>
  <c r="E116" i="28"/>
  <c r="C116" i="28"/>
  <c r="BO115" i="28"/>
  <c r="BH115" i="28"/>
  <c r="BB115" i="28"/>
  <c r="AU115" i="28"/>
  <c r="CD115" i="28"/>
  <c r="BW115" i="28"/>
  <c r="AO115" i="28"/>
  <c r="AH115" i="28"/>
  <c r="AB115" i="28"/>
  <c r="U115" i="28"/>
  <c r="O115" i="28"/>
  <c r="H115" i="28"/>
  <c r="F115" i="28"/>
  <c r="E115" i="28"/>
  <c r="C115" i="28"/>
  <c r="BO114" i="28"/>
  <c r="BH114" i="28"/>
  <c r="BB114" i="28"/>
  <c r="AU114" i="28"/>
  <c r="CD114" i="28"/>
  <c r="BW114" i="28"/>
  <c r="AO114" i="28"/>
  <c r="AH114" i="28"/>
  <c r="AB114" i="28"/>
  <c r="U114" i="28"/>
  <c r="O114" i="28"/>
  <c r="H114" i="28"/>
  <c r="F114" i="28"/>
  <c r="E114" i="28"/>
  <c r="C114" i="28"/>
  <c r="BO113" i="28"/>
  <c r="BH113" i="28"/>
  <c r="BB113" i="28"/>
  <c r="AU113" i="28"/>
  <c r="CD113" i="28"/>
  <c r="BW113" i="28"/>
  <c r="AO113" i="28"/>
  <c r="AH113" i="28"/>
  <c r="AB113" i="28"/>
  <c r="U113" i="28"/>
  <c r="O113" i="28"/>
  <c r="H113" i="28"/>
  <c r="F113" i="28"/>
  <c r="E113" i="28"/>
  <c r="C113" i="28"/>
  <c r="BO112" i="28"/>
  <c r="BH112" i="28"/>
  <c r="BB112" i="28"/>
  <c r="AU112" i="28"/>
  <c r="CD112" i="28"/>
  <c r="BW112" i="28"/>
  <c r="AO112" i="28"/>
  <c r="AH112" i="28"/>
  <c r="AB112" i="28"/>
  <c r="U112" i="28"/>
  <c r="O112" i="28"/>
  <c r="H112" i="28"/>
  <c r="F112" i="28"/>
  <c r="E112" i="28"/>
  <c r="C112" i="28"/>
  <c r="BO111" i="28"/>
  <c r="BH111" i="28"/>
  <c r="BB111" i="28"/>
  <c r="AU111" i="28"/>
  <c r="CD111" i="28"/>
  <c r="BW111" i="28"/>
  <c r="AO111" i="28"/>
  <c r="AH111" i="28"/>
  <c r="AB111" i="28"/>
  <c r="U111" i="28"/>
  <c r="O111" i="28"/>
  <c r="H111" i="28"/>
  <c r="F111" i="28"/>
  <c r="E111" i="28"/>
  <c r="C111" i="28"/>
  <c r="BO110" i="28"/>
  <c r="BH110" i="28"/>
  <c r="BB110" i="28"/>
  <c r="AU110" i="28"/>
  <c r="CD110" i="28"/>
  <c r="BW110" i="28"/>
  <c r="AO110" i="28"/>
  <c r="AH110" i="28"/>
  <c r="AB110" i="28"/>
  <c r="U110" i="28"/>
  <c r="O110" i="28"/>
  <c r="H110" i="28"/>
  <c r="F110" i="28"/>
  <c r="E110" i="28"/>
  <c r="C110" i="28"/>
  <c r="BO109" i="28"/>
  <c r="BH109" i="28"/>
  <c r="BB109" i="28"/>
  <c r="AU109" i="28"/>
  <c r="CD109" i="28"/>
  <c r="BW109" i="28"/>
  <c r="AO109" i="28"/>
  <c r="AH109" i="28"/>
  <c r="AB109" i="28"/>
  <c r="U109" i="28"/>
  <c r="O109" i="28"/>
  <c r="H109" i="28"/>
  <c r="F109" i="28"/>
  <c r="E109" i="28"/>
  <c r="C109" i="28"/>
  <c r="BO108" i="28"/>
  <c r="BH108" i="28"/>
  <c r="BB108" i="28"/>
  <c r="AU108" i="28"/>
  <c r="CD108" i="28"/>
  <c r="BW108" i="28"/>
  <c r="AO108" i="28"/>
  <c r="AH108" i="28"/>
  <c r="AB108" i="28"/>
  <c r="U108" i="28"/>
  <c r="O108" i="28"/>
  <c r="H108" i="28"/>
  <c r="F108" i="28"/>
  <c r="E108" i="28"/>
  <c r="C108" i="28"/>
  <c r="BO107" i="28"/>
  <c r="BH107" i="28"/>
  <c r="BB107" i="28"/>
  <c r="AU107" i="28"/>
  <c r="CD107" i="28"/>
  <c r="BW107" i="28"/>
  <c r="AO107" i="28"/>
  <c r="AH107" i="28"/>
  <c r="AB107" i="28"/>
  <c r="U107" i="28"/>
  <c r="O107" i="28"/>
  <c r="H107" i="28"/>
  <c r="F107" i="28"/>
  <c r="E107" i="28"/>
  <c r="C107" i="28"/>
  <c r="BO106" i="28"/>
  <c r="BH106" i="28"/>
  <c r="BB106" i="28"/>
  <c r="AU106" i="28"/>
  <c r="CD106" i="28"/>
  <c r="BW106" i="28"/>
  <c r="AO106" i="28"/>
  <c r="AH106" i="28"/>
  <c r="AB106" i="28"/>
  <c r="U106" i="28"/>
  <c r="O106" i="28"/>
  <c r="H106" i="28"/>
  <c r="F106" i="28"/>
  <c r="E106" i="28"/>
  <c r="C106" i="28"/>
  <c r="BO105" i="28"/>
  <c r="BH105" i="28"/>
  <c r="BB105" i="28"/>
  <c r="AU105" i="28"/>
  <c r="CD105" i="28"/>
  <c r="BW105" i="28"/>
  <c r="AO105" i="28"/>
  <c r="AH105" i="28"/>
  <c r="AB105" i="28"/>
  <c r="U105" i="28"/>
  <c r="O105" i="28"/>
  <c r="H105" i="28"/>
  <c r="F105" i="28"/>
  <c r="E105" i="28"/>
  <c r="C105" i="28"/>
  <c r="BO104" i="28"/>
  <c r="BH104" i="28"/>
  <c r="BB104" i="28"/>
  <c r="AU104" i="28"/>
  <c r="CD104" i="28"/>
  <c r="BW104" i="28"/>
  <c r="AO104" i="28"/>
  <c r="AH104" i="28"/>
  <c r="AB104" i="28"/>
  <c r="U104" i="28"/>
  <c r="O104" i="28"/>
  <c r="H104" i="28"/>
  <c r="F104" i="28"/>
  <c r="E104" i="28"/>
  <c r="C104" i="28"/>
  <c r="BO103" i="28"/>
  <c r="BH103" i="28"/>
  <c r="BB103" i="28"/>
  <c r="AU103" i="28"/>
  <c r="CD103" i="28"/>
  <c r="BW103" i="28"/>
  <c r="AO103" i="28"/>
  <c r="AH103" i="28"/>
  <c r="AB103" i="28"/>
  <c r="U103" i="28"/>
  <c r="O103" i="28"/>
  <c r="H103" i="28"/>
  <c r="F103" i="28"/>
  <c r="E103" i="28"/>
  <c r="C103" i="28"/>
  <c r="BO102" i="28"/>
  <c r="BH102" i="28"/>
  <c r="BB102" i="28"/>
  <c r="AU102" i="28"/>
  <c r="CD102" i="28"/>
  <c r="BW102" i="28"/>
  <c r="AO102" i="28"/>
  <c r="AH102" i="28"/>
  <c r="AB102" i="28"/>
  <c r="U102" i="28"/>
  <c r="O102" i="28"/>
  <c r="H102" i="28"/>
  <c r="F102" i="28"/>
  <c r="E102" i="28"/>
  <c r="C102" i="28"/>
  <c r="BO101" i="28"/>
  <c r="BH101" i="28"/>
  <c r="BB101" i="28"/>
  <c r="AU101" i="28"/>
  <c r="CD101" i="28"/>
  <c r="BW101" i="28"/>
  <c r="AO101" i="28"/>
  <c r="AH101" i="28"/>
  <c r="AB101" i="28"/>
  <c r="U101" i="28"/>
  <c r="O101" i="28"/>
  <c r="H101" i="28"/>
  <c r="F101" i="28"/>
  <c r="E101" i="28"/>
  <c r="C101" i="28"/>
  <c r="BO100" i="28"/>
  <c r="BH100" i="28"/>
  <c r="BB100" i="28"/>
  <c r="AU100" i="28"/>
  <c r="CD100" i="28"/>
  <c r="BW100" i="28"/>
  <c r="AO100" i="28"/>
  <c r="AH100" i="28"/>
  <c r="AB100" i="28"/>
  <c r="U100" i="28"/>
  <c r="O100" i="28"/>
  <c r="H100" i="28"/>
  <c r="F100" i="28"/>
  <c r="E100" i="28"/>
  <c r="C100" i="28"/>
  <c r="BO99" i="28"/>
  <c r="BH99" i="28"/>
  <c r="BB99" i="28"/>
  <c r="AU99" i="28"/>
  <c r="CD99" i="28"/>
  <c r="BW99" i="28"/>
  <c r="AO99" i="28"/>
  <c r="AH99" i="28"/>
  <c r="AB99" i="28"/>
  <c r="U99" i="28"/>
  <c r="O99" i="28"/>
  <c r="H99" i="28"/>
  <c r="F99" i="28"/>
  <c r="E99" i="28"/>
  <c r="C99" i="28"/>
  <c r="BO98" i="28"/>
  <c r="BH98" i="28"/>
  <c r="BB98" i="28"/>
  <c r="AU98" i="28"/>
  <c r="CD98" i="28"/>
  <c r="BW98" i="28"/>
  <c r="AO98" i="28"/>
  <c r="AH98" i="28"/>
  <c r="AB98" i="28"/>
  <c r="U98" i="28"/>
  <c r="O98" i="28"/>
  <c r="H98" i="28"/>
  <c r="F98" i="28"/>
  <c r="E98" i="28"/>
  <c r="C98" i="28"/>
  <c r="BO97" i="28"/>
  <c r="BH97" i="28"/>
  <c r="BB97" i="28"/>
  <c r="AU97" i="28"/>
  <c r="CD97" i="28"/>
  <c r="BW97" i="28"/>
  <c r="AO97" i="28"/>
  <c r="AH97" i="28"/>
  <c r="AB97" i="28"/>
  <c r="U97" i="28"/>
  <c r="O97" i="28"/>
  <c r="H97" i="28"/>
  <c r="F97" i="28"/>
  <c r="E97" i="28"/>
  <c r="C97" i="28"/>
  <c r="BO96" i="28"/>
  <c r="BH96" i="28"/>
  <c r="BB96" i="28"/>
  <c r="AU96" i="28"/>
  <c r="CD96" i="28"/>
  <c r="BW96" i="28"/>
  <c r="AO96" i="28"/>
  <c r="AH96" i="28"/>
  <c r="AB96" i="28"/>
  <c r="U96" i="28"/>
  <c r="O96" i="28"/>
  <c r="H96" i="28"/>
  <c r="F96" i="28"/>
  <c r="E96" i="28"/>
  <c r="C96" i="28"/>
  <c r="BO95" i="28"/>
  <c r="BH95" i="28"/>
  <c r="BB95" i="28"/>
  <c r="AU95" i="28"/>
  <c r="CD95" i="28"/>
  <c r="BW95" i="28"/>
  <c r="AO95" i="28"/>
  <c r="AH95" i="28"/>
  <c r="AB95" i="28"/>
  <c r="U95" i="28"/>
  <c r="O95" i="28"/>
  <c r="H95" i="28"/>
  <c r="F95" i="28"/>
  <c r="E95" i="28"/>
  <c r="C95" i="28"/>
  <c r="BO94" i="28"/>
  <c r="BH94" i="28"/>
  <c r="BB94" i="28"/>
  <c r="AU94" i="28"/>
  <c r="CD94" i="28"/>
  <c r="BW94" i="28"/>
  <c r="AO94" i="28"/>
  <c r="AH94" i="28"/>
  <c r="AB94" i="28"/>
  <c r="U94" i="28"/>
  <c r="O94" i="28"/>
  <c r="H94" i="28"/>
  <c r="F94" i="28"/>
  <c r="E94" i="28"/>
  <c r="C94" i="28"/>
  <c r="BO93" i="28"/>
  <c r="BH93" i="28"/>
  <c r="BB93" i="28"/>
  <c r="AU93" i="28"/>
  <c r="CD93" i="28"/>
  <c r="BW93" i="28"/>
  <c r="AO93" i="28"/>
  <c r="AH93" i="28"/>
  <c r="AB93" i="28"/>
  <c r="U93" i="28"/>
  <c r="O93" i="28"/>
  <c r="H93" i="28"/>
  <c r="F93" i="28"/>
  <c r="E93" i="28"/>
  <c r="C93" i="28"/>
  <c r="BO92" i="28"/>
  <c r="BH92" i="28"/>
  <c r="BB92" i="28"/>
  <c r="AU92" i="28"/>
  <c r="CD92" i="28"/>
  <c r="BW92" i="28"/>
  <c r="AO92" i="28"/>
  <c r="AH92" i="28"/>
  <c r="AB92" i="28"/>
  <c r="U92" i="28"/>
  <c r="O92" i="28"/>
  <c r="H92" i="28"/>
  <c r="F92" i="28"/>
  <c r="E92" i="28"/>
  <c r="C92" i="28"/>
  <c r="BO91" i="28"/>
  <c r="BH91" i="28"/>
  <c r="BB91" i="28"/>
  <c r="AU91" i="28"/>
  <c r="CD91" i="28"/>
  <c r="BW91" i="28"/>
  <c r="AO91" i="28"/>
  <c r="AH91" i="28"/>
  <c r="AB91" i="28"/>
  <c r="U91" i="28"/>
  <c r="O91" i="28"/>
  <c r="H91" i="28"/>
  <c r="F91" i="28"/>
  <c r="E91" i="28"/>
  <c r="C91" i="28"/>
  <c r="BO90" i="28"/>
  <c r="BH90" i="28"/>
  <c r="BB90" i="28"/>
  <c r="AU90" i="28"/>
  <c r="CD90" i="28"/>
  <c r="BW90" i="28"/>
  <c r="AO90" i="28"/>
  <c r="AH90" i="28"/>
  <c r="AB90" i="28"/>
  <c r="U90" i="28"/>
  <c r="O90" i="28"/>
  <c r="H90" i="28"/>
  <c r="F90" i="28"/>
  <c r="E90" i="28"/>
  <c r="C90" i="28"/>
  <c r="BO89" i="28"/>
  <c r="BH89" i="28"/>
  <c r="BB89" i="28"/>
  <c r="AU89" i="28"/>
  <c r="CD89" i="28"/>
  <c r="BW89" i="28"/>
  <c r="AO89" i="28"/>
  <c r="AH89" i="28"/>
  <c r="AB89" i="28"/>
  <c r="U89" i="28"/>
  <c r="O89" i="28"/>
  <c r="H89" i="28"/>
  <c r="F89" i="28"/>
  <c r="E89" i="28"/>
  <c r="C89" i="28"/>
  <c r="BO88" i="28"/>
  <c r="BH88" i="28"/>
  <c r="BB88" i="28"/>
  <c r="AU88" i="28"/>
  <c r="CD88" i="28"/>
  <c r="BW88" i="28"/>
  <c r="AO88" i="28"/>
  <c r="AH88" i="28"/>
  <c r="AB88" i="28"/>
  <c r="U88" i="28"/>
  <c r="O88" i="28"/>
  <c r="H88" i="28"/>
  <c r="F88" i="28"/>
  <c r="E88" i="28"/>
  <c r="C88" i="28"/>
  <c r="BO87" i="28"/>
  <c r="BH87" i="28"/>
  <c r="BB87" i="28"/>
  <c r="AU87" i="28"/>
  <c r="CD87" i="28"/>
  <c r="BW87" i="28"/>
  <c r="AO87" i="28"/>
  <c r="AH87" i="28"/>
  <c r="AB87" i="28"/>
  <c r="U87" i="28"/>
  <c r="O87" i="28"/>
  <c r="H87" i="28"/>
  <c r="F87" i="28"/>
  <c r="E87" i="28"/>
  <c r="C87" i="28"/>
  <c r="BO86" i="28"/>
  <c r="BH86" i="28"/>
  <c r="BB86" i="28"/>
  <c r="AU86" i="28"/>
  <c r="CD86" i="28"/>
  <c r="BW86" i="28"/>
  <c r="AO86" i="28"/>
  <c r="AH86" i="28"/>
  <c r="AB86" i="28"/>
  <c r="U86" i="28"/>
  <c r="O86" i="28"/>
  <c r="H86" i="28"/>
  <c r="F86" i="28"/>
  <c r="E86" i="28"/>
  <c r="C86" i="28"/>
  <c r="BO85" i="28"/>
  <c r="BH85" i="28"/>
  <c r="BB85" i="28"/>
  <c r="AU85" i="28"/>
  <c r="CD85" i="28"/>
  <c r="BW85" i="28"/>
  <c r="AO85" i="28"/>
  <c r="AH85" i="28"/>
  <c r="AB85" i="28"/>
  <c r="U85" i="28"/>
  <c r="O85" i="28"/>
  <c r="H85" i="28"/>
  <c r="F85" i="28"/>
  <c r="E85" i="28"/>
  <c r="C85" i="28"/>
  <c r="BO84" i="28"/>
  <c r="BH84" i="28"/>
  <c r="BB84" i="28"/>
  <c r="AU84" i="28"/>
  <c r="CD84" i="28"/>
  <c r="BW84" i="28"/>
  <c r="AO84" i="28"/>
  <c r="AH84" i="28"/>
  <c r="AB84" i="28"/>
  <c r="U84" i="28"/>
  <c r="O84" i="28"/>
  <c r="H84" i="28"/>
  <c r="F84" i="28"/>
  <c r="E84" i="28"/>
  <c r="C84" i="28"/>
  <c r="BO83" i="28"/>
  <c r="BH83" i="28"/>
  <c r="BB83" i="28"/>
  <c r="AU83" i="28"/>
  <c r="CD83" i="28"/>
  <c r="BW83" i="28"/>
  <c r="AO83" i="28"/>
  <c r="AH83" i="28"/>
  <c r="AB83" i="28"/>
  <c r="U83" i="28"/>
  <c r="O83" i="28"/>
  <c r="H83" i="28"/>
  <c r="F83" i="28"/>
  <c r="E83" i="28"/>
  <c r="C83" i="28"/>
  <c r="BO82" i="28"/>
  <c r="BH82" i="28"/>
  <c r="BB82" i="28"/>
  <c r="AU82" i="28"/>
  <c r="CD82" i="28"/>
  <c r="BW82" i="28"/>
  <c r="AO82" i="28"/>
  <c r="AH82" i="28"/>
  <c r="AB82" i="28"/>
  <c r="U82" i="28"/>
  <c r="O82" i="28"/>
  <c r="H82" i="28"/>
  <c r="F82" i="28"/>
  <c r="E82" i="28"/>
  <c r="C82" i="28"/>
  <c r="BO81" i="28"/>
  <c r="BH81" i="28"/>
  <c r="BB81" i="28"/>
  <c r="AU81" i="28"/>
  <c r="CD81" i="28"/>
  <c r="BW81" i="28"/>
  <c r="AO81" i="28"/>
  <c r="AH81" i="28"/>
  <c r="AB81" i="28"/>
  <c r="U81" i="28"/>
  <c r="O81" i="28"/>
  <c r="H81" i="28"/>
  <c r="F81" i="28"/>
  <c r="E81" i="28"/>
  <c r="C81" i="28"/>
  <c r="BO80" i="28"/>
  <c r="BH80" i="28"/>
  <c r="BB80" i="28"/>
  <c r="AU80" i="28"/>
  <c r="CD80" i="28"/>
  <c r="BW80" i="28"/>
  <c r="AO80" i="28"/>
  <c r="AH80" i="28"/>
  <c r="AB80" i="28"/>
  <c r="U80" i="28"/>
  <c r="O80" i="28"/>
  <c r="H80" i="28"/>
  <c r="F80" i="28"/>
  <c r="E80" i="28"/>
  <c r="C80" i="28"/>
  <c r="BO79" i="28"/>
  <c r="BH79" i="28"/>
  <c r="BB79" i="28"/>
  <c r="AU79" i="28"/>
  <c r="CD79" i="28"/>
  <c r="BW79" i="28"/>
  <c r="AO79" i="28"/>
  <c r="AH79" i="28"/>
  <c r="AB79" i="28"/>
  <c r="U79" i="28"/>
  <c r="O79" i="28"/>
  <c r="H79" i="28"/>
  <c r="F79" i="28"/>
  <c r="E79" i="28"/>
  <c r="C79" i="28"/>
  <c r="BO78" i="28"/>
  <c r="BH78" i="28"/>
  <c r="BB78" i="28"/>
  <c r="AU78" i="28"/>
  <c r="CD78" i="28"/>
  <c r="BW78" i="28"/>
  <c r="AO78" i="28"/>
  <c r="AH78" i="28"/>
  <c r="AB78" i="28"/>
  <c r="U78" i="28"/>
  <c r="O78" i="28"/>
  <c r="H78" i="28"/>
  <c r="F78" i="28"/>
  <c r="E78" i="28"/>
  <c r="C78" i="28"/>
  <c r="BO77" i="28"/>
  <c r="BH77" i="28"/>
  <c r="BB77" i="28"/>
  <c r="AU77" i="28"/>
  <c r="CD77" i="28"/>
  <c r="BW77" i="28"/>
  <c r="AO77" i="28"/>
  <c r="AH77" i="28"/>
  <c r="AB77" i="28"/>
  <c r="U77" i="28"/>
  <c r="O77" i="28"/>
  <c r="H77" i="28"/>
  <c r="F77" i="28"/>
  <c r="E77" i="28"/>
  <c r="C77" i="28"/>
  <c r="BO76" i="28"/>
  <c r="BH76" i="28"/>
  <c r="BB76" i="28"/>
  <c r="AU76" i="28"/>
  <c r="CD76" i="28"/>
  <c r="BW76" i="28"/>
  <c r="AO76" i="28"/>
  <c r="AH76" i="28"/>
  <c r="AB76" i="28"/>
  <c r="U76" i="28"/>
  <c r="O76" i="28"/>
  <c r="H76" i="28"/>
  <c r="F76" i="28"/>
  <c r="E76" i="28"/>
  <c r="C76" i="28"/>
  <c r="BO75" i="28"/>
  <c r="BH75" i="28"/>
  <c r="BB75" i="28"/>
  <c r="AU75" i="28"/>
  <c r="CD75" i="28"/>
  <c r="BW75" i="28"/>
  <c r="AO75" i="28"/>
  <c r="AH75" i="28"/>
  <c r="AB75" i="28"/>
  <c r="U75" i="28"/>
  <c r="O75" i="28"/>
  <c r="H75" i="28"/>
  <c r="F75" i="28"/>
  <c r="E75" i="28"/>
  <c r="C75" i="28"/>
  <c r="BO74" i="28"/>
  <c r="BH74" i="28"/>
  <c r="BB74" i="28"/>
  <c r="AU74" i="28"/>
  <c r="CD74" i="28"/>
  <c r="BW74" i="28"/>
  <c r="AO74" i="28"/>
  <c r="AH74" i="28"/>
  <c r="AB74" i="28"/>
  <c r="U74" i="28"/>
  <c r="O74" i="28"/>
  <c r="H74" i="28"/>
  <c r="F74" i="28"/>
  <c r="E74" i="28"/>
  <c r="C74" i="28"/>
  <c r="BO73" i="28"/>
  <c r="BH73" i="28"/>
  <c r="BB73" i="28"/>
  <c r="AU73" i="28"/>
  <c r="CD73" i="28"/>
  <c r="BW73" i="28"/>
  <c r="AO73" i="28"/>
  <c r="AH73" i="28"/>
  <c r="AB73" i="28"/>
  <c r="U73" i="28"/>
  <c r="O73" i="28"/>
  <c r="H73" i="28"/>
  <c r="F73" i="28"/>
  <c r="E73" i="28"/>
  <c r="C73" i="28"/>
  <c r="BO72" i="28"/>
  <c r="BH72" i="28"/>
  <c r="BB72" i="28"/>
  <c r="AU72" i="28"/>
  <c r="CD72" i="28"/>
  <c r="BW72" i="28"/>
  <c r="AO72" i="28"/>
  <c r="AH72" i="28"/>
  <c r="AB72" i="28"/>
  <c r="U72" i="28"/>
  <c r="O72" i="28"/>
  <c r="H72" i="28"/>
  <c r="F72" i="28"/>
  <c r="E72" i="28"/>
  <c r="C72" i="28"/>
  <c r="BO71" i="28"/>
  <c r="BH71" i="28"/>
  <c r="BB71" i="28"/>
  <c r="AU71" i="28"/>
  <c r="CD71" i="28"/>
  <c r="BW71" i="28"/>
  <c r="AO71" i="28"/>
  <c r="AH71" i="28"/>
  <c r="AB71" i="28"/>
  <c r="U71" i="28"/>
  <c r="O71" i="28"/>
  <c r="H71" i="28"/>
  <c r="F71" i="28"/>
  <c r="E71" i="28"/>
  <c r="C71" i="28"/>
  <c r="BO70" i="28"/>
  <c r="BH70" i="28"/>
  <c r="BB70" i="28"/>
  <c r="AU70" i="28"/>
  <c r="CD70" i="28"/>
  <c r="BW70" i="28"/>
  <c r="AO70" i="28"/>
  <c r="AH70" i="28"/>
  <c r="AB70" i="28"/>
  <c r="U70" i="28"/>
  <c r="O70" i="28"/>
  <c r="H70" i="28"/>
  <c r="F70" i="28"/>
  <c r="E70" i="28"/>
  <c r="C70" i="28"/>
  <c r="BO69" i="28"/>
  <c r="BH69" i="28"/>
  <c r="BB69" i="28"/>
  <c r="AU69" i="28"/>
  <c r="CD69" i="28"/>
  <c r="BW69" i="28"/>
  <c r="AO69" i="28"/>
  <c r="AH69" i="28"/>
  <c r="AB69" i="28"/>
  <c r="U69" i="28"/>
  <c r="O69" i="28"/>
  <c r="H69" i="28"/>
  <c r="F69" i="28"/>
  <c r="E69" i="28"/>
  <c r="C69" i="28"/>
  <c r="BO68" i="28"/>
  <c r="BH68" i="28"/>
  <c r="BB68" i="28"/>
  <c r="AU68" i="28"/>
  <c r="CD68" i="28"/>
  <c r="BW68" i="28"/>
  <c r="AO68" i="28"/>
  <c r="AH68" i="28"/>
  <c r="AB68" i="28"/>
  <c r="U68" i="28"/>
  <c r="O68" i="28"/>
  <c r="H68" i="28"/>
  <c r="F68" i="28"/>
  <c r="E68" i="28"/>
  <c r="C68" i="28"/>
  <c r="BO67" i="28"/>
  <c r="BH67" i="28"/>
  <c r="BB67" i="28"/>
  <c r="AU67" i="28"/>
  <c r="CD67" i="28"/>
  <c r="BW67" i="28"/>
  <c r="AO67" i="28"/>
  <c r="AH67" i="28"/>
  <c r="AB67" i="28"/>
  <c r="U67" i="28"/>
  <c r="O67" i="28"/>
  <c r="H67" i="28"/>
  <c r="F67" i="28"/>
  <c r="E67" i="28"/>
  <c r="C67" i="28"/>
  <c r="BO66" i="28"/>
  <c r="BH66" i="28"/>
  <c r="BB66" i="28"/>
  <c r="AU66" i="28"/>
  <c r="CD66" i="28"/>
  <c r="BW66" i="28"/>
  <c r="AO66" i="28"/>
  <c r="AH66" i="28"/>
  <c r="AB66" i="28"/>
  <c r="U66" i="28"/>
  <c r="O66" i="28"/>
  <c r="H66" i="28"/>
  <c r="F66" i="28"/>
  <c r="E66" i="28"/>
  <c r="C66" i="28"/>
  <c r="BO65" i="28"/>
  <c r="BH65" i="28"/>
  <c r="BB65" i="28"/>
  <c r="AU65" i="28"/>
  <c r="CD65" i="28"/>
  <c r="BW65" i="28"/>
  <c r="AO65" i="28"/>
  <c r="AH65" i="28"/>
  <c r="AB65" i="28"/>
  <c r="U65" i="28"/>
  <c r="O65" i="28"/>
  <c r="H65" i="28"/>
  <c r="F65" i="28"/>
  <c r="E65" i="28"/>
  <c r="C65" i="28"/>
  <c r="BO64" i="28"/>
  <c r="BH64" i="28"/>
  <c r="BB64" i="28"/>
  <c r="AU64" i="28"/>
  <c r="CD64" i="28"/>
  <c r="BW64" i="28"/>
  <c r="AO64" i="28"/>
  <c r="AH64" i="28"/>
  <c r="AB64" i="28"/>
  <c r="U64" i="28"/>
  <c r="O64" i="28"/>
  <c r="H64" i="28"/>
  <c r="F64" i="28"/>
  <c r="E64" i="28"/>
  <c r="C64" i="28"/>
  <c r="BO63" i="28"/>
  <c r="BH63" i="28"/>
  <c r="BB63" i="28"/>
  <c r="AU63" i="28"/>
  <c r="CD63" i="28"/>
  <c r="BW63" i="28"/>
  <c r="AO63" i="28"/>
  <c r="AH63" i="28"/>
  <c r="AB63" i="28"/>
  <c r="U63" i="28"/>
  <c r="O63" i="28"/>
  <c r="H63" i="28"/>
  <c r="F63" i="28"/>
  <c r="E63" i="28"/>
  <c r="C63" i="28"/>
  <c r="BO62" i="28"/>
  <c r="BH62" i="28"/>
  <c r="BB62" i="28"/>
  <c r="AU62" i="28"/>
  <c r="CD62" i="28"/>
  <c r="BW62" i="28"/>
  <c r="AO62" i="28"/>
  <c r="AH62" i="28"/>
  <c r="AB62" i="28"/>
  <c r="U62" i="28"/>
  <c r="O62" i="28"/>
  <c r="H62" i="28"/>
  <c r="F62" i="28"/>
  <c r="E62" i="28"/>
  <c r="C62" i="28"/>
  <c r="BO61" i="28"/>
  <c r="BH61" i="28"/>
  <c r="BB61" i="28"/>
  <c r="AU61" i="28"/>
  <c r="CD61" i="28"/>
  <c r="BW61" i="28"/>
  <c r="AO61" i="28"/>
  <c r="AH61" i="28"/>
  <c r="AB61" i="28"/>
  <c r="U61" i="28"/>
  <c r="O61" i="28"/>
  <c r="H61" i="28"/>
  <c r="F61" i="28"/>
  <c r="E61" i="28"/>
  <c r="C61" i="28"/>
  <c r="BO60" i="28"/>
  <c r="BH60" i="28"/>
  <c r="BB60" i="28"/>
  <c r="AU60" i="28"/>
  <c r="CD60" i="28"/>
  <c r="BW60" i="28"/>
  <c r="AO60" i="28"/>
  <c r="AH60" i="28"/>
  <c r="AB60" i="28"/>
  <c r="U60" i="28"/>
  <c r="O60" i="28"/>
  <c r="H60" i="28"/>
  <c r="F60" i="28"/>
  <c r="E60" i="28"/>
  <c r="C60" i="28"/>
  <c r="BO59" i="28"/>
  <c r="BH59" i="28"/>
  <c r="BB59" i="28"/>
  <c r="AU59" i="28"/>
  <c r="CD59" i="28"/>
  <c r="BW59" i="28"/>
  <c r="AO59" i="28"/>
  <c r="AH59" i="28"/>
  <c r="AB59" i="28"/>
  <c r="U59" i="28"/>
  <c r="O59" i="28"/>
  <c r="H59" i="28"/>
  <c r="F59" i="28"/>
  <c r="E59" i="28"/>
  <c r="C59" i="28"/>
  <c r="BO58" i="28"/>
  <c r="BH58" i="28"/>
  <c r="BB58" i="28"/>
  <c r="AU58" i="28"/>
  <c r="CD58" i="28"/>
  <c r="BW58" i="28"/>
  <c r="AO58" i="28"/>
  <c r="AH58" i="28"/>
  <c r="AB58" i="28"/>
  <c r="U58" i="28"/>
  <c r="O58" i="28"/>
  <c r="H58" i="28"/>
  <c r="F58" i="28"/>
  <c r="E58" i="28"/>
  <c r="C58" i="28"/>
  <c r="BO57" i="28"/>
  <c r="BH57" i="28"/>
  <c r="BB57" i="28"/>
  <c r="AU57" i="28"/>
  <c r="CD57" i="28"/>
  <c r="BW57" i="28"/>
  <c r="AO57" i="28"/>
  <c r="AH57" i="28"/>
  <c r="AB57" i="28"/>
  <c r="U57" i="28"/>
  <c r="O57" i="28"/>
  <c r="H57" i="28"/>
  <c r="F57" i="28"/>
  <c r="E57" i="28"/>
  <c r="C57" i="28"/>
  <c r="BO56" i="28"/>
  <c r="BH56" i="28"/>
  <c r="BB56" i="28"/>
  <c r="AU56" i="28"/>
  <c r="CD56" i="28"/>
  <c r="BW56" i="28"/>
  <c r="AO56" i="28"/>
  <c r="AH56" i="28"/>
  <c r="AB56" i="28"/>
  <c r="U56" i="28"/>
  <c r="O56" i="28"/>
  <c r="H56" i="28"/>
  <c r="F56" i="28"/>
  <c r="E56" i="28"/>
  <c r="C56" i="28"/>
  <c r="BO55" i="28"/>
  <c r="BH55" i="28"/>
  <c r="BB55" i="28"/>
  <c r="AU55" i="28"/>
  <c r="CD55" i="28"/>
  <c r="BW55" i="28"/>
  <c r="AO55" i="28"/>
  <c r="AH55" i="28"/>
  <c r="AB55" i="28"/>
  <c r="U55" i="28"/>
  <c r="O55" i="28"/>
  <c r="H55" i="28"/>
  <c r="F55" i="28"/>
  <c r="E55" i="28"/>
  <c r="C55" i="28"/>
  <c r="BO54" i="28"/>
  <c r="BH54" i="28"/>
  <c r="BB54" i="28"/>
  <c r="AU54" i="28"/>
  <c r="CD54" i="28"/>
  <c r="BW54" i="28"/>
  <c r="AO54" i="28"/>
  <c r="AH54" i="28"/>
  <c r="AB54" i="28"/>
  <c r="U54" i="28"/>
  <c r="O54" i="28"/>
  <c r="H54" i="28"/>
  <c r="F54" i="28"/>
  <c r="E54" i="28"/>
  <c r="C54" i="28"/>
  <c r="BO53" i="28"/>
  <c r="BH53" i="28"/>
  <c r="BB53" i="28"/>
  <c r="AU53" i="28"/>
  <c r="CD53" i="28"/>
  <c r="BW53" i="28"/>
  <c r="AO53" i="28"/>
  <c r="AH53" i="28"/>
  <c r="AB53" i="28"/>
  <c r="U53" i="28"/>
  <c r="O53" i="28"/>
  <c r="H53" i="28"/>
  <c r="F53" i="28"/>
  <c r="E53" i="28"/>
  <c r="C53" i="28"/>
  <c r="BO52" i="28"/>
  <c r="BH52" i="28"/>
  <c r="BB52" i="28"/>
  <c r="AU52" i="28"/>
  <c r="CD52" i="28"/>
  <c r="BW52" i="28"/>
  <c r="AO52" i="28"/>
  <c r="AH52" i="28"/>
  <c r="AB52" i="28"/>
  <c r="U52" i="28"/>
  <c r="O52" i="28"/>
  <c r="H52" i="28"/>
  <c r="F52" i="28"/>
  <c r="E52" i="28"/>
  <c r="C52" i="28"/>
  <c r="BO51" i="28"/>
  <c r="BH51" i="28"/>
  <c r="BB51" i="28"/>
  <c r="AU51" i="28"/>
  <c r="CD51" i="28"/>
  <c r="BW51" i="28"/>
  <c r="AO51" i="28"/>
  <c r="AH51" i="28"/>
  <c r="AB51" i="28"/>
  <c r="U51" i="28"/>
  <c r="O51" i="28"/>
  <c r="H51" i="28"/>
  <c r="F51" i="28"/>
  <c r="E51" i="28"/>
  <c r="C51" i="28"/>
  <c r="BO50" i="28"/>
  <c r="BH50" i="28"/>
  <c r="BB50" i="28"/>
  <c r="AU50" i="28"/>
  <c r="CD50" i="28"/>
  <c r="BW50" i="28"/>
  <c r="AO50" i="28"/>
  <c r="AH50" i="28"/>
  <c r="AB50" i="28"/>
  <c r="U50" i="28"/>
  <c r="O50" i="28"/>
  <c r="H50" i="28"/>
  <c r="F50" i="28"/>
  <c r="E50" i="28"/>
  <c r="C50" i="28"/>
  <c r="BO49" i="28"/>
  <c r="BH49" i="28"/>
  <c r="BB49" i="28"/>
  <c r="AU49" i="28"/>
  <c r="CD49" i="28"/>
  <c r="BW49" i="28"/>
  <c r="AO49" i="28"/>
  <c r="AH49" i="28"/>
  <c r="AB49" i="28"/>
  <c r="U49" i="28"/>
  <c r="O49" i="28"/>
  <c r="H49" i="28"/>
  <c r="F49" i="28"/>
  <c r="E49" i="28"/>
  <c r="C49" i="28"/>
  <c r="BO48" i="28"/>
  <c r="BH48" i="28"/>
  <c r="BB48" i="28"/>
  <c r="AU48" i="28"/>
  <c r="CD48" i="28"/>
  <c r="BW48" i="28"/>
  <c r="AO48" i="28"/>
  <c r="AH48" i="28"/>
  <c r="AB48" i="28"/>
  <c r="U48" i="28"/>
  <c r="O48" i="28"/>
  <c r="H48" i="28"/>
  <c r="F48" i="28"/>
  <c r="E48" i="28"/>
  <c r="C48" i="28"/>
  <c r="BO47" i="28"/>
  <c r="BH47" i="28"/>
  <c r="BB47" i="28"/>
  <c r="AU47" i="28"/>
  <c r="CD47" i="28"/>
  <c r="BW47" i="28"/>
  <c r="AO47" i="28"/>
  <c r="AH47" i="28"/>
  <c r="AB47" i="28"/>
  <c r="U47" i="28"/>
  <c r="O47" i="28"/>
  <c r="H47" i="28"/>
  <c r="F47" i="28"/>
  <c r="E47" i="28"/>
  <c r="C47" i="28"/>
  <c r="BO46" i="28"/>
  <c r="BH46" i="28"/>
  <c r="BB46" i="28"/>
  <c r="AU46" i="28"/>
  <c r="CD46" i="28"/>
  <c r="BW46" i="28"/>
  <c r="AO46" i="28"/>
  <c r="AH46" i="28"/>
  <c r="AB46" i="28"/>
  <c r="U46" i="28"/>
  <c r="O46" i="28"/>
  <c r="H46" i="28"/>
  <c r="F46" i="28"/>
  <c r="E46" i="28"/>
  <c r="C46" i="28"/>
  <c r="BO45" i="28"/>
  <c r="BH45" i="28"/>
  <c r="BB45" i="28"/>
  <c r="AU45" i="28"/>
  <c r="CD45" i="28"/>
  <c r="BW45" i="28"/>
  <c r="AO45" i="28"/>
  <c r="AH45" i="28"/>
  <c r="AB45" i="28"/>
  <c r="U45" i="28"/>
  <c r="O45" i="28"/>
  <c r="H45" i="28"/>
  <c r="F45" i="28"/>
  <c r="E45" i="28"/>
  <c r="C45" i="28"/>
  <c r="BO44" i="28"/>
  <c r="BH44" i="28"/>
  <c r="BB44" i="28"/>
  <c r="AU44" i="28"/>
  <c r="CD44" i="28"/>
  <c r="BW44" i="28"/>
  <c r="AO44" i="28"/>
  <c r="AH44" i="28"/>
  <c r="AB44" i="28"/>
  <c r="U44" i="28"/>
  <c r="O44" i="28"/>
  <c r="H44" i="28"/>
  <c r="F44" i="28"/>
  <c r="E44" i="28"/>
  <c r="C44" i="28"/>
  <c r="BO43" i="28"/>
  <c r="BH43" i="28"/>
  <c r="BB43" i="28"/>
  <c r="AU43" i="28"/>
  <c r="CD43" i="28"/>
  <c r="BW43" i="28"/>
  <c r="AO43" i="28"/>
  <c r="AH43" i="28"/>
  <c r="AB43" i="28"/>
  <c r="U43" i="28"/>
  <c r="O43" i="28"/>
  <c r="H43" i="28"/>
  <c r="F43" i="28"/>
  <c r="E43" i="28"/>
  <c r="C43" i="28"/>
  <c r="BO42" i="28"/>
  <c r="BH42" i="28"/>
  <c r="BB42" i="28"/>
  <c r="AU42" i="28"/>
  <c r="CD42" i="28"/>
  <c r="BW42" i="28"/>
  <c r="AO42" i="28"/>
  <c r="AH42" i="28"/>
  <c r="AB42" i="28"/>
  <c r="U42" i="28"/>
  <c r="O42" i="28"/>
  <c r="H42" i="28"/>
  <c r="F42" i="28"/>
  <c r="E42" i="28"/>
  <c r="C42" i="28"/>
  <c r="BO41" i="28"/>
  <c r="BH41" i="28"/>
  <c r="BB41" i="28"/>
  <c r="AU41" i="28"/>
  <c r="CD41" i="28"/>
  <c r="BW41" i="28"/>
  <c r="AO41" i="28"/>
  <c r="AH41" i="28"/>
  <c r="AB41" i="28"/>
  <c r="U41" i="28"/>
  <c r="O41" i="28"/>
  <c r="H41" i="28"/>
  <c r="F41" i="28"/>
  <c r="E41" i="28"/>
  <c r="C41" i="28"/>
  <c r="BO40" i="28"/>
  <c r="BH40" i="28"/>
  <c r="BB40" i="28"/>
  <c r="AU40" i="28"/>
  <c r="CD40" i="28"/>
  <c r="BW40" i="28"/>
  <c r="AO40" i="28"/>
  <c r="AH40" i="28"/>
  <c r="AB40" i="28"/>
  <c r="U40" i="28"/>
  <c r="O40" i="28"/>
  <c r="H40" i="28"/>
  <c r="F40" i="28"/>
  <c r="E40" i="28"/>
  <c r="C40" i="28"/>
  <c r="BO39" i="28"/>
  <c r="BH39" i="28"/>
  <c r="BB39" i="28"/>
  <c r="AU39" i="28"/>
  <c r="CD39" i="28"/>
  <c r="BW39" i="28"/>
  <c r="AO39" i="28"/>
  <c r="AH39" i="28"/>
  <c r="AB39" i="28"/>
  <c r="U39" i="28"/>
  <c r="O39" i="28"/>
  <c r="H39" i="28"/>
  <c r="F39" i="28"/>
  <c r="E39" i="28"/>
  <c r="C39" i="28"/>
  <c r="BO38" i="28"/>
  <c r="BH38" i="28"/>
  <c r="BB38" i="28"/>
  <c r="AU38" i="28"/>
  <c r="CD38" i="28"/>
  <c r="BW38" i="28"/>
  <c r="AO38" i="28"/>
  <c r="AH38" i="28"/>
  <c r="AB38" i="28"/>
  <c r="U38" i="28"/>
  <c r="O38" i="28"/>
  <c r="H38" i="28"/>
  <c r="F38" i="28"/>
  <c r="E38" i="28"/>
  <c r="C38" i="28"/>
  <c r="BO37" i="28"/>
  <c r="BH37" i="28"/>
  <c r="BB37" i="28"/>
  <c r="AU37" i="28"/>
  <c r="CD37" i="28"/>
  <c r="BW37" i="28"/>
  <c r="AO37" i="28"/>
  <c r="AH37" i="28"/>
  <c r="AB37" i="28"/>
  <c r="U37" i="28"/>
  <c r="O37" i="28"/>
  <c r="H37" i="28"/>
  <c r="F37" i="28"/>
  <c r="E37" i="28"/>
  <c r="C37" i="28"/>
  <c r="BO36" i="28"/>
  <c r="BH36" i="28"/>
  <c r="BB36" i="28"/>
  <c r="AU36" i="28"/>
  <c r="CD36" i="28"/>
  <c r="BW36" i="28"/>
  <c r="AO36" i="28"/>
  <c r="AH36" i="28"/>
  <c r="AB36" i="28"/>
  <c r="U36" i="28"/>
  <c r="O36" i="28"/>
  <c r="H36" i="28"/>
  <c r="F36" i="28"/>
  <c r="E36" i="28"/>
  <c r="C36" i="28"/>
  <c r="BO35" i="28"/>
  <c r="BH35" i="28"/>
  <c r="BB35" i="28"/>
  <c r="AU35" i="28"/>
  <c r="CD35" i="28"/>
  <c r="BW35" i="28"/>
  <c r="AO35" i="28"/>
  <c r="AH35" i="28"/>
  <c r="AB35" i="28"/>
  <c r="U35" i="28"/>
  <c r="O35" i="28"/>
  <c r="H35" i="28"/>
  <c r="F35" i="28"/>
  <c r="E35" i="28"/>
  <c r="C35" i="28"/>
  <c r="BO34" i="28"/>
  <c r="BH34" i="28"/>
  <c r="BB34" i="28"/>
  <c r="AU34" i="28"/>
  <c r="CD34" i="28"/>
  <c r="BW34" i="28"/>
  <c r="AO34" i="28"/>
  <c r="AH34" i="28"/>
  <c r="AB34" i="28"/>
  <c r="U34" i="28"/>
  <c r="O34" i="28"/>
  <c r="H34" i="28"/>
  <c r="F34" i="28"/>
  <c r="E34" i="28"/>
  <c r="C34" i="28"/>
  <c r="BO33" i="28"/>
  <c r="BH33" i="28"/>
  <c r="BB33" i="28"/>
  <c r="AU33" i="28"/>
  <c r="CD33" i="28"/>
  <c r="BW33" i="28"/>
  <c r="AO33" i="28"/>
  <c r="AH33" i="28"/>
  <c r="AB33" i="28"/>
  <c r="U33" i="28"/>
  <c r="O33" i="28"/>
  <c r="H33" i="28"/>
  <c r="F33" i="28"/>
  <c r="E33" i="28"/>
  <c r="C33" i="28"/>
  <c r="BO32" i="28"/>
  <c r="BH32" i="28"/>
  <c r="BB32" i="28"/>
  <c r="AU32" i="28"/>
  <c r="CD32" i="28"/>
  <c r="BW32" i="28"/>
  <c r="AO32" i="28"/>
  <c r="AH32" i="28"/>
  <c r="AB32" i="28"/>
  <c r="U32" i="28"/>
  <c r="O32" i="28"/>
  <c r="H32" i="28"/>
  <c r="F32" i="28"/>
  <c r="E32" i="28"/>
  <c r="C32" i="28"/>
  <c r="BO31" i="28"/>
  <c r="BH31" i="28"/>
  <c r="BB31" i="28"/>
  <c r="AU31" i="28"/>
  <c r="CD31" i="28"/>
  <c r="BW31" i="28"/>
  <c r="AO31" i="28"/>
  <c r="AH31" i="28"/>
  <c r="AB31" i="28"/>
  <c r="U31" i="28"/>
  <c r="O31" i="28"/>
  <c r="H31" i="28"/>
  <c r="F31" i="28"/>
  <c r="E31" i="28"/>
  <c r="C31" i="28"/>
  <c r="BO30" i="28"/>
  <c r="BH30" i="28"/>
  <c r="BB30" i="28"/>
  <c r="AU30" i="28"/>
  <c r="CD30" i="28"/>
  <c r="BW30" i="28"/>
  <c r="AO30" i="28"/>
  <c r="AH30" i="28"/>
  <c r="AB30" i="28"/>
  <c r="U30" i="28"/>
  <c r="O30" i="28"/>
  <c r="H30" i="28"/>
  <c r="F30" i="28"/>
  <c r="E30" i="28"/>
  <c r="C30" i="28"/>
  <c r="BO29" i="28"/>
  <c r="BH29" i="28"/>
  <c r="BB29" i="28"/>
  <c r="AU29" i="28"/>
  <c r="CD29" i="28"/>
  <c r="BW29" i="28"/>
  <c r="AO29" i="28"/>
  <c r="AH29" i="28"/>
  <c r="AB29" i="28"/>
  <c r="U29" i="28"/>
  <c r="O29" i="28"/>
  <c r="H29" i="28"/>
  <c r="F29" i="28"/>
  <c r="E29" i="28"/>
  <c r="C29" i="28"/>
  <c r="BO28" i="28"/>
  <c r="BH28" i="28"/>
  <c r="BB28" i="28"/>
  <c r="AU28" i="28"/>
  <c r="CD28" i="28"/>
  <c r="BW28" i="28"/>
  <c r="AO28" i="28"/>
  <c r="AH28" i="28"/>
  <c r="AB28" i="28"/>
  <c r="U28" i="28"/>
  <c r="O28" i="28"/>
  <c r="H28" i="28"/>
  <c r="F28" i="28"/>
  <c r="E28" i="28"/>
  <c r="C28" i="28"/>
  <c r="BO27" i="28"/>
  <c r="BH27" i="28"/>
  <c r="BB27" i="28"/>
  <c r="AU27" i="28"/>
  <c r="CD27" i="28"/>
  <c r="BW27" i="28"/>
  <c r="AO27" i="28"/>
  <c r="AH27" i="28"/>
  <c r="AB27" i="28"/>
  <c r="U27" i="28"/>
  <c r="O27" i="28"/>
  <c r="H27" i="28"/>
  <c r="F27" i="28"/>
  <c r="E27" i="28"/>
  <c r="C27" i="28"/>
  <c r="BO26" i="28"/>
  <c r="BH26" i="28"/>
  <c r="BB26" i="28"/>
  <c r="AU26" i="28"/>
  <c r="CD26" i="28"/>
  <c r="BW26" i="28"/>
  <c r="AO26" i="28"/>
  <c r="AH26" i="28"/>
  <c r="AB26" i="28"/>
  <c r="U26" i="28"/>
  <c r="O26" i="28"/>
  <c r="H26" i="28"/>
  <c r="F26" i="28"/>
  <c r="E26" i="28"/>
  <c r="C26" i="28"/>
  <c r="BO25" i="28"/>
  <c r="BH25" i="28"/>
  <c r="BB25" i="28"/>
  <c r="AU25" i="28"/>
  <c r="CD25" i="28"/>
  <c r="BW25" i="28"/>
  <c r="AO25" i="28"/>
  <c r="AH25" i="28"/>
  <c r="AB25" i="28"/>
  <c r="U25" i="28"/>
  <c r="O25" i="28"/>
  <c r="H25" i="28"/>
  <c r="F25" i="28"/>
  <c r="E25" i="28"/>
  <c r="C25" i="28"/>
  <c r="BO24" i="28"/>
  <c r="BH24" i="28"/>
  <c r="BB24" i="28"/>
  <c r="AU24" i="28"/>
  <c r="CD24" i="28"/>
  <c r="BW24" i="28"/>
  <c r="AO24" i="28"/>
  <c r="AH24" i="28"/>
  <c r="AB24" i="28"/>
  <c r="U24" i="28"/>
  <c r="O24" i="28"/>
  <c r="H24" i="28"/>
  <c r="F24" i="28"/>
  <c r="E24" i="28"/>
  <c r="C24" i="28"/>
  <c r="BO23" i="28"/>
  <c r="BH23" i="28"/>
  <c r="BB23" i="28"/>
  <c r="AU23" i="28"/>
  <c r="CD23" i="28"/>
  <c r="BW23" i="28"/>
  <c r="AO23" i="28"/>
  <c r="AH23" i="28"/>
  <c r="AB23" i="28"/>
  <c r="U23" i="28"/>
  <c r="O23" i="28"/>
  <c r="H23" i="28"/>
  <c r="F23" i="28"/>
  <c r="E23" i="28"/>
  <c r="C23" i="28"/>
  <c r="BO22" i="28"/>
  <c r="BH22" i="28"/>
  <c r="BB22" i="28"/>
  <c r="AU22" i="28"/>
  <c r="CD22" i="28"/>
  <c r="BW22" i="28"/>
  <c r="AO22" i="28"/>
  <c r="AH22" i="28"/>
  <c r="AB22" i="28"/>
  <c r="U22" i="28"/>
  <c r="O22" i="28"/>
  <c r="H22" i="28"/>
  <c r="F22" i="28"/>
  <c r="E22" i="28"/>
  <c r="C22" i="28"/>
  <c r="BO21" i="28"/>
  <c r="BH21" i="28"/>
  <c r="BB21" i="28"/>
  <c r="AU21" i="28"/>
  <c r="CD21" i="28"/>
  <c r="BW21" i="28"/>
  <c r="AO21" i="28"/>
  <c r="AH21" i="28"/>
  <c r="AB21" i="28"/>
  <c r="U21" i="28"/>
  <c r="O21" i="28"/>
  <c r="H21" i="28"/>
  <c r="F21" i="28"/>
  <c r="E21" i="28"/>
  <c r="C21" i="28"/>
  <c r="BO20" i="28"/>
  <c r="BH20" i="28"/>
  <c r="BB20" i="28"/>
  <c r="AU20" i="28"/>
  <c r="CD20" i="28"/>
  <c r="BW20" i="28"/>
  <c r="AO20" i="28"/>
  <c r="AH20" i="28"/>
  <c r="AB20" i="28"/>
  <c r="U20" i="28"/>
  <c r="O20" i="28"/>
  <c r="H20" i="28"/>
  <c r="F20" i="28"/>
  <c r="E20" i="28"/>
  <c r="C20" i="28"/>
  <c r="BO19" i="28"/>
  <c r="BH19" i="28"/>
  <c r="BB19" i="28"/>
  <c r="AU19" i="28"/>
  <c r="CD19" i="28"/>
  <c r="BW19" i="28"/>
  <c r="AO19" i="28"/>
  <c r="AH19" i="28"/>
  <c r="AB19" i="28"/>
  <c r="U19" i="28"/>
  <c r="O19" i="28"/>
  <c r="H19" i="28"/>
  <c r="F19" i="28"/>
  <c r="E19" i="28"/>
  <c r="C19" i="28"/>
  <c r="BO18" i="28"/>
  <c r="BH18" i="28"/>
  <c r="BB18" i="28"/>
  <c r="AU18" i="28"/>
  <c r="CD18" i="28"/>
  <c r="BW18" i="28"/>
  <c r="AO18" i="28"/>
  <c r="AH18" i="28"/>
  <c r="AB18" i="28"/>
  <c r="U18" i="28"/>
  <c r="O18" i="28"/>
  <c r="H18" i="28"/>
  <c r="F18" i="28"/>
  <c r="E18" i="28"/>
  <c r="C18" i="28"/>
  <c r="BO17" i="28"/>
  <c r="BH17" i="28"/>
  <c r="BB17" i="28"/>
  <c r="AU17" i="28"/>
  <c r="CD17" i="28"/>
  <c r="BW17" i="28"/>
  <c r="AO17" i="28"/>
  <c r="AH17" i="28"/>
  <c r="AB17" i="28"/>
  <c r="U17" i="28"/>
  <c r="O17" i="28"/>
  <c r="H17" i="28"/>
  <c r="F17" i="28"/>
  <c r="E17" i="28"/>
  <c r="C17" i="28"/>
  <c r="BQ16" i="28"/>
  <c r="BQ17" i="28" s="1"/>
  <c r="BQ18" i="28" s="1"/>
  <c r="BQ19" i="28" s="1"/>
  <c r="BO16" i="28"/>
  <c r="BJ16" i="28"/>
  <c r="BJ17" i="28" s="1"/>
  <c r="BJ18" i="28" s="1"/>
  <c r="BJ19" i="28" s="1"/>
  <c r="BH16" i="28"/>
  <c r="BB16" i="28"/>
  <c r="AW16" i="28"/>
  <c r="AW17" i="28" s="1"/>
  <c r="AW18" i="28" s="1"/>
  <c r="AW19" i="28" s="1"/>
  <c r="AU16" i="28"/>
  <c r="CF16" i="28"/>
  <c r="CF17" i="28" s="1"/>
  <c r="CF18" i="28" s="1"/>
  <c r="CD16" i="28"/>
  <c r="BY16" i="28"/>
  <c r="BY17" i="28" s="1"/>
  <c r="BY18" i="28" s="1"/>
  <c r="BY19" i="28" s="1"/>
  <c r="BY20" i="28" s="1"/>
  <c r="BY21" i="28" s="1"/>
  <c r="BY22" i="28" s="1"/>
  <c r="BW16" i="28"/>
  <c r="AO16" i="28"/>
  <c r="AJ16" i="28"/>
  <c r="AJ17" i="28" s="1"/>
  <c r="AJ18" i="28" s="1"/>
  <c r="AJ19" i="28" s="1"/>
  <c r="AH16" i="28"/>
  <c r="AB16" i="28"/>
  <c r="W16" i="28"/>
  <c r="W17" i="28" s="1"/>
  <c r="W18" i="28" s="1"/>
  <c r="W19" i="28" s="1"/>
  <c r="U16" i="28"/>
  <c r="O16" i="28"/>
  <c r="J16" i="28"/>
  <c r="J17" i="28" s="1"/>
  <c r="J18" i="28" s="1"/>
  <c r="J19" i="28" s="1"/>
  <c r="H16" i="28"/>
  <c r="F16" i="28"/>
  <c r="E16" i="28"/>
  <c r="C16" i="28"/>
  <c r="B16" i="28"/>
  <c r="BO15" i="28"/>
  <c r="BH15" i="28"/>
  <c r="BB15" i="28"/>
  <c r="AU15" i="28"/>
  <c r="CD15" i="28"/>
  <c r="BW15" i="28"/>
  <c r="AO15" i="28"/>
  <c r="AH15" i="28"/>
  <c r="AB15" i="28"/>
  <c r="U15" i="28"/>
  <c r="O15" i="28"/>
  <c r="H15" i="28"/>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Z8" i="17" s="1"/>
  <c r="BO145" i="17"/>
  <c r="BH145" i="17"/>
  <c r="BB145" i="17"/>
  <c r="AU145" i="17"/>
  <c r="CD145" i="17"/>
  <c r="BW145" i="17"/>
  <c r="AO145" i="17"/>
  <c r="AH145" i="17"/>
  <c r="AB145" i="17"/>
  <c r="U145" i="17"/>
  <c r="O145" i="17"/>
  <c r="H145" i="17"/>
  <c r="C145" i="17"/>
  <c r="AP145" i="17" s="1"/>
  <c r="BO144" i="17"/>
  <c r="BH144" i="17"/>
  <c r="BB144" i="17"/>
  <c r="AU144" i="17"/>
  <c r="CD144" i="17"/>
  <c r="BW144" i="17"/>
  <c r="AO144" i="17"/>
  <c r="AH144" i="17"/>
  <c r="AB144" i="17"/>
  <c r="U144" i="17"/>
  <c r="O144" i="17"/>
  <c r="H144" i="17"/>
  <c r="C144" i="17"/>
  <c r="BC144" i="17" s="1"/>
  <c r="BO143" i="17"/>
  <c r="BH143" i="17"/>
  <c r="BB143" i="17"/>
  <c r="AU143" i="17"/>
  <c r="CD143" i="17"/>
  <c r="BW143" i="17"/>
  <c r="AO143" i="17"/>
  <c r="AH143" i="17"/>
  <c r="AB143" i="17"/>
  <c r="U143" i="17"/>
  <c r="O143" i="17"/>
  <c r="H143" i="17"/>
  <c r="C143" i="17"/>
  <c r="AC143" i="17" s="1"/>
  <c r="BO142" i="17"/>
  <c r="BM142" i="17"/>
  <c r="BH142" i="17"/>
  <c r="BB142" i="17"/>
  <c r="AU142" i="17"/>
  <c r="CD142" i="17"/>
  <c r="BW142" i="17"/>
  <c r="AO142" i="17"/>
  <c r="AH142" i="17"/>
  <c r="AB142" i="17"/>
  <c r="U142" i="17"/>
  <c r="O142" i="17"/>
  <c r="H142" i="17"/>
  <c r="C142" i="17"/>
  <c r="BP142" i="17" s="1"/>
  <c r="BO141" i="17"/>
  <c r="BH141" i="17"/>
  <c r="BB141" i="17"/>
  <c r="AU141" i="17"/>
  <c r="CD141" i="17"/>
  <c r="BW141" i="17"/>
  <c r="AO141" i="17"/>
  <c r="AH141" i="17"/>
  <c r="AB141" i="17"/>
  <c r="U141" i="17"/>
  <c r="O141" i="17"/>
  <c r="H141" i="17"/>
  <c r="C141" i="17"/>
  <c r="BC141" i="17" s="1"/>
  <c r="BO140" i="17"/>
  <c r="BH140" i="17"/>
  <c r="BB140" i="17"/>
  <c r="AU140" i="17"/>
  <c r="CD140" i="17"/>
  <c r="BW140" i="17"/>
  <c r="AO140" i="17"/>
  <c r="AH140" i="17"/>
  <c r="AB140" i="17"/>
  <c r="U140" i="17"/>
  <c r="O140" i="17"/>
  <c r="H140" i="17"/>
  <c r="C140" i="17"/>
  <c r="BC140" i="17" s="1"/>
  <c r="BO139" i="17"/>
  <c r="BH139" i="17"/>
  <c r="BB139" i="17"/>
  <c r="AU139" i="17"/>
  <c r="CD139" i="17"/>
  <c r="BW139" i="17"/>
  <c r="AO139" i="17"/>
  <c r="AH139" i="17"/>
  <c r="AB139" i="17"/>
  <c r="U139" i="17"/>
  <c r="O139" i="17"/>
  <c r="H139" i="17"/>
  <c r="C139" i="17"/>
  <c r="P139" i="17" s="1"/>
  <c r="BO138" i="17"/>
  <c r="BH138" i="17"/>
  <c r="BB138" i="17"/>
  <c r="AU138" i="17"/>
  <c r="CD138" i="17"/>
  <c r="BW138" i="17"/>
  <c r="AO138" i="17"/>
  <c r="AH138" i="17"/>
  <c r="AB138" i="17"/>
  <c r="U138" i="17"/>
  <c r="O138" i="17"/>
  <c r="H138" i="17"/>
  <c r="C138" i="17"/>
  <c r="BP138" i="17" s="1"/>
  <c r="BO137" i="17"/>
  <c r="BH137" i="17"/>
  <c r="BB137" i="17"/>
  <c r="AU137" i="17"/>
  <c r="CD137" i="17"/>
  <c r="BW137" i="17"/>
  <c r="AO137" i="17"/>
  <c r="AH137" i="17"/>
  <c r="AB137" i="17"/>
  <c r="U137" i="17"/>
  <c r="O137" i="17"/>
  <c r="H137" i="17"/>
  <c r="C137" i="17"/>
  <c r="BP137" i="17" s="1"/>
  <c r="BO136" i="17"/>
  <c r="BH136" i="17"/>
  <c r="BB136" i="17"/>
  <c r="AU136" i="17"/>
  <c r="CD136" i="17"/>
  <c r="BW136" i="17"/>
  <c r="AO136" i="17"/>
  <c r="AH136" i="17"/>
  <c r="AB136" i="17"/>
  <c r="U136" i="17"/>
  <c r="O136" i="17"/>
  <c r="H136" i="17"/>
  <c r="C136" i="17"/>
  <c r="CE136" i="17" s="1"/>
  <c r="BO135" i="17"/>
  <c r="BH135" i="17"/>
  <c r="BB135" i="17"/>
  <c r="AU135" i="17"/>
  <c r="CD135" i="17"/>
  <c r="BW135" i="17"/>
  <c r="AO135" i="17"/>
  <c r="AH135" i="17"/>
  <c r="AB135" i="17"/>
  <c r="U135" i="17"/>
  <c r="O135" i="17"/>
  <c r="H135" i="17"/>
  <c r="C135" i="17"/>
  <c r="AC135" i="17" s="1"/>
  <c r="BO134" i="17"/>
  <c r="BH134" i="17"/>
  <c r="BB134" i="17"/>
  <c r="AU134" i="17"/>
  <c r="CD134" i="17"/>
  <c r="BW134" i="17"/>
  <c r="AO134" i="17"/>
  <c r="AH134" i="17"/>
  <c r="AB134" i="17"/>
  <c r="U134" i="17"/>
  <c r="O134" i="17"/>
  <c r="H134" i="17"/>
  <c r="C134" i="17"/>
  <c r="AC134" i="17" s="1"/>
  <c r="BO133" i="17"/>
  <c r="BH133" i="17"/>
  <c r="BB133" i="17"/>
  <c r="AU133" i="17"/>
  <c r="CD133" i="17"/>
  <c r="BW133" i="17"/>
  <c r="AO133" i="17"/>
  <c r="AH133" i="17"/>
  <c r="AB133" i="17"/>
  <c r="U133" i="17"/>
  <c r="O133" i="17"/>
  <c r="H133" i="17"/>
  <c r="C133" i="17"/>
  <c r="BP133" i="17" s="1"/>
  <c r="BO132" i="17"/>
  <c r="BH132" i="17"/>
  <c r="BB132" i="17"/>
  <c r="AU132" i="17"/>
  <c r="CD132" i="17"/>
  <c r="BW132" i="17"/>
  <c r="AO132" i="17"/>
  <c r="AH132" i="17"/>
  <c r="AB132" i="17"/>
  <c r="U132" i="17"/>
  <c r="O132" i="17"/>
  <c r="H132" i="17"/>
  <c r="C132" i="17"/>
  <c r="BC132" i="17" s="1"/>
  <c r="BO131" i="17"/>
  <c r="BH131" i="17"/>
  <c r="BB131" i="17"/>
  <c r="AU131" i="17"/>
  <c r="CD131" i="17"/>
  <c r="BW131" i="17"/>
  <c r="AO131" i="17"/>
  <c r="AH131" i="17"/>
  <c r="AB131" i="17"/>
  <c r="U131" i="17"/>
  <c r="O131" i="17"/>
  <c r="H131" i="17"/>
  <c r="C131" i="17"/>
  <c r="BC131" i="17" s="1"/>
  <c r="BO130" i="17"/>
  <c r="BH130" i="17"/>
  <c r="BB130" i="17"/>
  <c r="AU130" i="17"/>
  <c r="CD130" i="17"/>
  <c r="BW130" i="17"/>
  <c r="AO130" i="17"/>
  <c r="AH130" i="17"/>
  <c r="AB130" i="17"/>
  <c r="U130" i="17"/>
  <c r="O130" i="17"/>
  <c r="M130" i="17"/>
  <c r="H130" i="17"/>
  <c r="C130" i="17"/>
  <c r="BP130" i="17" s="1"/>
  <c r="BO129" i="17"/>
  <c r="BH129" i="17"/>
  <c r="BB129" i="17"/>
  <c r="AU129" i="17"/>
  <c r="CD129" i="17"/>
  <c r="BW129" i="17"/>
  <c r="AO129" i="17"/>
  <c r="AH129" i="17"/>
  <c r="AB129" i="17"/>
  <c r="U129" i="17"/>
  <c r="O129" i="17"/>
  <c r="H129" i="17"/>
  <c r="C129" i="17"/>
  <c r="BC129" i="17" s="1"/>
  <c r="BO128" i="17"/>
  <c r="BH128" i="17"/>
  <c r="BB128" i="17"/>
  <c r="AU128" i="17"/>
  <c r="CD128" i="17"/>
  <c r="BW128" i="17"/>
  <c r="AO128" i="17"/>
  <c r="AH128" i="17"/>
  <c r="AB128" i="17"/>
  <c r="U128" i="17"/>
  <c r="O128" i="17"/>
  <c r="H128" i="17"/>
  <c r="C128" i="17"/>
  <c r="BC128" i="17" s="1"/>
  <c r="BO127" i="17"/>
  <c r="BH127" i="17"/>
  <c r="BB127" i="17"/>
  <c r="AU127" i="17"/>
  <c r="CD127" i="17"/>
  <c r="BW127" i="17"/>
  <c r="AO127" i="17"/>
  <c r="AH127" i="17"/>
  <c r="AB127" i="17"/>
  <c r="U127" i="17"/>
  <c r="O127" i="17"/>
  <c r="H127" i="17"/>
  <c r="C127" i="17"/>
  <c r="BC127" i="17" s="1"/>
  <c r="BO126" i="17"/>
  <c r="BH126" i="17"/>
  <c r="BB126" i="17"/>
  <c r="AU126" i="17"/>
  <c r="CD126" i="17"/>
  <c r="BW126" i="17"/>
  <c r="AO126" i="17"/>
  <c r="AH126" i="17"/>
  <c r="AB126" i="17"/>
  <c r="U126" i="17"/>
  <c r="O126" i="17"/>
  <c r="H126" i="17"/>
  <c r="C126" i="17"/>
  <c r="AC126" i="17" s="1"/>
  <c r="BO125" i="17"/>
  <c r="BH125" i="17"/>
  <c r="BB125" i="17"/>
  <c r="AU125" i="17"/>
  <c r="CD125" i="17"/>
  <c r="BW125" i="17"/>
  <c r="AO125" i="17"/>
  <c r="AH125" i="17"/>
  <c r="AB125" i="17"/>
  <c r="U125" i="17"/>
  <c r="O125" i="17"/>
  <c r="H125" i="17"/>
  <c r="C125" i="17"/>
  <c r="AC125" i="17" s="1"/>
  <c r="BO124" i="17"/>
  <c r="BH124" i="17"/>
  <c r="BB124" i="17"/>
  <c r="AU124" i="17"/>
  <c r="CD124" i="17"/>
  <c r="BW124" i="17"/>
  <c r="AO124" i="17"/>
  <c r="AH124" i="17"/>
  <c r="AB124" i="17"/>
  <c r="U124" i="17"/>
  <c r="O124" i="17"/>
  <c r="H124" i="17"/>
  <c r="C124" i="17"/>
  <c r="CE124" i="17" s="1"/>
  <c r="BO123" i="17"/>
  <c r="BH123" i="17"/>
  <c r="BB123" i="17"/>
  <c r="AU123" i="17"/>
  <c r="CD123" i="17"/>
  <c r="BW123" i="17"/>
  <c r="AO123" i="17"/>
  <c r="AH123" i="17"/>
  <c r="AB123" i="17"/>
  <c r="U123" i="17"/>
  <c r="O123" i="17"/>
  <c r="H123" i="17"/>
  <c r="C123" i="17"/>
  <c r="BC123" i="17" s="1"/>
  <c r="BO122" i="17"/>
  <c r="BH122" i="17"/>
  <c r="BB122" i="17"/>
  <c r="AU122" i="17"/>
  <c r="CD122" i="17"/>
  <c r="BW122" i="17"/>
  <c r="AO122" i="17"/>
  <c r="AH122" i="17"/>
  <c r="AB122" i="17"/>
  <c r="U122" i="17"/>
  <c r="O122" i="17"/>
  <c r="H122" i="17"/>
  <c r="C122" i="17"/>
  <c r="BC122" i="17" s="1"/>
  <c r="BO121" i="17"/>
  <c r="BH121" i="17"/>
  <c r="BB121" i="17"/>
  <c r="AU121" i="17"/>
  <c r="CD121" i="17"/>
  <c r="BW121" i="17"/>
  <c r="AO121" i="17"/>
  <c r="AH121" i="17"/>
  <c r="AB121" i="17"/>
  <c r="U121" i="17"/>
  <c r="O121" i="17"/>
  <c r="H121" i="17"/>
  <c r="C121" i="17"/>
  <c r="BC121" i="17" s="1"/>
  <c r="BO120" i="17"/>
  <c r="BH120" i="17"/>
  <c r="BB120" i="17"/>
  <c r="AU120" i="17"/>
  <c r="CD120" i="17"/>
  <c r="BW120" i="17"/>
  <c r="AO120" i="17"/>
  <c r="AH120" i="17"/>
  <c r="AB120" i="17"/>
  <c r="U120" i="17"/>
  <c r="O120" i="17"/>
  <c r="H120" i="17"/>
  <c r="C120" i="17"/>
  <c r="AC120" i="17" s="1"/>
  <c r="BO119" i="17"/>
  <c r="BH119" i="17"/>
  <c r="BB119" i="17"/>
  <c r="AU119" i="17"/>
  <c r="CD119" i="17"/>
  <c r="BW119" i="17"/>
  <c r="AO119" i="17"/>
  <c r="AH119" i="17"/>
  <c r="AB119" i="17"/>
  <c r="U119" i="17"/>
  <c r="O119" i="17"/>
  <c r="H119" i="17"/>
  <c r="C119" i="17"/>
  <c r="AC119" i="17" s="1"/>
  <c r="BO118" i="17"/>
  <c r="BH118" i="17"/>
  <c r="BB118" i="17"/>
  <c r="AU118" i="17"/>
  <c r="CD118" i="17"/>
  <c r="BW118" i="17"/>
  <c r="AO118" i="17"/>
  <c r="AH118" i="17"/>
  <c r="AB118" i="17"/>
  <c r="U118" i="17"/>
  <c r="O118" i="17"/>
  <c r="M118" i="17"/>
  <c r="H118" i="17"/>
  <c r="C118" i="17"/>
  <c r="AP118" i="17" s="1"/>
  <c r="BO117" i="17"/>
  <c r="BH117" i="17"/>
  <c r="BB117" i="17"/>
  <c r="AU117" i="17"/>
  <c r="CD117" i="17"/>
  <c r="BW117" i="17"/>
  <c r="AO117" i="17"/>
  <c r="AH117" i="17"/>
  <c r="AB117" i="17"/>
  <c r="U117" i="17"/>
  <c r="O117" i="17"/>
  <c r="H117" i="17"/>
  <c r="C117" i="17"/>
  <c r="P117" i="17" s="1"/>
  <c r="BO116" i="17"/>
  <c r="BH116" i="17"/>
  <c r="BB116" i="17"/>
  <c r="AU116" i="17"/>
  <c r="CD116" i="17"/>
  <c r="BW116" i="17"/>
  <c r="AO116" i="17"/>
  <c r="AH116" i="17"/>
  <c r="AB116" i="17"/>
  <c r="U116" i="17"/>
  <c r="O116" i="17"/>
  <c r="H116" i="17"/>
  <c r="C116" i="17"/>
  <c r="P116" i="17" s="1"/>
  <c r="BO115" i="17"/>
  <c r="BH115" i="17"/>
  <c r="BB115" i="17"/>
  <c r="AU115" i="17"/>
  <c r="CD115" i="17"/>
  <c r="BW115" i="17"/>
  <c r="AO115" i="17"/>
  <c r="AH115" i="17"/>
  <c r="AB115" i="17"/>
  <c r="U115" i="17"/>
  <c r="O115" i="17"/>
  <c r="H115" i="17"/>
  <c r="C115" i="17"/>
  <c r="BP115" i="17" s="1"/>
  <c r="BO114" i="17"/>
  <c r="BH114" i="17"/>
  <c r="BB114" i="17"/>
  <c r="AU114" i="17"/>
  <c r="CD114" i="17"/>
  <c r="BW114" i="17"/>
  <c r="AO114" i="17"/>
  <c r="AH114" i="17"/>
  <c r="AB114" i="17"/>
  <c r="U114" i="17"/>
  <c r="O114" i="17"/>
  <c r="H114" i="17"/>
  <c r="C114" i="17"/>
  <c r="BC114" i="17" s="1"/>
  <c r="BO113" i="17"/>
  <c r="BH113" i="17"/>
  <c r="BB113" i="17"/>
  <c r="AU113" i="17"/>
  <c r="CD113" i="17"/>
  <c r="BW113" i="17"/>
  <c r="AO113" i="17"/>
  <c r="AH113" i="17"/>
  <c r="AB113" i="17"/>
  <c r="U113" i="17"/>
  <c r="O113" i="17"/>
  <c r="H113" i="17"/>
  <c r="C113" i="17"/>
  <c r="BC113" i="17" s="1"/>
  <c r="BO112" i="17"/>
  <c r="BH112" i="17"/>
  <c r="BB112" i="17"/>
  <c r="AU112" i="17"/>
  <c r="CD112" i="17"/>
  <c r="BW112" i="17"/>
  <c r="AO112" i="17"/>
  <c r="AH112" i="17"/>
  <c r="AB112" i="17"/>
  <c r="U112" i="17"/>
  <c r="O112" i="17"/>
  <c r="H112" i="17"/>
  <c r="C112" i="17"/>
  <c r="AC112" i="17" s="1"/>
  <c r="BO111" i="17"/>
  <c r="BH111" i="17"/>
  <c r="BB111" i="17"/>
  <c r="AU111" i="17"/>
  <c r="CD111" i="17"/>
  <c r="BW111" i="17"/>
  <c r="AO111" i="17"/>
  <c r="AH111" i="17"/>
  <c r="AB111" i="17"/>
  <c r="U111" i="17"/>
  <c r="O111" i="17"/>
  <c r="H111" i="17"/>
  <c r="C111" i="17"/>
  <c r="P111" i="17" s="1"/>
  <c r="BO110" i="17"/>
  <c r="BH110" i="17"/>
  <c r="BB110" i="17"/>
  <c r="AU110" i="17"/>
  <c r="CD110" i="17"/>
  <c r="BW110" i="17"/>
  <c r="AO110" i="17"/>
  <c r="AH110" i="17"/>
  <c r="AB110" i="17"/>
  <c r="U110" i="17"/>
  <c r="O110" i="17"/>
  <c r="H110" i="17"/>
  <c r="C110" i="17"/>
  <c r="P110" i="17" s="1"/>
  <c r="BO109" i="17"/>
  <c r="BH109" i="17"/>
  <c r="BB109" i="17"/>
  <c r="AU109" i="17"/>
  <c r="CD109" i="17"/>
  <c r="BW109" i="17"/>
  <c r="AO109" i="17"/>
  <c r="AH109" i="17"/>
  <c r="AB109" i="17"/>
  <c r="U109" i="17"/>
  <c r="O109" i="17"/>
  <c r="H109" i="17"/>
  <c r="C109" i="17"/>
  <c r="BP109" i="17" s="1"/>
  <c r="BO108" i="17"/>
  <c r="BH108" i="17"/>
  <c r="BB108" i="17"/>
  <c r="AU108" i="17"/>
  <c r="CD108" i="17"/>
  <c r="BW108" i="17"/>
  <c r="AO108" i="17"/>
  <c r="AH108" i="17"/>
  <c r="AB108" i="17"/>
  <c r="U108" i="17"/>
  <c r="O108" i="17"/>
  <c r="H108" i="17"/>
  <c r="C108" i="17"/>
  <c r="BC108" i="17" s="1"/>
  <c r="BO107" i="17"/>
  <c r="BH107" i="17"/>
  <c r="BB107" i="17"/>
  <c r="AU107" i="17"/>
  <c r="CD107" i="17"/>
  <c r="BW107" i="17"/>
  <c r="AO107" i="17"/>
  <c r="AH107" i="17"/>
  <c r="AB107" i="17"/>
  <c r="U107" i="17"/>
  <c r="O107" i="17"/>
  <c r="H107" i="17"/>
  <c r="C107" i="17"/>
  <c r="BC107" i="17" s="1"/>
  <c r="BO106" i="17"/>
  <c r="BH106" i="17"/>
  <c r="BB106" i="17"/>
  <c r="AZ106" i="17"/>
  <c r="AU106" i="17"/>
  <c r="CD106" i="17"/>
  <c r="CB106" i="17"/>
  <c r="BW106" i="17"/>
  <c r="AO106" i="17"/>
  <c r="AM106" i="17"/>
  <c r="AH106" i="17"/>
  <c r="AB106" i="17"/>
  <c r="Z106" i="17"/>
  <c r="U106" i="17"/>
  <c r="O106" i="17"/>
  <c r="M106" i="17"/>
  <c r="H106" i="17"/>
  <c r="C106" i="17"/>
  <c r="BP106" i="17" s="1"/>
  <c r="BO105" i="17"/>
  <c r="BH105" i="17"/>
  <c r="BB105" i="17"/>
  <c r="AU105" i="17"/>
  <c r="CD105" i="17"/>
  <c r="BW105" i="17"/>
  <c r="AO105" i="17"/>
  <c r="AH105" i="17"/>
  <c r="AB105" i="17"/>
  <c r="U105" i="17"/>
  <c r="O105" i="17"/>
  <c r="H105" i="17"/>
  <c r="C105" i="17"/>
  <c r="BC105" i="17" s="1"/>
  <c r="BO104" i="17"/>
  <c r="BH104" i="17"/>
  <c r="BB104" i="17"/>
  <c r="AU104" i="17"/>
  <c r="CD104" i="17"/>
  <c r="BW104" i="17"/>
  <c r="AO104" i="17"/>
  <c r="AH104" i="17"/>
  <c r="AB104" i="17"/>
  <c r="U104" i="17"/>
  <c r="O104" i="17"/>
  <c r="H104" i="17"/>
  <c r="C104" i="17"/>
  <c r="BC104" i="17" s="1"/>
  <c r="BO103" i="17"/>
  <c r="BH103" i="17"/>
  <c r="BB103" i="17"/>
  <c r="AU103" i="17"/>
  <c r="CD103" i="17"/>
  <c r="BW103" i="17"/>
  <c r="AO103" i="17"/>
  <c r="AH103" i="17"/>
  <c r="AB103" i="17"/>
  <c r="U103" i="17"/>
  <c r="O103" i="17"/>
  <c r="H103" i="17"/>
  <c r="C103" i="17"/>
  <c r="BP103" i="17" s="1"/>
  <c r="BO102" i="17"/>
  <c r="BH102" i="17"/>
  <c r="BB102" i="17"/>
  <c r="AU102" i="17"/>
  <c r="CD102" i="17"/>
  <c r="BW102" i="17"/>
  <c r="AO102" i="17"/>
  <c r="AH102" i="17"/>
  <c r="AB102" i="17"/>
  <c r="U102" i="17"/>
  <c r="O102" i="17"/>
  <c r="H102" i="17"/>
  <c r="C102" i="17"/>
  <c r="BC102" i="17" s="1"/>
  <c r="BO101" i="17"/>
  <c r="BH101" i="17"/>
  <c r="BB101" i="17"/>
  <c r="AU101" i="17"/>
  <c r="CD101" i="17"/>
  <c r="BW101" i="17"/>
  <c r="AO101" i="17"/>
  <c r="AH101" i="17"/>
  <c r="AB101" i="17"/>
  <c r="U101" i="17"/>
  <c r="O101" i="17"/>
  <c r="H101" i="17"/>
  <c r="C101" i="17"/>
  <c r="BC101" i="17" s="1"/>
  <c r="BO100" i="17"/>
  <c r="BH100" i="17"/>
  <c r="BB100" i="17"/>
  <c r="AU100" i="17"/>
  <c r="CD100" i="17"/>
  <c r="BW100" i="17"/>
  <c r="AO100" i="17"/>
  <c r="AH100" i="17"/>
  <c r="AB100" i="17"/>
  <c r="U100" i="17"/>
  <c r="O100" i="17"/>
  <c r="H100" i="17"/>
  <c r="C100" i="17"/>
  <c r="BP100" i="17" s="1"/>
  <c r="BO99" i="17"/>
  <c r="BH99" i="17"/>
  <c r="BB99" i="17"/>
  <c r="AU99" i="17"/>
  <c r="CD99" i="17"/>
  <c r="BW99" i="17"/>
  <c r="AO99" i="17"/>
  <c r="AH99" i="17"/>
  <c r="AB99" i="17"/>
  <c r="U99" i="17"/>
  <c r="O99" i="17"/>
  <c r="H99" i="17"/>
  <c r="C99" i="17"/>
  <c r="BO98" i="17"/>
  <c r="BH98" i="17"/>
  <c r="BB98" i="17"/>
  <c r="AU98" i="17"/>
  <c r="CD98" i="17"/>
  <c r="BW98" i="17"/>
  <c r="AO98" i="17"/>
  <c r="AH98" i="17"/>
  <c r="AB98" i="17"/>
  <c r="U98" i="17"/>
  <c r="O98" i="17"/>
  <c r="H98" i="17"/>
  <c r="C98" i="17"/>
  <c r="BC98" i="17" s="1"/>
  <c r="BO97" i="17"/>
  <c r="BH97" i="17"/>
  <c r="BB97" i="17"/>
  <c r="AU97" i="17"/>
  <c r="CD97" i="17"/>
  <c r="BW97" i="17"/>
  <c r="AO97" i="17"/>
  <c r="AH97" i="17"/>
  <c r="AB97" i="17"/>
  <c r="U97" i="17"/>
  <c r="O97" i="17"/>
  <c r="H97" i="17"/>
  <c r="C97" i="17"/>
  <c r="P97" i="17" s="1"/>
  <c r="BO96" i="17"/>
  <c r="BH96" i="17"/>
  <c r="BB96" i="17"/>
  <c r="AU96" i="17"/>
  <c r="CD96" i="17"/>
  <c r="BW96" i="17"/>
  <c r="AO96" i="17"/>
  <c r="AH96" i="17"/>
  <c r="AB96" i="17"/>
  <c r="U96" i="17"/>
  <c r="O96" i="17"/>
  <c r="H96" i="17"/>
  <c r="C96" i="17"/>
  <c r="BC96" i="17" s="1"/>
  <c r="BO95" i="17"/>
  <c r="BH95" i="17"/>
  <c r="BB95" i="17"/>
  <c r="AU95" i="17"/>
  <c r="CD95" i="17"/>
  <c r="BW95" i="17"/>
  <c r="AO95" i="17"/>
  <c r="AH95" i="17"/>
  <c r="AB95" i="17"/>
  <c r="U95" i="17"/>
  <c r="O95" i="17"/>
  <c r="H95" i="17"/>
  <c r="C95" i="17"/>
  <c r="BC95" i="17" s="1"/>
  <c r="BO94" i="17"/>
  <c r="BH94" i="17"/>
  <c r="BB94" i="17"/>
  <c r="AZ94" i="17"/>
  <c r="AU94" i="17"/>
  <c r="CD94" i="17"/>
  <c r="CB94" i="17"/>
  <c r="BW94" i="17"/>
  <c r="AO94" i="17"/>
  <c r="AH94" i="17"/>
  <c r="AB94" i="17"/>
  <c r="Z94" i="17"/>
  <c r="U94" i="17"/>
  <c r="O94" i="17"/>
  <c r="H94" i="17"/>
  <c r="D94" i="17"/>
  <c r="C94" i="17"/>
  <c r="BO93" i="17"/>
  <c r="BH93" i="17"/>
  <c r="BB93" i="17"/>
  <c r="AU93" i="17"/>
  <c r="CD93" i="17"/>
  <c r="BW93" i="17"/>
  <c r="AO93" i="17"/>
  <c r="AH93" i="17"/>
  <c r="AB93" i="17"/>
  <c r="U93" i="17"/>
  <c r="O93" i="17"/>
  <c r="H93" i="17"/>
  <c r="D93" i="17"/>
  <c r="C93" i="17"/>
  <c r="BO92" i="17"/>
  <c r="BH92" i="17"/>
  <c r="BB92" i="17"/>
  <c r="AU92" i="17"/>
  <c r="CD92" i="17"/>
  <c r="BW92" i="17"/>
  <c r="AO92" i="17"/>
  <c r="AH92" i="17"/>
  <c r="AB92" i="17"/>
  <c r="U92" i="17"/>
  <c r="O92" i="17"/>
  <c r="H92" i="17"/>
  <c r="D92" i="17"/>
  <c r="C92" i="17"/>
  <c r="BO91" i="17"/>
  <c r="BH91" i="17"/>
  <c r="BB91" i="17"/>
  <c r="AU91" i="17"/>
  <c r="CD91" i="17"/>
  <c r="BW91" i="17"/>
  <c r="AO91" i="17"/>
  <c r="AH91" i="17"/>
  <c r="AB91" i="17"/>
  <c r="U91" i="17"/>
  <c r="O91" i="17"/>
  <c r="H91" i="17"/>
  <c r="D91" i="17"/>
  <c r="C91" i="17"/>
  <c r="AP91" i="17" s="1"/>
  <c r="BO90" i="17"/>
  <c r="BH90" i="17"/>
  <c r="BB90" i="17"/>
  <c r="AU90" i="17"/>
  <c r="CD90" i="17"/>
  <c r="BW90" i="17"/>
  <c r="AO90" i="17"/>
  <c r="AH90" i="17"/>
  <c r="AB90" i="17"/>
  <c r="U90" i="17"/>
  <c r="O90" i="17"/>
  <c r="H90" i="17"/>
  <c r="D90" i="17"/>
  <c r="C90" i="17"/>
  <c r="BO89" i="17"/>
  <c r="BH89" i="17"/>
  <c r="BB89" i="17"/>
  <c r="AU89" i="17"/>
  <c r="CD89" i="17"/>
  <c r="BW89" i="17"/>
  <c r="AO89" i="17"/>
  <c r="AH89" i="17"/>
  <c r="AB89" i="17"/>
  <c r="U89" i="17"/>
  <c r="O89" i="17"/>
  <c r="H89" i="17"/>
  <c r="D89" i="17"/>
  <c r="C89" i="17"/>
  <c r="BO88" i="17"/>
  <c r="BH88" i="17"/>
  <c r="BB88" i="17"/>
  <c r="AU88" i="17"/>
  <c r="CD88" i="17"/>
  <c r="BW88" i="17"/>
  <c r="AO88" i="17"/>
  <c r="AH88" i="17"/>
  <c r="AB88" i="17"/>
  <c r="U88" i="17"/>
  <c r="O88" i="17"/>
  <c r="H88" i="17"/>
  <c r="D88" i="17"/>
  <c r="C88" i="17"/>
  <c r="BO87" i="17"/>
  <c r="BH87" i="17"/>
  <c r="BB87" i="17"/>
  <c r="AU87" i="17"/>
  <c r="CD87" i="17"/>
  <c r="BW87" i="17"/>
  <c r="AO87" i="17"/>
  <c r="AH87" i="17"/>
  <c r="AB87" i="17"/>
  <c r="U87" i="17"/>
  <c r="O87" i="17"/>
  <c r="H87" i="17"/>
  <c r="D87" i="17"/>
  <c r="C87" i="17"/>
  <c r="P87" i="17" s="1"/>
  <c r="BO86" i="17"/>
  <c r="BH86" i="17"/>
  <c r="BB86" i="17"/>
  <c r="AU86" i="17"/>
  <c r="CD86" i="17"/>
  <c r="BW86" i="17"/>
  <c r="AO86" i="17"/>
  <c r="AH86" i="17"/>
  <c r="AB86" i="17"/>
  <c r="U86" i="17"/>
  <c r="O86" i="17"/>
  <c r="H86" i="17"/>
  <c r="D86" i="17"/>
  <c r="C86" i="17"/>
  <c r="BO85" i="17"/>
  <c r="BH85" i="17"/>
  <c r="BB85" i="17"/>
  <c r="AU85" i="17"/>
  <c r="CD85" i="17"/>
  <c r="BW85" i="17"/>
  <c r="AO85" i="17"/>
  <c r="AH85" i="17"/>
  <c r="AB85" i="17"/>
  <c r="U85" i="17"/>
  <c r="O85" i="17"/>
  <c r="H85" i="17"/>
  <c r="D85" i="17"/>
  <c r="C85" i="17"/>
  <c r="BO84" i="17"/>
  <c r="BH84" i="17"/>
  <c r="BB84" i="17"/>
  <c r="AU84" i="17"/>
  <c r="CD84" i="17"/>
  <c r="BW84" i="17"/>
  <c r="AO84" i="17"/>
  <c r="AH84" i="17"/>
  <c r="AB84" i="17"/>
  <c r="U84" i="17"/>
  <c r="O84" i="17"/>
  <c r="H84" i="17"/>
  <c r="D84" i="17"/>
  <c r="C84" i="17"/>
  <c r="BO83" i="17"/>
  <c r="BH83" i="17"/>
  <c r="BB83" i="17"/>
  <c r="AU83" i="17"/>
  <c r="CD83" i="17"/>
  <c r="BW83" i="17"/>
  <c r="AO83" i="17"/>
  <c r="AH83" i="17"/>
  <c r="AB83" i="17"/>
  <c r="U83" i="17"/>
  <c r="O83" i="17"/>
  <c r="H83" i="17"/>
  <c r="D83" i="17"/>
  <c r="C83" i="17"/>
  <c r="BC83" i="17" s="1"/>
  <c r="BO82" i="17"/>
  <c r="BH82" i="17"/>
  <c r="BB82" i="17"/>
  <c r="AZ82" i="17"/>
  <c r="AU82" i="17"/>
  <c r="CD82" i="17"/>
  <c r="CB82" i="17"/>
  <c r="BW82" i="17"/>
  <c r="AO82" i="17"/>
  <c r="AM82" i="17"/>
  <c r="AH82" i="17"/>
  <c r="AB82" i="17"/>
  <c r="Z82" i="17"/>
  <c r="U82" i="17"/>
  <c r="O82" i="17"/>
  <c r="H82" i="17"/>
  <c r="D82" i="17"/>
  <c r="C82" i="17"/>
  <c r="BO81" i="17"/>
  <c r="BH81" i="17"/>
  <c r="BB81" i="17"/>
  <c r="AU81" i="17"/>
  <c r="CD81" i="17"/>
  <c r="BW81" i="17"/>
  <c r="AO81" i="17"/>
  <c r="AH81" i="17"/>
  <c r="AB81" i="17"/>
  <c r="U81" i="17"/>
  <c r="O81" i="17"/>
  <c r="H81" i="17"/>
  <c r="D81" i="17"/>
  <c r="C81" i="17"/>
  <c r="P81" i="17" s="1"/>
  <c r="BO80" i="17"/>
  <c r="BH80" i="17"/>
  <c r="BB80" i="17"/>
  <c r="AU80" i="17"/>
  <c r="CD80" i="17"/>
  <c r="BW80" i="17"/>
  <c r="AO80" i="17"/>
  <c r="AH80" i="17"/>
  <c r="AB80" i="17"/>
  <c r="U80" i="17"/>
  <c r="O80" i="17"/>
  <c r="H80" i="17"/>
  <c r="D80" i="17"/>
  <c r="C80" i="17"/>
  <c r="P80" i="17" s="1"/>
  <c r="BO79" i="17"/>
  <c r="BH79" i="17"/>
  <c r="BB79" i="17"/>
  <c r="AU79" i="17"/>
  <c r="CD79" i="17"/>
  <c r="BW79" i="17"/>
  <c r="AO79" i="17"/>
  <c r="AH79" i="17"/>
  <c r="AB79" i="17"/>
  <c r="U79" i="17"/>
  <c r="O79" i="17"/>
  <c r="H79" i="17"/>
  <c r="D79" i="17"/>
  <c r="C79" i="17"/>
  <c r="BO78" i="17"/>
  <c r="BH78" i="17"/>
  <c r="BB78" i="17"/>
  <c r="AU78" i="17"/>
  <c r="CD78" i="17"/>
  <c r="BW78" i="17"/>
  <c r="AO78" i="17"/>
  <c r="AH78" i="17"/>
  <c r="AB78" i="17"/>
  <c r="U78" i="17"/>
  <c r="O78" i="17"/>
  <c r="H78" i="17"/>
  <c r="D78" i="17"/>
  <c r="C78" i="17"/>
  <c r="BO77" i="17"/>
  <c r="BH77" i="17"/>
  <c r="BB77" i="17"/>
  <c r="AU77" i="17"/>
  <c r="CD77" i="17"/>
  <c r="BW77" i="17"/>
  <c r="AO77" i="17"/>
  <c r="AH77" i="17"/>
  <c r="AB77" i="17"/>
  <c r="U77" i="17"/>
  <c r="O77" i="17"/>
  <c r="H77" i="17"/>
  <c r="D77" i="17"/>
  <c r="C77" i="17"/>
  <c r="AP77" i="17" s="1"/>
  <c r="BO76" i="17"/>
  <c r="BH76" i="17"/>
  <c r="BB76" i="17"/>
  <c r="AU76" i="17"/>
  <c r="CD76" i="17"/>
  <c r="BW76" i="17"/>
  <c r="AO76" i="17"/>
  <c r="AH76" i="17"/>
  <c r="AB76" i="17"/>
  <c r="U76" i="17"/>
  <c r="O76" i="17"/>
  <c r="H76" i="17"/>
  <c r="D76" i="17"/>
  <c r="C76" i="17"/>
  <c r="BC76" i="17" s="1"/>
  <c r="BO75" i="17"/>
  <c r="BH75" i="17"/>
  <c r="BB75" i="17"/>
  <c r="AU75" i="17"/>
  <c r="CD75" i="17"/>
  <c r="BW75" i="17"/>
  <c r="AO75" i="17"/>
  <c r="AH75" i="17"/>
  <c r="AB75" i="17"/>
  <c r="U75" i="17"/>
  <c r="O75" i="17"/>
  <c r="H75" i="17"/>
  <c r="D75" i="17"/>
  <c r="C75" i="17"/>
  <c r="BO74" i="17"/>
  <c r="BH74" i="17"/>
  <c r="BB74" i="17"/>
  <c r="AU74" i="17"/>
  <c r="CD74" i="17"/>
  <c r="BW74" i="17"/>
  <c r="AO74" i="17"/>
  <c r="AH74" i="17"/>
  <c r="AB74" i="17"/>
  <c r="U74" i="17"/>
  <c r="O74" i="17"/>
  <c r="H74" i="17"/>
  <c r="D74" i="17"/>
  <c r="C74" i="17"/>
  <c r="BO73" i="17"/>
  <c r="BH73" i="17"/>
  <c r="BB73" i="17"/>
  <c r="AU73" i="17"/>
  <c r="CD73" i="17"/>
  <c r="BW73" i="17"/>
  <c r="AO73" i="17"/>
  <c r="AH73" i="17"/>
  <c r="AB73" i="17"/>
  <c r="U73" i="17"/>
  <c r="O73" i="17"/>
  <c r="H73" i="17"/>
  <c r="D73" i="17"/>
  <c r="C73" i="17"/>
  <c r="BC73" i="17" s="1"/>
  <c r="BO72" i="17"/>
  <c r="BH72" i="17"/>
  <c r="BB72" i="17"/>
  <c r="AU72" i="17"/>
  <c r="CD72" i="17"/>
  <c r="BW72" i="17"/>
  <c r="AO72" i="17"/>
  <c r="AH72" i="17"/>
  <c r="AB72" i="17"/>
  <c r="U72" i="17"/>
  <c r="O72" i="17"/>
  <c r="H72" i="17"/>
  <c r="D72" i="17"/>
  <c r="C72" i="17"/>
  <c r="BC72" i="17" s="1"/>
  <c r="BO71" i="17"/>
  <c r="BH71" i="17"/>
  <c r="BB71" i="17"/>
  <c r="AU71" i="17"/>
  <c r="CD71" i="17"/>
  <c r="BW71" i="17"/>
  <c r="AO71" i="17"/>
  <c r="AH71" i="17"/>
  <c r="AB71" i="17"/>
  <c r="U71" i="17"/>
  <c r="O71" i="17"/>
  <c r="H71" i="17"/>
  <c r="D71" i="17"/>
  <c r="C71" i="17"/>
  <c r="BO70" i="17"/>
  <c r="BH70" i="17"/>
  <c r="BB70" i="17"/>
  <c r="AU70" i="17"/>
  <c r="CD70" i="17"/>
  <c r="BW70" i="17"/>
  <c r="AO70" i="17"/>
  <c r="AH70" i="17"/>
  <c r="AB70" i="17"/>
  <c r="U70" i="17"/>
  <c r="O70" i="17"/>
  <c r="H70" i="17"/>
  <c r="D70" i="17"/>
  <c r="C70" i="17"/>
  <c r="BO69" i="17"/>
  <c r="BH69" i="17"/>
  <c r="BB69" i="17"/>
  <c r="AU69" i="17"/>
  <c r="CD69" i="17"/>
  <c r="BW69" i="17"/>
  <c r="AO69" i="17"/>
  <c r="AH69" i="17"/>
  <c r="AB69" i="17"/>
  <c r="U69" i="17"/>
  <c r="O69" i="17"/>
  <c r="H69" i="17"/>
  <c r="D69" i="17"/>
  <c r="C69" i="17"/>
  <c r="BC69" i="17" s="1"/>
  <c r="BO68" i="17"/>
  <c r="BH68" i="17"/>
  <c r="BB68" i="17"/>
  <c r="AU68" i="17"/>
  <c r="CD68" i="17"/>
  <c r="BW68" i="17"/>
  <c r="AO68" i="17"/>
  <c r="AH68" i="17"/>
  <c r="AB68" i="17"/>
  <c r="U68" i="17"/>
  <c r="O68" i="17"/>
  <c r="H68" i="17"/>
  <c r="D68" i="17"/>
  <c r="C68" i="17"/>
  <c r="BC68" i="17" s="1"/>
  <c r="BO67" i="17"/>
  <c r="BH67" i="17"/>
  <c r="BB67" i="17"/>
  <c r="AU67" i="17"/>
  <c r="CD67" i="17"/>
  <c r="BW67" i="17"/>
  <c r="AO67" i="17"/>
  <c r="AH67" i="17"/>
  <c r="AB67" i="17"/>
  <c r="U67" i="17"/>
  <c r="O67" i="17"/>
  <c r="H67" i="17"/>
  <c r="D67" i="17"/>
  <c r="C67" i="17"/>
  <c r="BO66" i="17"/>
  <c r="BH66" i="17"/>
  <c r="BB66" i="17"/>
  <c r="AU66" i="17"/>
  <c r="CD66" i="17"/>
  <c r="BW66" i="17"/>
  <c r="AO66" i="17"/>
  <c r="AH66" i="17"/>
  <c r="AB66" i="17"/>
  <c r="U66" i="17"/>
  <c r="O66" i="17"/>
  <c r="H66" i="17"/>
  <c r="D66" i="17"/>
  <c r="C66" i="17"/>
  <c r="BO65" i="17"/>
  <c r="BH65" i="17"/>
  <c r="BB65" i="17"/>
  <c r="AU65" i="17"/>
  <c r="CD65" i="17"/>
  <c r="BW65" i="17"/>
  <c r="AO65" i="17"/>
  <c r="AH65" i="17"/>
  <c r="AB65" i="17"/>
  <c r="U65" i="17"/>
  <c r="O65" i="17"/>
  <c r="H65" i="17"/>
  <c r="D65" i="17"/>
  <c r="C65" i="17"/>
  <c r="AC65" i="17" s="1"/>
  <c r="BO64" i="17"/>
  <c r="BH64" i="17"/>
  <c r="BB64" i="17"/>
  <c r="AU64" i="17"/>
  <c r="CD64" i="17"/>
  <c r="BW64" i="17"/>
  <c r="AO64" i="17"/>
  <c r="AH64" i="17"/>
  <c r="AB64" i="17"/>
  <c r="U64" i="17"/>
  <c r="O64" i="17"/>
  <c r="H64" i="17"/>
  <c r="D64" i="17"/>
  <c r="C64" i="17"/>
  <c r="P64" i="17" s="1"/>
  <c r="BO63" i="17"/>
  <c r="BH63" i="17"/>
  <c r="BB63" i="17"/>
  <c r="AU63" i="17"/>
  <c r="CD63" i="17"/>
  <c r="BW63" i="17"/>
  <c r="AO63" i="17"/>
  <c r="AH63" i="17"/>
  <c r="AB63" i="17"/>
  <c r="U63" i="17"/>
  <c r="O63" i="17"/>
  <c r="H63" i="17"/>
  <c r="D63" i="17"/>
  <c r="C63" i="17"/>
  <c r="BO62" i="17"/>
  <c r="BH62" i="17"/>
  <c r="BB62" i="17"/>
  <c r="AU62" i="17"/>
  <c r="CD62" i="17"/>
  <c r="BW62" i="17"/>
  <c r="AO62" i="17"/>
  <c r="AH62" i="17"/>
  <c r="AB62" i="17"/>
  <c r="U62" i="17"/>
  <c r="O62" i="17"/>
  <c r="H62" i="17"/>
  <c r="D62" i="17"/>
  <c r="C62" i="17"/>
  <c r="BC62" i="17" s="1"/>
  <c r="BO61" i="17"/>
  <c r="BH61" i="17"/>
  <c r="BB61" i="17"/>
  <c r="AU61" i="17"/>
  <c r="CD61" i="17"/>
  <c r="BW61" i="17"/>
  <c r="AO61" i="17"/>
  <c r="AH61" i="17"/>
  <c r="AB61" i="17"/>
  <c r="U61" i="17"/>
  <c r="O61" i="17"/>
  <c r="H61" i="17"/>
  <c r="D61" i="17"/>
  <c r="C61" i="17"/>
  <c r="BO60" i="17"/>
  <c r="BH60" i="17"/>
  <c r="BB60" i="17"/>
  <c r="AU60" i="17"/>
  <c r="CD60" i="17"/>
  <c r="BW60" i="17"/>
  <c r="AO60" i="17"/>
  <c r="AH60" i="17"/>
  <c r="AB60" i="17"/>
  <c r="U60" i="17"/>
  <c r="O60" i="17"/>
  <c r="H60" i="17"/>
  <c r="D60" i="17"/>
  <c r="C60" i="17"/>
  <c r="BO59" i="17"/>
  <c r="BH59" i="17"/>
  <c r="BB59" i="17"/>
  <c r="AU59" i="17"/>
  <c r="CD59" i="17"/>
  <c r="BW59" i="17"/>
  <c r="AO59" i="17"/>
  <c r="AH59" i="17"/>
  <c r="AB59" i="17"/>
  <c r="U59" i="17"/>
  <c r="O59" i="17"/>
  <c r="H59" i="17"/>
  <c r="D59" i="17"/>
  <c r="C59" i="17"/>
  <c r="BO58" i="17"/>
  <c r="BH58" i="17"/>
  <c r="BB58" i="17"/>
  <c r="AU58" i="17"/>
  <c r="CD58" i="17"/>
  <c r="BW58" i="17"/>
  <c r="AO58" i="17"/>
  <c r="AH58" i="17"/>
  <c r="AB58" i="17"/>
  <c r="U58" i="17"/>
  <c r="O58" i="17"/>
  <c r="H58" i="17"/>
  <c r="D58" i="17"/>
  <c r="C58" i="17"/>
  <c r="CE58" i="17" s="1"/>
  <c r="BO57" i="17"/>
  <c r="BH57" i="17"/>
  <c r="BB57" i="17"/>
  <c r="AU57" i="17"/>
  <c r="CD57" i="17"/>
  <c r="BW57" i="17"/>
  <c r="AO57" i="17"/>
  <c r="AH57" i="17"/>
  <c r="AB57" i="17"/>
  <c r="U57" i="17"/>
  <c r="O57" i="17"/>
  <c r="H57" i="17"/>
  <c r="D57" i="17"/>
  <c r="C57" i="17"/>
  <c r="BO56" i="17"/>
  <c r="BH56" i="17"/>
  <c r="BB56" i="17"/>
  <c r="AU56" i="17"/>
  <c r="CD56" i="17"/>
  <c r="BW56" i="17"/>
  <c r="AO56" i="17"/>
  <c r="AH56" i="17"/>
  <c r="AB56" i="17"/>
  <c r="U56" i="17"/>
  <c r="O56" i="17"/>
  <c r="H56" i="17"/>
  <c r="D56" i="17"/>
  <c r="C56" i="17"/>
  <c r="BO55" i="17"/>
  <c r="BH55" i="17"/>
  <c r="BB55" i="17"/>
  <c r="AU55" i="17"/>
  <c r="CD55" i="17"/>
  <c r="BW55" i="17"/>
  <c r="AO55" i="17"/>
  <c r="AH55" i="17"/>
  <c r="AB55" i="17"/>
  <c r="U55" i="17"/>
  <c r="O55" i="17"/>
  <c r="H55" i="17"/>
  <c r="D55" i="17"/>
  <c r="C55" i="17"/>
  <c r="BO54" i="17"/>
  <c r="BH54" i="17"/>
  <c r="BB54" i="17"/>
  <c r="AU54" i="17"/>
  <c r="CD54" i="17"/>
  <c r="BW54" i="17"/>
  <c r="AO54" i="17"/>
  <c r="AH54" i="17"/>
  <c r="AB54" i="17"/>
  <c r="U54" i="17"/>
  <c r="O54" i="17"/>
  <c r="H54" i="17"/>
  <c r="D54" i="17"/>
  <c r="C54" i="17"/>
  <c r="BO53" i="17"/>
  <c r="BH53" i="17"/>
  <c r="BB53" i="17"/>
  <c r="AU53" i="17"/>
  <c r="CD53" i="17"/>
  <c r="BW53" i="17"/>
  <c r="AO53" i="17"/>
  <c r="AH53" i="17"/>
  <c r="AB53" i="17"/>
  <c r="U53" i="17"/>
  <c r="O53" i="17"/>
  <c r="H53" i="17"/>
  <c r="D53" i="17"/>
  <c r="C53" i="17"/>
  <c r="BO52" i="17"/>
  <c r="BH52" i="17"/>
  <c r="BB52" i="17"/>
  <c r="AU52" i="17"/>
  <c r="CD52" i="17"/>
  <c r="BW52" i="17"/>
  <c r="AO52" i="17"/>
  <c r="AH52" i="17"/>
  <c r="AB52" i="17"/>
  <c r="U52" i="17"/>
  <c r="O52" i="17"/>
  <c r="H52" i="17"/>
  <c r="D52" i="17"/>
  <c r="C52" i="17"/>
  <c r="BO51" i="17"/>
  <c r="BH51" i="17"/>
  <c r="BB51" i="17"/>
  <c r="AU51" i="17"/>
  <c r="CD51" i="17"/>
  <c r="BW51" i="17"/>
  <c r="AO51" i="17"/>
  <c r="AH51" i="17"/>
  <c r="AB51" i="17"/>
  <c r="U51" i="17"/>
  <c r="O51" i="17"/>
  <c r="H51" i="17"/>
  <c r="D51" i="17"/>
  <c r="C51" i="17"/>
  <c r="AC51" i="17" s="1"/>
  <c r="BO50" i="17"/>
  <c r="BH50" i="17"/>
  <c r="BB50" i="17"/>
  <c r="AU50" i="17"/>
  <c r="CD50" i="17"/>
  <c r="BW50" i="17"/>
  <c r="AO50" i="17"/>
  <c r="AH50" i="17"/>
  <c r="AB50" i="17"/>
  <c r="U50" i="17"/>
  <c r="O50" i="17"/>
  <c r="H50" i="17"/>
  <c r="D50" i="17"/>
  <c r="C50" i="17"/>
  <c r="BO49" i="17"/>
  <c r="BH49" i="17"/>
  <c r="BB49" i="17"/>
  <c r="AU49" i="17"/>
  <c r="CD49" i="17"/>
  <c r="BW49" i="17"/>
  <c r="AO49" i="17"/>
  <c r="AH49" i="17"/>
  <c r="AB49" i="17"/>
  <c r="U49" i="17"/>
  <c r="O49" i="17"/>
  <c r="H49" i="17"/>
  <c r="D49" i="17"/>
  <c r="C49" i="17"/>
  <c r="BO48" i="17"/>
  <c r="BH48" i="17"/>
  <c r="BB48" i="17"/>
  <c r="AU48" i="17"/>
  <c r="CD48" i="17"/>
  <c r="BW48" i="17"/>
  <c r="AO48" i="17"/>
  <c r="AH48" i="17"/>
  <c r="AB48" i="17"/>
  <c r="U48" i="17"/>
  <c r="O48" i="17"/>
  <c r="H48" i="17"/>
  <c r="D48" i="17"/>
  <c r="C48" i="17"/>
  <c r="BO47" i="17"/>
  <c r="BH47" i="17"/>
  <c r="BB47" i="17"/>
  <c r="AU47" i="17"/>
  <c r="CD47" i="17"/>
  <c r="BW47" i="17"/>
  <c r="AO47" i="17"/>
  <c r="AH47" i="17"/>
  <c r="AB47" i="17"/>
  <c r="U47" i="17"/>
  <c r="O47" i="17"/>
  <c r="H47" i="17"/>
  <c r="D47" i="17"/>
  <c r="C47" i="17"/>
  <c r="BC47" i="17" s="1"/>
  <c r="BO46" i="17"/>
  <c r="BH46" i="17"/>
  <c r="BB46" i="17"/>
  <c r="AU46" i="17"/>
  <c r="CD46" i="17"/>
  <c r="BW46" i="17"/>
  <c r="AO46" i="17"/>
  <c r="AH46" i="17"/>
  <c r="AB46" i="17"/>
  <c r="U46" i="17"/>
  <c r="O46" i="17"/>
  <c r="H46" i="17"/>
  <c r="D46" i="17"/>
  <c r="C46" i="17"/>
  <c r="BO45" i="17"/>
  <c r="BH45" i="17"/>
  <c r="BB45" i="17"/>
  <c r="AU45" i="17"/>
  <c r="CD45" i="17"/>
  <c r="BW45" i="17"/>
  <c r="AO45" i="17"/>
  <c r="AH45" i="17"/>
  <c r="AB45" i="17"/>
  <c r="U45" i="17"/>
  <c r="O45" i="17"/>
  <c r="H45" i="17"/>
  <c r="D45" i="17"/>
  <c r="C45" i="17"/>
  <c r="BO44" i="17"/>
  <c r="BH44" i="17"/>
  <c r="BB44" i="17"/>
  <c r="AU44" i="17"/>
  <c r="CD44" i="17"/>
  <c r="BW44" i="17"/>
  <c r="AO44" i="17"/>
  <c r="AH44" i="17"/>
  <c r="AB44" i="17"/>
  <c r="U44" i="17"/>
  <c r="O44" i="17"/>
  <c r="H44" i="17"/>
  <c r="D44" i="17"/>
  <c r="C44" i="17"/>
  <c r="BO43" i="17"/>
  <c r="BH43" i="17"/>
  <c r="BB43" i="17"/>
  <c r="AU43" i="17"/>
  <c r="CD43" i="17"/>
  <c r="BW43" i="17"/>
  <c r="AO43" i="17"/>
  <c r="AH43" i="17"/>
  <c r="AB43" i="17"/>
  <c r="U43" i="17"/>
  <c r="O43" i="17"/>
  <c r="H43" i="17"/>
  <c r="D43" i="17"/>
  <c r="C43" i="17"/>
  <c r="CE43" i="17" s="1"/>
  <c r="BO42" i="17"/>
  <c r="BH42" i="17"/>
  <c r="BB42" i="17"/>
  <c r="AU42" i="17"/>
  <c r="CD42" i="17"/>
  <c r="BW42" i="17"/>
  <c r="AO42" i="17"/>
  <c r="AH42" i="17"/>
  <c r="AB42" i="17"/>
  <c r="U42" i="17"/>
  <c r="O42" i="17"/>
  <c r="H42" i="17"/>
  <c r="D42" i="17"/>
  <c r="C42" i="17"/>
  <c r="BO41" i="17"/>
  <c r="BH41" i="17"/>
  <c r="BB41" i="17"/>
  <c r="AU41" i="17"/>
  <c r="CD41" i="17"/>
  <c r="BW41" i="17"/>
  <c r="AO41" i="17"/>
  <c r="AH41" i="17"/>
  <c r="AB41" i="17"/>
  <c r="U41" i="17"/>
  <c r="O41" i="17"/>
  <c r="H41" i="17"/>
  <c r="D41" i="17"/>
  <c r="C41" i="17"/>
  <c r="BO40" i="17"/>
  <c r="BH40" i="17"/>
  <c r="BB40" i="17"/>
  <c r="AU40" i="17"/>
  <c r="CD40" i="17"/>
  <c r="BW40" i="17"/>
  <c r="AO40" i="17"/>
  <c r="AH40" i="17"/>
  <c r="AB40" i="17"/>
  <c r="U40" i="17"/>
  <c r="O40" i="17"/>
  <c r="H40" i="17"/>
  <c r="D40" i="17"/>
  <c r="C40" i="17"/>
  <c r="BO39" i="17"/>
  <c r="BH39" i="17"/>
  <c r="BB39" i="17"/>
  <c r="AU39" i="17"/>
  <c r="CD39" i="17"/>
  <c r="BW39" i="17"/>
  <c r="AO39" i="17"/>
  <c r="AH39" i="17"/>
  <c r="AB39" i="17"/>
  <c r="U39" i="17"/>
  <c r="O39" i="17"/>
  <c r="H39" i="17"/>
  <c r="D39" i="17"/>
  <c r="C39" i="17"/>
  <c r="AC39" i="17" s="1"/>
  <c r="BO38" i="17"/>
  <c r="BH38" i="17"/>
  <c r="BB38" i="17"/>
  <c r="AU38" i="17"/>
  <c r="CD38" i="17"/>
  <c r="BW38" i="17"/>
  <c r="AO38" i="17"/>
  <c r="AH38" i="17"/>
  <c r="AB38" i="17"/>
  <c r="U38" i="17"/>
  <c r="O38" i="17"/>
  <c r="H38" i="17"/>
  <c r="D38" i="17"/>
  <c r="C38" i="17"/>
  <c r="BO37" i="17"/>
  <c r="BH37" i="17"/>
  <c r="BB37" i="17"/>
  <c r="AU37" i="17"/>
  <c r="CD37" i="17"/>
  <c r="BW37" i="17"/>
  <c r="AO37" i="17"/>
  <c r="AH37" i="17"/>
  <c r="AB37" i="17"/>
  <c r="U37" i="17"/>
  <c r="O37" i="17"/>
  <c r="H37" i="17"/>
  <c r="D37" i="17"/>
  <c r="C37" i="17"/>
  <c r="BO36" i="17"/>
  <c r="BH36" i="17"/>
  <c r="BB36" i="17"/>
  <c r="AU36" i="17"/>
  <c r="CD36" i="17"/>
  <c r="BW36" i="17"/>
  <c r="AO36" i="17"/>
  <c r="AH36" i="17"/>
  <c r="AB36" i="17"/>
  <c r="U36" i="17"/>
  <c r="O36" i="17"/>
  <c r="H36" i="17"/>
  <c r="D36" i="17"/>
  <c r="C36" i="17"/>
  <c r="BO35" i="17"/>
  <c r="BH35" i="17"/>
  <c r="BB35" i="17"/>
  <c r="AU35" i="17"/>
  <c r="CD35" i="17"/>
  <c r="BW35" i="17"/>
  <c r="AO35" i="17"/>
  <c r="AH35" i="17"/>
  <c r="AB35" i="17"/>
  <c r="U35" i="17"/>
  <c r="O35" i="17"/>
  <c r="H35" i="17"/>
  <c r="D35" i="17"/>
  <c r="C35" i="17"/>
  <c r="BC35" i="17" s="1"/>
  <c r="BO34" i="17"/>
  <c r="BH34" i="17"/>
  <c r="BB34" i="17"/>
  <c r="AU34" i="17"/>
  <c r="CD34" i="17"/>
  <c r="BW34" i="17"/>
  <c r="AO34" i="17"/>
  <c r="AH34" i="17"/>
  <c r="AB34" i="17"/>
  <c r="U34" i="17"/>
  <c r="O34" i="17"/>
  <c r="H34" i="17"/>
  <c r="D34" i="17"/>
  <c r="C34" i="17"/>
  <c r="BO33" i="17"/>
  <c r="BH33" i="17"/>
  <c r="BB33" i="17"/>
  <c r="AU33" i="17"/>
  <c r="CD33" i="17"/>
  <c r="BW33" i="17"/>
  <c r="AO33" i="17"/>
  <c r="AH33" i="17"/>
  <c r="AB33" i="17"/>
  <c r="U33" i="17"/>
  <c r="O33" i="17"/>
  <c r="H33" i="17"/>
  <c r="D33" i="17"/>
  <c r="C33" i="17"/>
  <c r="BO32" i="17"/>
  <c r="BH32" i="17"/>
  <c r="BB32" i="17"/>
  <c r="AU32" i="17"/>
  <c r="CD32" i="17"/>
  <c r="BW32" i="17"/>
  <c r="AO32" i="17"/>
  <c r="AH32" i="17"/>
  <c r="AB32" i="17"/>
  <c r="U32" i="17"/>
  <c r="O32" i="17"/>
  <c r="H32" i="17"/>
  <c r="D32" i="17"/>
  <c r="C32" i="17"/>
  <c r="BO31" i="17"/>
  <c r="BH31" i="17"/>
  <c r="BB31" i="17"/>
  <c r="AU31" i="17"/>
  <c r="CD31" i="17"/>
  <c r="BW31" i="17"/>
  <c r="AO31" i="17"/>
  <c r="AH31" i="17"/>
  <c r="AB31" i="17"/>
  <c r="U31" i="17"/>
  <c r="O31" i="17"/>
  <c r="H31" i="17"/>
  <c r="D31" i="17"/>
  <c r="C31" i="17"/>
  <c r="AC31" i="17" s="1"/>
  <c r="BO30" i="17"/>
  <c r="BH30" i="17"/>
  <c r="BB30" i="17"/>
  <c r="AU30" i="17"/>
  <c r="CD30" i="17"/>
  <c r="BW30" i="17"/>
  <c r="AO30" i="17"/>
  <c r="AH30" i="17"/>
  <c r="AB30" i="17"/>
  <c r="U30" i="17"/>
  <c r="O30" i="17"/>
  <c r="H30" i="17"/>
  <c r="D30" i="17"/>
  <c r="C30" i="17"/>
  <c r="BO29" i="17"/>
  <c r="BH29" i="17"/>
  <c r="BB29" i="17"/>
  <c r="AU29" i="17"/>
  <c r="CD29" i="17"/>
  <c r="BW29" i="17"/>
  <c r="AO29" i="17"/>
  <c r="AH29" i="17"/>
  <c r="AB29" i="17"/>
  <c r="U29" i="17"/>
  <c r="O29" i="17"/>
  <c r="H29" i="17"/>
  <c r="D29" i="17"/>
  <c r="C29" i="17"/>
  <c r="BO28" i="17"/>
  <c r="BH28" i="17"/>
  <c r="BB28" i="17"/>
  <c r="AU28" i="17"/>
  <c r="CD28" i="17"/>
  <c r="BW28" i="17"/>
  <c r="AO28" i="17"/>
  <c r="AH28" i="17"/>
  <c r="AB28" i="17"/>
  <c r="U28" i="17"/>
  <c r="O28" i="17"/>
  <c r="H28" i="17"/>
  <c r="D28" i="17"/>
  <c r="C28" i="17"/>
  <c r="BO27" i="17"/>
  <c r="BH27" i="17"/>
  <c r="BB27" i="17"/>
  <c r="AU27" i="17"/>
  <c r="CD27" i="17"/>
  <c r="BW27" i="17"/>
  <c r="AO27" i="17"/>
  <c r="AH27" i="17"/>
  <c r="AB27" i="17"/>
  <c r="U27" i="17"/>
  <c r="O27" i="17"/>
  <c r="H27" i="17"/>
  <c r="D27" i="17"/>
  <c r="C27" i="17"/>
  <c r="BC27" i="17" s="1"/>
  <c r="BO26" i="17"/>
  <c r="BH26" i="17"/>
  <c r="BB26" i="17"/>
  <c r="AU26" i="17"/>
  <c r="CD26" i="17"/>
  <c r="BW26" i="17"/>
  <c r="AO26" i="17"/>
  <c r="AH26" i="17"/>
  <c r="AB26" i="17"/>
  <c r="U26" i="17"/>
  <c r="O26" i="17"/>
  <c r="H26" i="17"/>
  <c r="D26" i="17"/>
  <c r="C26" i="17"/>
  <c r="BO25" i="17"/>
  <c r="BH25" i="17"/>
  <c r="BB25" i="17"/>
  <c r="AU25" i="17"/>
  <c r="CD25" i="17"/>
  <c r="BW25" i="17"/>
  <c r="AO25" i="17"/>
  <c r="AH25" i="17"/>
  <c r="AB25" i="17"/>
  <c r="U25" i="17"/>
  <c r="O25" i="17"/>
  <c r="H25" i="17"/>
  <c r="D25" i="17"/>
  <c r="C25" i="17"/>
  <c r="BO24" i="17"/>
  <c r="BH24" i="17"/>
  <c r="BB24" i="17"/>
  <c r="AU24" i="17"/>
  <c r="CD24" i="17"/>
  <c r="BW24" i="17"/>
  <c r="AO24" i="17"/>
  <c r="AH24" i="17"/>
  <c r="AB24" i="17"/>
  <c r="U24" i="17"/>
  <c r="O24" i="17"/>
  <c r="H24" i="17"/>
  <c r="D24" i="17"/>
  <c r="C24" i="17"/>
  <c r="AP24" i="17" s="1"/>
  <c r="BO23" i="17"/>
  <c r="BH23" i="17"/>
  <c r="BB23" i="17"/>
  <c r="AU23" i="17"/>
  <c r="CD23" i="17"/>
  <c r="BW23" i="17"/>
  <c r="AO23" i="17"/>
  <c r="AH23" i="17"/>
  <c r="AB23" i="17"/>
  <c r="U23" i="17"/>
  <c r="O23" i="17"/>
  <c r="H23" i="17"/>
  <c r="D23" i="17"/>
  <c r="C23" i="17"/>
  <c r="BC23" i="17" s="1"/>
  <c r="BO22" i="17"/>
  <c r="BH22" i="17"/>
  <c r="BB22" i="17"/>
  <c r="AU22" i="17"/>
  <c r="CD22" i="17"/>
  <c r="BW22" i="17"/>
  <c r="AO22" i="17"/>
  <c r="AH22" i="17"/>
  <c r="AB22" i="17"/>
  <c r="U22" i="17"/>
  <c r="O22" i="17"/>
  <c r="H22" i="17"/>
  <c r="D22" i="17"/>
  <c r="C22" i="17"/>
  <c r="BO21" i="17"/>
  <c r="BH21" i="17"/>
  <c r="BB21" i="17"/>
  <c r="AU21" i="17"/>
  <c r="CD21" i="17"/>
  <c r="BW21" i="17"/>
  <c r="AO21" i="17"/>
  <c r="AH21" i="17"/>
  <c r="AB21" i="17"/>
  <c r="U21" i="17"/>
  <c r="O21" i="17"/>
  <c r="H21" i="17"/>
  <c r="D21" i="17"/>
  <c r="C21" i="17"/>
  <c r="BO20" i="17"/>
  <c r="BH20" i="17"/>
  <c r="BB20" i="17"/>
  <c r="AU20" i="17"/>
  <c r="CD20" i="17"/>
  <c r="BW20" i="17"/>
  <c r="AO20" i="17"/>
  <c r="AH20" i="17"/>
  <c r="AB20" i="17"/>
  <c r="U20" i="17"/>
  <c r="O20" i="17"/>
  <c r="H20" i="17"/>
  <c r="D20" i="17"/>
  <c r="C20" i="17"/>
  <c r="AC20" i="17" s="1"/>
  <c r="BO19" i="17"/>
  <c r="BH19" i="17"/>
  <c r="BB19" i="17"/>
  <c r="AU19" i="17"/>
  <c r="CD19" i="17"/>
  <c r="BW19" i="17"/>
  <c r="AO19" i="17"/>
  <c r="AH19" i="17"/>
  <c r="AB19" i="17"/>
  <c r="U19" i="17"/>
  <c r="O19" i="17"/>
  <c r="H19" i="17"/>
  <c r="D19" i="17"/>
  <c r="C19" i="17"/>
  <c r="CE19" i="17" s="1"/>
  <c r="BO18" i="17"/>
  <c r="BH18" i="17"/>
  <c r="BB18" i="17"/>
  <c r="AU18" i="17"/>
  <c r="CD18" i="17"/>
  <c r="BW18" i="17"/>
  <c r="AO18" i="17"/>
  <c r="AH18" i="17"/>
  <c r="AB18" i="17"/>
  <c r="U18" i="17"/>
  <c r="O18" i="17"/>
  <c r="H18" i="17"/>
  <c r="D18" i="17"/>
  <c r="C18" i="17"/>
  <c r="BO17" i="17"/>
  <c r="BH17" i="17"/>
  <c r="BB17" i="17"/>
  <c r="AU17" i="17"/>
  <c r="CD17" i="17"/>
  <c r="BW17" i="17"/>
  <c r="AO17" i="17"/>
  <c r="AH17" i="17"/>
  <c r="AB17" i="17"/>
  <c r="U17" i="17"/>
  <c r="O17" i="17"/>
  <c r="H17" i="17"/>
  <c r="D17" i="17"/>
  <c r="C17" i="17"/>
  <c r="B17" i="17"/>
  <c r="BQ16" i="17"/>
  <c r="BQ17" i="17" s="1"/>
  <c r="BQ18" i="17" s="1"/>
  <c r="BQ19" i="17" s="1"/>
  <c r="BO16" i="17"/>
  <c r="BJ16" i="17"/>
  <c r="BJ17" i="17" s="1"/>
  <c r="BJ18" i="17" s="1"/>
  <c r="BJ19" i="17" s="1"/>
  <c r="BJ20" i="17" s="1"/>
  <c r="BJ21" i="17" s="1"/>
  <c r="BJ22" i="17" s="1"/>
  <c r="BJ23" i="17" s="1"/>
  <c r="BJ24" i="17" s="1"/>
  <c r="BJ25" i="17" s="1"/>
  <c r="BJ26" i="17" s="1"/>
  <c r="BJ27" i="17" s="1"/>
  <c r="BJ28" i="17" s="1"/>
  <c r="BJ29" i="17" s="1"/>
  <c r="BJ30" i="17" s="1"/>
  <c r="BJ31" i="17" s="1"/>
  <c r="BJ32" i="17" s="1"/>
  <c r="BJ33" i="17" s="1"/>
  <c r="BJ34" i="17" s="1"/>
  <c r="BJ35" i="17" s="1"/>
  <c r="BJ36" i="17" s="1"/>
  <c r="BJ37" i="17" s="1"/>
  <c r="BJ38" i="17" s="1"/>
  <c r="BJ39" i="17" s="1"/>
  <c r="BJ40" i="17" s="1"/>
  <c r="BJ41" i="17" s="1"/>
  <c r="BJ42" i="17" s="1"/>
  <c r="BJ43" i="17" s="1"/>
  <c r="BJ44" i="17" s="1"/>
  <c r="BJ45" i="17" s="1"/>
  <c r="BJ46" i="17" s="1"/>
  <c r="BH16" i="17"/>
  <c r="BB16" i="17"/>
  <c r="AW16" i="17"/>
  <c r="AW17" i="17" s="1"/>
  <c r="AW18" i="17" s="1"/>
  <c r="AW19" i="17" s="1"/>
  <c r="AW20" i="17" s="1"/>
  <c r="AW21" i="17" s="1"/>
  <c r="AW22" i="17" s="1"/>
  <c r="AW23" i="17" s="1"/>
  <c r="AW24" i="17" s="1"/>
  <c r="AW25" i="17" s="1"/>
  <c r="AW26" i="17" s="1"/>
  <c r="AW27" i="17" s="1"/>
  <c r="AW28" i="17" s="1"/>
  <c r="AW29" i="17" s="1"/>
  <c r="AW30" i="17" s="1"/>
  <c r="AW31" i="17" s="1"/>
  <c r="AW32" i="17" s="1"/>
  <c r="AW33" i="17" s="1"/>
  <c r="AW34" i="17" s="1"/>
  <c r="AW35" i="17" s="1"/>
  <c r="AW36" i="17" s="1"/>
  <c r="AW37" i="17" s="1"/>
  <c r="AW38" i="17" s="1"/>
  <c r="AW39" i="17" s="1"/>
  <c r="AW40" i="17" s="1"/>
  <c r="AW41" i="17" s="1"/>
  <c r="AW42" i="17" s="1"/>
  <c r="AW43" i="17" s="1"/>
  <c r="AW44" i="17" s="1"/>
  <c r="AW45" i="17" s="1"/>
  <c r="AW46" i="17" s="1"/>
  <c r="AU16" i="17"/>
  <c r="CF16" i="17"/>
  <c r="CF17" i="17" s="1"/>
  <c r="CF18" i="17" s="1"/>
  <c r="CD16" i="17"/>
  <c r="BY16" i="17"/>
  <c r="BY17" i="17" s="1"/>
  <c r="BY18" i="17" s="1"/>
  <c r="BY19" i="17" s="1"/>
  <c r="BY20" i="17" s="1"/>
  <c r="BY21" i="17" s="1"/>
  <c r="BY22" i="17" s="1"/>
  <c r="CA22" i="17" s="1"/>
  <c r="BW16" i="17"/>
  <c r="AO16" i="17"/>
  <c r="AJ16" i="17"/>
  <c r="AJ17" i="17" s="1"/>
  <c r="AJ18" i="17" s="1"/>
  <c r="AJ19" i="17" s="1"/>
  <c r="AH16" i="17"/>
  <c r="AB16" i="17"/>
  <c r="W16" i="17"/>
  <c r="W17" i="17" s="1"/>
  <c r="W18" i="17" s="1"/>
  <c r="W19" i="17" s="1"/>
  <c r="U16" i="17"/>
  <c r="O16" i="17"/>
  <c r="J16" i="17"/>
  <c r="J17" i="17" s="1"/>
  <c r="J18" i="17" s="1"/>
  <c r="J19" i="17" s="1"/>
  <c r="H16" i="17"/>
  <c r="D16" i="17"/>
  <c r="C16" i="17"/>
  <c r="B16" i="17"/>
  <c r="BO15" i="17"/>
  <c r="BH15" i="17"/>
  <c r="BB15" i="17"/>
  <c r="AU15" i="17"/>
  <c r="CD15" i="17"/>
  <c r="BW15" i="17"/>
  <c r="AO15" i="17"/>
  <c r="AH15" i="17"/>
  <c r="AB15" i="17"/>
  <c r="U15" i="17"/>
  <c r="O15" i="17"/>
  <c r="H15" i="17"/>
  <c r="B509" i="35"/>
  <c r="B508" i="35"/>
  <c r="B507" i="35"/>
  <c r="B506" i="35"/>
  <c r="B505" i="35"/>
  <c r="B504" i="35"/>
  <c r="B503" i="35"/>
  <c r="B502" i="35"/>
  <c r="B501" i="35"/>
  <c r="B500" i="35"/>
  <c r="B499" i="35"/>
  <c r="B498" i="35"/>
  <c r="B497" i="35"/>
  <c r="B496" i="35"/>
  <c r="B495" i="35"/>
  <c r="B494" i="35"/>
  <c r="B493" i="35"/>
  <c r="B492" i="35"/>
  <c r="B491" i="35"/>
  <c r="B490" i="35"/>
  <c r="B489" i="35"/>
  <c r="B488" i="35"/>
  <c r="B487" i="35"/>
  <c r="B486" i="35"/>
  <c r="B485" i="35"/>
  <c r="B484" i="35"/>
  <c r="B483" i="35"/>
  <c r="B482" i="35"/>
  <c r="B481" i="35"/>
  <c r="B480" i="35"/>
  <c r="B479" i="35"/>
  <c r="B478" i="35"/>
  <c r="B477" i="35"/>
  <c r="B476" i="35"/>
  <c r="B475" i="35"/>
  <c r="B474" i="35"/>
  <c r="B473" i="35"/>
  <c r="B472" i="35"/>
  <c r="B471" i="35"/>
  <c r="B470" i="35"/>
  <c r="B469" i="35"/>
  <c r="B468" i="35"/>
  <c r="B467" i="35"/>
  <c r="B466" i="35"/>
  <c r="B465" i="35"/>
  <c r="B464" i="35"/>
  <c r="B463" i="35"/>
  <c r="B462" i="35"/>
  <c r="B461" i="35"/>
  <c r="B460" i="35"/>
  <c r="B459" i="35"/>
  <c r="B458" i="35"/>
  <c r="B457" i="35"/>
  <c r="B456" i="35"/>
  <c r="B455" i="35"/>
  <c r="B454" i="35"/>
  <c r="B453" i="35"/>
  <c r="B452" i="35"/>
  <c r="B451" i="35"/>
  <c r="B450" i="35"/>
  <c r="B449" i="35"/>
  <c r="B448" i="35"/>
  <c r="B447" i="35"/>
  <c r="B446" i="35"/>
  <c r="B445" i="35"/>
  <c r="B444" i="35"/>
  <c r="B443" i="35"/>
  <c r="B442" i="35"/>
  <c r="B441" i="35"/>
  <c r="B440" i="35"/>
  <c r="B439" i="35"/>
  <c r="B438" i="35"/>
  <c r="B437" i="35"/>
  <c r="B436" i="35"/>
  <c r="B435" i="35"/>
  <c r="B434" i="35"/>
  <c r="B433" i="35"/>
  <c r="B432" i="35"/>
  <c r="B431" i="35"/>
  <c r="B430" i="35"/>
  <c r="B429" i="35"/>
  <c r="B428" i="35"/>
  <c r="B427" i="35"/>
  <c r="B426" i="35"/>
  <c r="B425" i="35"/>
  <c r="B424" i="35"/>
  <c r="B423" i="35"/>
  <c r="B422" i="35"/>
  <c r="B421" i="35"/>
  <c r="B420" i="35"/>
  <c r="B419" i="35"/>
  <c r="B418" i="35"/>
  <c r="B417" i="35"/>
  <c r="B416" i="35"/>
  <c r="B415" i="35"/>
  <c r="B414" i="35"/>
  <c r="B413" i="35"/>
  <c r="B412" i="35"/>
  <c r="B411" i="35"/>
  <c r="B410" i="35"/>
  <c r="B409" i="35"/>
  <c r="B408" i="35"/>
  <c r="B407" i="35"/>
  <c r="B406" i="35"/>
  <c r="B405" i="35"/>
  <c r="B404" i="35"/>
  <c r="B403" i="35"/>
  <c r="B402" i="35"/>
  <c r="B401" i="35"/>
  <c r="B400" i="35"/>
  <c r="B399" i="35"/>
  <c r="B398" i="35"/>
  <c r="B397" i="35"/>
  <c r="B396" i="35"/>
  <c r="B395" i="35"/>
  <c r="B394" i="35"/>
  <c r="B393" i="35"/>
  <c r="B392" i="35"/>
  <c r="B391" i="35"/>
  <c r="B390" i="35"/>
  <c r="B389" i="35"/>
  <c r="B388" i="35"/>
  <c r="B387" i="35"/>
  <c r="B386" i="35"/>
  <c r="B385" i="35"/>
  <c r="B384" i="35"/>
  <c r="B383" i="35"/>
  <c r="B382" i="35"/>
  <c r="B381" i="35"/>
  <c r="B380" i="35"/>
  <c r="B379" i="35"/>
  <c r="B378" i="35"/>
  <c r="B377" i="35"/>
  <c r="B376" i="35"/>
  <c r="B375" i="35"/>
  <c r="B374" i="35"/>
  <c r="B373" i="35"/>
  <c r="B372" i="35"/>
  <c r="B371" i="35"/>
  <c r="B370" i="35"/>
  <c r="B369" i="35"/>
  <c r="B368" i="35"/>
  <c r="B367" i="35"/>
  <c r="B366" i="35"/>
  <c r="B365" i="35"/>
  <c r="B364" i="35"/>
  <c r="B363" i="35"/>
  <c r="B362" i="35"/>
  <c r="B361" i="35"/>
  <c r="B360" i="35"/>
  <c r="B359" i="35"/>
  <c r="B358" i="35"/>
  <c r="B357" i="35"/>
  <c r="B356" i="35"/>
  <c r="B355" i="35"/>
  <c r="B354" i="35"/>
  <c r="B353" i="35"/>
  <c r="B352" i="35"/>
  <c r="B351" i="35"/>
  <c r="B350" i="35"/>
  <c r="B349" i="35"/>
  <c r="B348" i="35"/>
  <c r="B347" i="35"/>
  <c r="B346" i="35"/>
  <c r="B345" i="35"/>
  <c r="B344" i="35"/>
  <c r="B343" i="35"/>
  <c r="B342" i="35"/>
  <c r="B341" i="35"/>
  <c r="B340" i="35"/>
  <c r="B339" i="35"/>
  <c r="B338" i="35"/>
  <c r="B337" i="35"/>
  <c r="B336" i="35"/>
  <c r="B335" i="35"/>
  <c r="B334" i="35"/>
  <c r="B333" i="35"/>
  <c r="B332" i="35"/>
  <c r="P310" i="35"/>
  <c r="J310" i="35"/>
  <c r="P309" i="35"/>
  <c r="J309" i="35"/>
  <c r="P308" i="35"/>
  <c r="J308" i="35"/>
  <c r="P307" i="35"/>
  <c r="J307" i="35"/>
  <c r="P306" i="35"/>
  <c r="J306" i="35"/>
  <c r="P305" i="35"/>
  <c r="J305" i="35"/>
  <c r="P304" i="35"/>
  <c r="J304" i="35"/>
  <c r="P303" i="35"/>
  <c r="J303" i="35"/>
  <c r="P302" i="35"/>
  <c r="J302" i="35"/>
  <c r="P301" i="35"/>
  <c r="J301" i="35"/>
  <c r="P300" i="35"/>
  <c r="J300" i="35"/>
  <c r="P299" i="35"/>
  <c r="J299" i="35"/>
  <c r="P298" i="35"/>
  <c r="J298" i="35"/>
  <c r="P297" i="35"/>
  <c r="J297" i="35"/>
  <c r="P296" i="35"/>
  <c r="J296" i="35"/>
  <c r="P295" i="35"/>
  <c r="J295" i="35"/>
  <c r="P294" i="35"/>
  <c r="J294" i="35"/>
  <c r="P293" i="35"/>
  <c r="J293" i="35"/>
  <c r="P292" i="35"/>
  <c r="J292" i="35"/>
  <c r="P291" i="35"/>
  <c r="J291" i="35"/>
  <c r="P290" i="35"/>
  <c r="J290" i="35"/>
  <c r="P289" i="35"/>
  <c r="J289" i="35"/>
  <c r="P288" i="35"/>
  <c r="J288" i="35"/>
  <c r="P287" i="35"/>
  <c r="J287" i="35"/>
  <c r="P286" i="35"/>
  <c r="J286" i="35"/>
  <c r="P285" i="35"/>
  <c r="J285" i="35"/>
  <c r="P284" i="35"/>
  <c r="J284" i="35"/>
  <c r="P283" i="35"/>
  <c r="J283" i="35"/>
  <c r="P282" i="35"/>
  <c r="J282" i="35"/>
  <c r="P281" i="35"/>
  <c r="J281" i="35"/>
  <c r="P280" i="35"/>
  <c r="J280" i="35"/>
  <c r="P279" i="35"/>
  <c r="J279" i="35"/>
  <c r="P278" i="35"/>
  <c r="J278" i="35"/>
  <c r="P277" i="35"/>
  <c r="J277" i="35"/>
  <c r="P276" i="35"/>
  <c r="J276" i="35"/>
  <c r="P275" i="35"/>
  <c r="J275" i="35"/>
  <c r="P274" i="35"/>
  <c r="J274" i="35"/>
  <c r="P273" i="35"/>
  <c r="J273" i="35"/>
  <c r="P272" i="35"/>
  <c r="J272" i="35"/>
  <c r="P271" i="35"/>
  <c r="J271" i="35"/>
  <c r="P270" i="35"/>
  <c r="J270" i="35"/>
  <c r="P269" i="35"/>
  <c r="J269" i="35"/>
  <c r="P268" i="35"/>
  <c r="J268" i="35"/>
  <c r="P267" i="35"/>
  <c r="J267" i="35"/>
  <c r="P266" i="35"/>
  <c r="J266" i="35"/>
  <c r="P265" i="35"/>
  <c r="J265" i="35"/>
  <c r="P264" i="35"/>
  <c r="J264" i="35"/>
  <c r="P263" i="35"/>
  <c r="J263" i="35"/>
  <c r="P262" i="35"/>
  <c r="J262" i="35"/>
  <c r="P261" i="35"/>
  <c r="J261" i="35"/>
  <c r="P260" i="35"/>
  <c r="J260" i="35"/>
  <c r="P259" i="35"/>
  <c r="J259" i="35"/>
  <c r="P258" i="35"/>
  <c r="J258" i="35"/>
  <c r="P257" i="35"/>
  <c r="J257" i="35"/>
  <c r="P256" i="35"/>
  <c r="J256" i="35"/>
  <c r="P255" i="35"/>
  <c r="J255" i="35"/>
  <c r="P254" i="35"/>
  <c r="J254" i="35"/>
  <c r="P253" i="35"/>
  <c r="J253" i="35"/>
  <c r="P252" i="35"/>
  <c r="J252" i="35"/>
  <c r="P251" i="35"/>
  <c r="J251" i="35"/>
  <c r="P250" i="35"/>
  <c r="J250" i="35"/>
  <c r="P249" i="35"/>
  <c r="J249" i="35"/>
  <c r="P248" i="35"/>
  <c r="J248" i="35"/>
  <c r="P247" i="35"/>
  <c r="J247" i="35"/>
  <c r="P246" i="35"/>
  <c r="J246" i="35"/>
  <c r="P245" i="35"/>
  <c r="J245" i="35"/>
  <c r="P244" i="35"/>
  <c r="J244" i="35"/>
  <c r="P243" i="35"/>
  <c r="J243" i="35"/>
  <c r="P242" i="35"/>
  <c r="J242" i="35"/>
  <c r="P241" i="35"/>
  <c r="J241" i="35"/>
  <c r="P240" i="35"/>
  <c r="J240" i="35"/>
  <c r="P239" i="35"/>
  <c r="J239" i="35"/>
  <c r="P238" i="35"/>
  <c r="J238" i="35"/>
  <c r="P237" i="35"/>
  <c r="J237" i="35"/>
  <c r="P236" i="35"/>
  <c r="J236" i="35"/>
  <c r="P235" i="35"/>
  <c r="J235" i="35"/>
  <c r="P234" i="35"/>
  <c r="J234" i="35"/>
  <c r="P233" i="35"/>
  <c r="J233" i="35"/>
  <c r="P232" i="35"/>
  <c r="J232" i="35"/>
  <c r="P231" i="35"/>
  <c r="J231" i="35"/>
  <c r="P230" i="35"/>
  <c r="J230" i="35"/>
  <c r="P229" i="35"/>
  <c r="J229" i="35"/>
  <c r="P228" i="35"/>
  <c r="J228" i="35"/>
  <c r="P227" i="35"/>
  <c r="J227" i="35"/>
  <c r="P226" i="35"/>
  <c r="J226" i="35"/>
  <c r="P225" i="35"/>
  <c r="J225" i="35"/>
  <c r="P224" i="35"/>
  <c r="J224" i="35"/>
  <c r="P223" i="35"/>
  <c r="J223" i="35"/>
  <c r="P222" i="35"/>
  <c r="J222" i="35"/>
  <c r="P221" i="35"/>
  <c r="J221" i="35"/>
  <c r="P220" i="35"/>
  <c r="J220" i="35"/>
  <c r="P219" i="35"/>
  <c r="J219" i="35"/>
  <c r="P218" i="35"/>
  <c r="J218" i="35"/>
  <c r="P217" i="35"/>
  <c r="J217" i="35"/>
  <c r="P216" i="35"/>
  <c r="J216" i="35"/>
  <c r="P215" i="35"/>
  <c r="J215" i="35"/>
  <c r="P214" i="35"/>
  <c r="J214" i="35"/>
  <c r="P213" i="35"/>
  <c r="J213" i="35"/>
  <c r="P212" i="35"/>
  <c r="J212" i="35"/>
  <c r="P211" i="35"/>
  <c r="J211" i="35"/>
  <c r="P210" i="35"/>
  <c r="J210" i="35"/>
  <c r="P209" i="35"/>
  <c r="J209" i="35"/>
  <c r="P208" i="35"/>
  <c r="J208" i="35"/>
  <c r="P207" i="35"/>
  <c r="J207" i="35"/>
  <c r="P206" i="35"/>
  <c r="J206" i="35"/>
  <c r="P205" i="35"/>
  <c r="J205" i="35"/>
  <c r="P204" i="35"/>
  <c r="J204" i="35"/>
  <c r="P203" i="35"/>
  <c r="J203" i="35"/>
  <c r="P202" i="35"/>
  <c r="J202" i="35"/>
  <c r="P201" i="35"/>
  <c r="J201" i="35"/>
  <c r="P200" i="35"/>
  <c r="J200" i="35"/>
  <c r="P199" i="35"/>
  <c r="J199" i="35"/>
  <c r="P198" i="35"/>
  <c r="J198" i="35"/>
  <c r="P197" i="35"/>
  <c r="J197" i="35"/>
  <c r="P196" i="35"/>
  <c r="J196" i="35"/>
  <c r="P195" i="35"/>
  <c r="J195" i="35"/>
  <c r="P194" i="35"/>
  <c r="J194" i="35"/>
  <c r="P193" i="35"/>
  <c r="J193" i="35"/>
  <c r="P192" i="35"/>
  <c r="J192" i="35"/>
  <c r="P191" i="35"/>
  <c r="J191" i="35"/>
  <c r="P190" i="35"/>
  <c r="J190" i="35"/>
  <c r="P189" i="35"/>
  <c r="J189" i="35"/>
  <c r="P188" i="35"/>
  <c r="J188" i="35"/>
  <c r="P187" i="35"/>
  <c r="J187" i="35"/>
  <c r="P186" i="35"/>
  <c r="J186" i="35"/>
  <c r="P185" i="35"/>
  <c r="J185" i="35"/>
  <c r="P184" i="35"/>
  <c r="J184" i="35"/>
  <c r="P183" i="35"/>
  <c r="J183" i="35"/>
  <c r="P182" i="35"/>
  <c r="J182" i="35"/>
  <c r="P181" i="35"/>
  <c r="J181" i="35"/>
  <c r="P180" i="35"/>
  <c r="J180" i="35"/>
  <c r="P179" i="35"/>
  <c r="J179" i="35"/>
  <c r="P178" i="35"/>
  <c r="J178" i="35"/>
  <c r="P177" i="35"/>
  <c r="J177" i="35"/>
  <c r="P176" i="35"/>
  <c r="J176" i="35"/>
  <c r="P175" i="35"/>
  <c r="J175" i="35"/>
  <c r="P174" i="35"/>
  <c r="J174" i="35"/>
  <c r="P173" i="35"/>
  <c r="J173" i="35"/>
  <c r="P172" i="35"/>
  <c r="J172" i="35"/>
  <c r="P171" i="35"/>
  <c r="J171" i="35"/>
  <c r="P170" i="35"/>
  <c r="J170" i="35"/>
  <c r="P169" i="35"/>
  <c r="J169" i="35"/>
  <c r="P168" i="35"/>
  <c r="J168" i="35"/>
  <c r="P167" i="35"/>
  <c r="J167" i="35"/>
  <c r="P166" i="35"/>
  <c r="J166" i="35"/>
  <c r="P165" i="35"/>
  <c r="J165" i="35"/>
  <c r="P164" i="35"/>
  <c r="J164" i="35"/>
  <c r="P163" i="35"/>
  <c r="J163" i="35"/>
  <c r="P162" i="35"/>
  <c r="J162" i="35"/>
  <c r="P161" i="35"/>
  <c r="J161" i="35"/>
  <c r="P160" i="35"/>
  <c r="J160" i="35"/>
  <c r="P159" i="35"/>
  <c r="J159" i="35"/>
  <c r="P158" i="35"/>
  <c r="J158" i="35"/>
  <c r="P157" i="35"/>
  <c r="J157" i="35"/>
  <c r="P156" i="35"/>
  <c r="J156" i="35"/>
  <c r="P155" i="35"/>
  <c r="J155" i="35"/>
  <c r="P154" i="35"/>
  <c r="J154" i="35"/>
  <c r="P153" i="35"/>
  <c r="J153" i="35"/>
  <c r="P152" i="35"/>
  <c r="J152" i="35"/>
  <c r="P151" i="35"/>
  <c r="J151" i="35"/>
  <c r="P150" i="35"/>
  <c r="J150" i="35"/>
  <c r="P149" i="35"/>
  <c r="J149" i="35"/>
  <c r="P148" i="35"/>
  <c r="J148" i="35"/>
  <c r="P147" i="35"/>
  <c r="J147" i="35"/>
  <c r="P146" i="35"/>
  <c r="J146" i="35"/>
  <c r="P145" i="35"/>
  <c r="J145" i="35"/>
  <c r="P144" i="35"/>
  <c r="J144" i="35"/>
  <c r="P143" i="35"/>
  <c r="J143" i="35"/>
  <c r="P142" i="35"/>
  <c r="J142" i="35"/>
  <c r="P141" i="35"/>
  <c r="J141" i="35"/>
  <c r="P140" i="35"/>
  <c r="J140" i="35"/>
  <c r="P139" i="35"/>
  <c r="J139" i="35"/>
  <c r="P138" i="35"/>
  <c r="J138" i="35"/>
  <c r="P137" i="35"/>
  <c r="J137" i="35"/>
  <c r="P136" i="35"/>
  <c r="J136" i="35"/>
  <c r="P135" i="35"/>
  <c r="J135" i="35"/>
  <c r="P134" i="35"/>
  <c r="J134" i="35"/>
  <c r="P133" i="35"/>
  <c r="J133" i="35"/>
  <c r="P132" i="35"/>
  <c r="J132" i="35"/>
  <c r="P131" i="35"/>
  <c r="J131" i="35"/>
  <c r="P130" i="35"/>
  <c r="J130" i="35"/>
  <c r="P129" i="35"/>
  <c r="J129" i="35"/>
  <c r="P128" i="35"/>
  <c r="J128" i="35"/>
  <c r="P127" i="35"/>
  <c r="J127" i="35"/>
  <c r="P126" i="35"/>
  <c r="J126" i="35"/>
  <c r="P125" i="35"/>
  <c r="J125" i="35"/>
  <c r="P124" i="35"/>
  <c r="J124" i="35"/>
  <c r="P123" i="35"/>
  <c r="J123" i="35"/>
  <c r="P122" i="35"/>
  <c r="J122" i="35"/>
  <c r="P121" i="35"/>
  <c r="J121" i="35"/>
  <c r="P120" i="35"/>
  <c r="J120" i="35"/>
  <c r="P119" i="35"/>
  <c r="J119" i="35"/>
  <c r="P118" i="35"/>
  <c r="J118" i="35"/>
  <c r="P117" i="35"/>
  <c r="J117" i="35"/>
  <c r="P116" i="35"/>
  <c r="J116" i="35"/>
  <c r="P115" i="35"/>
  <c r="J115" i="35"/>
  <c r="P114" i="35"/>
  <c r="J114" i="35"/>
  <c r="P113" i="35"/>
  <c r="J113" i="35"/>
  <c r="P112" i="35"/>
  <c r="J112" i="35"/>
  <c r="P111" i="35"/>
  <c r="J111" i="35"/>
  <c r="P110" i="35"/>
  <c r="J110" i="35"/>
  <c r="P109" i="35"/>
  <c r="J109" i="35"/>
  <c r="P108" i="35"/>
  <c r="J108" i="35"/>
  <c r="P107" i="35"/>
  <c r="J107" i="35"/>
  <c r="P106" i="35"/>
  <c r="J106" i="35"/>
  <c r="P105" i="35"/>
  <c r="J105" i="35"/>
  <c r="P104" i="35"/>
  <c r="J104" i="35"/>
  <c r="P103" i="35"/>
  <c r="J103" i="35"/>
  <c r="P102" i="35"/>
  <c r="J102" i="35"/>
  <c r="P101" i="35"/>
  <c r="J101" i="35"/>
  <c r="P100" i="35"/>
  <c r="J100" i="35"/>
  <c r="P99" i="35"/>
  <c r="J99" i="35"/>
  <c r="P98" i="35"/>
  <c r="J98" i="35"/>
  <c r="P97" i="35"/>
  <c r="J97" i="35"/>
  <c r="P96" i="35"/>
  <c r="J96" i="35"/>
  <c r="P95" i="35"/>
  <c r="J95" i="35"/>
  <c r="P94" i="35"/>
  <c r="J94" i="35"/>
  <c r="P93" i="35"/>
  <c r="J93" i="35"/>
  <c r="P92" i="35"/>
  <c r="J92" i="35"/>
  <c r="P91" i="35"/>
  <c r="J91" i="35"/>
  <c r="P90" i="35"/>
  <c r="J90" i="35"/>
  <c r="P89" i="35"/>
  <c r="J89" i="35"/>
  <c r="P88" i="35"/>
  <c r="J88" i="35"/>
  <c r="P87" i="35"/>
  <c r="J87" i="35"/>
  <c r="P86" i="35"/>
  <c r="J86" i="35"/>
  <c r="P85" i="35"/>
  <c r="J85" i="35"/>
  <c r="P84" i="35"/>
  <c r="J84" i="35"/>
  <c r="P83" i="35"/>
  <c r="J83" i="35"/>
  <c r="P82" i="35"/>
  <c r="J82" i="35"/>
  <c r="P81" i="35"/>
  <c r="J81" i="35"/>
  <c r="P80" i="35"/>
  <c r="J80" i="35"/>
  <c r="P79" i="35"/>
  <c r="J79" i="35"/>
  <c r="P78" i="35"/>
  <c r="J78" i="35"/>
  <c r="P77" i="35"/>
  <c r="J77" i="35"/>
  <c r="P76" i="35"/>
  <c r="J76" i="35"/>
  <c r="P75" i="35"/>
  <c r="J75" i="35"/>
  <c r="P74" i="35"/>
  <c r="J74" i="35"/>
  <c r="P73" i="35"/>
  <c r="J73" i="35"/>
  <c r="P72" i="35"/>
  <c r="J72" i="35"/>
  <c r="P71" i="35"/>
  <c r="J71" i="35"/>
  <c r="P70" i="35"/>
  <c r="J70" i="35"/>
  <c r="P69" i="35"/>
  <c r="J69" i="35"/>
  <c r="P68" i="35"/>
  <c r="J68" i="35"/>
  <c r="P67" i="35"/>
  <c r="J67" i="35"/>
  <c r="P66" i="35"/>
  <c r="J66" i="35"/>
  <c r="P65" i="35"/>
  <c r="J65" i="35"/>
  <c r="P64" i="35"/>
  <c r="J64" i="35"/>
  <c r="P63" i="35"/>
  <c r="J63" i="35"/>
  <c r="P62" i="35"/>
  <c r="J62" i="35"/>
  <c r="P61" i="35"/>
  <c r="J61" i="35"/>
  <c r="P60" i="35"/>
  <c r="J60" i="35"/>
  <c r="P59" i="35"/>
  <c r="J59" i="35"/>
  <c r="P58" i="35"/>
  <c r="J58" i="35"/>
  <c r="P57" i="35"/>
  <c r="J57" i="35"/>
  <c r="P56" i="35"/>
  <c r="J56" i="35"/>
  <c r="P55" i="35"/>
  <c r="J55" i="35"/>
  <c r="P54" i="35"/>
  <c r="J54" i="35"/>
  <c r="P53" i="35"/>
  <c r="J53" i="35"/>
  <c r="P52" i="35"/>
  <c r="J52" i="35"/>
  <c r="P51" i="35"/>
  <c r="J51" i="35"/>
  <c r="P50" i="35"/>
  <c r="J50" i="35"/>
  <c r="P49" i="35"/>
  <c r="J49" i="35"/>
  <c r="P48" i="35"/>
  <c r="J48" i="35"/>
  <c r="P47" i="35"/>
  <c r="J47" i="35"/>
  <c r="P46" i="35"/>
  <c r="J46" i="35"/>
  <c r="P45" i="35"/>
  <c r="J45" i="35"/>
  <c r="P44" i="35"/>
  <c r="J44" i="35"/>
  <c r="P43" i="35"/>
  <c r="J43" i="35"/>
  <c r="P42" i="35"/>
  <c r="J42" i="35"/>
  <c r="P41" i="35"/>
  <c r="J41" i="35"/>
  <c r="P40" i="35"/>
  <c r="J40" i="35"/>
  <c r="P39" i="35"/>
  <c r="J39" i="35"/>
  <c r="P38" i="35"/>
  <c r="J38" i="35"/>
  <c r="P37" i="35"/>
  <c r="J37" i="35"/>
  <c r="P36" i="35"/>
  <c r="J36" i="35"/>
  <c r="P35" i="35"/>
  <c r="J35" i="35"/>
  <c r="P34" i="35"/>
  <c r="J34" i="35"/>
  <c r="P33" i="35"/>
  <c r="J33" i="35"/>
  <c r="P32" i="35"/>
  <c r="J32" i="35"/>
  <c r="P31" i="35"/>
  <c r="J31" i="35"/>
  <c r="P30" i="35"/>
  <c r="J30" i="35"/>
  <c r="P29" i="35"/>
  <c r="J29" i="35"/>
  <c r="P28" i="35"/>
  <c r="J28" i="35"/>
  <c r="P27" i="35"/>
  <c r="J27" i="35"/>
  <c r="P26" i="35"/>
  <c r="J26" i="35"/>
  <c r="P25" i="35"/>
  <c r="J25" i="35"/>
  <c r="P24" i="35"/>
  <c r="J24" i="35"/>
  <c r="P23" i="35"/>
  <c r="J23" i="35"/>
  <c r="P22" i="35"/>
  <c r="J22" i="35"/>
  <c r="P21" i="35"/>
  <c r="J21" i="35"/>
  <c r="P20" i="35"/>
  <c r="J20" i="35"/>
  <c r="P19" i="35"/>
  <c r="J19" i="35"/>
  <c r="E19" i="35"/>
  <c r="E20" i="35" s="1"/>
  <c r="E21" i="35" s="1"/>
  <c r="E22" i="35" s="1"/>
  <c r="P18" i="35"/>
  <c r="J18" i="35"/>
  <c r="E18" i="35"/>
  <c r="B18" i="35"/>
  <c r="R17" i="35"/>
  <c r="R18" i="35" s="1"/>
  <c r="R19" i="35" s="1"/>
  <c r="R20" i="35" s="1"/>
  <c r="R21" i="35" s="1"/>
  <c r="R22" i="35" s="1"/>
  <c r="P17" i="35"/>
  <c r="L17" i="35"/>
  <c r="L18" i="35" s="1"/>
  <c r="L19" i="35" s="1"/>
  <c r="L20" i="35" s="1"/>
  <c r="L21" i="35" s="1"/>
  <c r="L22" i="35" s="1"/>
  <c r="J17" i="35"/>
  <c r="E17" i="35"/>
  <c r="B17" i="35"/>
  <c r="P16" i="35"/>
  <c r="J16" i="35"/>
  <c r="B509" i="36"/>
  <c r="B508" i="36"/>
  <c r="B507" i="36"/>
  <c r="B506" i="36"/>
  <c r="B505" i="36"/>
  <c r="B504" i="36"/>
  <c r="B503" i="36"/>
  <c r="B502" i="36"/>
  <c r="B501" i="36"/>
  <c r="B500" i="36"/>
  <c r="B499" i="36"/>
  <c r="B498" i="36"/>
  <c r="B497" i="36"/>
  <c r="B496" i="36"/>
  <c r="B495" i="36"/>
  <c r="B494" i="36"/>
  <c r="B493" i="36"/>
  <c r="B492" i="36"/>
  <c r="B491" i="36"/>
  <c r="B490" i="36"/>
  <c r="B489" i="36"/>
  <c r="B488" i="36"/>
  <c r="B487" i="36"/>
  <c r="B486" i="36"/>
  <c r="B485" i="36"/>
  <c r="B484" i="36"/>
  <c r="B483" i="36"/>
  <c r="B482" i="36"/>
  <c r="B481" i="36"/>
  <c r="B480" i="36"/>
  <c r="B479" i="36"/>
  <c r="B478" i="36"/>
  <c r="B477" i="36"/>
  <c r="B476" i="36"/>
  <c r="B475" i="36"/>
  <c r="B474" i="36"/>
  <c r="B473" i="36"/>
  <c r="B472" i="36"/>
  <c r="B471" i="36"/>
  <c r="B470" i="36"/>
  <c r="B469" i="36"/>
  <c r="B468" i="36"/>
  <c r="B467" i="36"/>
  <c r="B466" i="36"/>
  <c r="B465" i="36"/>
  <c r="B464" i="36"/>
  <c r="B463" i="36"/>
  <c r="B462" i="36"/>
  <c r="B461" i="36"/>
  <c r="B460" i="36"/>
  <c r="B459" i="36"/>
  <c r="B458" i="36"/>
  <c r="B457" i="36"/>
  <c r="B456" i="36"/>
  <c r="B455" i="36"/>
  <c r="B454" i="36"/>
  <c r="B453" i="36"/>
  <c r="B452" i="36"/>
  <c r="B451" i="36"/>
  <c r="B450" i="36"/>
  <c r="B449" i="36"/>
  <c r="B448" i="36"/>
  <c r="B447" i="36"/>
  <c r="B446" i="36"/>
  <c r="B445" i="36"/>
  <c r="B444" i="36"/>
  <c r="B443" i="36"/>
  <c r="B442" i="36"/>
  <c r="B441" i="36"/>
  <c r="B440" i="36"/>
  <c r="B439" i="36"/>
  <c r="B438" i="36"/>
  <c r="B437" i="36"/>
  <c r="B436" i="36"/>
  <c r="B435" i="36"/>
  <c r="B434" i="36"/>
  <c r="B433" i="36"/>
  <c r="B432" i="36"/>
  <c r="B431" i="36"/>
  <c r="B430" i="36"/>
  <c r="B429" i="36"/>
  <c r="B428" i="36"/>
  <c r="B427" i="36"/>
  <c r="B426" i="36"/>
  <c r="B425" i="36"/>
  <c r="B424" i="36"/>
  <c r="B423" i="36"/>
  <c r="B422" i="36"/>
  <c r="B421" i="36"/>
  <c r="B420" i="36"/>
  <c r="B419" i="36"/>
  <c r="B418" i="36"/>
  <c r="B417" i="36"/>
  <c r="B416" i="36"/>
  <c r="B415" i="36"/>
  <c r="B414" i="36"/>
  <c r="B413" i="36"/>
  <c r="B412" i="36"/>
  <c r="B411" i="36"/>
  <c r="B410" i="36"/>
  <c r="B409" i="36"/>
  <c r="B408" i="36"/>
  <c r="B407" i="36"/>
  <c r="B406" i="36"/>
  <c r="B405" i="36"/>
  <c r="B404" i="36"/>
  <c r="B403" i="36"/>
  <c r="B402" i="36"/>
  <c r="B401" i="36"/>
  <c r="B400" i="36"/>
  <c r="B399" i="36"/>
  <c r="B398" i="36"/>
  <c r="B397" i="36"/>
  <c r="B396" i="36"/>
  <c r="B395" i="36"/>
  <c r="B394" i="36"/>
  <c r="B393" i="36"/>
  <c r="B392" i="36"/>
  <c r="B391" i="36"/>
  <c r="B390" i="36"/>
  <c r="B389" i="36"/>
  <c r="B388" i="36"/>
  <c r="B387" i="36"/>
  <c r="B386" i="36"/>
  <c r="B385" i="36"/>
  <c r="B384" i="36"/>
  <c r="B383" i="36"/>
  <c r="B382" i="36"/>
  <c r="B381" i="36"/>
  <c r="B380" i="36"/>
  <c r="B379" i="36"/>
  <c r="B378" i="36"/>
  <c r="B377" i="36"/>
  <c r="B376" i="36"/>
  <c r="B375" i="36"/>
  <c r="B374" i="36"/>
  <c r="B373" i="36"/>
  <c r="B372" i="36"/>
  <c r="B371" i="36"/>
  <c r="B370" i="36"/>
  <c r="B369" i="36"/>
  <c r="B368" i="36"/>
  <c r="B367" i="36"/>
  <c r="B366" i="36"/>
  <c r="B365" i="36"/>
  <c r="B364" i="36"/>
  <c r="B363" i="36"/>
  <c r="B362" i="36"/>
  <c r="B361" i="36"/>
  <c r="B360" i="36"/>
  <c r="B359" i="36"/>
  <c r="B358" i="36"/>
  <c r="B357" i="36"/>
  <c r="B356" i="36"/>
  <c r="B355" i="36"/>
  <c r="B354" i="36"/>
  <c r="B353" i="36"/>
  <c r="B352" i="36"/>
  <c r="B351" i="36"/>
  <c r="B350" i="36"/>
  <c r="B349" i="36"/>
  <c r="B348" i="36"/>
  <c r="B347" i="36"/>
  <c r="B346" i="36"/>
  <c r="B345" i="36"/>
  <c r="B344" i="36"/>
  <c r="B343" i="36"/>
  <c r="B342" i="36"/>
  <c r="B341" i="36"/>
  <c r="B340" i="36"/>
  <c r="B339" i="36"/>
  <c r="B338" i="36"/>
  <c r="B337" i="36"/>
  <c r="B336" i="36"/>
  <c r="B335" i="36"/>
  <c r="B334" i="36"/>
  <c r="B333" i="36"/>
  <c r="B332" i="36"/>
  <c r="P310" i="36"/>
  <c r="J310" i="36"/>
  <c r="D310" i="36"/>
  <c r="P309" i="36"/>
  <c r="J309" i="36"/>
  <c r="D309" i="36"/>
  <c r="P308" i="36"/>
  <c r="J308" i="36"/>
  <c r="D308" i="36"/>
  <c r="P307" i="36"/>
  <c r="J307" i="36"/>
  <c r="D307" i="36"/>
  <c r="P306" i="36"/>
  <c r="J306" i="36"/>
  <c r="D306" i="36"/>
  <c r="P305" i="36"/>
  <c r="J305" i="36"/>
  <c r="D305" i="36"/>
  <c r="P304" i="36"/>
  <c r="J304" i="36"/>
  <c r="D304" i="36"/>
  <c r="P303" i="36"/>
  <c r="J303" i="36"/>
  <c r="D303" i="36"/>
  <c r="P302" i="36"/>
  <c r="J302" i="36"/>
  <c r="D302" i="36"/>
  <c r="P301" i="36"/>
  <c r="J301" i="36"/>
  <c r="D301" i="36"/>
  <c r="P300" i="36"/>
  <c r="J300" i="36"/>
  <c r="D300" i="36"/>
  <c r="P299" i="36"/>
  <c r="J299" i="36"/>
  <c r="D299" i="36"/>
  <c r="P298" i="36"/>
  <c r="J298" i="36"/>
  <c r="D298" i="36"/>
  <c r="P297" i="36"/>
  <c r="J297" i="36"/>
  <c r="D297" i="36"/>
  <c r="P296" i="36"/>
  <c r="J296" i="36"/>
  <c r="D296" i="36"/>
  <c r="P295" i="36"/>
  <c r="J295" i="36"/>
  <c r="D295" i="36"/>
  <c r="P294" i="36"/>
  <c r="J294" i="36"/>
  <c r="D294" i="36"/>
  <c r="P293" i="36"/>
  <c r="J293" i="36"/>
  <c r="D293" i="36"/>
  <c r="P292" i="36"/>
  <c r="J292" i="36"/>
  <c r="D292" i="36"/>
  <c r="P291" i="36"/>
  <c r="J291" i="36"/>
  <c r="D291" i="36"/>
  <c r="P290" i="36"/>
  <c r="J290" i="36"/>
  <c r="D290" i="36"/>
  <c r="P289" i="36"/>
  <c r="J289" i="36"/>
  <c r="D289" i="36"/>
  <c r="P288" i="36"/>
  <c r="J288" i="36"/>
  <c r="D288" i="36"/>
  <c r="P287" i="36"/>
  <c r="J287" i="36"/>
  <c r="D287" i="36"/>
  <c r="P286" i="36"/>
  <c r="J286" i="36"/>
  <c r="D286" i="36"/>
  <c r="P285" i="36"/>
  <c r="J285" i="36"/>
  <c r="D285" i="36"/>
  <c r="P284" i="36"/>
  <c r="J284" i="36"/>
  <c r="D284" i="36"/>
  <c r="P283" i="36"/>
  <c r="J283" i="36"/>
  <c r="D283" i="36"/>
  <c r="P282" i="36"/>
  <c r="J282" i="36"/>
  <c r="D282" i="36"/>
  <c r="P281" i="36"/>
  <c r="J281" i="36"/>
  <c r="D281" i="36"/>
  <c r="P280" i="36"/>
  <c r="J280" i="36"/>
  <c r="D280" i="36"/>
  <c r="P279" i="36"/>
  <c r="J279" i="36"/>
  <c r="D279" i="36"/>
  <c r="P278" i="36"/>
  <c r="J278" i="36"/>
  <c r="D278" i="36"/>
  <c r="P277" i="36"/>
  <c r="J277" i="36"/>
  <c r="D277" i="36"/>
  <c r="P276" i="36"/>
  <c r="J276" i="36"/>
  <c r="D276" i="36"/>
  <c r="P275" i="36"/>
  <c r="J275" i="36"/>
  <c r="D275" i="36"/>
  <c r="P274" i="36"/>
  <c r="J274" i="36"/>
  <c r="D274" i="36"/>
  <c r="P273" i="36"/>
  <c r="J273" i="36"/>
  <c r="D273" i="36"/>
  <c r="P272" i="36"/>
  <c r="J272" i="36"/>
  <c r="D272" i="36"/>
  <c r="P271" i="36"/>
  <c r="J271" i="36"/>
  <c r="D271" i="36"/>
  <c r="P270" i="36"/>
  <c r="J270" i="36"/>
  <c r="D270" i="36"/>
  <c r="P269" i="36"/>
  <c r="J269" i="36"/>
  <c r="D269" i="36"/>
  <c r="P268" i="36"/>
  <c r="J268" i="36"/>
  <c r="D268" i="36"/>
  <c r="P267" i="36"/>
  <c r="J267" i="36"/>
  <c r="D267" i="36"/>
  <c r="P266" i="36"/>
  <c r="J266" i="36"/>
  <c r="D266" i="36"/>
  <c r="P265" i="36"/>
  <c r="J265" i="36"/>
  <c r="D265" i="36"/>
  <c r="P264" i="36"/>
  <c r="J264" i="36"/>
  <c r="D264" i="36"/>
  <c r="P263" i="36"/>
  <c r="J263" i="36"/>
  <c r="D263" i="36"/>
  <c r="P262" i="36"/>
  <c r="J262" i="36"/>
  <c r="D262" i="36"/>
  <c r="P261" i="36"/>
  <c r="J261" i="36"/>
  <c r="D261" i="36"/>
  <c r="P260" i="36"/>
  <c r="J260" i="36"/>
  <c r="D260" i="36"/>
  <c r="P259" i="36"/>
  <c r="J259" i="36"/>
  <c r="D259" i="36"/>
  <c r="P258" i="36"/>
  <c r="J258" i="36"/>
  <c r="D258" i="36"/>
  <c r="P257" i="36"/>
  <c r="J257" i="36"/>
  <c r="D257" i="36"/>
  <c r="P256" i="36"/>
  <c r="J256" i="36"/>
  <c r="D256" i="36"/>
  <c r="P255" i="36"/>
  <c r="J255" i="36"/>
  <c r="D255" i="36"/>
  <c r="P254" i="36"/>
  <c r="J254" i="36"/>
  <c r="D254" i="36"/>
  <c r="P253" i="36"/>
  <c r="J253" i="36"/>
  <c r="D253" i="36"/>
  <c r="P252" i="36"/>
  <c r="J252" i="36"/>
  <c r="D252" i="36"/>
  <c r="P251" i="36"/>
  <c r="J251" i="36"/>
  <c r="D251" i="36"/>
  <c r="P250" i="36"/>
  <c r="J250" i="36"/>
  <c r="D250" i="36"/>
  <c r="P249" i="36"/>
  <c r="J249" i="36"/>
  <c r="D249" i="36"/>
  <c r="P248" i="36"/>
  <c r="J248" i="36"/>
  <c r="D248" i="36"/>
  <c r="P247" i="36"/>
  <c r="J247" i="36"/>
  <c r="D247" i="36"/>
  <c r="P246" i="36"/>
  <c r="J246" i="36"/>
  <c r="D246" i="36"/>
  <c r="P245" i="36"/>
  <c r="J245" i="36"/>
  <c r="D245" i="36"/>
  <c r="P244" i="36"/>
  <c r="J244" i="36"/>
  <c r="D244" i="36"/>
  <c r="P243" i="36"/>
  <c r="J243" i="36"/>
  <c r="D243" i="36"/>
  <c r="P242" i="36"/>
  <c r="J242" i="36"/>
  <c r="D242" i="36"/>
  <c r="P241" i="36"/>
  <c r="J241" i="36"/>
  <c r="D241" i="36"/>
  <c r="P240" i="36"/>
  <c r="J240" i="36"/>
  <c r="D240" i="36"/>
  <c r="P239" i="36"/>
  <c r="J239" i="36"/>
  <c r="D239" i="36"/>
  <c r="P238" i="36"/>
  <c r="J238" i="36"/>
  <c r="D238" i="36"/>
  <c r="P237" i="36"/>
  <c r="J237" i="36"/>
  <c r="D237" i="36"/>
  <c r="P236" i="36"/>
  <c r="J236" i="36"/>
  <c r="D236" i="36"/>
  <c r="P235" i="36"/>
  <c r="J235" i="36"/>
  <c r="D235" i="36"/>
  <c r="P234" i="36"/>
  <c r="J234" i="36"/>
  <c r="D234" i="36"/>
  <c r="P233" i="36"/>
  <c r="J233" i="36"/>
  <c r="D233" i="36"/>
  <c r="P232" i="36"/>
  <c r="J232" i="36"/>
  <c r="D232" i="36"/>
  <c r="P231" i="36"/>
  <c r="J231" i="36"/>
  <c r="D231" i="36"/>
  <c r="P230" i="36"/>
  <c r="J230" i="36"/>
  <c r="D230" i="36"/>
  <c r="P229" i="36"/>
  <c r="J229" i="36"/>
  <c r="D229" i="36"/>
  <c r="P228" i="36"/>
  <c r="J228" i="36"/>
  <c r="D228" i="36"/>
  <c r="P227" i="36"/>
  <c r="J227" i="36"/>
  <c r="D227" i="36"/>
  <c r="P226" i="36"/>
  <c r="J226" i="36"/>
  <c r="D226" i="36"/>
  <c r="P225" i="36"/>
  <c r="J225" i="36"/>
  <c r="D225" i="36"/>
  <c r="P224" i="36"/>
  <c r="J224" i="36"/>
  <c r="D224" i="36"/>
  <c r="P223" i="36"/>
  <c r="J223" i="36"/>
  <c r="D223" i="36"/>
  <c r="P222" i="36"/>
  <c r="J222" i="36"/>
  <c r="D222" i="36"/>
  <c r="P221" i="36"/>
  <c r="J221" i="36"/>
  <c r="D221" i="36"/>
  <c r="P220" i="36"/>
  <c r="J220" i="36"/>
  <c r="D220" i="36"/>
  <c r="P219" i="36"/>
  <c r="J219" i="36"/>
  <c r="D219" i="36"/>
  <c r="P218" i="36"/>
  <c r="J218" i="36"/>
  <c r="D218" i="36"/>
  <c r="P217" i="36"/>
  <c r="J217" i="36"/>
  <c r="D217" i="36"/>
  <c r="P216" i="36"/>
  <c r="J216" i="36"/>
  <c r="D216" i="36"/>
  <c r="P215" i="36"/>
  <c r="J215" i="36"/>
  <c r="D215" i="36"/>
  <c r="P214" i="36"/>
  <c r="J214" i="36"/>
  <c r="D214" i="36"/>
  <c r="P213" i="36"/>
  <c r="J213" i="36"/>
  <c r="D213" i="36"/>
  <c r="P212" i="36"/>
  <c r="J212" i="36"/>
  <c r="D212" i="36"/>
  <c r="P211" i="36"/>
  <c r="J211" i="36"/>
  <c r="D211" i="36"/>
  <c r="P210" i="36"/>
  <c r="J210" i="36"/>
  <c r="D210" i="36"/>
  <c r="P209" i="36"/>
  <c r="J209" i="36"/>
  <c r="D209" i="36"/>
  <c r="P208" i="36"/>
  <c r="J208" i="36"/>
  <c r="D208" i="36"/>
  <c r="P207" i="36"/>
  <c r="J207" i="36"/>
  <c r="D207" i="36"/>
  <c r="P206" i="36"/>
  <c r="J206" i="36"/>
  <c r="D206" i="36"/>
  <c r="P205" i="36"/>
  <c r="J205" i="36"/>
  <c r="D205" i="36"/>
  <c r="P204" i="36"/>
  <c r="J204" i="36"/>
  <c r="D204" i="36"/>
  <c r="P203" i="36"/>
  <c r="J203" i="36"/>
  <c r="D203" i="36"/>
  <c r="P202" i="36"/>
  <c r="J202" i="36"/>
  <c r="D202" i="36"/>
  <c r="P201" i="36"/>
  <c r="J201" i="36"/>
  <c r="D201" i="36"/>
  <c r="P200" i="36"/>
  <c r="J200" i="36"/>
  <c r="D200" i="36"/>
  <c r="P199" i="36"/>
  <c r="J199" i="36"/>
  <c r="D199" i="36"/>
  <c r="P198" i="36"/>
  <c r="J198" i="36"/>
  <c r="D198" i="36"/>
  <c r="P197" i="36"/>
  <c r="J197" i="36"/>
  <c r="D197" i="36"/>
  <c r="P196" i="36"/>
  <c r="J196" i="36"/>
  <c r="D196" i="36"/>
  <c r="P195" i="36"/>
  <c r="J195" i="36"/>
  <c r="D195" i="36"/>
  <c r="P194" i="36"/>
  <c r="J194" i="36"/>
  <c r="D194" i="36"/>
  <c r="P193" i="36"/>
  <c r="J193" i="36"/>
  <c r="D193" i="36"/>
  <c r="P192" i="36"/>
  <c r="J192" i="36"/>
  <c r="D192" i="36"/>
  <c r="P191" i="36"/>
  <c r="J191" i="36"/>
  <c r="D191" i="36"/>
  <c r="P190" i="36"/>
  <c r="J190" i="36"/>
  <c r="D190" i="36"/>
  <c r="P189" i="36"/>
  <c r="J189" i="36"/>
  <c r="D189" i="36"/>
  <c r="P188" i="36"/>
  <c r="J188" i="36"/>
  <c r="D188" i="36"/>
  <c r="P187" i="36"/>
  <c r="J187" i="36"/>
  <c r="D187" i="36"/>
  <c r="P186" i="36"/>
  <c r="J186" i="36"/>
  <c r="D186" i="36"/>
  <c r="P185" i="36"/>
  <c r="J185" i="36"/>
  <c r="D185" i="36"/>
  <c r="P184" i="36"/>
  <c r="J184" i="36"/>
  <c r="D184" i="36"/>
  <c r="P183" i="36"/>
  <c r="J183" i="36"/>
  <c r="D183" i="36"/>
  <c r="P182" i="36"/>
  <c r="J182" i="36"/>
  <c r="D182" i="36"/>
  <c r="P181" i="36"/>
  <c r="J181" i="36"/>
  <c r="D181" i="36"/>
  <c r="P180" i="36"/>
  <c r="J180" i="36"/>
  <c r="D180" i="36"/>
  <c r="P179" i="36"/>
  <c r="J179" i="36"/>
  <c r="D179" i="36"/>
  <c r="P178" i="36"/>
  <c r="J178" i="36"/>
  <c r="D178" i="36"/>
  <c r="P177" i="36"/>
  <c r="J177" i="36"/>
  <c r="D177" i="36"/>
  <c r="P176" i="36"/>
  <c r="J176" i="36"/>
  <c r="D176" i="36"/>
  <c r="P175" i="36"/>
  <c r="J175" i="36"/>
  <c r="D175" i="36"/>
  <c r="P174" i="36"/>
  <c r="J174" i="36"/>
  <c r="D174" i="36"/>
  <c r="P173" i="36"/>
  <c r="J173" i="36"/>
  <c r="D173" i="36"/>
  <c r="P172" i="36"/>
  <c r="J172" i="36"/>
  <c r="D172" i="36"/>
  <c r="P171" i="36"/>
  <c r="J171" i="36"/>
  <c r="D171" i="36"/>
  <c r="P170" i="36"/>
  <c r="J170" i="36"/>
  <c r="D170" i="36"/>
  <c r="P169" i="36"/>
  <c r="J169" i="36"/>
  <c r="D169" i="36"/>
  <c r="P168" i="36"/>
  <c r="J168" i="36"/>
  <c r="D168" i="36"/>
  <c r="P167" i="36"/>
  <c r="J167" i="36"/>
  <c r="D167" i="36"/>
  <c r="P166" i="36"/>
  <c r="J166" i="36"/>
  <c r="D166" i="36"/>
  <c r="P165" i="36"/>
  <c r="J165" i="36"/>
  <c r="D165" i="36"/>
  <c r="P164" i="36"/>
  <c r="J164" i="36"/>
  <c r="D164" i="36"/>
  <c r="P163" i="36"/>
  <c r="J163" i="36"/>
  <c r="D163" i="36"/>
  <c r="P162" i="36"/>
  <c r="J162" i="36"/>
  <c r="D162" i="36"/>
  <c r="P161" i="36"/>
  <c r="J161" i="36"/>
  <c r="D161" i="36"/>
  <c r="P160" i="36"/>
  <c r="J160" i="36"/>
  <c r="D160" i="36"/>
  <c r="P159" i="36"/>
  <c r="J159" i="36"/>
  <c r="D159" i="36"/>
  <c r="P158" i="36"/>
  <c r="J158" i="36"/>
  <c r="D158" i="36"/>
  <c r="P157" i="36"/>
  <c r="J157" i="36"/>
  <c r="D157" i="36"/>
  <c r="P156" i="36"/>
  <c r="J156" i="36"/>
  <c r="D156" i="36"/>
  <c r="P155" i="36"/>
  <c r="J155" i="36"/>
  <c r="D155" i="36"/>
  <c r="P154" i="36"/>
  <c r="J154" i="36"/>
  <c r="D154" i="36"/>
  <c r="P153" i="36"/>
  <c r="J153" i="36"/>
  <c r="D153" i="36"/>
  <c r="P152" i="36"/>
  <c r="J152" i="36"/>
  <c r="D152" i="36"/>
  <c r="P151" i="36"/>
  <c r="J151" i="36"/>
  <c r="D151" i="36"/>
  <c r="P150" i="36"/>
  <c r="J150" i="36"/>
  <c r="D150" i="36"/>
  <c r="P149" i="36"/>
  <c r="J149" i="36"/>
  <c r="D149" i="36"/>
  <c r="P148" i="36"/>
  <c r="J148" i="36"/>
  <c r="D148" i="36"/>
  <c r="P147" i="36"/>
  <c r="J147" i="36"/>
  <c r="D147" i="36"/>
  <c r="P146" i="36"/>
  <c r="J146" i="36"/>
  <c r="D146" i="36"/>
  <c r="P145" i="36"/>
  <c r="J145" i="36"/>
  <c r="D145" i="36"/>
  <c r="P144" i="36"/>
  <c r="J144" i="36"/>
  <c r="D144" i="36"/>
  <c r="P143" i="36"/>
  <c r="J143" i="36"/>
  <c r="D143" i="36"/>
  <c r="P142" i="36"/>
  <c r="J142" i="36"/>
  <c r="D142" i="36"/>
  <c r="P141" i="36"/>
  <c r="J141" i="36"/>
  <c r="D141" i="36"/>
  <c r="P140" i="36"/>
  <c r="J140" i="36"/>
  <c r="D140" i="36"/>
  <c r="P139" i="36"/>
  <c r="J139" i="36"/>
  <c r="D139" i="36"/>
  <c r="P138" i="36"/>
  <c r="J138" i="36"/>
  <c r="D138" i="36"/>
  <c r="P137" i="36"/>
  <c r="J137" i="36"/>
  <c r="D137" i="36"/>
  <c r="P136" i="36"/>
  <c r="J136" i="36"/>
  <c r="D136" i="36"/>
  <c r="P135" i="36"/>
  <c r="J135" i="36"/>
  <c r="D135" i="36"/>
  <c r="P134" i="36"/>
  <c r="J134" i="36"/>
  <c r="D134" i="36"/>
  <c r="P133" i="36"/>
  <c r="J133" i="36"/>
  <c r="D133" i="36"/>
  <c r="P132" i="36"/>
  <c r="J132" i="36"/>
  <c r="D132" i="36"/>
  <c r="P131" i="36"/>
  <c r="J131" i="36"/>
  <c r="D131" i="36"/>
  <c r="P130" i="36"/>
  <c r="J130" i="36"/>
  <c r="D130" i="36"/>
  <c r="P129" i="36"/>
  <c r="J129" i="36"/>
  <c r="D129" i="36"/>
  <c r="P128" i="36"/>
  <c r="J128" i="36"/>
  <c r="D128" i="36"/>
  <c r="P127" i="36"/>
  <c r="J127" i="36"/>
  <c r="D127" i="36"/>
  <c r="P126" i="36"/>
  <c r="J126" i="36"/>
  <c r="D126" i="36"/>
  <c r="P125" i="36"/>
  <c r="J125" i="36"/>
  <c r="D125" i="36"/>
  <c r="P124" i="36"/>
  <c r="J124" i="36"/>
  <c r="D124" i="36"/>
  <c r="P123" i="36"/>
  <c r="J123" i="36"/>
  <c r="D123" i="36"/>
  <c r="P122" i="36"/>
  <c r="J122" i="36"/>
  <c r="D122" i="36"/>
  <c r="P121" i="36"/>
  <c r="J121" i="36"/>
  <c r="D121" i="36"/>
  <c r="P120" i="36"/>
  <c r="J120" i="36"/>
  <c r="D120" i="36"/>
  <c r="P119" i="36"/>
  <c r="J119" i="36"/>
  <c r="D119" i="36"/>
  <c r="P118" i="36"/>
  <c r="J118" i="36"/>
  <c r="D118" i="36"/>
  <c r="P117" i="36"/>
  <c r="J117" i="36"/>
  <c r="D117" i="36"/>
  <c r="P116" i="36"/>
  <c r="J116" i="36"/>
  <c r="D116" i="36"/>
  <c r="P115" i="36"/>
  <c r="J115" i="36"/>
  <c r="D115" i="36"/>
  <c r="P114" i="36"/>
  <c r="J114" i="36"/>
  <c r="D114" i="36"/>
  <c r="P113" i="36"/>
  <c r="J113" i="36"/>
  <c r="D113" i="36"/>
  <c r="P112" i="36"/>
  <c r="J112" i="36"/>
  <c r="D112" i="36"/>
  <c r="P111" i="36"/>
  <c r="J111" i="36"/>
  <c r="D111" i="36"/>
  <c r="P110" i="36"/>
  <c r="J110" i="36"/>
  <c r="D110" i="36"/>
  <c r="P109" i="36"/>
  <c r="J109" i="36"/>
  <c r="D109" i="36"/>
  <c r="P108" i="36"/>
  <c r="J108" i="36"/>
  <c r="D108" i="36"/>
  <c r="P107" i="36"/>
  <c r="J107" i="36"/>
  <c r="D107" i="36"/>
  <c r="P106" i="36"/>
  <c r="J106" i="36"/>
  <c r="D106" i="36"/>
  <c r="P105" i="36"/>
  <c r="J105" i="36"/>
  <c r="D105" i="36"/>
  <c r="P104" i="36"/>
  <c r="J104" i="36"/>
  <c r="D104" i="36"/>
  <c r="P103" i="36"/>
  <c r="J103" i="36"/>
  <c r="D103" i="36"/>
  <c r="P102" i="36"/>
  <c r="J102" i="36"/>
  <c r="D102" i="36"/>
  <c r="P101" i="36"/>
  <c r="J101" i="36"/>
  <c r="D101" i="36"/>
  <c r="P100" i="36"/>
  <c r="J100" i="36"/>
  <c r="D100" i="36"/>
  <c r="P99" i="36"/>
  <c r="J99" i="36"/>
  <c r="D99" i="36"/>
  <c r="P98" i="36"/>
  <c r="J98" i="36"/>
  <c r="D98" i="36"/>
  <c r="P97" i="36"/>
  <c r="J97" i="36"/>
  <c r="D97" i="36"/>
  <c r="P96" i="36"/>
  <c r="J96" i="36"/>
  <c r="D96" i="36"/>
  <c r="P95" i="36"/>
  <c r="J95" i="36"/>
  <c r="D95" i="36"/>
  <c r="P94" i="36"/>
  <c r="J94" i="36"/>
  <c r="D94" i="36"/>
  <c r="P93" i="36"/>
  <c r="J93" i="36"/>
  <c r="D93" i="36"/>
  <c r="P92" i="36"/>
  <c r="J92" i="36"/>
  <c r="D92" i="36"/>
  <c r="P91" i="36"/>
  <c r="J91" i="36"/>
  <c r="D91" i="36"/>
  <c r="P90" i="36"/>
  <c r="J90" i="36"/>
  <c r="D90" i="36"/>
  <c r="P89" i="36"/>
  <c r="J89" i="36"/>
  <c r="D89" i="36"/>
  <c r="P88" i="36"/>
  <c r="J88" i="36"/>
  <c r="D88" i="36"/>
  <c r="P87" i="36"/>
  <c r="J87" i="36"/>
  <c r="D87" i="36"/>
  <c r="P86" i="36"/>
  <c r="J86" i="36"/>
  <c r="D86" i="36"/>
  <c r="P85" i="36"/>
  <c r="J85" i="36"/>
  <c r="D85" i="36"/>
  <c r="P84" i="36"/>
  <c r="J84" i="36"/>
  <c r="D84" i="36"/>
  <c r="P83" i="36"/>
  <c r="J83" i="36"/>
  <c r="D83" i="36"/>
  <c r="P82" i="36"/>
  <c r="J82" i="36"/>
  <c r="D82" i="36"/>
  <c r="P81" i="36"/>
  <c r="J81" i="36"/>
  <c r="D81" i="36"/>
  <c r="P80" i="36"/>
  <c r="J80" i="36"/>
  <c r="D80" i="36"/>
  <c r="P79" i="36"/>
  <c r="J79" i="36"/>
  <c r="D79" i="36"/>
  <c r="P78" i="36"/>
  <c r="J78" i="36"/>
  <c r="D78" i="36"/>
  <c r="P77" i="36"/>
  <c r="J77" i="36"/>
  <c r="D77" i="36"/>
  <c r="P76" i="36"/>
  <c r="J76" i="36"/>
  <c r="D76" i="36"/>
  <c r="P75" i="36"/>
  <c r="J75" i="36"/>
  <c r="D75" i="36"/>
  <c r="P74" i="36"/>
  <c r="J74" i="36"/>
  <c r="D74" i="36"/>
  <c r="P73" i="36"/>
  <c r="J73" i="36"/>
  <c r="D73" i="36"/>
  <c r="P72" i="36"/>
  <c r="J72" i="36"/>
  <c r="D72" i="36"/>
  <c r="P71" i="36"/>
  <c r="J71" i="36"/>
  <c r="D71" i="36"/>
  <c r="P70" i="36"/>
  <c r="J70" i="36"/>
  <c r="D70" i="36"/>
  <c r="P69" i="36"/>
  <c r="J69" i="36"/>
  <c r="D69" i="36"/>
  <c r="P68" i="36"/>
  <c r="J68" i="36"/>
  <c r="D68" i="36"/>
  <c r="P67" i="36"/>
  <c r="J67" i="36"/>
  <c r="D67" i="36"/>
  <c r="P66" i="36"/>
  <c r="J66" i="36"/>
  <c r="D66" i="36"/>
  <c r="P65" i="36"/>
  <c r="J65" i="36"/>
  <c r="D65" i="36"/>
  <c r="P64" i="36"/>
  <c r="J64" i="36"/>
  <c r="D64" i="36"/>
  <c r="P63" i="36"/>
  <c r="J63" i="36"/>
  <c r="D63" i="36"/>
  <c r="P62" i="36"/>
  <c r="J62" i="36"/>
  <c r="D62" i="36"/>
  <c r="P61" i="36"/>
  <c r="J61" i="36"/>
  <c r="D61" i="36"/>
  <c r="P60" i="36"/>
  <c r="J60" i="36"/>
  <c r="D60" i="36"/>
  <c r="P59" i="36"/>
  <c r="J59" i="36"/>
  <c r="D59" i="36"/>
  <c r="P58" i="36"/>
  <c r="J58" i="36"/>
  <c r="D58" i="36"/>
  <c r="P57" i="36"/>
  <c r="J57" i="36"/>
  <c r="D57" i="36"/>
  <c r="P56" i="36"/>
  <c r="J56" i="36"/>
  <c r="D56" i="36"/>
  <c r="P55" i="36"/>
  <c r="J55" i="36"/>
  <c r="D55" i="36"/>
  <c r="P54" i="36"/>
  <c r="J54" i="36"/>
  <c r="D54" i="36"/>
  <c r="P53" i="36"/>
  <c r="J53" i="36"/>
  <c r="D53" i="36"/>
  <c r="P52" i="36"/>
  <c r="J52" i="36"/>
  <c r="D52" i="36"/>
  <c r="P51" i="36"/>
  <c r="J51" i="36"/>
  <c r="D51" i="36"/>
  <c r="P50" i="36"/>
  <c r="J50" i="36"/>
  <c r="D50" i="36"/>
  <c r="P49" i="36"/>
  <c r="J49" i="36"/>
  <c r="D49" i="36"/>
  <c r="P48" i="36"/>
  <c r="J48" i="36"/>
  <c r="D48" i="36"/>
  <c r="P47" i="36"/>
  <c r="J47" i="36"/>
  <c r="D47" i="36"/>
  <c r="P46" i="36"/>
  <c r="J46" i="36"/>
  <c r="D46" i="36"/>
  <c r="P45" i="36"/>
  <c r="J45" i="36"/>
  <c r="D45" i="36"/>
  <c r="P44" i="36"/>
  <c r="J44" i="36"/>
  <c r="D44" i="36"/>
  <c r="P43" i="36"/>
  <c r="J43" i="36"/>
  <c r="D43" i="36"/>
  <c r="P42" i="36"/>
  <c r="J42" i="36"/>
  <c r="D42" i="36"/>
  <c r="P41" i="36"/>
  <c r="J41" i="36"/>
  <c r="D41" i="36"/>
  <c r="P40" i="36"/>
  <c r="J40" i="36"/>
  <c r="D40" i="36"/>
  <c r="P39" i="36"/>
  <c r="J39" i="36"/>
  <c r="D39" i="36"/>
  <c r="P38" i="36"/>
  <c r="J38" i="36"/>
  <c r="D38" i="36"/>
  <c r="P37" i="36"/>
  <c r="J37" i="36"/>
  <c r="D37" i="36"/>
  <c r="P36" i="36"/>
  <c r="J36" i="36"/>
  <c r="D36" i="36"/>
  <c r="P35" i="36"/>
  <c r="J35" i="36"/>
  <c r="D35" i="36"/>
  <c r="P34" i="36"/>
  <c r="J34" i="36"/>
  <c r="D34" i="36"/>
  <c r="P33" i="36"/>
  <c r="J33" i="36"/>
  <c r="D33" i="36"/>
  <c r="P32" i="36"/>
  <c r="J32" i="36"/>
  <c r="D32" i="36"/>
  <c r="P31" i="36"/>
  <c r="J31" i="36"/>
  <c r="D31" i="36"/>
  <c r="P30" i="36"/>
  <c r="J30" i="36"/>
  <c r="D30" i="36"/>
  <c r="P29" i="36"/>
  <c r="J29" i="36"/>
  <c r="D29" i="36"/>
  <c r="P28" i="36"/>
  <c r="J28" i="36"/>
  <c r="D28" i="36"/>
  <c r="P27" i="36"/>
  <c r="J27" i="36"/>
  <c r="D27" i="36"/>
  <c r="P26" i="36"/>
  <c r="J26" i="36"/>
  <c r="D26" i="36"/>
  <c r="P25" i="36"/>
  <c r="J25" i="36"/>
  <c r="D25" i="36"/>
  <c r="P24" i="36"/>
  <c r="J24" i="36"/>
  <c r="D24" i="36"/>
  <c r="P23" i="36"/>
  <c r="J23" i="36"/>
  <c r="D23" i="36"/>
  <c r="P22" i="36"/>
  <c r="J22" i="36"/>
  <c r="D22" i="36"/>
  <c r="P21" i="36"/>
  <c r="J21" i="36"/>
  <c r="D21" i="36"/>
  <c r="P20" i="36"/>
  <c r="J20" i="36"/>
  <c r="D20" i="36"/>
  <c r="P19" i="36"/>
  <c r="J19" i="36"/>
  <c r="D19" i="36"/>
  <c r="P18" i="36"/>
  <c r="J18" i="36"/>
  <c r="D18" i="36"/>
  <c r="R17" i="36"/>
  <c r="R18" i="36" s="1"/>
  <c r="R19" i="36" s="1"/>
  <c r="R20" i="36" s="1"/>
  <c r="R21" i="36" s="1"/>
  <c r="R22" i="36" s="1"/>
  <c r="P17" i="36"/>
  <c r="L17" i="36"/>
  <c r="L18" i="36" s="1"/>
  <c r="L19" i="36" s="1"/>
  <c r="L20" i="36" s="1"/>
  <c r="L21" i="36" s="1"/>
  <c r="L22" i="36" s="1"/>
  <c r="J17" i="36"/>
  <c r="D17" i="36"/>
  <c r="E17" i="36" s="1"/>
  <c r="B17" i="36"/>
  <c r="P16" i="36"/>
  <c r="J16" i="36"/>
  <c r="B506" i="27"/>
  <c r="B505" i="27"/>
  <c r="B504" i="27"/>
  <c r="B503" i="27"/>
  <c r="B502" i="27"/>
  <c r="B501" i="27"/>
  <c r="B500" i="27"/>
  <c r="B499" i="27"/>
  <c r="B498" i="27"/>
  <c r="B497" i="27"/>
  <c r="B496" i="27"/>
  <c r="B495" i="27"/>
  <c r="B494" i="27"/>
  <c r="B493" i="27"/>
  <c r="B492" i="27"/>
  <c r="B491" i="27"/>
  <c r="B490" i="27"/>
  <c r="B489" i="27"/>
  <c r="B488" i="27"/>
  <c r="B487" i="27"/>
  <c r="B486" i="27"/>
  <c r="B485" i="27"/>
  <c r="B484" i="27"/>
  <c r="B483" i="27"/>
  <c r="B482" i="27"/>
  <c r="B481" i="27"/>
  <c r="B480" i="27"/>
  <c r="B479" i="27"/>
  <c r="B478" i="27"/>
  <c r="B477" i="27"/>
  <c r="B476" i="27"/>
  <c r="B475" i="27"/>
  <c r="B474" i="27"/>
  <c r="B473" i="27"/>
  <c r="B472" i="27"/>
  <c r="B471" i="27"/>
  <c r="B470" i="27"/>
  <c r="B469" i="27"/>
  <c r="B468" i="27"/>
  <c r="B467" i="27"/>
  <c r="B466" i="27"/>
  <c r="B465" i="27"/>
  <c r="B464" i="27"/>
  <c r="B463" i="27"/>
  <c r="B462" i="27"/>
  <c r="B461" i="27"/>
  <c r="B460" i="27"/>
  <c r="B459" i="27"/>
  <c r="B458" i="27"/>
  <c r="B457" i="27"/>
  <c r="B456" i="27"/>
  <c r="B455" i="27"/>
  <c r="B454" i="27"/>
  <c r="B453" i="27"/>
  <c r="B452" i="27"/>
  <c r="B451" i="27"/>
  <c r="B450" i="27"/>
  <c r="B449" i="27"/>
  <c r="B448" i="27"/>
  <c r="B447" i="27"/>
  <c r="B446" i="27"/>
  <c r="B445" i="27"/>
  <c r="B444" i="27"/>
  <c r="B443" i="27"/>
  <c r="B442" i="27"/>
  <c r="B441" i="27"/>
  <c r="B440" i="27"/>
  <c r="B439" i="27"/>
  <c r="B438" i="27"/>
  <c r="B437" i="27"/>
  <c r="B436" i="27"/>
  <c r="B435" i="27"/>
  <c r="B434" i="27"/>
  <c r="B433" i="27"/>
  <c r="B432" i="27"/>
  <c r="B431" i="27"/>
  <c r="B430" i="27"/>
  <c r="B429" i="27"/>
  <c r="B428" i="27"/>
  <c r="B427" i="27"/>
  <c r="B426" i="27"/>
  <c r="B425" i="27"/>
  <c r="B424" i="27"/>
  <c r="B423" i="27"/>
  <c r="B422" i="27"/>
  <c r="B421" i="27"/>
  <c r="B420" i="27"/>
  <c r="B419" i="27"/>
  <c r="B418" i="27"/>
  <c r="B417" i="27"/>
  <c r="B416" i="27"/>
  <c r="B415" i="27"/>
  <c r="B414" i="27"/>
  <c r="B413" i="27"/>
  <c r="B412" i="27"/>
  <c r="B411" i="27"/>
  <c r="B410" i="27"/>
  <c r="B409" i="27"/>
  <c r="B408" i="27"/>
  <c r="B407" i="27"/>
  <c r="B406" i="27"/>
  <c r="B405" i="27"/>
  <c r="B404" i="27"/>
  <c r="B403" i="27"/>
  <c r="B402" i="27"/>
  <c r="B401" i="27"/>
  <c r="B400" i="27"/>
  <c r="B399" i="27"/>
  <c r="B398" i="27"/>
  <c r="B397" i="27"/>
  <c r="B396" i="27"/>
  <c r="B395" i="27"/>
  <c r="B394" i="27"/>
  <c r="B393" i="27"/>
  <c r="B392" i="27"/>
  <c r="B391" i="27"/>
  <c r="B390" i="27"/>
  <c r="B389" i="27"/>
  <c r="B388" i="27"/>
  <c r="B387" i="27"/>
  <c r="B386" i="27"/>
  <c r="B385" i="27"/>
  <c r="B384" i="27"/>
  <c r="B383" i="27"/>
  <c r="B382" i="27"/>
  <c r="B381" i="27"/>
  <c r="B380" i="27"/>
  <c r="B379" i="27"/>
  <c r="B378" i="27"/>
  <c r="B377" i="27"/>
  <c r="B376" i="27"/>
  <c r="B375" i="27"/>
  <c r="B374" i="27"/>
  <c r="B373" i="27"/>
  <c r="B372" i="27"/>
  <c r="B371" i="27"/>
  <c r="B370" i="27"/>
  <c r="B369" i="27"/>
  <c r="B368" i="27"/>
  <c r="B367" i="27"/>
  <c r="B366" i="27"/>
  <c r="B365" i="27"/>
  <c r="B364" i="27"/>
  <c r="B363" i="27"/>
  <c r="B362" i="27"/>
  <c r="B361" i="27"/>
  <c r="B360" i="27"/>
  <c r="B359" i="27"/>
  <c r="B358" i="27"/>
  <c r="B357" i="27"/>
  <c r="B356" i="27"/>
  <c r="B355" i="27"/>
  <c r="B354" i="27"/>
  <c r="B353" i="27"/>
  <c r="B352" i="27"/>
  <c r="B351" i="27"/>
  <c r="B350" i="27"/>
  <c r="B349" i="27"/>
  <c r="B348" i="27"/>
  <c r="B347" i="27"/>
  <c r="B346" i="27"/>
  <c r="B345" i="27"/>
  <c r="B344" i="27"/>
  <c r="B343" i="27"/>
  <c r="B342" i="27"/>
  <c r="B341" i="27"/>
  <c r="B340" i="27"/>
  <c r="B339" i="27"/>
  <c r="B338" i="27"/>
  <c r="B337" i="27"/>
  <c r="B336" i="27"/>
  <c r="B335" i="27"/>
  <c r="B334" i="27"/>
  <c r="B333" i="27"/>
  <c r="B332" i="27"/>
  <c r="B331" i="27"/>
  <c r="B330" i="27"/>
  <c r="B329" i="27"/>
  <c r="B328" i="27"/>
  <c r="B327" i="27"/>
  <c r="B326" i="27"/>
  <c r="B325" i="27"/>
  <c r="B324" i="27"/>
  <c r="B323" i="27"/>
  <c r="B322" i="27"/>
  <c r="B321" i="27"/>
  <c r="B320" i="27"/>
  <c r="B319" i="27"/>
  <c r="B318" i="27"/>
  <c r="B317" i="27"/>
  <c r="B316" i="27"/>
  <c r="B315" i="27"/>
  <c r="B314" i="27"/>
  <c r="B313" i="27"/>
  <c r="B312" i="27"/>
  <c r="B311" i="27"/>
  <c r="B310" i="27"/>
  <c r="B309" i="27"/>
  <c r="B308" i="27"/>
  <c r="B307" i="27"/>
  <c r="B306" i="27"/>
  <c r="B305" i="27"/>
  <c r="B304" i="27"/>
  <c r="B303" i="27"/>
  <c r="B302" i="27"/>
  <c r="B301" i="27"/>
  <c r="B300" i="27"/>
  <c r="B299" i="27"/>
  <c r="B298" i="27"/>
  <c r="B297" i="27"/>
  <c r="B296" i="27"/>
  <c r="B295" i="27"/>
  <c r="B294" i="27"/>
  <c r="B293" i="27"/>
  <c r="B292" i="27"/>
  <c r="B291" i="27"/>
  <c r="B290" i="27"/>
  <c r="B289" i="27"/>
  <c r="B288" i="27"/>
  <c r="B287" i="27"/>
  <c r="B286" i="27"/>
  <c r="B285" i="27"/>
  <c r="B284" i="27"/>
  <c r="B283" i="27"/>
  <c r="B282" i="27"/>
  <c r="B281" i="27"/>
  <c r="B280" i="27"/>
  <c r="B279" i="27"/>
  <c r="B278" i="27"/>
  <c r="B277" i="27"/>
  <c r="B276" i="27"/>
  <c r="B275" i="27"/>
  <c r="B274" i="27"/>
  <c r="B273" i="27"/>
  <c r="B272" i="27"/>
  <c r="B271" i="27"/>
  <c r="B270" i="27"/>
  <c r="B269" i="27"/>
  <c r="X247" i="27"/>
  <c r="Q247" i="27"/>
  <c r="P247" i="27"/>
  <c r="K247" i="27"/>
  <c r="J247" i="27"/>
  <c r="X246" i="27"/>
  <c r="Q246" i="27"/>
  <c r="P246" i="27"/>
  <c r="K246" i="27"/>
  <c r="J246" i="27"/>
  <c r="X245" i="27"/>
  <c r="Q245" i="27"/>
  <c r="P245" i="27"/>
  <c r="K245" i="27"/>
  <c r="J245" i="27"/>
  <c r="X244" i="27"/>
  <c r="Q244" i="27"/>
  <c r="P244" i="27"/>
  <c r="K244" i="27"/>
  <c r="J244" i="27"/>
  <c r="X243" i="27"/>
  <c r="Q243" i="27"/>
  <c r="P243" i="27"/>
  <c r="K243" i="27"/>
  <c r="J243" i="27"/>
  <c r="X242" i="27"/>
  <c r="Q242" i="27"/>
  <c r="P242" i="27"/>
  <c r="K242" i="27"/>
  <c r="J242" i="27"/>
  <c r="X241" i="27"/>
  <c r="Q241" i="27"/>
  <c r="P241" i="27"/>
  <c r="K241" i="27"/>
  <c r="J241" i="27"/>
  <c r="X240" i="27"/>
  <c r="Q240" i="27"/>
  <c r="P240" i="27"/>
  <c r="K240" i="27"/>
  <c r="J240" i="27"/>
  <c r="X239" i="27"/>
  <c r="Q239" i="27"/>
  <c r="P239" i="27"/>
  <c r="K239" i="27"/>
  <c r="J239" i="27"/>
  <c r="X238" i="27"/>
  <c r="Q238" i="27"/>
  <c r="P238" i="27"/>
  <c r="K238" i="27"/>
  <c r="J238" i="27"/>
  <c r="X237" i="27"/>
  <c r="Q237" i="27"/>
  <c r="P237" i="27"/>
  <c r="K237" i="27"/>
  <c r="J237" i="27"/>
  <c r="X236" i="27"/>
  <c r="Q236" i="27"/>
  <c r="P236" i="27"/>
  <c r="K236" i="27"/>
  <c r="J236" i="27"/>
  <c r="X235" i="27"/>
  <c r="Q235" i="27"/>
  <c r="P235" i="27"/>
  <c r="K235" i="27"/>
  <c r="J235" i="27"/>
  <c r="X234" i="27"/>
  <c r="Q234" i="27"/>
  <c r="P234" i="27"/>
  <c r="K234" i="27"/>
  <c r="J234" i="27"/>
  <c r="X233" i="27"/>
  <c r="Q233" i="27"/>
  <c r="P233" i="27"/>
  <c r="K233" i="27"/>
  <c r="J233" i="27"/>
  <c r="X232" i="27"/>
  <c r="Q232" i="27"/>
  <c r="P232" i="27"/>
  <c r="K232" i="27"/>
  <c r="J232" i="27"/>
  <c r="AC231" i="27"/>
  <c r="Y231" i="27"/>
  <c r="X231" i="27"/>
  <c r="Q231" i="27"/>
  <c r="P231" i="27"/>
  <c r="K231" i="27"/>
  <c r="J231" i="27"/>
  <c r="AC230" i="27"/>
  <c r="Y230" i="27"/>
  <c r="X230" i="27"/>
  <c r="Q230" i="27"/>
  <c r="P230" i="27"/>
  <c r="K230" i="27"/>
  <c r="J230" i="27"/>
  <c r="AC229" i="27"/>
  <c r="Y229" i="27"/>
  <c r="X229" i="27"/>
  <c r="Q229" i="27"/>
  <c r="P229" i="27"/>
  <c r="K229" i="27"/>
  <c r="J229" i="27"/>
  <c r="AC228" i="27"/>
  <c r="Y228" i="27"/>
  <c r="X228" i="27"/>
  <c r="Q228" i="27"/>
  <c r="P228" i="27"/>
  <c r="K228" i="27"/>
  <c r="J228" i="27"/>
  <c r="AC227" i="27"/>
  <c r="Y227" i="27"/>
  <c r="X227" i="27"/>
  <c r="Q227" i="27"/>
  <c r="P227" i="27"/>
  <c r="K227" i="27"/>
  <c r="J227" i="27"/>
  <c r="AC226" i="27"/>
  <c r="Y226" i="27"/>
  <c r="X226" i="27"/>
  <c r="Q226" i="27"/>
  <c r="P226" i="27"/>
  <c r="K226" i="27"/>
  <c r="J226" i="27"/>
  <c r="AC225" i="27"/>
  <c r="Y225" i="27"/>
  <c r="X225" i="27"/>
  <c r="Q225" i="27"/>
  <c r="P225" i="27"/>
  <c r="K225" i="27"/>
  <c r="J225" i="27"/>
  <c r="AC224" i="27"/>
  <c r="Y224" i="27"/>
  <c r="X224" i="27"/>
  <c r="Q224" i="27"/>
  <c r="P224" i="27"/>
  <c r="K224" i="27"/>
  <c r="J224" i="27"/>
  <c r="AC223" i="27"/>
  <c r="Y223" i="27"/>
  <c r="X223" i="27"/>
  <c r="Q223" i="27"/>
  <c r="P223" i="27"/>
  <c r="K223" i="27"/>
  <c r="J223" i="27"/>
  <c r="AC222" i="27"/>
  <c r="Y222" i="27"/>
  <c r="X222" i="27"/>
  <c r="Q222" i="27"/>
  <c r="P222" i="27"/>
  <c r="K222" i="27"/>
  <c r="J222" i="27"/>
  <c r="AC221" i="27"/>
  <c r="Y221" i="27"/>
  <c r="X221" i="27"/>
  <c r="Q221" i="27"/>
  <c r="P221" i="27"/>
  <c r="K221" i="27"/>
  <c r="J221" i="27"/>
  <c r="AC220" i="27"/>
  <c r="Y220" i="27"/>
  <c r="X220" i="27"/>
  <c r="Q220" i="27"/>
  <c r="P220" i="27"/>
  <c r="K220" i="27"/>
  <c r="J220" i="27"/>
  <c r="AC219" i="27"/>
  <c r="Y219" i="27"/>
  <c r="X219" i="27"/>
  <c r="Q219" i="27"/>
  <c r="P219" i="27"/>
  <c r="K219" i="27"/>
  <c r="J219" i="27"/>
  <c r="AC218" i="27"/>
  <c r="Y218" i="27"/>
  <c r="X218" i="27"/>
  <c r="Q218" i="27"/>
  <c r="P218" i="27"/>
  <c r="K218" i="27"/>
  <c r="J218" i="27"/>
  <c r="AC217" i="27"/>
  <c r="Y217" i="27"/>
  <c r="X217" i="27"/>
  <c r="Q217" i="27"/>
  <c r="P217" i="27"/>
  <c r="K217" i="27"/>
  <c r="J217" i="27"/>
  <c r="AC216" i="27"/>
  <c r="Y216" i="27"/>
  <c r="X216" i="27"/>
  <c r="Q216" i="27"/>
  <c r="P216" i="27"/>
  <c r="K216" i="27"/>
  <c r="J216" i="27"/>
  <c r="AC215" i="27"/>
  <c r="Y215" i="27"/>
  <c r="X215" i="27"/>
  <c r="Q215" i="27"/>
  <c r="P215" i="27"/>
  <c r="K215" i="27"/>
  <c r="J215" i="27"/>
  <c r="AC214" i="27"/>
  <c r="Y214" i="27"/>
  <c r="X214" i="27"/>
  <c r="Q214" i="27"/>
  <c r="P214" i="27"/>
  <c r="K214" i="27"/>
  <c r="J214" i="27"/>
  <c r="AC213" i="27"/>
  <c r="Y213" i="27"/>
  <c r="X213" i="27"/>
  <c r="Q213" i="27"/>
  <c r="P213" i="27"/>
  <c r="K213" i="27"/>
  <c r="J213" i="27"/>
  <c r="AC212" i="27"/>
  <c r="Y212" i="27"/>
  <c r="X212" i="27"/>
  <c r="Q212" i="27"/>
  <c r="P212" i="27"/>
  <c r="K212" i="27"/>
  <c r="J212" i="27"/>
  <c r="AC211" i="27"/>
  <c r="Y211" i="27"/>
  <c r="X211" i="27"/>
  <c r="Q211" i="27"/>
  <c r="P211" i="27"/>
  <c r="K211" i="27"/>
  <c r="J211" i="27"/>
  <c r="AC210" i="27"/>
  <c r="Y210" i="27"/>
  <c r="X210" i="27"/>
  <c r="Q210" i="27"/>
  <c r="P210" i="27"/>
  <c r="K210" i="27"/>
  <c r="J210" i="27"/>
  <c r="AC209" i="27"/>
  <c r="AA209" i="27"/>
  <c r="Y209" i="27"/>
  <c r="X209" i="27"/>
  <c r="Q209" i="27"/>
  <c r="P209" i="27"/>
  <c r="K209" i="27"/>
  <c r="J209" i="27"/>
  <c r="AC208" i="27"/>
  <c r="AA208" i="27"/>
  <c r="Y208" i="27"/>
  <c r="X208" i="27"/>
  <c r="Q208" i="27"/>
  <c r="P208" i="27"/>
  <c r="K208" i="27"/>
  <c r="J208" i="27"/>
  <c r="AC207" i="27"/>
  <c r="AA207" i="27"/>
  <c r="Y207" i="27"/>
  <c r="X207" i="27"/>
  <c r="Q207" i="27"/>
  <c r="P207" i="27"/>
  <c r="K207" i="27"/>
  <c r="J207" i="27"/>
  <c r="AC206" i="27"/>
  <c r="AA206" i="27"/>
  <c r="Y206" i="27"/>
  <c r="X206" i="27"/>
  <c r="Q206" i="27"/>
  <c r="P206" i="27"/>
  <c r="K206" i="27"/>
  <c r="J206" i="27"/>
  <c r="AC205" i="27"/>
  <c r="AA205" i="27"/>
  <c r="Y205" i="27"/>
  <c r="X205" i="27"/>
  <c r="Q205" i="27"/>
  <c r="P205" i="27"/>
  <c r="K205" i="27"/>
  <c r="J205" i="27"/>
  <c r="AC204" i="27"/>
  <c r="AA204" i="27"/>
  <c r="Y204" i="27"/>
  <c r="X204" i="27"/>
  <c r="Q204" i="27"/>
  <c r="P204" i="27"/>
  <c r="K204" i="27"/>
  <c r="J204" i="27"/>
  <c r="AC203" i="27"/>
  <c r="AA203" i="27"/>
  <c r="Y203" i="27"/>
  <c r="X203" i="27"/>
  <c r="Q203" i="27"/>
  <c r="P203" i="27"/>
  <c r="K203" i="27"/>
  <c r="J203" i="27"/>
  <c r="AC202" i="27"/>
  <c r="AA202" i="27"/>
  <c r="Y202" i="27"/>
  <c r="X202" i="27"/>
  <c r="Q202" i="27"/>
  <c r="P202" i="27"/>
  <c r="K202" i="27"/>
  <c r="J202" i="27"/>
  <c r="AC201" i="27"/>
  <c r="AA201" i="27"/>
  <c r="Y201" i="27"/>
  <c r="X201" i="27"/>
  <c r="Q201" i="27"/>
  <c r="P201" i="27"/>
  <c r="K201" i="27"/>
  <c r="J201" i="27"/>
  <c r="AC200" i="27"/>
  <c r="AA200" i="27"/>
  <c r="Y200" i="27"/>
  <c r="X200" i="27"/>
  <c r="Q200" i="27"/>
  <c r="P200" i="27"/>
  <c r="K200" i="27"/>
  <c r="J200" i="27"/>
  <c r="AC199" i="27"/>
  <c r="AA199" i="27"/>
  <c r="Y199" i="27"/>
  <c r="X199" i="27"/>
  <c r="Q199" i="27"/>
  <c r="P199" i="27"/>
  <c r="K199" i="27"/>
  <c r="J199" i="27"/>
  <c r="AC198" i="27"/>
  <c r="AA198" i="27"/>
  <c r="Y198" i="27"/>
  <c r="X198" i="27"/>
  <c r="Q198" i="27"/>
  <c r="P198" i="27"/>
  <c r="K198" i="27"/>
  <c r="J198" i="27"/>
  <c r="AC197" i="27"/>
  <c r="AA197" i="27"/>
  <c r="Y197" i="27"/>
  <c r="X197" i="27"/>
  <c r="Q197" i="27"/>
  <c r="P197" i="27"/>
  <c r="K197" i="27"/>
  <c r="J197" i="27"/>
  <c r="AC196" i="27"/>
  <c r="AA196" i="27"/>
  <c r="Y196" i="27"/>
  <c r="X196" i="27"/>
  <c r="Q196" i="27"/>
  <c r="P196" i="27"/>
  <c r="K196" i="27"/>
  <c r="J196" i="27"/>
  <c r="AC195" i="27"/>
  <c r="AA195" i="27"/>
  <c r="Y195" i="27"/>
  <c r="X195" i="27"/>
  <c r="Q195" i="27"/>
  <c r="P195" i="27"/>
  <c r="K195" i="27"/>
  <c r="J195" i="27"/>
  <c r="AC194" i="27"/>
  <c r="AA194" i="27"/>
  <c r="Y194" i="27"/>
  <c r="X194" i="27"/>
  <c r="Q194" i="27"/>
  <c r="P194" i="27"/>
  <c r="K194" i="27"/>
  <c r="J194" i="27"/>
  <c r="AC193" i="27"/>
  <c r="AA193" i="27"/>
  <c r="Y193" i="27"/>
  <c r="X193" i="27"/>
  <c r="Q193" i="27"/>
  <c r="P193" i="27"/>
  <c r="K193" i="27"/>
  <c r="J193" i="27"/>
  <c r="AC192" i="27"/>
  <c r="AA192" i="27"/>
  <c r="Y192" i="27"/>
  <c r="X192" i="27"/>
  <c r="Q192" i="27"/>
  <c r="P192" i="27"/>
  <c r="K192" i="27"/>
  <c r="J192" i="27"/>
  <c r="AC191" i="27"/>
  <c r="AA191" i="27"/>
  <c r="Y191" i="27"/>
  <c r="X191" i="27"/>
  <c r="Q191" i="27"/>
  <c r="P191" i="27"/>
  <c r="K191" i="27"/>
  <c r="J191" i="27"/>
  <c r="AC190" i="27"/>
  <c r="AA190" i="27"/>
  <c r="Y190" i="27"/>
  <c r="X190" i="27"/>
  <c r="Q190" i="27"/>
  <c r="P190" i="27"/>
  <c r="K190" i="27"/>
  <c r="J190" i="27"/>
  <c r="AC189" i="27"/>
  <c r="AA189" i="27"/>
  <c r="Y189" i="27"/>
  <c r="X189" i="27"/>
  <c r="Q189" i="27"/>
  <c r="P189" i="27"/>
  <c r="K189" i="27"/>
  <c r="J189" i="27"/>
  <c r="AA188" i="27"/>
  <c r="Y188" i="27"/>
  <c r="X188" i="27"/>
  <c r="Q188" i="27"/>
  <c r="P188" i="27"/>
  <c r="K188" i="27"/>
  <c r="J188" i="27"/>
  <c r="AA187" i="27"/>
  <c r="Y187" i="27"/>
  <c r="X187" i="27"/>
  <c r="Q187" i="27"/>
  <c r="P187" i="27"/>
  <c r="K187" i="27"/>
  <c r="J187" i="27"/>
  <c r="AA186" i="27"/>
  <c r="Y186" i="27"/>
  <c r="X186" i="27"/>
  <c r="Q186" i="27"/>
  <c r="P186" i="27"/>
  <c r="K186" i="27"/>
  <c r="J186" i="27"/>
  <c r="AA185" i="27"/>
  <c r="Y185" i="27"/>
  <c r="X185" i="27"/>
  <c r="Q185" i="27"/>
  <c r="P185" i="27"/>
  <c r="K185" i="27"/>
  <c r="J185" i="27"/>
  <c r="AA184" i="27"/>
  <c r="Y184" i="27"/>
  <c r="X184" i="27"/>
  <c r="Q184" i="27"/>
  <c r="P184" i="27"/>
  <c r="K184" i="27"/>
  <c r="J184" i="27"/>
  <c r="AA183" i="27"/>
  <c r="Y183" i="27"/>
  <c r="X183" i="27"/>
  <c r="Q183" i="27"/>
  <c r="P183" i="27"/>
  <c r="K183" i="27"/>
  <c r="J183" i="27"/>
  <c r="AA182" i="27"/>
  <c r="Y182" i="27"/>
  <c r="X182" i="27"/>
  <c r="Q182" i="27"/>
  <c r="P182" i="27"/>
  <c r="K182" i="27"/>
  <c r="J182" i="27"/>
  <c r="AA181" i="27"/>
  <c r="Y181" i="27"/>
  <c r="X181" i="27"/>
  <c r="Q181" i="27"/>
  <c r="P181" i="27"/>
  <c r="K181" i="27"/>
  <c r="J181" i="27"/>
  <c r="AA180" i="27"/>
  <c r="Y180" i="27"/>
  <c r="X180" i="27"/>
  <c r="Q180" i="27"/>
  <c r="P180" i="27"/>
  <c r="K180" i="27"/>
  <c r="J180" i="27"/>
  <c r="AA179" i="27"/>
  <c r="Y179" i="27"/>
  <c r="X179" i="27"/>
  <c r="Q179" i="27"/>
  <c r="P179" i="27"/>
  <c r="K179" i="27"/>
  <c r="J179" i="27"/>
  <c r="AA178" i="27"/>
  <c r="Y178" i="27"/>
  <c r="X178" i="27"/>
  <c r="Q178" i="27"/>
  <c r="P178" i="27"/>
  <c r="K178" i="27"/>
  <c r="J178" i="27"/>
  <c r="AA177" i="27"/>
  <c r="Y177" i="27"/>
  <c r="X177" i="27"/>
  <c r="Q177" i="27"/>
  <c r="P177" i="27"/>
  <c r="K177" i="27"/>
  <c r="J177" i="27"/>
  <c r="AA176" i="27"/>
  <c r="Y176" i="27"/>
  <c r="X176" i="27"/>
  <c r="Q176" i="27"/>
  <c r="P176" i="27"/>
  <c r="K176" i="27"/>
  <c r="J176" i="27"/>
  <c r="AA175" i="27"/>
  <c r="Y175" i="27"/>
  <c r="X175" i="27"/>
  <c r="Q175" i="27"/>
  <c r="P175" i="27"/>
  <c r="K175" i="27"/>
  <c r="J175" i="27"/>
  <c r="AA174" i="27"/>
  <c r="Y174" i="27"/>
  <c r="X174" i="27"/>
  <c r="Q174" i="27"/>
  <c r="P174" i="27"/>
  <c r="K174" i="27"/>
  <c r="J174" i="27"/>
  <c r="AA173" i="27"/>
  <c r="Y173" i="27"/>
  <c r="X173" i="27"/>
  <c r="Q173" i="27"/>
  <c r="P173" i="27"/>
  <c r="K173" i="27"/>
  <c r="J173" i="27"/>
  <c r="AA172" i="27"/>
  <c r="Y172" i="27"/>
  <c r="AE172" i="27" s="1"/>
  <c r="X172" i="27"/>
  <c r="Q172" i="27"/>
  <c r="P172" i="27"/>
  <c r="K172" i="27"/>
  <c r="J172" i="27"/>
  <c r="AA171" i="27"/>
  <c r="Y171" i="27"/>
  <c r="X171" i="27"/>
  <c r="Q171" i="27"/>
  <c r="P171" i="27"/>
  <c r="K171" i="27"/>
  <c r="J171" i="27"/>
  <c r="AA170" i="27"/>
  <c r="Y170" i="27"/>
  <c r="X170" i="27"/>
  <c r="Q170" i="27"/>
  <c r="P170" i="27"/>
  <c r="K170" i="27"/>
  <c r="J170" i="27"/>
  <c r="AA169" i="27"/>
  <c r="Y169" i="27"/>
  <c r="X169" i="27"/>
  <c r="Q169" i="27"/>
  <c r="P169" i="27"/>
  <c r="K169" i="27"/>
  <c r="J169" i="27"/>
  <c r="AA168" i="27"/>
  <c r="Y168" i="27"/>
  <c r="X168" i="27"/>
  <c r="Q168" i="27"/>
  <c r="P168" i="27"/>
  <c r="K168" i="27"/>
  <c r="J168" i="27"/>
  <c r="AA167" i="27"/>
  <c r="Y167" i="27"/>
  <c r="X167" i="27"/>
  <c r="Q167" i="27"/>
  <c r="P167" i="27"/>
  <c r="K167" i="27"/>
  <c r="J167" i="27"/>
  <c r="AA166" i="27"/>
  <c r="Y166" i="27"/>
  <c r="X166" i="27"/>
  <c r="Q166" i="27"/>
  <c r="P166" i="27"/>
  <c r="K166" i="27"/>
  <c r="J166" i="27"/>
  <c r="Y165" i="27"/>
  <c r="AE165" i="27" s="1"/>
  <c r="X165" i="27"/>
  <c r="Q165" i="27"/>
  <c r="P165" i="27"/>
  <c r="K165" i="27"/>
  <c r="J165" i="27"/>
  <c r="Y164" i="27"/>
  <c r="AE164" i="27" s="1"/>
  <c r="X164" i="27"/>
  <c r="Q164" i="27"/>
  <c r="P164" i="27"/>
  <c r="K164" i="27"/>
  <c r="J164" i="27"/>
  <c r="Y163" i="27"/>
  <c r="X163" i="27"/>
  <c r="Q163" i="27"/>
  <c r="P163" i="27"/>
  <c r="K163" i="27"/>
  <c r="J163" i="27"/>
  <c r="Y162" i="27"/>
  <c r="AE162" i="27" s="1"/>
  <c r="X162" i="27"/>
  <c r="AD162" i="27" s="1"/>
  <c r="D162" i="27" s="1"/>
  <c r="Q162" i="27"/>
  <c r="P162" i="27"/>
  <c r="K162" i="27"/>
  <c r="J162" i="27"/>
  <c r="AE161" i="27"/>
  <c r="AD161" i="27"/>
  <c r="Q161" i="27"/>
  <c r="P161" i="27"/>
  <c r="K161" i="27"/>
  <c r="J161" i="27"/>
  <c r="D161" i="27"/>
  <c r="AE160" i="27"/>
  <c r="Q160" i="27"/>
  <c r="P160" i="27"/>
  <c r="K160" i="27"/>
  <c r="J160" i="27"/>
  <c r="D160" i="27"/>
  <c r="AE159" i="27"/>
  <c r="Q159" i="27"/>
  <c r="P159" i="27"/>
  <c r="K159" i="27"/>
  <c r="J159" i="27"/>
  <c r="D159" i="27"/>
  <c r="AE158" i="27"/>
  <c r="AD158" i="27"/>
  <c r="Q158" i="27"/>
  <c r="P158" i="27"/>
  <c r="K158" i="27"/>
  <c r="J158" i="27"/>
  <c r="D158" i="27"/>
  <c r="AE157" i="27"/>
  <c r="AD157" i="27"/>
  <c r="D157" i="27" s="1"/>
  <c r="Q157" i="27"/>
  <c r="P157" i="27"/>
  <c r="K157" i="27"/>
  <c r="J157" i="27"/>
  <c r="AE156" i="27"/>
  <c r="Q156" i="27"/>
  <c r="P156" i="27"/>
  <c r="K156" i="27"/>
  <c r="J156" i="27"/>
  <c r="AE155" i="27"/>
  <c r="AD156" i="27" s="1"/>
  <c r="D156" i="27" s="1"/>
  <c r="AD155" i="27"/>
  <c r="D155" i="27" s="1"/>
  <c r="Q155" i="27"/>
  <c r="P155" i="27"/>
  <c r="K155" i="27"/>
  <c r="J155" i="27"/>
  <c r="AE154" i="27"/>
  <c r="Q154" i="27"/>
  <c r="P154" i="27"/>
  <c r="K154" i="27"/>
  <c r="J154" i="27"/>
  <c r="AE153" i="27"/>
  <c r="AD154" i="27" s="1"/>
  <c r="D154" i="27" s="1"/>
  <c r="Q153" i="27"/>
  <c r="P153" i="27"/>
  <c r="K153" i="27"/>
  <c r="J153" i="27"/>
  <c r="AE152" i="27"/>
  <c r="AD153" i="27" s="1"/>
  <c r="D153" i="27" s="1"/>
  <c r="AD152" i="27"/>
  <c r="Q152" i="27"/>
  <c r="P152" i="27"/>
  <c r="K152" i="27"/>
  <c r="J152" i="27"/>
  <c r="D152" i="27"/>
  <c r="AE151" i="27"/>
  <c r="AD151" i="27"/>
  <c r="D151" i="27" s="1"/>
  <c r="Q151" i="27"/>
  <c r="P151" i="27"/>
  <c r="K151" i="27"/>
  <c r="J151" i="27"/>
  <c r="AE150" i="27"/>
  <c r="Q150" i="27"/>
  <c r="P150" i="27"/>
  <c r="K150" i="27"/>
  <c r="J150" i="27"/>
  <c r="Q149" i="27"/>
  <c r="P149" i="27"/>
  <c r="K149" i="27"/>
  <c r="J149" i="27"/>
  <c r="Q148" i="27"/>
  <c r="P148" i="27"/>
  <c r="K148" i="27"/>
  <c r="J148" i="27"/>
  <c r="Q147" i="27"/>
  <c r="P147" i="27"/>
  <c r="K147" i="27"/>
  <c r="J147" i="27"/>
  <c r="Q146" i="27"/>
  <c r="P146" i="27"/>
  <c r="K146" i="27"/>
  <c r="J146" i="27"/>
  <c r="AE145" i="27"/>
  <c r="AD145" i="27"/>
  <c r="W145" i="27" s="1"/>
  <c r="V145" i="27" s="1"/>
  <c r="Q145" i="27"/>
  <c r="P145" i="27"/>
  <c r="K145" i="27"/>
  <c r="J145" i="27"/>
  <c r="AE144" i="27"/>
  <c r="AD144" i="27" s="1"/>
  <c r="W144" i="27" s="1"/>
  <c r="V144" i="27" s="1"/>
  <c r="Q144" i="27"/>
  <c r="P144" i="27"/>
  <c r="K144" i="27"/>
  <c r="J144" i="27"/>
  <c r="AE143" i="27"/>
  <c r="AD143" i="27"/>
  <c r="W143" i="27"/>
  <c r="V143" i="27" s="1"/>
  <c r="Q143" i="27"/>
  <c r="P143" i="27"/>
  <c r="K143" i="27"/>
  <c r="J143" i="27"/>
  <c r="AE142" i="27"/>
  <c r="AD142" i="27" s="1"/>
  <c r="W142" i="27" s="1"/>
  <c r="V142" i="27" s="1"/>
  <c r="Q142" i="27"/>
  <c r="P142" i="27"/>
  <c r="K142" i="27"/>
  <c r="J142" i="27"/>
  <c r="AE141" i="27"/>
  <c r="AD141" i="27"/>
  <c r="W141" i="27" s="1"/>
  <c r="V141" i="27" s="1"/>
  <c r="Q141" i="27"/>
  <c r="P141" i="27"/>
  <c r="K141" i="27"/>
  <c r="J141" i="27"/>
  <c r="AE140" i="27"/>
  <c r="AD140" i="27" s="1"/>
  <c r="W140" i="27" s="1"/>
  <c r="V140" i="27" s="1"/>
  <c r="Q140" i="27"/>
  <c r="P140" i="27"/>
  <c r="K140" i="27"/>
  <c r="J140" i="27"/>
  <c r="AE139" i="27"/>
  <c r="AD139" i="27"/>
  <c r="W139" i="27" s="1"/>
  <c r="V139" i="27" s="1"/>
  <c r="Q139" i="27"/>
  <c r="P139" i="27"/>
  <c r="K139" i="27"/>
  <c r="J139" i="27"/>
  <c r="AE138" i="27"/>
  <c r="AD138" i="27" s="1"/>
  <c r="W138" i="27" s="1"/>
  <c r="V138" i="27" s="1"/>
  <c r="Q138" i="27"/>
  <c r="P138" i="27"/>
  <c r="K138" i="27"/>
  <c r="J138" i="27"/>
  <c r="AE137" i="27"/>
  <c r="AD137" i="27" s="1"/>
  <c r="W137" i="27" s="1"/>
  <c r="V137" i="27"/>
  <c r="Q137" i="27"/>
  <c r="P137" i="27"/>
  <c r="K137" i="27"/>
  <c r="J137" i="27"/>
  <c r="AE136" i="27"/>
  <c r="AD136" i="27" s="1"/>
  <c r="W136" i="27" s="1"/>
  <c r="V136" i="27" s="1"/>
  <c r="Q136" i="27"/>
  <c r="P136" i="27"/>
  <c r="K136" i="27"/>
  <c r="J136" i="27"/>
  <c r="AE135" i="27"/>
  <c r="AD135" i="27" s="1"/>
  <c r="W135" i="27" s="1"/>
  <c r="V135" i="27" s="1"/>
  <c r="Q135" i="27"/>
  <c r="P135" i="27"/>
  <c r="K135" i="27"/>
  <c r="J135" i="27"/>
  <c r="AE134" i="27"/>
  <c r="AD134" i="27"/>
  <c r="W134" i="27"/>
  <c r="V134" i="27" s="1"/>
  <c r="Q134" i="27"/>
  <c r="P134" i="27"/>
  <c r="K134" i="27"/>
  <c r="J134" i="27"/>
  <c r="V133" i="27"/>
  <c r="Q133" i="27"/>
  <c r="P133" i="27"/>
  <c r="K133" i="27"/>
  <c r="J133" i="27"/>
  <c r="V132" i="27"/>
  <c r="Q132" i="27"/>
  <c r="P132" i="27"/>
  <c r="K132" i="27"/>
  <c r="J132" i="27"/>
  <c r="V131" i="27"/>
  <c r="Q131" i="27"/>
  <c r="P131" i="27"/>
  <c r="K131" i="27"/>
  <c r="J131" i="27"/>
  <c r="V130" i="27"/>
  <c r="Q130" i="27"/>
  <c r="P130" i="27"/>
  <c r="K130" i="27"/>
  <c r="J130" i="27"/>
  <c r="V129" i="27"/>
  <c r="Q129" i="27"/>
  <c r="P129" i="27"/>
  <c r="K129" i="27"/>
  <c r="J129" i="27"/>
  <c r="V128" i="27"/>
  <c r="Q128" i="27"/>
  <c r="P128" i="27"/>
  <c r="K128" i="27"/>
  <c r="J128" i="27"/>
  <c r="V127" i="27"/>
  <c r="Q127" i="27"/>
  <c r="P127" i="27"/>
  <c r="K127" i="27"/>
  <c r="J127" i="27"/>
  <c r="V126" i="27"/>
  <c r="Q126" i="27"/>
  <c r="P126" i="27"/>
  <c r="K126" i="27"/>
  <c r="J126" i="27"/>
  <c r="V125" i="27"/>
  <c r="Q125" i="27"/>
  <c r="P125" i="27"/>
  <c r="K125" i="27"/>
  <c r="J125" i="27"/>
  <c r="V124" i="27"/>
  <c r="Q124" i="27"/>
  <c r="P124" i="27"/>
  <c r="K124" i="27"/>
  <c r="J124" i="27"/>
  <c r="V123" i="27"/>
  <c r="Q123" i="27"/>
  <c r="P123" i="27"/>
  <c r="K123" i="27"/>
  <c r="J123" i="27"/>
  <c r="V122" i="27"/>
  <c r="Q122" i="27"/>
  <c r="P122" i="27"/>
  <c r="K122" i="27"/>
  <c r="J122" i="27"/>
  <c r="V121" i="27"/>
  <c r="Q121" i="27"/>
  <c r="P121" i="27"/>
  <c r="K121" i="27"/>
  <c r="J121" i="27"/>
  <c r="V120" i="27"/>
  <c r="Q120" i="27"/>
  <c r="P120" i="27"/>
  <c r="K120" i="27"/>
  <c r="J120" i="27"/>
  <c r="V119" i="27"/>
  <c r="Q119" i="27"/>
  <c r="P119" i="27"/>
  <c r="K119" i="27"/>
  <c r="J119" i="27"/>
  <c r="V118" i="27"/>
  <c r="Q118" i="27"/>
  <c r="P118" i="27"/>
  <c r="K118" i="27"/>
  <c r="J118" i="27"/>
  <c r="V117" i="27"/>
  <c r="Q117" i="27"/>
  <c r="P117" i="27"/>
  <c r="K117" i="27"/>
  <c r="J117" i="27"/>
  <c r="V116" i="27"/>
  <c r="Q116" i="27"/>
  <c r="P116" i="27"/>
  <c r="K116" i="27"/>
  <c r="J116" i="27"/>
  <c r="V115" i="27"/>
  <c r="Q115" i="27"/>
  <c r="P115" i="27"/>
  <c r="K115" i="27"/>
  <c r="J115" i="27"/>
  <c r="V114" i="27"/>
  <c r="Q114" i="27"/>
  <c r="P114" i="27"/>
  <c r="K114" i="27"/>
  <c r="J114" i="27"/>
  <c r="V113" i="27"/>
  <c r="Q113" i="27"/>
  <c r="P113" i="27"/>
  <c r="K113" i="27"/>
  <c r="J113" i="27"/>
  <c r="V112" i="27"/>
  <c r="Q112" i="27"/>
  <c r="P112" i="27"/>
  <c r="K112" i="27"/>
  <c r="J112" i="27"/>
  <c r="V111" i="27"/>
  <c r="Q111" i="27"/>
  <c r="P111" i="27"/>
  <c r="K111" i="27"/>
  <c r="J111" i="27"/>
  <c r="V110" i="27"/>
  <c r="Q110" i="27"/>
  <c r="P110" i="27"/>
  <c r="K110" i="27"/>
  <c r="J110" i="27"/>
  <c r="V109" i="27"/>
  <c r="Q109" i="27"/>
  <c r="P109" i="27"/>
  <c r="K109" i="27"/>
  <c r="J109" i="27"/>
  <c r="V108" i="27"/>
  <c r="Q108" i="27"/>
  <c r="P108" i="27"/>
  <c r="K108" i="27"/>
  <c r="J108" i="27"/>
  <c r="V107" i="27"/>
  <c r="Q107" i="27"/>
  <c r="P107" i="27"/>
  <c r="K107" i="27"/>
  <c r="J107" i="27"/>
  <c r="V106" i="27"/>
  <c r="Q106" i="27"/>
  <c r="P106" i="27"/>
  <c r="K106" i="27"/>
  <c r="J106" i="27"/>
  <c r="V105" i="27"/>
  <c r="Q105" i="27"/>
  <c r="P105" i="27"/>
  <c r="K105" i="27"/>
  <c r="J105" i="27"/>
  <c r="V104" i="27"/>
  <c r="Q104" i="27"/>
  <c r="P104" i="27"/>
  <c r="K104" i="27"/>
  <c r="J104" i="27"/>
  <c r="V103" i="27"/>
  <c r="Q103" i="27"/>
  <c r="P103" i="27"/>
  <c r="K103" i="27"/>
  <c r="J103" i="27"/>
  <c r="Q102" i="27"/>
  <c r="P102" i="27"/>
  <c r="K102" i="27"/>
  <c r="J102" i="27"/>
  <c r="Q101" i="27"/>
  <c r="P101" i="27"/>
  <c r="K101" i="27"/>
  <c r="J101" i="27"/>
  <c r="Q100" i="27"/>
  <c r="P100" i="27"/>
  <c r="K100" i="27"/>
  <c r="J100" i="27"/>
  <c r="Q99" i="27"/>
  <c r="P99" i="27"/>
  <c r="K99" i="27"/>
  <c r="J99" i="27"/>
  <c r="Q98" i="27"/>
  <c r="P98" i="27"/>
  <c r="K98" i="27"/>
  <c r="J98" i="27"/>
  <c r="Q97" i="27"/>
  <c r="P97" i="27"/>
  <c r="K97" i="27"/>
  <c r="J97" i="27"/>
  <c r="Q96" i="27"/>
  <c r="P96" i="27"/>
  <c r="K96" i="27"/>
  <c r="J96" i="27"/>
  <c r="Q95" i="27"/>
  <c r="P95" i="27"/>
  <c r="K95" i="27"/>
  <c r="J95" i="27"/>
  <c r="Q94" i="27"/>
  <c r="P94" i="27"/>
  <c r="K94" i="27"/>
  <c r="J94" i="27"/>
  <c r="Q93" i="27"/>
  <c r="P93" i="27"/>
  <c r="K93" i="27"/>
  <c r="J93" i="27"/>
  <c r="Q92" i="27"/>
  <c r="P92" i="27"/>
  <c r="K92" i="27"/>
  <c r="J92" i="27"/>
  <c r="Q91" i="27"/>
  <c r="P91" i="27"/>
  <c r="K91" i="27"/>
  <c r="J91" i="27"/>
  <c r="Q90" i="27"/>
  <c r="P90" i="27"/>
  <c r="K90" i="27"/>
  <c r="J90" i="27"/>
  <c r="Q89" i="27"/>
  <c r="P89" i="27"/>
  <c r="K89" i="27"/>
  <c r="J89" i="27"/>
  <c r="Q88" i="27"/>
  <c r="P88" i="27"/>
  <c r="K88" i="27"/>
  <c r="J88" i="27"/>
  <c r="Q87" i="27"/>
  <c r="P87" i="27"/>
  <c r="K87" i="27"/>
  <c r="J87" i="27"/>
  <c r="Q86" i="27"/>
  <c r="P86" i="27"/>
  <c r="K86" i="27"/>
  <c r="J86" i="27"/>
  <c r="Q85" i="27"/>
  <c r="P85" i="27"/>
  <c r="K85" i="27"/>
  <c r="J85" i="27"/>
  <c r="Q84" i="27"/>
  <c r="P84" i="27"/>
  <c r="K84" i="27"/>
  <c r="J84" i="27"/>
  <c r="Q83" i="27"/>
  <c r="P83" i="27"/>
  <c r="K83" i="27"/>
  <c r="J83" i="27"/>
  <c r="Q82" i="27"/>
  <c r="P82" i="27"/>
  <c r="K82" i="27"/>
  <c r="J82" i="27"/>
  <c r="Q81" i="27"/>
  <c r="P81" i="27"/>
  <c r="K81" i="27"/>
  <c r="J81" i="27"/>
  <c r="Q80" i="27"/>
  <c r="P80" i="27"/>
  <c r="K80" i="27"/>
  <c r="J80" i="27"/>
  <c r="Q79" i="27"/>
  <c r="P79" i="27"/>
  <c r="K79" i="27"/>
  <c r="J79" i="27"/>
  <c r="Q78" i="27"/>
  <c r="P78" i="27"/>
  <c r="K78" i="27"/>
  <c r="J78" i="27"/>
  <c r="Q77" i="27"/>
  <c r="P77" i="27"/>
  <c r="K77" i="27"/>
  <c r="J77" i="27"/>
  <c r="Q76" i="27"/>
  <c r="P76" i="27"/>
  <c r="K76" i="27"/>
  <c r="J76" i="27"/>
  <c r="Q75" i="27"/>
  <c r="P75" i="27"/>
  <c r="K75" i="27"/>
  <c r="J75" i="27"/>
  <c r="Q74" i="27"/>
  <c r="P74" i="27"/>
  <c r="K74" i="27"/>
  <c r="J74" i="27"/>
  <c r="Q73" i="27"/>
  <c r="P73" i="27"/>
  <c r="K73" i="27"/>
  <c r="J73" i="27"/>
  <c r="Q72" i="27"/>
  <c r="P72" i="27"/>
  <c r="K72" i="27"/>
  <c r="J72" i="27"/>
  <c r="Q71" i="27"/>
  <c r="P71" i="27"/>
  <c r="K71" i="27"/>
  <c r="J71" i="27"/>
  <c r="Q70" i="27"/>
  <c r="P70" i="27"/>
  <c r="K70" i="27"/>
  <c r="J70" i="27"/>
  <c r="Q69" i="27"/>
  <c r="P69" i="27"/>
  <c r="K69" i="27"/>
  <c r="J69" i="27"/>
  <c r="Q68" i="27"/>
  <c r="P68" i="27"/>
  <c r="K68" i="27"/>
  <c r="J68" i="27"/>
  <c r="Q67" i="27"/>
  <c r="P67" i="27"/>
  <c r="K67" i="27"/>
  <c r="J67" i="27"/>
  <c r="Q66" i="27"/>
  <c r="P66" i="27"/>
  <c r="K66" i="27"/>
  <c r="J66" i="27"/>
  <c r="Q65" i="27"/>
  <c r="P65" i="27"/>
  <c r="K65" i="27"/>
  <c r="J65" i="27"/>
  <c r="Q64" i="27"/>
  <c r="P64" i="27"/>
  <c r="K64" i="27"/>
  <c r="J64" i="27"/>
  <c r="Q63" i="27"/>
  <c r="P63" i="27"/>
  <c r="K63" i="27"/>
  <c r="J63" i="27"/>
  <c r="Q62" i="27"/>
  <c r="P62" i="27"/>
  <c r="K62" i="27"/>
  <c r="J62" i="27"/>
  <c r="Q61" i="27"/>
  <c r="P61" i="27"/>
  <c r="K61" i="27"/>
  <c r="J61" i="27"/>
  <c r="Q60" i="27"/>
  <c r="P60" i="27"/>
  <c r="K60" i="27"/>
  <c r="J60" i="27"/>
  <c r="Q59" i="27"/>
  <c r="P59" i="27"/>
  <c r="K59" i="27"/>
  <c r="J59" i="27"/>
  <c r="Q58" i="27"/>
  <c r="P58" i="27"/>
  <c r="K58" i="27"/>
  <c r="J58" i="27"/>
  <c r="Q57" i="27"/>
  <c r="P57" i="27"/>
  <c r="K57" i="27"/>
  <c r="J57" i="27"/>
  <c r="Q56" i="27"/>
  <c r="P56" i="27"/>
  <c r="K56" i="27"/>
  <c r="J56" i="27"/>
  <c r="Q55" i="27"/>
  <c r="P55" i="27"/>
  <c r="K55" i="27"/>
  <c r="J55" i="27"/>
  <c r="Q54" i="27"/>
  <c r="P54" i="27"/>
  <c r="K54" i="27"/>
  <c r="J54" i="27"/>
  <c r="Q53" i="27"/>
  <c r="P53" i="27"/>
  <c r="K53" i="27"/>
  <c r="J53" i="27"/>
  <c r="Q52" i="27"/>
  <c r="P52" i="27"/>
  <c r="K52" i="27"/>
  <c r="J52" i="27"/>
  <c r="Q51" i="27"/>
  <c r="P51" i="27"/>
  <c r="K51" i="27"/>
  <c r="J51" i="27"/>
  <c r="Q50" i="27"/>
  <c r="P50" i="27"/>
  <c r="K50" i="27"/>
  <c r="J50" i="27"/>
  <c r="Q49" i="27"/>
  <c r="P49" i="27"/>
  <c r="K49" i="27"/>
  <c r="J49" i="27"/>
  <c r="Q48" i="27"/>
  <c r="P48" i="27"/>
  <c r="K48" i="27"/>
  <c r="J48" i="27"/>
  <c r="Q47" i="27"/>
  <c r="P47" i="27"/>
  <c r="K47" i="27"/>
  <c r="J47" i="27"/>
  <c r="Q46" i="27"/>
  <c r="P46" i="27"/>
  <c r="K46" i="27"/>
  <c r="J46" i="27"/>
  <c r="Q45" i="27"/>
  <c r="P45" i="27"/>
  <c r="K45" i="27"/>
  <c r="J45" i="27"/>
  <c r="Q44" i="27"/>
  <c r="P44" i="27"/>
  <c r="K44" i="27"/>
  <c r="J44" i="27"/>
  <c r="Q43" i="27"/>
  <c r="P43" i="27"/>
  <c r="K43" i="27"/>
  <c r="J43" i="27"/>
  <c r="Q42" i="27"/>
  <c r="P42" i="27"/>
  <c r="K42" i="27"/>
  <c r="J42" i="27"/>
  <c r="Q41" i="27"/>
  <c r="P41" i="27"/>
  <c r="K41" i="27"/>
  <c r="J41" i="27"/>
  <c r="Q40" i="27"/>
  <c r="P40" i="27"/>
  <c r="K40" i="27"/>
  <c r="J40" i="27"/>
  <c r="Q39" i="27"/>
  <c r="P39" i="27"/>
  <c r="K39" i="27"/>
  <c r="J39" i="27"/>
  <c r="Q38" i="27"/>
  <c r="P38" i="27"/>
  <c r="K38" i="27"/>
  <c r="J38" i="27"/>
  <c r="Q37" i="27"/>
  <c r="P37" i="27"/>
  <c r="K37" i="27"/>
  <c r="J37" i="27"/>
  <c r="Q36" i="27"/>
  <c r="P36" i="27"/>
  <c r="K36" i="27"/>
  <c r="J36" i="27"/>
  <c r="Q35" i="27"/>
  <c r="P35" i="27"/>
  <c r="K35" i="27"/>
  <c r="J35" i="27"/>
  <c r="Q34" i="27"/>
  <c r="P34" i="27"/>
  <c r="K34" i="27"/>
  <c r="J34" i="27"/>
  <c r="Q33" i="27"/>
  <c r="P33" i="27"/>
  <c r="K33" i="27"/>
  <c r="J33" i="27"/>
  <c r="Q32" i="27"/>
  <c r="P32" i="27"/>
  <c r="K32" i="27"/>
  <c r="J32" i="27"/>
  <c r="Q31" i="27"/>
  <c r="P31" i="27"/>
  <c r="K31" i="27"/>
  <c r="J31" i="27"/>
  <c r="Q30" i="27"/>
  <c r="P30" i="27"/>
  <c r="K30" i="27"/>
  <c r="J30" i="27"/>
  <c r="Q29" i="27"/>
  <c r="P29" i="27"/>
  <c r="K29" i="27"/>
  <c r="J29" i="27"/>
  <c r="Q28" i="27"/>
  <c r="P28" i="27"/>
  <c r="K28" i="27"/>
  <c r="J28" i="27"/>
  <c r="Q27" i="27"/>
  <c r="P27" i="27"/>
  <c r="K27" i="27"/>
  <c r="J27" i="27"/>
  <c r="Q26" i="27"/>
  <c r="P26" i="27"/>
  <c r="K26" i="27"/>
  <c r="J26" i="27"/>
  <c r="Q25" i="27"/>
  <c r="P25" i="27"/>
  <c r="K25" i="27"/>
  <c r="J25" i="27"/>
  <c r="Q24" i="27"/>
  <c r="P24" i="27"/>
  <c r="K24" i="27"/>
  <c r="J24" i="27"/>
  <c r="Q23" i="27"/>
  <c r="P23" i="27"/>
  <c r="K23" i="27"/>
  <c r="J23" i="27"/>
  <c r="Q22" i="27"/>
  <c r="P22" i="27"/>
  <c r="K22" i="27"/>
  <c r="J22" i="27"/>
  <c r="Q21" i="27"/>
  <c r="P21" i="27"/>
  <c r="K21" i="27"/>
  <c r="J21" i="27"/>
  <c r="Q20" i="27"/>
  <c r="P20" i="27"/>
  <c r="K20" i="27"/>
  <c r="J20" i="27"/>
  <c r="Q19" i="27"/>
  <c r="P19" i="27"/>
  <c r="K19" i="27"/>
  <c r="J19" i="27"/>
  <c r="Q18" i="27"/>
  <c r="P18" i="27"/>
  <c r="K18" i="27"/>
  <c r="J18" i="27"/>
  <c r="B18" i="27"/>
  <c r="Q17" i="27"/>
  <c r="R17" i="27" s="1"/>
  <c r="P17" i="27"/>
  <c r="K17" i="27"/>
  <c r="L17" i="27" s="1"/>
  <c r="J17" i="27"/>
  <c r="E17" i="27"/>
  <c r="E18" i="27" s="1"/>
  <c r="E19" i="27" s="1"/>
  <c r="E20" i="27" s="1"/>
  <c r="E21" i="27" s="1"/>
  <c r="E22" i="27" s="1"/>
  <c r="B17" i="27"/>
  <c r="P16" i="27"/>
  <c r="J16" i="27"/>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P247" i="2"/>
  <c r="J247" i="2"/>
  <c r="P246" i="2"/>
  <c r="J246" i="2"/>
  <c r="P245" i="2"/>
  <c r="J245" i="2"/>
  <c r="P244" i="2"/>
  <c r="J244" i="2"/>
  <c r="P243" i="2"/>
  <c r="J243" i="2"/>
  <c r="P242" i="2"/>
  <c r="J242" i="2"/>
  <c r="P241" i="2"/>
  <c r="J241" i="2"/>
  <c r="P240" i="2"/>
  <c r="J240" i="2"/>
  <c r="P239" i="2"/>
  <c r="J239" i="2"/>
  <c r="P238" i="2"/>
  <c r="J238" i="2"/>
  <c r="P237" i="2"/>
  <c r="J237" i="2"/>
  <c r="P236" i="2"/>
  <c r="J236" i="2"/>
  <c r="P235" i="2"/>
  <c r="J235" i="2"/>
  <c r="P234" i="2"/>
  <c r="J234" i="2"/>
  <c r="P233" i="2"/>
  <c r="J233" i="2"/>
  <c r="P232" i="2"/>
  <c r="J232" i="2"/>
  <c r="AE231" i="2"/>
  <c r="P231" i="2"/>
  <c r="J231" i="2"/>
  <c r="AE230" i="2"/>
  <c r="AD231" i="2" s="1"/>
  <c r="D231" i="2" s="1"/>
  <c r="P230" i="2"/>
  <c r="J230" i="2"/>
  <c r="D230" i="2"/>
  <c r="AE229" i="2"/>
  <c r="AD230" i="2" s="1"/>
  <c r="P229" i="2"/>
  <c r="J229" i="2"/>
  <c r="AE228" i="2"/>
  <c r="AD229" i="2" s="1"/>
  <c r="D229" i="2" s="1"/>
  <c r="P228" i="2"/>
  <c r="J228" i="2"/>
  <c r="AE227" i="2"/>
  <c r="AD228" i="2" s="1"/>
  <c r="D228" i="2" s="1"/>
  <c r="AD227" i="2"/>
  <c r="D227" i="2" s="1"/>
  <c r="P227" i="2"/>
  <c r="J227" i="2"/>
  <c r="AE226" i="2"/>
  <c r="P226" i="2"/>
  <c r="J226" i="2"/>
  <c r="AE225" i="2"/>
  <c r="AD226" i="2" s="1"/>
  <c r="D226" i="2" s="1"/>
  <c r="P225" i="2"/>
  <c r="J225" i="2"/>
  <c r="AE224" i="2"/>
  <c r="AD225" i="2" s="1"/>
  <c r="D225" i="2" s="1"/>
  <c r="P224" i="2"/>
  <c r="J224" i="2"/>
  <c r="AE223" i="2"/>
  <c r="AD224" i="2" s="1"/>
  <c r="D224" i="2" s="1"/>
  <c r="P223" i="2"/>
  <c r="J223" i="2"/>
  <c r="AE222" i="2"/>
  <c r="AD223" i="2" s="1"/>
  <c r="D223" i="2" s="1"/>
  <c r="P222" i="2"/>
  <c r="J222" i="2"/>
  <c r="AE221" i="2"/>
  <c r="AD222" i="2" s="1"/>
  <c r="D222" i="2" s="1"/>
  <c r="P221" i="2"/>
  <c r="J221" i="2"/>
  <c r="AE220" i="2"/>
  <c r="AD221" i="2" s="1"/>
  <c r="D221" i="2" s="1"/>
  <c r="AD220" i="2"/>
  <c r="D220" i="2" s="1"/>
  <c r="P220" i="2"/>
  <c r="J220" i="2"/>
  <c r="AE219" i="2"/>
  <c r="P219" i="2"/>
  <c r="J219" i="2"/>
  <c r="AE218" i="2"/>
  <c r="AD219" i="2" s="1"/>
  <c r="D219" i="2" s="1"/>
  <c r="P218" i="2"/>
  <c r="J218" i="2"/>
  <c r="AE217" i="2"/>
  <c r="AD218" i="2" s="1"/>
  <c r="D218" i="2" s="1"/>
  <c r="AD217" i="2"/>
  <c r="D217" i="2" s="1"/>
  <c r="P217" i="2"/>
  <c r="J217" i="2"/>
  <c r="AE216" i="2"/>
  <c r="P216" i="2"/>
  <c r="J216" i="2"/>
  <c r="D216" i="2"/>
  <c r="AE215" i="2"/>
  <c r="AD216" i="2" s="1"/>
  <c r="P215" i="2"/>
  <c r="J215" i="2"/>
  <c r="AE214" i="2"/>
  <c r="AD215" i="2" s="1"/>
  <c r="D215" i="2" s="1"/>
  <c r="P214" i="2"/>
  <c r="J214" i="2"/>
  <c r="AE213" i="2"/>
  <c r="AD214" i="2" s="1"/>
  <c r="D214" i="2" s="1"/>
  <c r="P213" i="2"/>
  <c r="J213" i="2"/>
  <c r="AE212" i="2"/>
  <c r="AD213" i="2" s="1"/>
  <c r="D213" i="2" s="1"/>
  <c r="P212" i="2"/>
  <c r="J212" i="2"/>
  <c r="AE211" i="2"/>
  <c r="AD212" i="2" s="1"/>
  <c r="D212" i="2" s="1"/>
  <c r="AD211" i="2"/>
  <c r="D211" i="2" s="1"/>
  <c r="P211" i="2"/>
  <c r="J211" i="2"/>
  <c r="AE210" i="2"/>
  <c r="P210" i="2"/>
  <c r="J210" i="2"/>
  <c r="AE209" i="2"/>
  <c r="AD210" i="2" s="1"/>
  <c r="D210" i="2" s="1"/>
  <c r="P209" i="2"/>
  <c r="J209" i="2"/>
  <c r="AE208" i="2"/>
  <c r="AD209" i="2" s="1"/>
  <c r="D209" i="2" s="1"/>
  <c r="AD208" i="2"/>
  <c r="D208" i="2" s="1"/>
  <c r="P208" i="2"/>
  <c r="J208" i="2"/>
  <c r="H208" i="2"/>
  <c r="AE207" i="2"/>
  <c r="P207" i="2"/>
  <c r="J207" i="2"/>
  <c r="AE206" i="2"/>
  <c r="AD207" i="2" s="1"/>
  <c r="D207" i="2" s="1"/>
  <c r="P206" i="2"/>
  <c r="J206" i="2"/>
  <c r="AE205" i="2"/>
  <c r="AD206" i="2" s="1"/>
  <c r="D206" i="2" s="1"/>
  <c r="AD205" i="2"/>
  <c r="D205" i="2" s="1"/>
  <c r="P205" i="2"/>
  <c r="J205" i="2"/>
  <c r="AE204" i="2"/>
  <c r="P204" i="2"/>
  <c r="J204" i="2"/>
  <c r="AE203" i="2"/>
  <c r="AD204" i="2" s="1"/>
  <c r="D204" i="2" s="1"/>
  <c r="P203" i="2"/>
  <c r="J203" i="2"/>
  <c r="AE202" i="2"/>
  <c r="AD203" i="2" s="1"/>
  <c r="D203" i="2" s="1"/>
  <c r="AD202" i="2"/>
  <c r="D202" i="2" s="1"/>
  <c r="P202" i="2"/>
  <c r="J202" i="2"/>
  <c r="AE201" i="2"/>
  <c r="P201" i="2"/>
  <c r="J201" i="2"/>
  <c r="AE200" i="2"/>
  <c r="AD201" i="2" s="1"/>
  <c r="D201" i="2" s="1"/>
  <c r="P200" i="2"/>
  <c r="J200" i="2"/>
  <c r="AE199" i="2"/>
  <c r="AD200" i="2" s="1"/>
  <c r="D200" i="2" s="1"/>
  <c r="AD199" i="2"/>
  <c r="D199" i="2" s="1"/>
  <c r="P199" i="2"/>
  <c r="J199" i="2"/>
  <c r="AE198" i="2"/>
  <c r="P198" i="2"/>
  <c r="J198" i="2"/>
  <c r="D198" i="2"/>
  <c r="AE197" i="2"/>
  <c r="AD198" i="2" s="1"/>
  <c r="P197" i="2"/>
  <c r="J197" i="2"/>
  <c r="AE196" i="2"/>
  <c r="AD197" i="2" s="1"/>
  <c r="D197" i="2" s="1"/>
  <c r="AD196" i="2"/>
  <c r="D196" i="2" s="1"/>
  <c r="P196" i="2"/>
  <c r="J196" i="2"/>
  <c r="H196" i="2"/>
  <c r="AE195" i="2"/>
  <c r="P195" i="2"/>
  <c r="J195" i="2"/>
  <c r="AE194" i="2"/>
  <c r="AD195" i="2" s="1"/>
  <c r="D195" i="2" s="1"/>
  <c r="P194" i="2"/>
  <c r="J194" i="2"/>
  <c r="AE193" i="2"/>
  <c r="AD194" i="2" s="1"/>
  <c r="D194" i="2" s="1"/>
  <c r="AD193" i="2"/>
  <c r="D193" i="2" s="1"/>
  <c r="P193" i="2"/>
  <c r="J193" i="2"/>
  <c r="AE192" i="2"/>
  <c r="P192" i="2"/>
  <c r="J192" i="2"/>
  <c r="D192" i="2"/>
  <c r="AE191" i="2"/>
  <c r="AD192" i="2" s="1"/>
  <c r="P191" i="2"/>
  <c r="J191" i="2"/>
  <c r="AE190" i="2"/>
  <c r="AD191" i="2" s="1"/>
  <c r="D191" i="2" s="1"/>
  <c r="P190" i="2"/>
  <c r="J190" i="2"/>
  <c r="AE189" i="2"/>
  <c r="AD190" i="2" s="1"/>
  <c r="D190" i="2" s="1"/>
  <c r="P189" i="2"/>
  <c r="J189" i="2"/>
  <c r="AE188" i="2"/>
  <c r="AD189" i="2" s="1"/>
  <c r="D189" i="2" s="1"/>
  <c r="P188" i="2"/>
  <c r="J188" i="2"/>
  <c r="AE187" i="2"/>
  <c r="AD188" i="2" s="1"/>
  <c r="D188" i="2" s="1"/>
  <c r="AD187" i="2"/>
  <c r="D187" i="2" s="1"/>
  <c r="P187" i="2"/>
  <c r="J187" i="2"/>
  <c r="AE186" i="2"/>
  <c r="P186" i="2"/>
  <c r="J186" i="2"/>
  <c r="AE185" i="2"/>
  <c r="AD186" i="2" s="1"/>
  <c r="D186" i="2" s="1"/>
  <c r="P185" i="2"/>
  <c r="J185" i="2"/>
  <c r="AE184" i="2"/>
  <c r="AD185" i="2" s="1"/>
  <c r="D185" i="2" s="1"/>
  <c r="AD184" i="2"/>
  <c r="D184" i="2" s="1"/>
  <c r="P184" i="2"/>
  <c r="J184" i="2"/>
  <c r="AE183" i="2"/>
  <c r="P183" i="2"/>
  <c r="J183" i="2"/>
  <c r="AE182" i="2"/>
  <c r="AD183" i="2" s="1"/>
  <c r="D183" i="2" s="1"/>
  <c r="P182" i="2"/>
  <c r="J182" i="2"/>
  <c r="AE181" i="2"/>
  <c r="AD182" i="2" s="1"/>
  <c r="D182" i="2" s="1"/>
  <c r="AD181" i="2"/>
  <c r="D181" i="2" s="1"/>
  <c r="P181" i="2"/>
  <c r="J181" i="2"/>
  <c r="AE180" i="2"/>
  <c r="P180" i="2"/>
  <c r="J180" i="2"/>
  <c r="AE179" i="2"/>
  <c r="AD180" i="2" s="1"/>
  <c r="D180" i="2" s="1"/>
  <c r="P179" i="2"/>
  <c r="J179" i="2"/>
  <c r="AE178" i="2"/>
  <c r="AD179" i="2" s="1"/>
  <c r="D179" i="2" s="1"/>
  <c r="AD178" i="2"/>
  <c r="D178" i="2" s="1"/>
  <c r="P178" i="2"/>
  <c r="J178" i="2"/>
  <c r="AE177" i="2"/>
  <c r="P177" i="2"/>
  <c r="J177" i="2"/>
  <c r="AE176" i="2"/>
  <c r="AD177" i="2" s="1"/>
  <c r="D177" i="2" s="1"/>
  <c r="P176" i="2"/>
  <c r="J176" i="2"/>
  <c r="AE175" i="2"/>
  <c r="AD176" i="2" s="1"/>
  <c r="D176" i="2" s="1"/>
  <c r="AD175" i="2"/>
  <c r="D175" i="2" s="1"/>
  <c r="P175" i="2"/>
  <c r="J175" i="2"/>
  <c r="AE174" i="2"/>
  <c r="P174" i="2"/>
  <c r="J174" i="2"/>
  <c r="D174" i="2"/>
  <c r="AE173" i="2"/>
  <c r="AD174" i="2" s="1"/>
  <c r="P173" i="2"/>
  <c r="J173" i="2"/>
  <c r="AE172" i="2"/>
  <c r="AD173" i="2" s="1"/>
  <c r="D173" i="2" s="1"/>
  <c r="P172" i="2"/>
  <c r="J172" i="2"/>
  <c r="D172" i="2"/>
  <c r="AE171" i="2"/>
  <c r="AD172" i="2" s="1"/>
  <c r="P171" i="2"/>
  <c r="J171" i="2"/>
  <c r="AE170" i="2"/>
  <c r="AD171" i="2" s="1"/>
  <c r="D171" i="2" s="1"/>
  <c r="P170" i="2"/>
  <c r="J170" i="2"/>
  <c r="AE169" i="2"/>
  <c r="AD170" i="2" s="1"/>
  <c r="D170" i="2" s="1"/>
  <c r="P169" i="2"/>
  <c r="J169" i="2"/>
  <c r="AE168" i="2"/>
  <c r="AD169" i="2" s="1"/>
  <c r="D169" i="2" s="1"/>
  <c r="P168" i="2"/>
  <c r="J168" i="2"/>
  <c r="AE167" i="2"/>
  <c r="AD168" i="2" s="1"/>
  <c r="D168" i="2" s="1"/>
  <c r="P167" i="2"/>
  <c r="J167" i="2"/>
  <c r="AF166" i="2"/>
  <c r="AD167" i="2" s="1"/>
  <c r="D167" i="2" s="1"/>
  <c r="AE166" i="2"/>
  <c r="P166" i="2"/>
  <c r="J166" i="2"/>
  <c r="AE165" i="2"/>
  <c r="AD166" i="2" s="1"/>
  <c r="D166" i="2" s="1"/>
  <c r="P165" i="2"/>
  <c r="J165" i="2"/>
  <c r="AE164" i="2"/>
  <c r="AD165" i="2" s="1"/>
  <c r="D165" i="2" s="1"/>
  <c r="P164" i="2"/>
  <c r="J164" i="2"/>
  <c r="AE163" i="2"/>
  <c r="AD164" i="2" s="1"/>
  <c r="D164" i="2" s="1"/>
  <c r="AD163" i="2"/>
  <c r="D163" i="2" s="1"/>
  <c r="P163" i="2"/>
  <c r="J163" i="2"/>
  <c r="AE162" i="2"/>
  <c r="AD162" i="2"/>
  <c r="D162" i="2" s="1"/>
  <c r="P162" i="2"/>
  <c r="J162" i="2"/>
  <c r="AE161" i="2"/>
  <c r="P161" i="2"/>
  <c r="J161" i="2"/>
  <c r="AE160" i="2"/>
  <c r="AD161" i="2" s="1"/>
  <c r="D161" i="2" s="1"/>
  <c r="P160" i="2"/>
  <c r="J160" i="2"/>
  <c r="D160" i="2"/>
  <c r="AE159" i="2"/>
  <c r="P159" i="2"/>
  <c r="J159" i="2"/>
  <c r="D159" i="2"/>
  <c r="AE158" i="2"/>
  <c r="P158" i="2"/>
  <c r="J158" i="2"/>
  <c r="AE157" i="2"/>
  <c r="AD158" i="2" s="1"/>
  <c r="D158" i="2" s="1"/>
  <c r="P157" i="2"/>
  <c r="J157" i="2"/>
  <c r="AE156" i="2"/>
  <c r="AD157" i="2" s="1"/>
  <c r="D157" i="2" s="1"/>
  <c r="P156" i="2"/>
  <c r="J156" i="2"/>
  <c r="AE155" i="2"/>
  <c r="AD156" i="2" s="1"/>
  <c r="D156" i="2" s="1"/>
  <c r="P155" i="2"/>
  <c r="J155" i="2"/>
  <c r="AE154" i="2"/>
  <c r="AD155" i="2" s="1"/>
  <c r="D155" i="2" s="1"/>
  <c r="P154" i="2"/>
  <c r="J154" i="2"/>
  <c r="AE153" i="2"/>
  <c r="AD154" i="2" s="1"/>
  <c r="D154" i="2" s="1"/>
  <c r="P153" i="2"/>
  <c r="J153" i="2"/>
  <c r="AE152" i="2"/>
  <c r="AD153" i="2" s="1"/>
  <c r="D153" i="2" s="1"/>
  <c r="P152" i="2"/>
  <c r="J152" i="2"/>
  <c r="D152" i="2"/>
  <c r="AE151" i="2"/>
  <c r="AD152" i="2" s="1"/>
  <c r="P151" i="2"/>
  <c r="J151" i="2"/>
  <c r="AE150" i="2"/>
  <c r="AD151" i="2" s="1"/>
  <c r="D151" i="2" s="1"/>
  <c r="P150" i="2"/>
  <c r="J150" i="2"/>
  <c r="P149" i="2"/>
  <c r="J149" i="2"/>
  <c r="P148" i="2"/>
  <c r="J148" i="2"/>
  <c r="P147" i="2"/>
  <c r="J147" i="2"/>
  <c r="P146" i="2"/>
  <c r="J146" i="2"/>
  <c r="AE145" i="2"/>
  <c r="AD145" i="2"/>
  <c r="W145" i="2"/>
  <c r="P145" i="2"/>
  <c r="J145" i="2"/>
  <c r="AE144" i="2"/>
  <c r="AD144" i="2" s="1"/>
  <c r="W144" i="2" s="1"/>
  <c r="P144" i="2"/>
  <c r="J144" i="2"/>
  <c r="AE143" i="2"/>
  <c r="AD143" i="2" s="1"/>
  <c r="W143" i="2" s="1"/>
  <c r="P143" i="2"/>
  <c r="J143" i="2"/>
  <c r="AE142" i="2"/>
  <c r="AD142" i="2"/>
  <c r="W142" i="2"/>
  <c r="P142" i="2"/>
  <c r="J142" i="2"/>
  <c r="AE141" i="2"/>
  <c r="AD141" i="2"/>
  <c r="W141" i="2" s="1"/>
  <c r="P141" i="2"/>
  <c r="J141" i="2"/>
  <c r="AE140" i="2"/>
  <c r="AD140" i="2"/>
  <c r="W140" i="2"/>
  <c r="P140" i="2"/>
  <c r="J140" i="2"/>
  <c r="AE139" i="2"/>
  <c r="AD139" i="2"/>
  <c r="W139" i="2" s="1"/>
  <c r="P139" i="2"/>
  <c r="J139" i="2"/>
  <c r="AE138" i="2"/>
  <c r="AD138" i="2" s="1"/>
  <c r="W138" i="2" s="1"/>
  <c r="P138" i="2"/>
  <c r="J138" i="2"/>
  <c r="AE137" i="2"/>
  <c r="AD137" i="2"/>
  <c r="W137" i="2"/>
  <c r="P137" i="2"/>
  <c r="J137" i="2"/>
  <c r="AE136" i="2"/>
  <c r="AD136" i="2" s="1"/>
  <c r="W136" i="2" s="1"/>
  <c r="P136" i="2"/>
  <c r="J136" i="2"/>
  <c r="AE135" i="2"/>
  <c r="AD135" i="2" s="1"/>
  <c r="W135" i="2"/>
  <c r="P135" i="2"/>
  <c r="J135" i="2"/>
  <c r="AE134" i="2"/>
  <c r="AD134" i="2" s="1"/>
  <c r="W134" i="2" s="1"/>
  <c r="P134" i="2"/>
  <c r="J134" i="2"/>
  <c r="P133" i="2"/>
  <c r="J133" i="2"/>
  <c r="P132" i="2"/>
  <c r="J132" i="2"/>
  <c r="P131" i="2"/>
  <c r="J131" i="2"/>
  <c r="P130" i="2"/>
  <c r="J130" i="2"/>
  <c r="P129" i="2"/>
  <c r="J129" i="2"/>
  <c r="P128" i="2"/>
  <c r="J128" i="2"/>
  <c r="P127" i="2"/>
  <c r="J127" i="2"/>
  <c r="P126" i="2"/>
  <c r="J126" i="2"/>
  <c r="P125" i="2"/>
  <c r="J125" i="2"/>
  <c r="P124" i="2"/>
  <c r="J124" i="2"/>
  <c r="P123" i="2"/>
  <c r="J123" i="2"/>
  <c r="P122" i="2"/>
  <c r="J122" i="2"/>
  <c r="P121" i="2"/>
  <c r="J121" i="2"/>
  <c r="P120" i="2"/>
  <c r="J120" i="2"/>
  <c r="P119" i="2"/>
  <c r="J119" i="2"/>
  <c r="P118" i="2"/>
  <c r="J118" i="2"/>
  <c r="P117" i="2"/>
  <c r="J117" i="2"/>
  <c r="P116" i="2"/>
  <c r="J116" i="2"/>
  <c r="P115" i="2"/>
  <c r="J115" i="2"/>
  <c r="P114" i="2"/>
  <c r="J114" i="2"/>
  <c r="P113" i="2"/>
  <c r="J113" i="2"/>
  <c r="P112" i="2"/>
  <c r="J112" i="2"/>
  <c r="P111" i="2"/>
  <c r="J111" i="2"/>
  <c r="P110" i="2"/>
  <c r="J110" i="2"/>
  <c r="P109" i="2"/>
  <c r="J109" i="2"/>
  <c r="P108" i="2"/>
  <c r="J108" i="2"/>
  <c r="P107" i="2"/>
  <c r="J107" i="2"/>
  <c r="P106" i="2"/>
  <c r="J106" i="2"/>
  <c r="P105" i="2"/>
  <c r="J105" i="2"/>
  <c r="P104" i="2"/>
  <c r="J104" i="2"/>
  <c r="P103" i="2"/>
  <c r="J103" i="2"/>
  <c r="P102" i="2"/>
  <c r="J102" i="2"/>
  <c r="P101" i="2"/>
  <c r="J101" i="2"/>
  <c r="P100" i="2"/>
  <c r="J100" i="2"/>
  <c r="P99" i="2"/>
  <c r="J99" i="2"/>
  <c r="P98" i="2"/>
  <c r="J98" i="2"/>
  <c r="P97" i="2"/>
  <c r="J97" i="2"/>
  <c r="P96" i="2"/>
  <c r="J96" i="2"/>
  <c r="P95" i="2"/>
  <c r="J95" i="2"/>
  <c r="P94" i="2"/>
  <c r="J94" i="2"/>
  <c r="P93" i="2"/>
  <c r="J93" i="2"/>
  <c r="P92" i="2"/>
  <c r="J92" i="2"/>
  <c r="P91" i="2"/>
  <c r="J91" i="2"/>
  <c r="P90" i="2"/>
  <c r="J90" i="2"/>
  <c r="P89" i="2"/>
  <c r="J89" i="2"/>
  <c r="P88" i="2"/>
  <c r="J88" i="2"/>
  <c r="P87" i="2"/>
  <c r="J87" i="2"/>
  <c r="P86" i="2"/>
  <c r="J86" i="2"/>
  <c r="P85" i="2"/>
  <c r="J85" i="2"/>
  <c r="P84" i="2"/>
  <c r="J84" i="2"/>
  <c r="P83" i="2"/>
  <c r="J83" i="2"/>
  <c r="P82" i="2"/>
  <c r="J82" i="2"/>
  <c r="P81" i="2"/>
  <c r="J81" i="2"/>
  <c r="P80" i="2"/>
  <c r="J80" i="2"/>
  <c r="P79" i="2"/>
  <c r="J79" i="2"/>
  <c r="P78" i="2"/>
  <c r="J78" i="2"/>
  <c r="P77" i="2"/>
  <c r="J77" i="2"/>
  <c r="P76" i="2"/>
  <c r="J76" i="2"/>
  <c r="P75" i="2"/>
  <c r="J75" i="2"/>
  <c r="P74" i="2"/>
  <c r="J74" i="2"/>
  <c r="P73" i="2"/>
  <c r="J73" i="2"/>
  <c r="P72" i="2"/>
  <c r="J72" i="2"/>
  <c r="P71" i="2"/>
  <c r="J71" i="2"/>
  <c r="P70" i="2"/>
  <c r="J70" i="2"/>
  <c r="P69" i="2"/>
  <c r="J69" i="2"/>
  <c r="P68" i="2"/>
  <c r="J68" i="2"/>
  <c r="P67" i="2"/>
  <c r="J67" i="2"/>
  <c r="P66" i="2"/>
  <c r="J66" i="2"/>
  <c r="P65" i="2"/>
  <c r="J65" i="2"/>
  <c r="P64" i="2"/>
  <c r="J64" i="2"/>
  <c r="P63" i="2"/>
  <c r="J63" i="2"/>
  <c r="P62" i="2"/>
  <c r="J62" i="2"/>
  <c r="P61" i="2"/>
  <c r="J61" i="2"/>
  <c r="P60" i="2"/>
  <c r="J60" i="2"/>
  <c r="P59" i="2"/>
  <c r="J59" i="2"/>
  <c r="P58" i="2"/>
  <c r="J58" i="2"/>
  <c r="P57" i="2"/>
  <c r="J57" i="2"/>
  <c r="P56" i="2"/>
  <c r="J56" i="2"/>
  <c r="P55" i="2"/>
  <c r="J55" i="2"/>
  <c r="P54" i="2"/>
  <c r="J54" i="2"/>
  <c r="P53" i="2"/>
  <c r="J53" i="2"/>
  <c r="P52" i="2"/>
  <c r="J52" i="2"/>
  <c r="P51" i="2"/>
  <c r="J51" i="2"/>
  <c r="P50" i="2"/>
  <c r="J50" i="2"/>
  <c r="P49" i="2"/>
  <c r="J49" i="2"/>
  <c r="P48" i="2"/>
  <c r="J48" i="2"/>
  <c r="P47" i="2"/>
  <c r="J47" i="2"/>
  <c r="P46" i="2"/>
  <c r="J46" i="2"/>
  <c r="P45" i="2"/>
  <c r="J45" i="2"/>
  <c r="P44" i="2"/>
  <c r="J44" i="2"/>
  <c r="P43" i="2"/>
  <c r="J43" i="2"/>
  <c r="P42" i="2"/>
  <c r="J42" i="2"/>
  <c r="P41" i="2"/>
  <c r="J41" i="2"/>
  <c r="P40" i="2"/>
  <c r="J40" i="2"/>
  <c r="P39" i="2"/>
  <c r="J39" i="2"/>
  <c r="P38" i="2"/>
  <c r="J38" i="2"/>
  <c r="P37" i="2"/>
  <c r="J37" i="2"/>
  <c r="P36" i="2"/>
  <c r="J36" i="2"/>
  <c r="P35" i="2"/>
  <c r="J35" i="2"/>
  <c r="P34" i="2"/>
  <c r="J34" i="2"/>
  <c r="P33" i="2"/>
  <c r="J33" i="2"/>
  <c r="P32" i="2"/>
  <c r="J32" i="2"/>
  <c r="P31" i="2"/>
  <c r="J31" i="2"/>
  <c r="P30" i="2"/>
  <c r="J30" i="2"/>
  <c r="P29" i="2"/>
  <c r="J29" i="2"/>
  <c r="P28" i="2"/>
  <c r="J28" i="2"/>
  <c r="P27" i="2"/>
  <c r="J27" i="2"/>
  <c r="P26" i="2"/>
  <c r="J26" i="2"/>
  <c r="P25" i="2"/>
  <c r="J25" i="2"/>
  <c r="P24" i="2"/>
  <c r="J24" i="2"/>
  <c r="P23" i="2"/>
  <c r="J23" i="2"/>
  <c r="P22" i="2"/>
  <c r="J22" i="2"/>
  <c r="P21" i="2"/>
  <c r="J21" i="2"/>
  <c r="P20" i="2"/>
  <c r="J20" i="2"/>
  <c r="P19" i="2"/>
  <c r="N19" i="2"/>
  <c r="J19" i="2"/>
  <c r="B19" i="2"/>
  <c r="R18" i="2"/>
  <c r="R19" i="2" s="1"/>
  <c r="P18" i="2"/>
  <c r="L18" i="2"/>
  <c r="L19" i="2" s="1"/>
  <c r="L20" i="2" s="1"/>
  <c r="L21" i="2" s="1"/>
  <c r="L22" i="2" s="1"/>
  <c r="J18" i="2"/>
  <c r="B18" i="2"/>
  <c r="R17" i="2"/>
  <c r="P17" i="2"/>
  <c r="L17" i="2"/>
  <c r="J17" i="2"/>
  <c r="E17" i="2"/>
  <c r="E18" i="2" s="1"/>
  <c r="E19" i="2" s="1"/>
  <c r="B17" i="2"/>
  <c r="P16" i="2"/>
  <c r="J16" i="2"/>
  <c r="B506" i="25"/>
  <c r="B505" i="25"/>
  <c r="B504" i="25"/>
  <c r="B503" i="25"/>
  <c r="B502" i="25"/>
  <c r="B501" i="25"/>
  <c r="B500" i="25"/>
  <c r="B499" i="25"/>
  <c r="B498" i="25"/>
  <c r="B497" i="25"/>
  <c r="B496" i="25"/>
  <c r="B495" i="25"/>
  <c r="B494" i="25"/>
  <c r="B493" i="25"/>
  <c r="B492" i="25"/>
  <c r="B491" i="25"/>
  <c r="B490" i="25"/>
  <c r="B489" i="25"/>
  <c r="B488" i="25"/>
  <c r="B487" i="25"/>
  <c r="B486" i="25"/>
  <c r="B485" i="25"/>
  <c r="B484" i="25"/>
  <c r="B483" i="25"/>
  <c r="B482" i="25"/>
  <c r="B481" i="25"/>
  <c r="B480" i="25"/>
  <c r="B479" i="25"/>
  <c r="B478" i="25"/>
  <c r="B477" i="25"/>
  <c r="B476" i="25"/>
  <c r="B475" i="25"/>
  <c r="B474" i="25"/>
  <c r="B473" i="25"/>
  <c r="B472" i="25"/>
  <c r="B471" i="25"/>
  <c r="B470" i="25"/>
  <c r="B469" i="25"/>
  <c r="B468" i="25"/>
  <c r="B467" i="25"/>
  <c r="B466" i="25"/>
  <c r="B465" i="25"/>
  <c r="B464" i="25"/>
  <c r="B463" i="25"/>
  <c r="B462" i="25"/>
  <c r="B461" i="25"/>
  <c r="B460" i="25"/>
  <c r="B459" i="25"/>
  <c r="B458" i="25"/>
  <c r="B457" i="25"/>
  <c r="B456" i="25"/>
  <c r="B455" i="25"/>
  <c r="B454" i="25"/>
  <c r="B453" i="25"/>
  <c r="B452" i="25"/>
  <c r="B451" i="25"/>
  <c r="B450" i="25"/>
  <c r="B449" i="25"/>
  <c r="B448" i="25"/>
  <c r="B447" i="25"/>
  <c r="B446" i="25"/>
  <c r="B445" i="25"/>
  <c r="B444" i="25"/>
  <c r="B443" i="25"/>
  <c r="B442" i="25"/>
  <c r="B441" i="25"/>
  <c r="B440" i="25"/>
  <c r="B439" i="25"/>
  <c r="B438" i="25"/>
  <c r="B437" i="25"/>
  <c r="B436" i="25"/>
  <c r="B435" i="25"/>
  <c r="B434" i="25"/>
  <c r="B433" i="25"/>
  <c r="B432" i="25"/>
  <c r="B431" i="25"/>
  <c r="B430" i="25"/>
  <c r="B429" i="25"/>
  <c r="B428" i="25"/>
  <c r="B427" i="25"/>
  <c r="B426" i="25"/>
  <c r="B425" i="25"/>
  <c r="B424" i="25"/>
  <c r="B423" i="25"/>
  <c r="B422" i="25"/>
  <c r="B421" i="25"/>
  <c r="B420" i="25"/>
  <c r="B419" i="25"/>
  <c r="B418" i="25"/>
  <c r="B417" i="25"/>
  <c r="B416" i="25"/>
  <c r="B415" i="25"/>
  <c r="B414" i="25"/>
  <c r="B413" i="25"/>
  <c r="B412" i="25"/>
  <c r="B411" i="25"/>
  <c r="B410" i="25"/>
  <c r="B409" i="25"/>
  <c r="B408" i="25"/>
  <c r="B407" i="25"/>
  <c r="B406" i="25"/>
  <c r="B405" i="25"/>
  <c r="B404" i="25"/>
  <c r="B403" i="25"/>
  <c r="B402" i="25"/>
  <c r="B401" i="25"/>
  <c r="B400" i="25"/>
  <c r="B399" i="25"/>
  <c r="B398" i="25"/>
  <c r="B397" i="25"/>
  <c r="B396" i="25"/>
  <c r="B395" i="25"/>
  <c r="B394" i="25"/>
  <c r="B393" i="25"/>
  <c r="B392" i="25"/>
  <c r="B391" i="25"/>
  <c r="B390" i="25"/>
  <c r="B389" i="25"/>
  <c r="B388" i="25"/>
  <c r="B387" i="25"/>
  <c r="B386" i="25"/>
  <c r="B385" i="25"/>
  <c r="B384" i="25"/>
  <c r="B383" i="25"/>
  <c r="B382" i="25"/>
  <c r="B381" i="25"/>
  <c r="B380" i="25"/>
  <c r="B379" i="25"/>
  <c r="B378" i="25"/>
  <c r="B377" i="25"/>
  <c r="B376" i="25"/>
  <c r="B375" i="25"/>
  <c r="B374" i="25"/>
  <c r="B373" i="25"/>
  <c r="B372" i="25"/>
  <c r="B371" i="25"/>
  <c r="B370" i="25"/>
  <c r="B369" i="25"/>
  <c r="B368" i="25"/>
  <c r="B367" i="25"/>
  <c r="B366" i="25"/>
  <c r="B365" i="25"/>
  <c r="B364" i="25"/>
  <c r="B363" i="25"/>
  <c r="B362" i="25"/>
  <c r="B361" i="25"/>
  <c r="B360" i="25"/>
  <c r="B359" i="25"/>
  <c r="B358" i="25"/>
  <c r="B357" i="25"/>
  <c r="B356" i="25"/>
  <c r="B355" i="25"/>
  <c r="B354" i="25"/>
  <c r="B353" i="25"/>
  <c r="B352" i="25"/>
  <c r="B351" i="25"/>
  <c r="B350" i="25"/>
  <c r="B349" i="25"/>
  <c r="B348" i="25"/>
  <c r="B347" i="25"/>
  <c r="B346" i="25"/>
  <c r="B345" i="25"/>
  <c r="B344" i="25"/>
  <c r="B343" i="25"/>
  <c r="B342" i="25"/>
  <c r="B341" i="25"/>
  <c r="B340" i="25"/>
  <c r="B339" i="25"/>
  <c r="B338" i="25"/>
  <c r="B337" i="25"/>
  <c r="B336" i="25"/>
  <c r="B335" i="25"/>
  <c r="B334" i="25"/>
  <c r="B333" i="25"/>
  <c r="B332" i="25"/>
  <c r="B331" i="25"/>
  <c r="B330" i="25"/>
  <c r="B329" i="25"/>
  <c r="AC307" i="25"/>
  <c r="X307" i="25"/>
  <c r="W307" i="25"/>
  <c r="Q307" i="25"/>
  <c r="P307" i="25"/>
  <c r="K307" i="25"/>
  <c r="J307" i="25"/>
  <c r="AC306" i="25"/>
  <c r="X306" i="25"/>
  <c r="W306" i="25"/>
  <c r="Q306" i="25"/>
  <c r="P306" i="25"/>
  <c r="K306" i="25"/>
  <c r="J306" i="25"/>
  <c r="AC305" i="25"/>
  <c r="X305" i="25"/>
  <c r="W305" i="25"/>
  <c r="Q305" i="25"/>
  <c r="P305" i="25"/>
  <c r="K305" i="25"/>
  <c r="J305" i="25"/>
  <c r="AC304" i="25"/>
  <c r="X304" i="25"/>
  <c r="W304" i="25"/>
  <c r="Q304" i="25"/>
  <c r="P304" i="25"/>
  <c r="K304" i="25"/>
  <c r="J304" i="25"/>
  <c r="AC303" i="25"/>
  <c r="X303" i="25"/>
  <c r="W303" i="25"/>
  <c r="Q303" i="25"/>
  <c r="P303" i="25"/>
  <c r="K303" i="25"/>
  <c r="J303" i="25"/>
  <c r="AC302" i="25"/>
  <c r="X302" i="25"/>
  <c r="W302" i="25"/>
  <c r="Q302" i="25"/>
  <c r="P302" i="25"/>
  <c r="K302" i="25"/>
  <c r="J302" i="25"/>
  <c r="AC301" i="25"/>
  <c r="X301" i="25"/>
  <c r="W301" i="25"/>
  <c r="Q301" i="25"/>
  <c r="P301" i="25"/>
  <c r="K301" i="25"/>
  <c r="J301" i="25"/>
  <c r="AC300" i="25"/>
  <c r="X300" i="25"/>
  <c r="W300" i="25"/>
  <c r="Q300" i="25"/>
  <c r="P300" i="25"/>
  <c r="K300" i="25"/>
  <c r="J300" i="25"/>
  <c r="AC299" i="25"/>
  <c r="X299" i="25"/>
  <c r="W299" i="25"/>
  <c r="Q299" i="25"/>
  <c r="P299" i="25"/>
  <c r="K299" i="25"/>
  <c r="J299" i="25"/>
  <c r="AC298" i="25"/>
  <c r="X298" i="25"/>
  <c r="W298" i="25"/>
  <c r="Q298" i="25"/>
  <c r="P298" i="25"/>
  <c r="K298" i="25"/>
  <c r="J298" i="25"/>
  <c r="AC297" i="25"/>
  <c r="X297" i="25"/>
  <c r="W297" i="25"/>
  <c r="Q297" i="25"/>
  <c r="P297" i="25"/>
  <c r="K297" i="25"/>
  <c r="J297" i="25"/>
  <c r="AC296" i="25"/>
  <c r="X296" i="25"/>
  <c r="W296" i="25"/>
  <c r="Q296" i="25"/>
  <c r="P296" i="25"/>
  <c r="K296" i="25"/>
  <c r="J296" i="25"/>
  <c r="AC295" i="25"/>
  <c r="X295" i="25"/>
  <c r="W295" i="25"/>
  <c r="Q295" i="25"/>
  <c r="P295" i="25"/>
  <c r="K295" i="25"/>
  <c r="J295" i="25"/>
  <c r="AC294" i="25"/>
  <c r="X294" i="25"/>
  <c r="W294" i="25"/>
  <c r="Q294" i="25"/>
  <c r="P294" i="25"/>
  <c r="K294" i="25"/>
  <c r="J294" i="25"/>
  <c r="AC293" i="25"/>
  <c r="X293" i="25"/>
  <c r="W293" i="25"/>
  <c r="Q293" i="25"/>
  <c r="P293" i="25"/>
  <c r="K293" i="25"/>
  <c r="J293" i="25"/>
  <c r="AC292" i="25"/>
  <c r="X292" i="25"/>
  <c r="W292" i="25"/>
  <c r="Q292" i="25"/>
  <c r="P292" i="25"/>
  <c r="K292" i="25"/>
  <c r="J292" i="25"/>
  <c r="AX291" i="25"/>
  <c r="AV291" i="25"/>
  <c r="AT291" i="25"/>
  <c r="AR291" i="25"/>
  <c r="AN291" i="25"/>
  <c r="AF291" i="25"/>
  <c r="AD291" i="25"/>
  <c r="AC291" i="25"/>
  <c r="X291" i="25"/>
  <c r="W291" i="25"/>
  <c r="Q291" i="25"/>
  <c r="P291" i="25"/>
  <c r="K291" i="25"/>
  <c r="J291" i="25"/>
  <c r="AX290" i="25"/>
  <c r="AV290" i="25"/>
  <c r="AT290" i="25"/>
  <c r="AR290" i="25"/>
  <c r="AN290" i="25"/>
  <c r="AF290" i="25"/>
  <c r="AD290" i="25"/>
  <c r="AC290" i="25"/>
  <c r="X290" i="25"/>
  <c r="W290" i="25"/>
  <c r="Q290" i="25"/>
  <c r="P290" i="25"/>
  <c r="K290" i="25"/>
  <c r="J290" i="25"/>
  <c r="AX289" i="25"/>
  <c r="AV289" i="25"/>
  <c r="AT289" i="25"/>
  <c r="AR289" i="25"/>
  <c r="AN289" i="25"/>
  <c r="AH289" i="25"/>
  <c r="AF289" i="25"/>
  <c r="AD289" i="25"/>
  <c r="AC289" i="25"/>
  <c r="X289" i="25"/>
  <c r="W289" i="25"/>
  <c r="Q289" i="25"/>
  <c r="P289" i="25"/>
  <c r="K289" i="25"/>
  <c r="J289" i="25"/>
  <c r="AX288" i="25"/>
  <c r="AV288" i="25"/>
  <c r="AT288" i="25"/>
  <c r="AR288" i="25"/>
  <c r="AN288" i="25"/>
  <c r="AH288" i="25"/>
  <c r="AF288" i="25"/>
  <c r="AD288" i="25"/>
  <c r="AC288" i="25"/>
  <c r="X288" i="25"/>
  <c r="W288" i="25"/>
  <c r="Q288" i="25"/>
  <c r="P288" i="25"/>
  <c r="K288" i="25"/>
  <c r="J288" i="25"/>
  <c r="AX287" i="25"/>
  <c r="AV287" i="25"/>
  <c r="AT287" i="25"/>
  <c r="AR287" i="25"/>
  <c r="AN287" i="25"/>
  <c r="AH287" i="25"/>
  <c r="AF287" i="25"/>
  <c r="AD287" i="25"/>
  <c r="AC287" i="25"/>
  <c r="X287" i="25"/>
  <c r="W287" i="25"/>
  <c r="Q287" i="25"/>
  <c r="P287" i="25"/>
  <c r="K287" i="25"/>
  <c r="J287" i="25"/>
  <c r="AX286" i="25"/>
  <c r="AV286" i="25"/>
  <c r="AT286" i="25"/>
  <c r="AR286" i="25"/>
  <c r="AN286" i="25"/>
  <c r="AJ286" i="25"/>
  <c r="AH286" i="25"/>
  <c r="AF286" i="25"/>
  <c r="AD286" i="25"/>
  <c r="AC286" i="25"/>
  <c r="X286" i="25"/>
  <c r="W286" i="25"/>
  <c r="Q286" i="25"/>
  <c r="P286" i="25"/>
  <c r="K286" i="25"/>
  <c r="J286" i="25"/>
  <c r="AX285" i="25"/>
  <c r="AV285" i="25"/>
  <c r="AT285" i="25"/>
  <c r="AR285" i="25"/>
  <c r="AN285" i="25"/>
  <c r="AJ285" i="25"/>
  <c r="AH285" i="25"/>
  <c r="AF285" i="25"/>
  <c r="AD285" i="25"/>
  <c r="AC285" i="25"/>
  <c r="X285" i="25"/>
  <c r="W285" i="25"/>
  <c r="Q285" i="25"/>
  <c r="P285" i="25"/>
  <c r="K285" i="25"/>
  <c r="J285" i="25"/>
  <c r="AX284" i="25"/>
  <c r="AV284" i="25"/>
  <c r="AT284" i="25"/>
  <c r="AR284" i="25"/>
  <c r="AN284" i="25"/>
  <c r="AJ284" i="25"/>
  <c r="AH284" i="25"/>
  <c r="AF284" i="25"/>
  <c r="AD284" i="25"/>
  <c r="AC284" i="25"/>
  <c r="X284" i="25"/>
  <c r="W284" i="25"/>
  <c r="Q284" i="25"/>
  <c r="P284" i="25"/>
  <c r="K284" i="25"/>
  <c r="J284" i="25"/>
  <c r="AX283" i="25"/>
  <c r="AV283" i="25"/>
  <c r="AT283" i="25"/>
  <c r="AR283" i="25"/>
  <c r="AN283" i="25"/>
  <c r="AJ283" i="25"/>
  <c r="AH283" i="25"/>
  <c r="AF283" i="25"/>
  <c r="AD283" i="25"/>
  <c r="AC283" i="25"/>
  <c r="X283" i="25"/>
  <c r="W283" i="25"/>
  <c r="Q283" i="25"/>
  <c r="P283" i="25"/>
  <c r="K283" i="25"/>
  <c r="J283" i="25"/>
  <c r="AX282" i="25"/>
  <c r="AV282" i="25"/>
  <c r="AT282" i="25"/>
  <c r="AR282" i="25"/>
  <c r="AN282" i="25"/>
  <c r="AJ282" i="25"/>
  <c r="AH282" i="25"/>
  <c r="AF282" i="25"/>
  <c r="AD282" i="25"/>
  <c r="AC282" i="25"/>
  <c r="X282" i="25"/>
  <c r="W282" i="25"/>
  <c r="Q282" i="25"/>
  <c r="P282" i="25"/>
  <c r="K282" i="25"/>
  <c r="J282" i="25"/>
  <c r="AX281" i="25"/>
  <c r="AV281" i="25"/>
  <c r="AT281" i="25"/>
  <c r="AR281" i="25"/>
  <c r="AN281" i="25"/>
  <c r="AJ281" i="25"/>
  <c r="AH281" i="25"/>
  <c r="AF281" i="25"/>
  <c r="AD281" i="25"/>
  <c r="AC281" i="25"/>
  <c r="X281" i="25"/>
  <c r="W281" i="25"/>
  <c r="Q281" i="25"/>
  <c r="P281" i="25"/>
  <c r="K281" i="25"/>
  <c r="J281" i="25"/>
  <c r="AX280" i="25"/>
  <c r="AV280" i="25"/>
  <c r="AT280" i="25"/>
  <c r="AR280" i="25"/>
  <c r="AN280" i="25"/>
  <c r="AJ280" i="25"/>
  <c r="AH280" i="25"/>
  <c r="AF280" i="25"/>
  <c r="AD280" i="25"/>
  <c r="AC280" i="25"/>
  <c r="X280" i="25"/>
  <c r="W280" i="25"/>
  <c r="Q280" i="25"/>
  <c r="P280" i="25"/>
  <c r="K280" i="25"/>
  <c r="J280" i="25"/>
  <c r="AX279" i="25"/>
  <c r="AV279" i="25"/>
  <c r="AT279" i="25"/>
  <c r="AR279" i="25"/>
  <c r="AN279" i="25"/>
  <c r="AJ279" i="25"/>
  <c r="AH279" i="25"/>
  <c r="AF279" i="25"/>
  <c r="AD279" i="25"/>
  <c r="AC279" i="25"/>
  <c r="X279" i="25"/>
  <c r="W279" i="25"/>
  <c r="Q279" i="25"/>
  <c r="P279" i="25"/>
  <c r="K279" i="25"/>
  <c r="J279" i="25"/>
  <c r="AX278" i="25"/>
  <c r="AV278" i="25"/>
  <c r="AT278" i="25"/>
  <c r="AR278" i="25"/>
  <c r="AN278" i="25"/>
  <c r="AJ278" i="25"/>
  <c r="AH278" i="25"/>
  <c r="AF278" i="25"/>
  <c r="AD278" i="25"/>
  <c r="AC278" i="25"/>
  <c r="X278" i="25"/>
  <c r="W278" i="25"/>
  <c r="Q278" i="25"/>
  <c r="P278" i="25"/>
  <c r="K278" i="25"/>
  <c r="J278" i="25"/>
  <c r="AX277" i="25"/>
  <c r="AV277" i="25"/>
  <c r="AT277" i="25"/>
  <c r="AR277" i="25"/>
  <c r="AN277" i="25"/>
  <c r="AJ277" i="25"/>
  <c r="AH277" i="25"/>
  <c r="AF277" i="25"/>
  <c r="AD277" i="25"/>
  <c r="AC277" i="25"/>
  <c r="X277" i="25"/>
  <c r="W277" i="25"/>
  <c r="Q277" i="25"/>
  <c r="P277" i="25"/>
  <c r="K277" i="25"/>
  <c r="J277" i="25"/>
  <c r="AX276" i="25"/>
  <c r="AV276" i="25"/>
  <c r="AT276" i="25"/>
  <c r="AR276" i="25"/>
  <c r="AN276" i="25"/>
  <c r="AJ276" i="25"/>
  <c r="AH276" i="25"/>
  <c r="AF276" i="25"/>
  <c r="AD276" i="25"/>
  <c r="AC276" i="25"/>
  <c r="X276" i="25"/>
  <c r="W276" i="25"/>
  <c r="Q276" i="25"/>
  <c r="P276" i="25"/>
  <c r="K276" i="25"/>
  <c r="J276" i="25"/>
  <c r="AX275" i="25"/>
  <c r="AV275" i="25"/>
  <c r="AT275" i="25"/>
  <c r="AR275" i="25"/>
  <c r="AN275" i="25"/>
  <c r="AJ275" i="25"/>
  <c r="AH275" i="25"/>
  <c r="AF275" i="25"/>
  <c r="AD275" i="25"/>
  <c r="AC275" i="25"/>
  <c r="X275" i="25"/>
  <c r="W275" i="25"/>
  <c r="Q275" i="25"/>
  <c r="P275" i="25"/>
  <c r="K275" i="25"/>
  <c r="J275" i="25"/>
  <c r="AX274" i="25"/>
  <c r="AV274" i="25"/>
  <c r="AT274" i="25"/>
  <c r="AR274" i="25"/>
  <c r="AN274" i="25"/>
  <c r="AJ274" i="25"/>
  <c r="AH274" i="25"/>
  <c r="AF274" i="25"/>
  <c r="AD274" i="25"/>
  <c r="AC274" i="25"/>
  <c r="X274" i="25"/>
  <c r="W274" i="25"/>
  <c r="Q274" i="25"/>
  <c r="P274" i="25"/>
  <c r="K274" i="25"/>
  <c r="J274" i="25"/>
  <c r="AX273" i="25"/>
  <c r="AV273" i="25"/>
  <c r="AT273" i="25"/>
  <c r="AR273" i="25"/>
  <c r="AN273" i="25"/>
  <c r="AJ273" i="25"/>
  <c r="AH273" i="25"/>
  <c r="AF273" i="25"/>
  <c r="AD273" i="25"/>
  <c r="AC273" i="25"/>
  <c r="X273" i="25"/>
  <c r="W273" i="25"/>
  <c r="Q273" i="25"/>
  <c r="P273" i="25"/>
  <c r="K273" i="25"/>
  <c r="J273" i="25"/>
  <c r="AX272" i="25"/>
  <c r="AV272" i="25"/>
  <c r="AT272" i="25"/>
  <c r="AR272" i="25"/>
  <c r="AN272" i="25"/>
  <c r="AL272" i="25"/>
  <c r="AJ272" i="25"/>
  <c r="AH272" i="25"/>
  <c r="AF272" i="25"/>
  <c r="AD272" i="25"/>
  <c r="AC272" i="25"/>
  <c r="X272" i="25"/>
  <c r="W272" i="25"/>
  <c r="Q272" i="25"/>
  <c r="P272" i="25"/>
  <c r="K272" i="25"/>
  <c r="J272" i="25"/>
  <c r="AX271" i="25"/>
  <c r="AV271" i="25"/>
  <c r="AT271" i="25"/>
  <c r="AR271" i="25"/>
  <c r="AN271" i="25"/>
  <c r="AL271" i="25"/>
  <c r="AJ271" i="25"/>
  <c r="AH271" i="25"/>
  <c r="AF271" i="25"/>
  <c r="AD271" i="25"/>
  <c r="AC271" i="25"/>
  <c r="X271" i="25"/>
  <c r="W271" i="25"/>
  <c r="Q271" i="25"/>
  <c r="P271" i="25"/>
  <c r="K271" i="25"/>
  <c r="J271" i="25"/>
  <c r="AX270" i="25"/>
  <c r="AV270" i="25"/>
  <c r="AT270" i="25"/>
  <c r="AR270" i="25"/>
  <c r="AN270" i="25"/>
  <c r="AL270" i="25"/>
  <c r="AJ270" i="25"/>
  <c r="AH270" i="25"/>
  <c r="AF270" i="25"/>
  <c r="AD270" i="25"/>
  <c r="AC270" i="25"/>
  <c r="X270" i="25"/>
  <c r="W270" i="25"/>
  <c r="Q270" i="25"/>
  <c r="P270" i="25"/>
  <c r="K270" i="25"/>
  <c r="J270" i="25"/>
  <c r="AX269" i="25"/>
  <c r="AV269" i="25"/>
  <c r="AT269" i="25"/>
  <c r="AR269" i="25"/>
  <c r="AN269" i="25"/>
  <c r="AL269" i="25"/>
  <c r="AJ269" i="25"/>
  <c r="AH269" i="25"/>
  <c r="AF269" i="25"/>
  <c r="AD269" i="25"/>
  <c r="AC269" i="25"/>
  <c r="X269" i="25"/>
  <c r="W269" i="25"/>
  <c r="Q269" i="25"/>
  <c r="P269" i="25"/>
  <c r="K269" i="25"/>
  <c r="J269" i="25"/>
  <c r="AX268" i="25"/>
  <c r="AV268" i="25"/>
  <c r="AT268" i="25"/>
  <c r="AR268" i="25"/>
  <c r="AN268" i="25"/>
  <c r="AL268" i="25"/>
  <c r="AJ268" i="25"/>
  <c r="AH268" i="25"/>
  <c r="AF268" i="25"/>
  <c r="AD268" i="25"/>
  <c r="AC268" i="25"/>
  <c r="X268" i="25"/>
  <c r="W268" i="25"/>
  <c r="Q268" i="25"/>
  <c r="P268" i="25"/>
  <c r="K268" i="25"/>
  <c r="J268" i="25"/>
  <c r="AX267" i="25"/>
  <c r="AV267" i="25"/>
  <c r="AT267" i="25"/>
  <c r="AR267" i="25"/>
  <c r="AP267" i="25"/>
  <c r="AN267" i="25"/>
  <c r="AL267" i="25"/>
  <c r="AJ267" i="25"/>
  <c r="AH267" i="25"/>
  <c r="AF267" i="25"/>
  <c r="AD267" i="25"/>
  <c r="AC267" i="25"/>
  <c r="X267" i="25"/>
  <c r="W267" i="25"/>
  <c r="Q267" i="25"/>
  <c r="P267" i="25"/>
  <c r="K267" i="25"/>
  <c r="J267" i="25"/>
  <c r="AX266" i="25"/>
  <c r="AV266" i="25"/>
  <c r="AT266" i="25"/>
  <c r="AR266" i="25"/>
  <c r="AP266" i="25"/>
  <c r="AN266" i="25"/>
  <c r="AL266" i="25"/>
  <c r="AJ266" i="25"/>
  <c r="AH266" i="25"/>
  <c r="AF266" i="25"/>
  <c r="AD266" i="25"/>
  <c r="AC266" i="25"/>
  <c r="X266" i="25"/>
  <c r="W266" i="25"/>
  <c r="Q266" i="25"/>
  <c r="P266" i="25"/>
  <c r="K266" i="25"/>
  <c r="J266" i="25"/>
  <c r="AX265" i="25"/>
  <c r="AV265" i="25"/>
  <c r="AT265" i="25"/>
  <c r="AR265" i="25"/>
  <c r="AP265" i="25"/>
  <c r="AN265" i="25"/>
  <c r="AL265" i="25"/>
  <c r="AJ265" i="25"/>
  <c r="AH265" i="25"/>
  <c r="AF265" i="25"/>
  <c r="AD265" i="25"/>
  <c r="AC265" i="25"/>
  <c r="X265" i="25"/>
  <c r="W265" i="25"/>
  <c r="Q265" i="25"/>
  <c r="P265" i="25"/>
  <c r="K265" i="25"/>
  <c r="J265" i="25"/>
  <c r="AX264" i="25"/>
  <c r="AV264" i="25"/>
  <c r="AT264" i="25"/>
  <c r="AR264" i="25"/>
  <c r="AP264" i="25"/>
  <c r="AN264" i="25"/>
  <c r="AL264" i="25"/>
  <c r="AJ264" i="25"/>
  <c r="AH264" i="25"/>
  <c r="AF264" i="25"/>
  <c r="AD264" i="25"/>
  <c r="AC264" i="25"/>
  <c r="X264" i="25"/>
  <c r="W264" i="25"/>
  <c r="Q264" i="25"/>
  <c r="P264" i="25"/>
  <c r="K264" i="25"/>
  <c r="J264" i="25"/>
  <c r="AX263" i="25"/>
  <c r="AV263" i="25"/>
  <c r="AT263" i="25"/>
  <c r="AR263" i="25"/>
  <c r="AP263" i="25"/>
  <c r="AN263" i="25"/>
  <c r="AL263" i="25"/>
  <c r="AJ263" i="25"/>
  <c r="AH263" i="25"/>
  <c r="AF263" i="25"/>
  <c r="AD263" i="25"/>
  <c r="AC263" i="25"/>
  <c r="X263" i="25"/>
  <c r="W263" i="25"/>
  <c r="Q263" i="25"/>
  <c r="P263" i="25"/>
  <c r="K263" i="25"/>
  <c r="J263" i="25"/>
  <c r="AX262" i="25"/>
  <c r="AV262" i="25"/>
  <c r="AT262" i="25"/>
  <c r="AR262" i="25"/>
  <c r="AP262" i="25"/>
  <c r="AN262" i="25"/>
  <c r="AL262" i="25"/>
  <c r="AJ262" i="25"/>
  <c r="AH262" i="25"/>
  <c r="AF262" i="25"/>
  <c r="AD262" i="25"/>
  <c r="AC262" i="25"/>
  <c r="X262" i="25"/>
  <c r="W262" i="25"/>
  <c r="Q262" i="25"/>
  <c r="P262" i="25"/>
  <c r="K262" i="25"/>
  <c r="J262" i="25"/>
  <c r="AX261" i="25"/>
  <c r="AV261" i="25"/>
  <c r="AT261" i="25"/>
  <c r="AR261" i="25"/>
  <c r="AP261" i="25"/>
  <c r="AN261" i="25"/>
  <c r="AL261" i="25"/>
  <c r="AJ261" i="25"/>
  <c r="AH261" i="25"/>
  <c r="AF261" i="25"/>
  <c r="AD261" i="25"/>
  <c r="AC261" i="25"/>
  <c r="X261" i="25"/>
  <c r="W261" i="25"/>
  <c r="Q261" i="25"/>
  <c r="P261" i="25"/>
  <c r="K261" i="25"/>
  <c r="J261" i="25"/>
  <c r="AX260" i="25"/>
  <c r="AV260" i="25"/>
  <c r="AT260" i="25"/>
  <c r="AR260" i="25"/>
  <c r="AP260" i="25"/>
  <c r="AN260" i="25"/>
  <c r="AL260" i="25"/>
  <c r="AJ260" i="25"/>
  <c r="AH260" i="25"/>
  <c r="AF260" i="25"/>
  <c r="AD260" i="25"/>
  <c r="AC260" i="25"/>
  <c r="X260" i="25"/>
  <c r="W260" i="25"/>
  <c r="Q260" i="25"/>
  <c r="P260" i="25"/>
  <c r="K260" i="25"/>
  <c r="J260" i="25"/>
  <c r="AX259" i="25"/>
  <c r="AV259" i="25"/>
  <c r="AT259" i="25"/>
  <c r="AR259" i="25"/>
  <c r="AP259" i="25"/>
  <c r="AN259" i="25"/>
  <c r="AL259" i="25"/>
  <c r="AJ259" i="25"/>
  <c r="AH259" i="25"/>
  <c r="AF259" i="25"/>
  <c r="AD259" i="25"/>
  <c r="AC259" i="25"/>
  <c r="X259" i="25"/>
  <c r="W259" i="25"/>
  <c r="Q259" i="25"/>
  <c r="P259" i="25"/>
  <c r="K259" i="25"/>
  <c r="J259" i="25"/>
  <c r="AX258" i="25"/>
  <c r="AV258" i="25"/>
  <c r="AT258" i="25"/>
  <c r="AR258" i="25"/>
  <c r="AP258" i="25"/>
  <c r="AN258" i="25"/>
  <c r="AL258" i="25"/>
  <c r="AJ258" i="25"/>
  <c r="AH258" i="25"/>
  <c r="AF258" i="25"/>
  <c r="AD258" i="25"/>
  <c r="AC258" i="25"/>
  <c r="X258" i="25"/>
  <c r="W258" i="25"/>
  <c r="Q258" i="25"/>
  <c r="P258" i="25"/>
  <c r="K258" i="25"/>
  <c r="J258" i="25"/>
  <c r="AX257" i="25"/>
  <c r="AV257" i="25"/>
  <c r="AT257" i="25"/>
  <c r="AR257" i="25"/>
  <c r="AP257" i="25"/>
  <c r="AN257" i="25"/>
  <c r="AL257" i="25"/>
  <c r="AJ257" i="25"/>
  <c r="AH257" i="25"/>
  <c r="AF257" i="25"/>
  <c r="AD257" i="25"/>
  <c r="AC257" i="25"/>
  <c r="X257" i="25"/>
  <c r="W257" i="25"/>
  <c r="Q257" i="25"/>
  <c r="P257" i="25"/>
  <c r="K257" i="25"/>
  <c r="J257" i="25"/>
  <c r="AX256" i="25"/>
  <c r="AV256" i="25"/>
  <c r="AT256" i="25"/>
  <c r="AR256" i="25"/>
  <c r="AP256" i="25"/>
  <c r="AN256" i="25"/>
  <c r="AL256" i="25"/>
  <c r="AJ256" i="25"/>
  <c r="AH256" i="25"/>
  <c r="AF256" i="25"/>
  <c r="AD256" i="25"/>
  <c r="AC256" i="25"/>
  <c r="X256" i="25"/>
  <c r="W256" i="25"/>
  <c r="Q256" i="25"/>
  <c r="P256" i="25"/>
  <c r="K256" i="25"/>
  <c r="J256" i="25"/>
  <c r="AX255" i="25"/>
  <c r="AV255" i="25"/>
  <c r="AT255" i="25"/>
  <c r="AR255" i="25"/>
  <c r="AP255" i="25"/>
  <c r="AN255" i="25"/>
  <c r="AL255" i="25"/>
  <c r="AJ255" i="25"/>
  <c r="AH255" i="25"/>
  <c r="AF255" i="25"/>
  <c r="AD255" i="25"/>
  <c r="AC255" i="25"/>
  <c r="X255" i="25"/>
  <c r="W255" i="25"/>
  <c r="Q255" i="25"/>
  <c r="P255" i="25"/>
  <c r="K255" i="25"/>
  <c r="J255" i="25"/>
  <c r="AX254" i="25"/>
  <c r="AV254" i="25"/>
  <c r="AT254" i="25"/>
  <c r="AR254" i="25"/>
  <c r="AP254" i="25"/>
  <c r="AN254" i="25"/>
  <c r="AL254" i="25"/>
  <c r="AJ254" i="25"/>
  <c r="AH254" i="25"/>
  <c r="AF254" i="25"/>
  <c r="AD254" i="25"/>
  <c r="AC254" i="25"/>
  <c r="X254" i="25"/>
  <c r="W254" i="25"/>
  <c r="Q254" i="25"/>
  <c r="P254" i="25"/>
  <c r="K254" i="25"/>
  <c r="J254" i="25"/>
  <c r="AX253" i="25"/>
  <c r="AV253" i="25"/>
  <c r="AT253" i="25"/>
  <c r="AR253" i="25"/>
  <c r="AP253" i="25"/>
  <c r="AN253" i="25"/>
  <c r="AL253" i="25"/>
  <c r="AJ253" i="25"/>
  <c r="AH253" i="25"/>
  <c r="AF253" i="25"/>
  <c r="AD253" i="25"/>
  <c r="AC253" i="25"/>
  <c r="X253" i="25"/>
  <c r="W253" i="25"/>
  <c r="Q253" i="25"/>
  <c r="P253" i="25"/>
  <c r="K253" i="25"/>
  <c r="J253" i="25"/>
  <c r="AX252" i="25"/>
  <c r="AV252" i="25"/>
  <c r="AT252" i="25"/>
  <c r="AR252" i="25"/>
  <c r="AP252" i="25"/>
  <c r="AN252" i="25"/>
  <c r="AL252" i="25"/>
  <c r="AJ252" i="25"/>
  <c r="AH252" i="25"/>
  <c r="AF252" i="25"/>
  <c r="AD252" i="25"/>
  <c r="AC252" i="25"/>
  <c r="X252" i="25"/>
  <c r="W252" i="25"/>
  <c r="Q252" i="25"/>
  <c r="P252" i="25"/>
  <c r="K252" i="25"/>
  <c r="J252" i="25"/>
  <c r="AX251" i="25"/>
  <c r="AV251" i="25"/>
  <c r="AT251" i="25"/>
  <c r="AR251" i="25"/>
  <c r="AP251" i="25"/>
  <c r="AN251" i="25"/>
  <c r="AL251" i="25"/>
  <c r="AJ251" i="25"/>
  <c r="AH251" i="25"/>
  <c r="AF251" i="25"/>
  <c r="AD251" i="25"/>
  <c r="AC251" i="25"/>
  <c r="X251" i="25"/>
  <c r="W251" i="25"/>
  <c r="Q251" i="25"/>
  <c r="P251" i="25"/>
  <c r="K251" i="25"/>
  <c r="J251" i="25"/>
  <c r="AX250" i="25"/>
  <c r="AV250" i="25"/>
  <c r="AT250" i="25"/>
  <c r="AR250" i="25"/>
  <c r="AP250" i="25"/>
  <c r="AN250" i="25"/>
  <c r="AL250" i="25"/>
  <c r="AJ250" i="25"/>
  <c r="AH250" i="25"/>
  <c r="AF250" i="25"/>
  <c r="AD250" i="25"/>
  <c r="AC250" i="25"/>
  <c r="X250" i="25"/>
  <c r="W250" i="25"/>
  <c r="Q250" i="25"/>
  <c r="P250" i="25"/>
  <c r="K250" i="25"/>
  <c r="J250" i="25"/>
  <c r="AX249" i="25"/>
  <c r="AV249" i="25"/>
  <c r="AT249" i="25"/>
  <c r="AR249" i="25"/>
  <c r="AP249" i="25"/>
  <c r="AN249" i="25"/>
  <c r="AL249" i="25"/>
  <c r="AJ249" i="25"/>
  <c r="AH249" i="25"/>
  <c r="AF249" i="25"/>
  <c r="AD249" i="25"/>
  <c r="AC249" i="25"/>
  <c r="X249" i="25"/>
  <c r="W249" i="25"/>
  <c r="Q249" i="25"/>
  <c r="P249" i="25"/>
  <c r="K249" i="25"/>
  <c r="J249" i="25"/>
  <c r="AH248" i="25"/>
  <c r="AF248" i="25"/>
  <c r="AD248" i="25"/>
  <c r="AC248" i="25"/>
  <c r="X248" i="25"/>
  <c r="W248" i="25"/>
  <c r="Q248" i="25"/>
  <c r="P248" i="25"/>
  <c r="K248" i="25"/>
  <c r="J248" i="25"/>
  <c r="AH247" i="25"/>
  <c r="AF247" i="25"/>
  <c r="AD247" i="25"/>
  <c r="AC247" i="25"/>
  <c r="X247" i="25"/>
  <c r="W247" i="25"/>
  <c r="Q247" i="25"/>
  <c r="P247" i="25"/>
  <c r="K247" i="25"/>
  <c r="J247" i="25"/>
  <c r="AH246" i="25"/>
  <c r="AF246" i="25"/>
  <c r="AD246" i="25"/>
  <c r="AC246" i="25"/>
  <c r="X246" i="25"/>
  <c r="W246" i="25"/>
  <c r="Q246" i="25"/>
  <c r="P246" i="25"/>
  <c r="K246" i="25"/>
  <c r="J246" i="25"/>
  <c r="AH245" i="25"/>
  <c r="AF245" i="25"/>
  <c r="AD245" i="25"/>
  <c r="AC245" i="25"/>
  <c r="X245" i="25"/>
  <c r="W245" i="25"/>
  <c r="Q245" i="25"/>
  <c r="P245" i="25"/>
  <c r="K245" i="25"/>
  <c r="J245" i="25"/>
  <c r="AF244" i="25"/>
  <c r="AD244" i="25"/>
  <c r="AC244" i="25"/>
  <c r="X244" i="25"/>
  <c r="W244" i="25"/>
  <c r="Q244" i="25"/>
  <c r="P244" i="25"/>
  <c r="K244" i="25"/>
  <c r="J244" i="25"/>
  <c r="AF243" i="25"/>
  <c r="AD243" i="25"/>
  <c r="AC243" i="25"/>
  <c r="X243" i="25"/>
  <c r="W243" i="25"/>
  <c r="Q243" i="25"/>
  <c r="P243" i="25"/>
  <c r="K243" i="25"/>
  <c r="J243" i="25"/>
  <c r="AF242" i="25"/>
  <c r="AD242" i="25"/>
  <c r="AC242" i="25"/>
  <c r="X242" i="25"/>
  <c r="W242" i="25"/>
  <c r="Q242" i="25"/>
  <c r="P242" i="25"/>
  <c r="K242" i="25"/>
  <c r="J242" i="25"/>
  <c r="AF241" i="25"/>
  <c r="AD241" i="25"/>
  <c r="AC241" i="25"/>
  <c r="X241" i="25"/>
  <c r="W241" i="25"/>
  <c r="Q241" i="25"/>
  <c r="P241" i="25"/>
  <c r="K241" i="25"/>
  <c r="J241" i="25"/>
  <c r="AF240" i="25"/>
  <c r="AD240" i="25"/>
  <c r="AC240" i="25"/>
  <c r="X240" i="25"/>
  <c r="W240" i="25"/>
  <c r="Q240" i="25"/>
  <c r="P240" i="25"/>
  <c r="K240" i="25"/>
  <c r="J240" i="25"/>
  <c r="AF239" i="25"/>
  <c r="AD239" i="25"/>
  <c r="AC239" i="25"/>
  <c r="X239" i="25"/>
  <c r="W239" i="25"/>
  <c r="Q239" i="25"/>
  <c r="P239" i="25"/>
  <c r="K239" i="25"/>
  <c r="J239" i="25"/>
  <c r="AF238" i="25"/>
  <c r="AD238" i="25"/>
  <c r="AC238" i="25"/>
  <c r="X238" i="25"/>
  <c r="W238" i="25"/>
  <c r="Q238" i="25"/>
  <c r="P238" i="25"/>
  <c r="K238" i="25"/>
  <c r="J238" i="25"/>
  <c r="AF237" i="25"/>
  <c r="AD237" i="25"/>
  <c r="AC237" i="25"/>
  <c r="X237" i="25"/>
  <c r="W237" i="25"/>
  <c r="Q237" i="25"/>
  <c r="P237" i="25"/>
  <c r="K237" i="25"/>
  <c r="J237" i="25"/>
  <c r="AF236" i="25"/>
  <c r="AD236" i="25"/>
  <c r="AC236" i="25"/>
  <c r="X236" i="25"/>
  <c r="W236" i="25"/>
  <c r="Q236" i="25"/>
  <c r="P236" i="25"/>
  <c r="K236" i="25"/>
  <c r="J236" i="25"/>
  <c r="AF235" i="25"/>
  <c r="AD235" i="25"/>
  <c r="AC235" i="25"/>
  <c r="X235" i="25"/>
  <c r="W235" i="25"/>
  <c r="Q235" i="25"/>
  <c r="P235" i="25"/>
  <c r="K235" i="25"/>
  <c r="J235" i="25"/>
  <c r="AF234" i="25"/>
  <c r="AD234" i="25"/>
  <c r="AC234" i="25"/>
  <c r="X234" i="25"/>
  <c r="W234" i="25"/>
  <c r="Q234" i="25"/>
  <c r="P234" i="25"/>
  <c r="K234" i="25"/>
  <c r="J234" i="25"/>
  <c r="AF233" i="25"/>
  <c r="AD233" i="25"/>
  <c r="AC233" i="25"/>
  <c r="X233" i="25"/>
  <c r="W233" i="25"/>
  <c r="Q233" i="25"/>
  <c r="P233" i="25"/>
  <c r="K233" i="25"/>
  <c r="J233" i="25"/>
  <c r="AF232" i="25"/>
  <c r="AD232" i="25"/>
  <c r="AC232" i="25"/>
  <c r="X232" i="25"/>
  <c r="W232" i="25"/>
  <c r="Q232" i="25"/>
  <c r="P232" i="25"/>
  <c r="K232" i="25"/>
  <c r="J232" i="25"/>
  <c r="AF231" i="25"/>
  <c r="AD231" i="25"/>
  <c r="AC231" i="25"/>
  <c r="X231" i="25"/>
  <c r="W231" i="25"/>
  <c r="Q231" i="25"/>
  <c r="P231" i="25"/>
  <c r="K231" i="25"/>
  <c r="J231" i="25"/>
  <c r="AF230" i="25"/>
  <c r="AD230" i="25"/>
  <c r="AC230" i="25"/>
  <c r="X230" i="25"/>
  <c r="W230" i="25"/>
  <c r="Q230" i="25"/>
  <c r="P230" i="25"/>
  <c r="K230" i="25"/>
  <c r="J230" i="25"/>
  <c r="AF229" i="25"/>
  <c r="AD229" i="25"/>
  <c r="AC229" i="25"/>
  <c r="X229" i="25"/>
  <c r="W229" i="25"/>
  <c r="Q229" i="25"/>
  <c r="P229" i="25"/>
  <c r="K229" i="25"/>
  <c r="J229" i="25"/>
  <c r="AF228" i="25"/>
  <c r="AD228" i="25"/>
  <c r="AC228" i="25"/>
  <c r="X228" i="25"/>
  <c r="W228" i="25"/>
  <c r="Q228" i="25"/>
  <c r="P228" i="25"/>
  <c r="K228" i="25"/>
  <c r="J228" i="25"/>
  <c r="AF227" i="25"/>
  <c r="AD227" i="25"/>
  <c r="AC227" i="25"/>
  <c r="X227" i="25"/>
  <c r="W227" i="25"/>
  <c r="Q227" i="25"/>
  <c r="P227" i="25"/>
  <c r="K227" i="25"/>
  <c r="J227" i="25"/>
  <c r="AF226" i="25"/>
  <c r="AD226" i="25"/>
  <c r="AC226" i="25"/>
  <c r="X226" i="25"/>
  <c r="W226" i="25"/>
  <c r="Q226" i="25"/>
  <c r="P226" i="25"/>
  <c r="K226" i="25"/>
  <c r="J226" i="25"/>
  <c r="AF225" i="25"/>
  <c r="AD225" i="25"/>
  <c r="AC225" i="25"/>
  <c r="X225" i="25"/>
  <c r="W225" i="25"/>
  <c r="Q225" i="25"/>
  <c r="P225" i="25"/>
  <c r="K225" i="25"/>
  <c r="J225" i="25"/>
  <c r="AF224" i="25"/>
  <c r="AD224" i="25"/>
  <c r="AC224" i="25"/>
  <c r="X224" i="25"/>
  <c r="W224" i="25"/>
  <c r="Q224" i="25"/>
  <c r="P224" i="25"/>
  <c r="K224" i="25"/>
  <c r="J224" i="25"/>
  <c r="AF223" i="25"/>
  <c r="AD223" i="25"/>
  <c r="AC223" i="25"/>
  <c r="X223" i="25"/>
  <c r="W223" i="25"/>
  <c r="Q223" i="25"/>
  <c r="P223" i="25"/>
  <c r="K223" i="25"/>
  <c r="J223" i="25"/>
  <c r="AF222" i="25"/>
  <c r="AD222" i="25"/>
  <c r="AZ222" i="25" s="1"/>
  <c r="AY223" i="25" s="1"/>
  <c r="AC222" i="25"/>
  <c r="X222" i="25"/>
  <c r="W222" i="25"/>
  <c r="Q222" i="25"/>
  <c r="P222" i="25"/>
  <c r="K222" i="25"/>
  <c r="J222" i="25"/>
  <c r="AF221" i="25"/>
  <c r="AD221" i="25"/>
  <c r="AC221" i="25"/>
  <c r="X221" i="25"/>
  <c r="W221" i="25"/>
  <c r="Q221" i="25"/>
  <c r="P221" i="25"/>
  <c r="K221" i="25"/>
  <c r="J221" i="25"/>
  <c r="AF220" i="25"/>
  <c r="AD220" i="25"/>
  <c r="AC220" i="25"/>
  <c r="X220" i="25"/>
  <c r="W220" i="25"/>
  <c r="Q220" i="25"/>
  <c r="P220" i="25"/>
  <c r="K220" i="25"/>
  <c r="J220" i="25"/>
  <c r="AF219" i="25"/>
  <c r="AD219" i="25"/>
  <c r="AC219" i="25"/>
  <c r="X219" i="25"/>
  <c r="W219" i="25"/>
  <c r="Q219" i="25"/>
  <c r="P219" i="25"/>
  <c r="K219" i="25"/>
  <c r="J219" i="25"/>
  <c r="AF218" i="25"/>
  <c r="AD218" i="25"/>
  <c r="AC218" i="25"/>
  <c r="X218" i="25"/>
  <c r="W218" i="25"/>
  <c r="Q218" i="25"/>
  <c r="P218" i="25"/>
  <c r="K218" i="25"/>
  <c r="J218" i="25"/>
  <c r="AF217" i="25"/>
  <c r="AD217" i="25"/>
  <c r="AC217" i="25"/>
  <c r="X217" i="25"/>
  <c r="W217" i="25"/>
  <c r="Q217" i="25"/>
  <c r="P217" i="25"/>
  <c r="K217" i="25"/>
  <c r="J217" i="25"/>
  <c r="AF216" i="25"/>
  <c r="AD216" i="25"/>
  <c r="AC216" i="25"/>
  <c r="X216" i="25"/>
  <c r="W216" i="25"/>
  <c r="Q216" i="25"/>
  <c r="P216" i="25"/>
  <c r="K216" i="25"/>
  <c r="J216" i="25"/>
  <c r="AF215" i="25"/>
  <c r="AD215" i="25"/>
  <c r="AC215" i="25"/>
  <c r="X215" i="25"/>
  <c r="W215" i="25"/>
  <c r="Q215" i="25"/>
  <c r="P215" i="25"/>
  <c r="K215" i="25"/>
  <c r="J215" i="25"/>
  <c r="AF214" i="25"/>
  <c r="AD214" i="25"/>
  <c r="AC214" i="25"/>
  <c r="X214" i="25"/>
  <c r="W214" i="25"/>
  <c r="Q214" i="25"/>
  <c r="P214" i="25"/>
  <c r="K214" i="25"/>
  <c r="J214" i="25"/>
  <c r="AF213" i="25"/>
  <c r="AD213" i="25"/>
  <c r="AC213" i="25"/>
  <c r="X213" i="25"/>
  <c r="W213" i="25"/>
  <c r="Q213" i="25"/>
  <c r="P213" i="25"/>
  <c r="K213" i="25"/>
  <c r="J213" i="25"/>
  <c r="AF212" i="25"/>
  <c r="AD212" i="25"/>
  <c r="AC212" i="25"/>
  <c r="X212" i="25"/>
  <c r="W212" i="25"/>
  <c r="Q212" i="25"/>
  <c r="P212" i="25"/>
  <c r="K212" i="25"/>
  <c r="J212" i="25"/>
  <c r="AF211" i="25"/>
  <c r="AD211" i="25"/>
  <c r="AC211" i="25"/>
  <c r="X211" i="25"/>
  <c r="W211" i="25"/>
  <c r="Q211" i="25"/>
  <c r="P211" i="25"/>
  <c r="K211" i="25"/>
  <c r="J211" i="25"/>
  <c r="AF210" i="25"/>
  <c r="AD210" i="25"/>
  <c r="AZ210" i="25" s="1"/>
  <c r="AY211" i="25" s="1"/>
  <c r="D211" i="25" s="1"/>
  <c r="AC210" i="25"/>
  <c r="X210" i="25"/>
  <c r="W210" i="25"/>
  <c r="Q210" i="25"/>
  <c r="P210" i="25"/>
  <c r="K210" i="25"/>
  <c r="J210" i="25"/>
  <c r="AF209" i="25"/>
  <c r="AD209" i="25"/>
  <c r="AZ209" i="25" s="1"/>
  <c r="AE10" i="25" s="1"/>
  <c r="AE11" i="25" s="1"/>
  <c r="AC209" i="25"/>
  <c r="D209" i="25" s="1"/>
  <c r="X209" i="25"/>
  <c r="W209" i="25"/>
  <c r="Q209" i="25"/>
  <c r="P209" i="25"/>
  <c r="K209" i="25"/>
  <c r="J209" i="25"/>
  <c r="AC208" i="25"/>
  <c r="D208" i="25" s="1"/>
  <c r="X208" i="25"/>
  <c r="W208" i="25"/>
  <c r="Q208" i="25"/>
  <c r="P208" i="25"/>
  <c r="K208" i="25"/>
  <c r="J208" i="25"/>
  <c r="AC207" i="25"/>
  <c r="D207" i="25" s="1"/>
  <c r="X207" i="25"/>
  <c r="W207" i="25"/>
  <c r="Q207" i="25"/>
  <c r="P207" i="25"/>
  <c r="K207" i="25"/>
  <c r="J207" i="25"/>
  <c r="AC206" i="25"/>
  <c r="D206" i="25" s="1"/>
  <c r="X206" i="25"/>
  <c r="W206" i="25"/>
  <c r="Q206" i="25"/>
  <c r="P206" i="25"/>
  <c r="K206" i="25"/>
  <c r="J206" i="25"/>
  <c r="AC205" i="25"/>
  <c r="D205" i="25" s="1"/>
  <c r="X205" i="25"/>
  <c r="W205" i="25"/>
  <c r="Q205" i="25"/>
  <c r="P205" i="25"/>
  <c r="K205" i="25"/>
  <c r="J205" i="25"/>
  <c r="AC204" i="25"/>
  <c r="D204" i="25" s="1"/>
  <c r="X204" i="25"/>
  <c r="W204" i="25"/>
  <c r="Q204" i="25"/>
  <c r="P204" i="25"/>
  <c r="K204" i="25"/>
  <c r="J204" i="25"/>
  <c r="AC203" i="25"/>
  <c r="D203" i="25" s="1"/>
  <c r="X203" i="25"/>
  <c r="W203" i="25"/>
  <c r="Q203" i="25"/>
  <c r="P203" i="25"/>
  <c r="K203" i="25"/>
  <c r="J203" i="25"/>
  <c r="AC202" i="25"/>
  <c r="D202" i="25" s="1"/>
  <c r="X202" i="25"/>
  <c r="W202" i="25"/>
  <c r="Q202" i="25"/>
  <c r="P202" i="25"/>
  <c r="K202" i="25"/>
  <c r="J202" i="25"/>
  <c r="AC201" i="25"/>
  <c r="D201" i="25" s="1"/>
  <c r="X201" i="25"/>
  <c r="W201" i="25"/>
  <c r="Q201" i="25"/>
  <c r="P201" i="25"/>
  <c r="K201" i="25"/>
  <c r="J201" i="25"/>
  <c r="AC200" i="25"/>
  <c r="D200" i="25" s="1"/>
  <c r="X200" i="25"/>
  <c r="W200" i="25"/>
  <c r="Q200" i="25"/>
  <c r="P200" i="25"/>
  <c r="K200" i="25"/>
  <c r="J200" i="25"/>
  <c r="AC199" i="25"/>
  <c r="D199" i="25" s="1"/>
  <c r="X199" i="25"/>
  <c r="W199" i="25"/>
  <c r="Q199" i="25"/>
  <c r="P199" i="25"/>
  <c r="K199" i="25"/>
  <c r="J199" i="25"/>
  <c r="AC198" i="25"/>
  <c r="D198" i="25" s="1"/>
  <c r="X198" i="25"/>
  <c r="W198" i="25"/>
  <c r="Q198" i="25"/>
  <c r="P198" i="25"/>
  <c r="K198" i="25"/>
  <c r="J198" i="25"/>
  <c r="AC197" i="25"/>
  <c r="D197" i="25" s="1"/>
  <c r="X197" i="25"/>
  <c r="W197" i="25"/>
  <c r="Q197" i="25"/>
  <c r="P197" i="25"/>
  <c r="K197" i="25"/>
  <c r="J197" i="25"/>
  <c r="AC196" i="25"/>
  <c r="D196" i="25" s="1"/>
  <c r="X196" i="25"/>
  <c r="W196" i="25"/>
  <c r="Q196" i="25"/>
  <c r="P196" i="25"/>
  <c r="K196" i="25"/>
  <c r="J196" i="25"/>
  <c r="AC195" i="25"/>
  <c r="D195" i="25" s="1"/>
  <c r="X195" i="25"/>
  <c r="W195" i="25"/>
  <c r="Q195" i="25"/>
  <c r="P195" i="25"/>
  <c r="K195" i="25"/>
  <c r="J195" i="25"/>
  <c r="AC194" i="25"/>
  <c r="D194" i="25" s="1"/>
  <c r="X194" i="25"/>
  <c r="W194" i="25"/>
  <c r="Q194" i="25"/>
  <c r="P194" i="25"/>
  <c r="K194" i="25"/>
  <c r="J194" i="25"/>
  <c r="AC193" i="25"/>
  <c r="D193" i="25" s="1"/>
  <c r="X193" i="25"/>
  <c r="W193" i="25"/>
  <c r="Q193" i="25"/>
  <c r="P193" i="25"/>
  <c r="K193" i="25"/>
  <c r="J193" i="25"/>
  <c r="AC192" i="25"/>
  <c r="D192" i="25" s="1"/>
  <c r="X192" i="25"/>
  <c r="W192" i="25"/>
  <c r="Q192" i="25"/>
  <c r="P192" i="25"/>
  <c r="K192" i="25"/>
  <c r="J192" i="25"/>
  <c r="AC191" i="25"/>
  <c r="D191" i="25" s="1"/>
  <c r="X191" i="25"/>
  <c r="W191" i="25"/>
  <c r="Q191" i="25"/>
  <c r="P191" i="25"/>
  <c r="K191" i="25"/>
  <c r="J191" i="25"/>
  <c r="AC190" i="25"/>
  <c r="D190" i="25" s="1"/>
  <c r="X190" i="25"/>
  <c r="W190" i="25"/>
  <c r="Q190" i="25"/>
  <c r="P190" i="25"/>
  <c r="K190" i="25"/>
  <c r="J190" i="25"/>
  <c r="AC189" i="25"/>
  <c r="D189" i="25" s="1"/>
  <c r="X189" i="25"/>
  <c r="W189" i="25"/>
  <c r="Q189" i="25"/>
  <c r="P189" i="25"/>
  <c r="K189" i="25"/>
  <c r="J189" i="25"/>
  <c r="AC188" i="25"/>
  <c r="D188" i="25" s="1"/>
  <c r="X188" i="25"/>
  <c r="W188" i="25"/>
  <c r="Q188" i="25"/>
  <c r="P188" i="25"/>
  <c r="K188" i="25"/>
  <c r="J188" i="25"/>
  <c r="AC187" i="25"/>
  <c r="D187" i="25" s="1"/>
  <c r="X187" i="25"/>
  <c r="W187" i="25"/>
  <c r="Q187" i="25"/>
  <c r="P187" i="25"/>
  <c r="K187" i="25"/>
  <c r="J187" i="25"/>
  <c r="AC186" i="25"/>
  <c r="D186" i="25" s="1"/>
  <c r="X186" i="25"/>
  <c r="W186" i="25"/>
  <c r="Q186" i="25"/>
  <c r="P186" i="25"/>
  <c r="K186" i="25"/>
  <c r="J186" i="25"/>
  <c r="AC185" i="25"/>
  <c r="D185" i="25" s="1"/>
  <c r="X185" i="25"/>
  <c r="W185" i="25"/>
  <c r="Q185" i="25"/>
  <c r="P185" i="25"/>
  <c r="K185" i="25"/>
  <c r="J185" i="25"/>
  <c r="AC184" i="25"/>
  <c r="D184" i="25" s="1"/>
  <c r="X184" i="25"/>
  <c r="W184" i="25"/>
  <c r="Q184" i="25"/>
  <c r="P184" i="25"/>
  <c r="K184" i="25"/>
  <c r="J184" i="25"/>
  <c r="AC183" i="25"/>
  <c r="D183" i="25" s="1"/>
  <c r="X183" i="25"/>
  <c r="W183" i="25"/>
  <c r="Q183" i="25"/>
  <c r="P183" i="25"/>
  <c r="K183" i="25"/>
  <c r="J183" i="25"/>
  <c r="AC182" i="25"/>
  <c r="D182" i="25" s="1"/>
  <c r="X182" i="25"/>
  <c r="W182" i="25"/>
  <c r="Q182" i="25"/>
  <c r="P182" i="25"/>
  <c r="K182" i="25"/>
  <c r="J182" i="25"/>
  <c r="AC181" i="25"/>
  <c r="D181" i="25" s="1"/>
  <c r="X181" i="25"/>
  <c r="W181" i="25"/>
  <c r="Q181" i="25"/>
  <c r="P181" i="25"/>
  <c r="K181" i="25"/>
  <c r="J181" i="25"/>
  <c r="AC180" i="25"/>
  <c r="D180" i="25" s="1"/>
  <c r="X180" i="25"/>
  <c r="W180" i="25"/>
  <c r="Q180" i="25"/>
  <c r="P180" i="25"/>
  <c r="K180" i="25"/>
  <c r="J180" i="25"/>
  <c r="AC179" i="25"/>
  <c r="D179" i="25" s="1"/>
  <c r="X179" i="25"/>
  <c r="W179" i="25"/>
  <c r="Q179" i="25"/>
  <c r="P179" i="25"/>
  <c r="K179" i="25"/>
  <c r="J179" i="25"/>
  <c r="AC178" i="25"/>
  <c r="D178" i="25" s="1"/>
  <c r="X178" i="25"/>
  <c r="W178" i="25"/>
  <c r="Q178" i="25"/>
  <c r="P178" i="25"/>
  <c r="K178" i="25"/>
  <c r="J178" i="25"/>
  <c r="AC177" i="25"/>
  <c r="D177" i="25" s="1"/>
  <c r="X177" i="25"/>
  <c r="W177" i="25"/>
  <c r="Q177" i="25"/>
  <c r="P177" i="25"/>
  <c r="K177" i="25"/>
  <c r="J177" i="25"/>
  <c r="AC176" i="25"/>
  <c r="D176" i="25" s="1"/>
  <c r="X176" i="25"/>
  <c r="W176" i="25"/>
  <c r="Q176" i="25"/>
  <c r="P176" i="25"/>
  <c r="K176" i="25"/>
  <c r="J176" i="25"/>
  <c r="AC175" i="25"/>
  <c r="D175" i="25" s="1"/>
  <c r="X175" i="25"/>
  <c r="W175" i="25"/>
  <c r="Q175" i="25"/>
  <c r="P175" i="25"/>
  <c r="K175" i="25"/>
  <c r="J175" i="25"/>
  <c r="AC174" i="25"/>
  <c r="D174" i="25" s="1"/>
  <c r="X174" i="25"/>
  <c r="W174" i="25"/>
  <c r="Q174" i="25"/>
  <c r="P174" i="25"/>
  <c r="K174" i="25"/>
  <c r="J174" i="25"/>
  <c r="AC173" i="25"/>
  <c r="D173" i="25" s="1"/>
  <c r="X173" i="25"/>
  <c r="W173" i="25"/>
  <c r="Q173" i="25"/>
  <c r="P173" i="25"/>
  <c r="K173" i="25"/>
  <c r="J173" i="25"/>
  <c r="AC172" i="25"/>
  <c r="D172" i="25" s="1"/>
  <c r="X172" i="25"/>
  <c r="W172" i="25"/>
  <c r="Q172" i="25"/>
  <c r="P172" i="25"/>
  <c r="K172" i="25"/>
  <c r="J172" i="25"/>
  <c r="AC171" i="25"/>
  <c r="D171" i="25" s="1"/>
  <c r="X171" i="25"/>
  <c r="W171" i="25"/>
  <c r="Q171" i="25"/>
  <c r="P171" i="25"/>
  <c r="K171" i="25"/>
  <c r="J171" i="25"/>
  <c r="AC170" i="25"/>
  <c r="D170" i="25" s="1"/>
  <c r="X170" i="25"/>
  <c r="W170" i="25"/>
  <c r="Q170" i="25"/>
  <c r="P170" i="25"/>
  <c r="K170" i="25"/>
  <c r="J170" i="25"/>
  <c r="AC169" i="25"/>
  <c r="D169" i="25" s="1"/>
  <c r="X169" i="25"/>
  <c r="W169" i="25"/>
  <c r="Q169" i="25"/>
  <c r="P169" i="25"/>
  <c r="K169" i="25"/>
  <c r="J169" i="25"/>
  <c r="AC168" i="25"/>
  <c r="D168" i="25" s="1"/>
  <c r="X168" i="25"/>
  <c r="W168" i="25"/>
  <c r="Q168" i="25"/>
  <c r="P168" i="25"/>
  <c r="K168" i="25"/>
  <c r="J168" i="25"/>
  <c r="AC167" i="25"/>
  <c r="D167" i="25" s="1"/>
  <c r="X167" i="25"/>
  <c r="W167" i="25"/>
  <c r="Q167" i="25"/>
  <c r="P167" i="25"/>
  <c r="K167" i="25"/>
  <c r="J167" i="25"/>
  <c r="AC166" i="25"/>
  <c r="D166" i="25" s="1"/>
  <c r="X166" i="25"/>
  <c r="W166" i="25"/>
  <c r="Q166" i="25"/>
  <c r="P166" i="25"/>
  <c r="K166" i="25"/>
  <c r="J166" i="25"/>
  <c r="X165" i="25"/>
  <c r="W165" i="25"/>
  <c r="Q165" i="25"/>
  <c r="P165" i="25"/>
  <c r="K165" i="25"/>
  <c r="J165" i="25"/>
  <c r="X164" i="25"/>
  <c r="W164" i="25"/>
  <c r="Q164" i="25"/>
  <c r="P164" i="25"/>
  <c r="K164" i="25"/>
  <c r="J164" i="25"/>
  <c r="X163" i="25"/>
  <c r="W163" i="25"/>
  <c r="Q163" i="25"/>
  <c r="P163" i="25"/>
  <c r="K163" i="25"/>
  <c r="J163" i="25"/>
  <c r="X162" i="25"/>
  <c r="W162" i="25"/>
  <c r="Q162" i="25"/>
  <c r="P162" i="25"/>
  <c r="K162" i="25"/>
  <c r="J162" i="25"/>
  <c r="X161" i="25"/>
  <c r="W161" i="25"/>
  <c r="Q161" i="25"/>
  <c r="P161" i="25"/>
  <c r="K161" i="25"/>
  <c r="J161" i="25"/>
  <c r="X160" i="25"/>
  <c r="W160" i="25"/>
  <c r="Q160" i="25"/>
  <c r="P160" i="25"/>
  <c r="K160" i="25"/>
  <c r="J160" i="25"/>
  <c r="X159" i="25"/>
  <c r="W159" i="25"/>
  <c r="Q159" i="25"/>
  <c r="P159" i="25"/>
  <c r="K159" i="25"/>
  <c r="J159" i="25"/>
  <c r="X158" i="25"/>
  <c r="W158" i="25"/>
  <c r="Q158" i="25"/>
  <c r="P158" i="25"/>
  <c r="K158" i="25"/>
  <c r="J158" i="25"/>
  <c r="X157" i="25"/>
  <c r="W157" i="25"/>
  <c r="Q157" i="25"/>
  <c r="P157" i="25"/>
  <c r="K157" i="25"/>
  <c r="J157" i="25"/>
  <c r="X156" i="25"/>
  <c r="W156" i="25"/>
  <c r="Q156" i="25"/>
  <c r="P156" i="25"/>
  <c r="K156" i="25"/>
  <c r="J156" i="25"/>
  <c r="X155" i="25"/>
  <c r="W155" i="25"/>
  <c r="Q155" i="25"/>
  <c r="P155" i="25"/>
  <c r="K155" i="25"/>
  <c r="J155" i="25"/>
  <c r="X154" i="25"/>
  <c r="W154" i="25"/>
  <c r="Q154" i="25"/>
  <c r="P154" i="25"/>
  <c r="K154" i="25"/>
  <c r="J154" i="25"/>
  <c r="X153" i="25"/>
  <c r="W153" i="25"/>
  <c r="Q153" i="25"/>
  <c r="P153" i="25"/>
  <c r="K153" i="25"/>
  <c r="J153" i="25"/>
  <c r="X152" i="25"/>
  <c r="W152" i="25"/>
  <c r="Q152" i="25"/>
  <c r="P152" i="25"/>
  <c r="K152" i="25"/>
  <c r="J152" i="25"/>
  <c r="X151" i="25"/>
  <c r="W151" i="25"/>
  <c r="Q151" i="25"/>
  <c r="P151" i="25"/>
  <c r="K151" i="25"/>
  <c r="J151" i="25"/>
  <c r="X150" i="25"/>
  <c r="W150" i="25"/>
  <c r="Q150" i="25"/>
  <c r="P150" i="25"/>
  <c r="K150" i="25"/>
  <c r="J150" i="25"/>
  <c r="X149" i="25"/>
  <c r="W149" i="25"/>
  <c r="Q149" i="25"/>
  <c r="P149" i="25"/>
  <c r="K149" i="25"/>
  <c r="J149" i="25"/>
  <c r="X148" i="25"/>
  <c r="W148" i="25"/>
  <c r="Q148" i="25"/>
  <c r="P148" i="25"/>
  <c r="K148" i="25"/>
  <c r="J148" i="25"/>
  <c r="X147" i="25"/>
  <c r="W147" i="25"/>
  <c r="Q147" i="25"/>
  <c r="P147" i="25"/>
  <c r="K147" i="25"/>
  <c r="J147" i="25"/>
  <c r="X146" i="25"/>
  <c r="W146" i="25"/>
  <c r="Q146" i="25"/>
  <c r="P146" i="25"/>
  <c r="K146" i="25"/>
  <c r="J146" i="25"/>
  <c r="X145" i="25"/>
  <c r="W145" i="25"/>
  <c r="Q145" i="25"/>
  <c r="P145" i="25"/>
  <c r="K145" i="25"/>
  <c r="J145" i="25"/>
  <c r="X144" i="25"/>
  <c r="W144" i="25"/>
  <c r="Q144" i="25"/>
  <c r="P144" i="25"/>
  <c r="K144" i="25"/>
  <c r="J144" i="25"/>
  <c r="X143" i="25"/>
  <c r="W143" i="25"/>
  <c r="Q143" i="25"/>
  <c r="P143" i="25"/>
  <c r="K143" i="25"/>
  <c r="J143" i="25"/>
  <c r="X142" i="25"/>
  <c r="W142" i="25"/>
  <c r="Q142" i="25"/>
  <c r="P142" i="25"/>
  <c r="K142" i="25"/>
  <c r="J142" i="25"/>
  <c r="X141" i="25"/>
  <c r="W141" i="25"/>
  <c r="Q141" i="25"/>
  <c r="P141" i="25"/>
  <c r="K141" i="25"/>
  <c r="J141" i="25"/>
  <c r="X140" i="25"/>
  <c r="W140" i="25"/>
  <c r="Q140" i="25"/>
  <c r="P140" i="25"/>
  <c r="K140" i="25"/>
  <c r="J140" i="25"/>
  <c r="X139" i="25"/>
  <c r="W139" i="25"/>
  <c r="Q139" i="25"/>
  <c r="P139" i="25"/>
  <c r="K139" i="25"/>
  <c r="J139" i="25"/>
  <c r="X138" i="25"/>
  <c r="W138" i="25"/>
  <c r="Q138" i="25"/>
  <c r="P138" i="25"/>
  <c r="K138" i="25"/>
  <c r="J138" i="25"/>
  <c r="X137" i="25"/>
  <c r="W137" i="25"/>
  <c r="Q137" i="25"/>
  <c r="P137" i="25"/>
  <c r="K137" i="25"/>
  <c r="J137" i="25"/>
  <c r="X136" i="25"/>
  <c r="W136" i="25"/>
  <c r="Q136" i="25"/>
  <c r="P136" i="25"/>
  <c r="K136" i="25"/>
  <c r="J136" i="25"/>
  <c r="X135" i="25"/>
  <c r="W135" i="25"/>
  <c r="Q135" i="25"/>
  <c r="P135" i="25"/>
  <c r="K135" i="25"/>
  <c r="J135" i="25"/>
  <c r="X134" i="25"/>
  <c r="W134" i="25"/>
  <c r="Q134" i="25"/>
  <c r="P134" i="25"/>
  <c r="K134" i="25"/>
  <c r="J134" i="25"/>
  <c r="X133" i="25"/>
  <c r="W133" i="25"/>
  <c r="Q133" i="25"/>
  <c r="P133" i="25"/>
  <c r="K133" i="25"/>
  <c r="J133" i="25"/>
  <c r="X132" i="25"/>
  <c r="W132" i="25"/>
  <c r="Q132" i="25"/>
  <c r="P132" i="25"/>
  <c r="K132" i="25"/>
  <c r="J132" i="25"/>
  <c r="X131" i="25"/>
  <c r="W131" i="25"/>
  <c r="Q131" i="25"/>
  <c r="P131" i="25"/>
  <c r="K131" i="25"/>
  <c r="J131" i="25"/>
  <c r="X130" i="25"/>
  <c r="W130" i="25"/>
  <c r="Q130" i="25"/>
  <c r="P130" i="25"/>
  <c r="K130" i="25"/>
  <c r="J130" i="25"/>
  <c r="X129" i="25"/>
  <c r="W129" i="25"/>
  <c r="Q129" i="25"/>
  <c r="P129" i="25"/>
  <c r="K129" i="25"/>
  <c r="J129" i="25"/>
  <c r="X128" i="25"/>
  <c r="W128" i="25"/>
  <c r="Q128" i="25"/>
  <c r="P128" i="25"/>
  <c r="K128" i="25"/>
  <c r="J128" i="25"/>
  <c r="X127" i="25"/>
  <c r="W127" i="25"/>
  <c r="Q127" i="25"/>
  <c r="P127" i="25"/>
  <c r="K127" i="25"/>
  <c r="J127" i="25"/>
  <c r="X126" i="25"/>
  <c r="W126" i="25"/>
  <c r="Q126" i="25"/>
  <c r="P126" i="25"/>
  <c r="K126" i="25"/>
  <c r="J126" i="25"/>
  <c r="X125" i="25"/>
  <c r="W125" i="25"/>
  <c r="Q125" i="25"/>
  <c r="P125" i="25"/>
  <c r="K125" i="25"/>
  <c r="J125" i="25"/>
  <c r="X124" i="25"/>
  <c r="W124" i="25"/>
  <c r="Q124" i="25"/>
  <c r="P124" i="25"/>
  <c r="K124" i="25"/>
  <c r="J124" i="25"/>
  <c r="X123" i="25"/>
  <c r="W123" i="25"/>
  <c r="Q123" i="25"/>
  <c r="P123" i="25"/>
  <c r="K123" i="25"/>
  <c r="J123" i="25"/>
  <c r="X122" i="25"/>
  <c r="W122" i="25"/>
  <c r="Q122" i="25"/>
  <c r="P122" i="25"/>
  <c r="K122" i="25"/>
  <c r="J122" i="25"/>
  <c r="X121" i="25"/>
  <c r="W121" i="25"/>
  <c r="Q121" i="25"/>
  <c r="P121" i="25"/>
  <c r="K121" i="25"/>
  <c r="J121" i="25"/>
  <c r="X120" i="25"/>
  <c r="W120" i="25"/>
  <c r="Q120" i="25"/>
  <c r="P120" i="25"/>
  <c r="K120" i="25"/>
  <c r="J120" i="25"/>
  <c r="X119" i="25"/>
  <c r="W119" i="25"/>
  <c r="Q119" i="25"/>
  <c r="P119" i="25"/>
  <c r="K119" i="25"/>
  <c r="J119" i="25"/>
  <c r="X118" i="25"/>
  <c r="W118" i="25"/>
  <c r="Q118" i="25"/>
  <c r="P118" i="25"/>
  <c r="K118" i="25"/>
  <c r="J118" i="25"/>
  <c r="X117" i="25"/>
  <c r="W117" i="25"/>
  <c r="Q117" i="25"/>
  <c r="P117" i="25"/>
  <c r="K117" i="25"/>
  <c r="J117" i="25"/>
  <c r="X116" i="25"/>
  <c r="W116" i="25"/>
  <c r="Q116" i="25"/>
  <c r="P116" i="25"/>
  <c r="K116" i="25"/>
  <c r="J116" i="25"/>
  <c r="X115" i="25"/>
  <c r="W115" i="25"/>
  <c r="Q115" i="25"/>
  <c r="P115" i="25"/>
  <c r="K115" i="25"/>
  <c r="J115" i="25"/>
  <c r="X114" i="25"/>
  <c r="W114" i="25"/>
  <c r="Q114" i="25"/>
  <c r="P114" i="25"/>
  <c r="K114" i="25"/>
  <c r="J114" i="25"/>
  <c r="X113" i="25"/>
  <c r="W113" i="25"/>
  <c r="Q113" i="25"/>
  <c r="P113" i="25"/>
  <c r="K113" i="25"/>
  <c r="J113" i="25"/>
  <c r="X112" i="25"/>
  <c r="W112" i="25"/>
  <c r="Q112" i="25"/>
  <c r="P112" i="25"/>
  <c r="K112" i="25"/>
  <c r="J112" i="25"/>
  <c r="X111" i="25"/>
  <c r="W111" i="25"/>
  <c r="Q111" i="25"/>
  <c r="P111" i="25"/>
  <c r="K111" i="25"/>
  <c r="J111" i="25"/>
  <c r="X110" i="25"/>
  <c r="W110" i="25"/>
  <c r="Q110" i="25"/>
  <c r="P110" i="25"/>
  <c r="K110" i="25"/>
  <c r="J110" i="25"/>
  <c r="X109" i="25"/>
  <c r="W109" i="25"/>
  <c r="Q109" i="25"/>
  <c r="P109" i="25"/>
  <c r="K109" i="25"/>
  <c r="J109" i="25"/>
  <c r="X108" i="25"/>
  <c r="W108" i="25"/>
  <c r="Q108" i="25"/>
  <c r="P108" i="25"/>
  <c r="K108" i="25"/>
  <c r="J108" i="25"/>
  <c r="X107" i="25"/>
  <c r="W107" i="25"/>
  <c r="Q107" i="25"/>
  <c r="P107" i="25"/>
  <c r="K107" i="25"/>
  <c r="J107" i="25"/>
  <c r="X106" i="25"/>
  <c r="W106" i="25"/>
  <c r="Q106" i="25"/>
  <c r="P106" i="25"/>
  <c r="K106" i="25"/>
  <c r="J106" i="25"/>
  <c r="X105" i="25"/>
  <c r="W105" i="25"/>
  <c r="Q105" i="25"/>
  <c r="P105" i="25"/>
  <c r="K105" i="25"/>
  <c r="J105" i="25"/>
  <c r="X104" i="25"/>
  <c r="W104" i="25"/>
  <c r="Q104" i="25"/>
  <c r="P104" i="25"/>
  <c r="K104" i="25"/>
  <c r="J104" i="25"/>
  <c r="X103" i="25"/>
  <c r="W103" i="25"/>
  <c r="Q103" i="25"/>
  <c r="P103" i="25"/>
  <c r="K103" i="25"/>
  <c r="J103" i="25"/>
  <c r="X102" i="25"/>
  <c r="W102" i="25"/>
  <c r="Q102" i="25"/>
  <c r="P102" i="25"/>
  <c r="K102" i="25"/>
  <c r="J102" i="25"/>
  <c r="X101" i="25"/>
  <c r="W101" i="25"/>
  <c r="Q101" i="25"/>
  <c r="P101" i="25"/>
  <c r="K101" i="25"/>
  <c r="J101" i="25"/>
  <c r="X100" i="25"/>
  <c r="W100" i="25"/>
  <c r="Q100" i="25"/>
  <c r="P100" i="25"/>
  <c r="K100" i="25"/>
  <c r="J100" i="25"/>
  <c r="X99" i="25"/>
  <c r="W99" i="25"/>
  <c r="Q99" i="25"/>
  <c r="P99" i="25"/>
  <c r="K99" i="25"/>
  <c r="J99" i="25"/>
  <c r="X98" i="25"/>
  <c r="W98" i="25"/>
  <c r="Q98" i="25"/>
  <c r="P98" i="25"/>
  <c r="K98" i="25"/>
  <c r="J98" i="25"/>
  <c r="X97" i="25"/>
  <c r="W97" i="25"/>
  <c r="Q97" i="25"/>
  <c r="P97" i="25"/>
  <c r="K97" i="25"/>
  <c r="J97" i="25"/>
  <c r="X96" i="25"/>
  <c r="W96" i="25"/>
  <c r="Q96" i="25"/>
  <c r="P96" i="25"/>
  <c r="K96" i="25"/>
  <c r="J96" i="25"/>
  <c r="X95" i="25"/>
  <c r="W95" i="25"/>
  <c r="Q95" i="25"/>
  <c r="P95" i="25"/>
  <c r="K95" i="25"/>
  <c r="J95" i="25"/>
  <c r="X94" i="25"/>
  <c r="W94" i="25"/>
  <c r="Q94" i="25"/>
  <c r="P94" i="25"/>
  <c r="K94" i="25"/>
  <c r="J94" i="25"/>
  <c r="X93" i="25"/>
  <c r="W93" i="25"/>
  <c r="Q93" i="25"/>
  <c r="P93" i="25"/>
  <c r="K93" i="25"/>
  <c r="J93" i="25"/>
  <c r="X92" i="25"/>
  <c r="W92" i="25"/>
  <c r="Q92" i="25"/>
  <c r="P92" i="25"/>
  <c r="K92" i="25"/>
  <c r="J92" i="25"/>
  <c r="X91" i="25"/>
  <c r="W91" i="25"/>
  <c r="Q91" i="25"/>
  <c r="P91" i="25"/>
  <c r="K91" i="25"/>
  <c r="J91" i="25"/>
  <c r="X90" i="25"/>
  <c r="W90" i="25"/>
  <c r="Q90" i="25"/>
  <c r="P90" i="25"/>
  <c r="K90" i="25"/>
  <c r="J90" i="25"/>
  <c r="X89" i="25"/>
  <c r="W89" i="25"/>
  <c r="Q89" i="25"/>
  <c r="P89" i="25"/>
  <c r="K89" i="25"/>
  <c r="J89" i="25"/>
  <c r="X88" i="25"/>
  <c r="W88" i="25"/>
  <c r="Q88" i="25"/>
  <c r="P88" i="25"/>
  <c r="K88" i="25"/>
  <c r="J88" i="25"/>
  <c r="X87" i="25"/>
  <c r="W87" i="25"/>
  <c r="Q87" i="25"/>
  <c r="P87" i="25"/>
  <c r="K87" i="25"/>
  <c r="J87" i="25"/>
  <c r="X86" i="25"/>
  <c r="W86" i="25"/>
  <c r="Q86" i="25"/>
  <c r="P86" i="25"/>
  <c r="K86" i="25"/>
  <c r="J86" i="25"/>
  <c r="X85" i="25"/>
  <c r="W85" i="25"/>
  <c r="Q85" i="25"/>
  <c r="P85" i="25"/>
  <c r="K85" i="25"/>
  <c r="J85" i="25"/>
  <c r="X84" i="25"/>
  <c r="W84" i="25"/>
  <c r="Q84" i="25"/>
  <c r="P84" i="25"/>
  <c r="K84" i="25"/>
  <c r="J84" i="25"/>
  <c r="X83" i="25"/>
  <c r="W83" i="25"/>
  <c r="Q83" i="25"/>
  <c r="P83" i="25"/>
  <c r="K83" i="25"/>
  <c r="J83" i="25"/>
  <c r="X82" i="25"/>
  <c r="W82" i="25"/>
  <c r="Q82" i="25"/>
  <c r="P82" i="25"/>
  <c r="K82" i="25"/>
  <c r="J82" i="25"/>
  <c r="X81" i="25"/>
  <c r="W81" i="25"/>
  <c r="Q81" i="25"/>
  <c r="P81" i="25"/>
  <c r="K81" i="25"/>
  <c r="J81" i="25"/>
  <c r="X80" i="25"/>
  <c r="W80" i="25"/>
  <c r="Q80" i="25"/>
  <c r="P80" i="25"/>
  <c r="K80" i="25"/>
  <c r="J80" i="25"/>
  <c r="X79" i="25"/>
  <c r="W79" i="25"/>
  <c r="Q79" i="25"/>
  <c r="P79" i="25"/>
  <c r="K79" i="25"/>
  <c r="J79" i="25"/>
  <c r="X78" i="25"/>
  <c r="W78" i="25"/>
  <c r="Q78" i="25"/>
  <c r="P78" i="25"/>
  <c r="K78" i="25"/>
  <c r="J78" i="25"/>
  <c r="X77" i="25"/>
  <c r="W77" i="25"/>
  <c r="Q77" i="25"/>
  <c r="P77" i="25"/>
  <c r="K77" i="25"/>
  <c r="J77" i="25"/>
  <c r="X76" i="25"/>
  <c r="W76" i="25"/>
  <c r="Q76" i="25"/>
  <c r="P76" i="25"/>
  <c r="K76" i="25"/>
  <c r="J76" i="25"/>
  <c r="X75" i="25"/>
  <c r="W75" i="25"/>
  <c r="Q75" i="25"/>
  <c r="P75" i="25"/>
  <c r="K75" i="25"/>
  <c r="J75" i="25"/>
  <c r="X74" i="25"/>
  <c r="W74" i="25"/>
  <c r="Q74" i="25"/>
  <c r="P74" i="25"/>
  <c r="K74" i="25"/>
  <c r="J74" i="25"/>
  <c r="X73" i="25"/>
  <c r="W73" i="25"/>
  <c r="Q73" i="25"/>
  <c r="P73" i="25"/>
  <c r="K73" i="25"/>
  <c r="J73" i="25"/>
  <c r="X72" i="25"/>
  <c r="W72" i="25"/>
  <c r="Q72" i="25"/>
  <c r="P72" i="25"/>
  <c r="K72" i="25"/>
  <c r="J72" i="25"/>
  <c r="X71" i="25"/>
  <c r="W71" i="25"/>
  <c r="Q71" i="25"/>
  <c r="P71" i="25"/>
  <c r="K71" i="25"/>
  <c r="J71" i="25"/>
  <c r="X70" i="25"/>
  <c r="W70" i="25"/>
  <c r="Q70" i="25"/>
  <c r="P70" i="25"/>
  <c r="K70" i="25"/>
  <c r="J70" i="25"/>
  <c r="X69" i="25"/>
  <c r="W69" i="25"/>
  <c r="Q69" i="25"/>
  <c r="P69" i="25"/>
  <c r="K69" i="25"/>
  <c r="J69" i="25"/>
  <c r="X68" i="25"/>
  <c r="W68" i="25"/>
  <c r="Q68" i="25"/>
  <c r="P68" i="25"/>
  <c r="K68" i="25"/>
  <c r="J68" i="25"/>
  <c r="X67" i="25"/>
  <c r="W67" i="25"/>
  <c r="Q67" i="25"/>
  <c r="P67" i="25"/>
  <c r="K67" i="25"/>
  <c r="J67" i="25"/>
  <c r="X66" i="25"/>
  <c r="W66" i="25"/>
  <c r="Q66" i="25"/>
  <c r="P66" i="25"/>
  <c r="K66" i="25"/>
  <c r="J66" i="25"/>
  <c r="X65" i="25"/>
  <c r="W65" i="25"/>
  <c r="Q65" i="25"/>
  <c r="P65" i="25"/>
  <c r="K65" i="25"/>
  <c r="J65" i="25"/>
  <c r="X64" i="25"/>
  <c r="W64" i="25"/>
  <c r="Q64" i="25"/>
  <c r="P64" i="25"/>
  <c r="K64" i="25"/>
  <c r="J64" i="25"/>
  <c r="X63" i="25"/>
  <c r="W63" i="25"/>
  <c r="Q63" i="25"/>
  <c r="P63" i="25"/>
  <c r="K63" i="25"/>
  <c r="J63" i="25"/>
  <c r="X62" i="25"/>
  <c r="W62" i="25"/>
  <c r="Q62" i="25"/>
  <c r="P62" i="25"/>
  <c r="K62" i="25"/>
  <c r="J62" i="25"/>
  <c r="X61" i="25"/>
  <c r="W61" i="25"/>
  <c r="Q61" i="25"/>
  <c r="P61" i="25"/>
  <c r="K61" i="25"/>
  <c r="J61" i="25"/>
  <c r="X60" i="25"/>
  <c r="W60" i="25"/>
  <c r="Q60" i="25"/>
  <c r="P60" i="25"/>
  <c r="K60" i="25"/>
  <c r="J60" i="25"/>
  <c r="X59" i="25"/>
  <c r="W59" i="25"/>
  <c r="Q59" i="25"/>
  <c r="P59" i="25"/>
  <c r="K59" i="25"/>
  <c r="J59" i="25"/>
  <c r="X58" i="25"/>
  <c r="W58" i="25"/>
  <c r="Q58" i="25"/>
  <c r="P58" i="25"/>
  <c r="K58" i="25"/>
  <c r="J58" i="25"/>
  <c r="X57" i="25"/>
  <c r="W57" i="25"/>
  <c r="Q57" i="25"/>
  <c r="P57" i="25"/>
  <c r="K57" i="25"/>
  <c r="J57" i="25"/>
  <c r="X56" i="25"/>
  <c r="W56" i="25"/>
  <c r="Q56" i="25"/>
  <c r="P56" i="25"/>
  <c r="K56" i="25"/>
  <c r="J56" i="25"/>
  <c r="X55" i="25"/>
  <c r="W55" i="25"/>
  <c r="Q55" i="25"/>
  <c r="P55" i="25"/>
  <c r="K55" i="25"/>
  <c r="J55" i="25"/>
  <c r="X54" i="25"/>
  <c r="W54" i="25"/>
  <c r="Q54" i="25"/>
  <c r="P54" i="25"/>
  <c r="K54" i="25"/>
  <c r="J54" i="25"/>
  <c r="X53" i="25"/>
  <c r="W53" i="25"/>
  <c r="Q53" i="25"/>
  <c r="P53" i="25"/>
  <c r="K53" i="25"/>
  <c r="J53" i="25"/>
  <c r="X52" i="25"/>
  <c r="W52" i="25"/>
  <c r="Q52" i="25"/>
  <c r="P52" i="25"/>
  <c r="K52" i="25"/>
  <c r="J52" i="25"/>
  <c r="X51" i="25"/>
  <c r="W51" i="25"/>
  <c r="Q51" i="25"/>
  <c r="P51" i="25"/>
  <c r="K51" i="25"/>
  <c r="J51" i="25"/>
  <c r="X50" i="25"/>
  <c r="W50" i="25"/>
  <c r="Q50" i="25"/>
  <c r="P50" i="25"/>
  <c r="K50" i="25"/>
  <c r="J50" i="25"/>
  <c r="X49" i="25"/>
  <c r="W49" i="25"/>
  <c r="Q49" i="25"/>
  <c r="P49" i="25"/>
  <c r="K49" i="25"/>
  <c r="J49" i="25"/>
  <c r="X48" i="25"/>
  <c r="W48" i="25"/>
  <c r="Q48" i="25"/>
  <c r="P48" i="25"/>
  <c r="K48" i="25"/>
  <c r="J48" i="25"/>
  <c r="X47" i="25"/>
  <c r="W47" i="25"/>
  <c r="Q47" i="25"/>
  <c r="P47" i="25"/>
  <c r="K47" i="25"/>
  <c r="J47" i="25"/>
  <c r="X46" i="25"/>
  <c r="W46" i="25"/>
  <c r="Q46" i="25"/>
  <c r="P46" i="25"/>
  <c r="K46" i="25"/>
  <c r="J46" i="25"/>
  <c r="X45" i="25"/>
  <c r="W45" i="25"/>
  <c r="Q45" i="25"/>
  <c r="P45" i="25"/>
  <c r="K45" i="25"/>
  <c r="J45" i="25"/>
  <c r="X44" i="25"/>
  <c r="W44" i="25"/>
  <c r="Q44" i="25"/>
  <c r="P44" i="25"/>
  <c r="K44" i="25"/>
  <c r="J44" i="25"/>
  <c r="X43" i="25"/>
  <c r="W43" i="25"/>
  <c r="Q43" i="25"/>
  <c r="P43" i="25"/>
  <c r="K43" i="25"/>
  <c r="J43" i="25"/>
  <c r="X42" i="25"/>
  <c r="W42" i="25"/>
  <c r="Q42" i="25"/>
  <c r="P42" i="25"/>
  <c r="K42" i="25"/>
  <c r="J42" i="25"/>
  <c r="X41" i="25"/>
  <c r="W41" i="25"/>
  <c r="Q41" i="25"/>
  <c r="P41" i="25"/>
  <c r="K41" i="25"/>
  <c r="J41" i="25"/>
  <c r="X40" i="25"/>
  <c r="W40" i="25"/>
  <c r="Q40" i="25"/>
  <c r="P40" i="25"/>
  <c r="K40" i="25"/>
  <c r="J40" i="25"/>
  <c r="X39" i="25"/>
  <c r="W39" i="25"/>
  <c r="Q39" i="25"/>
  <c r="P39" i="25"/>
  <c r="K39" i="25"/>
  <c r="J39" i="25"/>
  <c r="X38" i="25"/>
  <c r="W38" i="25"/>
  <c r="Q38" i="25"/>
  <c r="P38" i="25"/>
  <c r="K38" i="25"/>
  <c r="J38" i="25"/>
  <c r="X37" i="25"/>
  <c r="W37" i="25"/>
  <c r="Q37" i="25"/>
  <c r="P37" i="25"/>
  <c r="K37" i="25"/>
  <c r="J37" i="25"/>
  <c r="X36" i="25"/>
  <c r="W36" i="25"/>
  <c r="Q36" i="25"/>
  <c r="P36" i="25"/>
  <c r="K36" i="25"/>
  <c r="J36" i="25"/>
  <c r="X35" i="25"/>
  <c r="W35" i="25"/>
  <c r="Q35" i="25"/>
  <c r="P35" i="25"/>
  <c r="K35" i="25"/>
  <c r="J35" i="25"/>
  <c r="X34" i="25"/>
  <c r="W34" i="25"/>
  <c r="Q34" i="25"/>
  <c r="P34" i="25"/>
  <c r="K34" i="25"/>
  <c r="J34" i="25"/>
  <c r="X33" i="25"/>
  <c r="W33" i="25"/>
  <c r="Q33" i="25"/>
  <c r="P33" i="25"/>
  <c r="K33" i="25"/>
  <c r="J33" i="25"/>
  <c r="X32" i="25"/>
  <c r="W32" i="25"/>
  <c r="Q32" i="25"/>
  <c r="P32" i="25"/>
  <c r="K32" i="25"/>
  <c r="J32" i="25"/>
  <c r="X31" i="25"/>
  <c r="W31" i="25"/>
  <c r="Q31" i="25"/>
  <c r="P31" i="25"/>
  <c r="K31" i="25"/>
  <c r="J31" i="25"/>
  <c r="X30" i="25"/>
  <c r="W30" i="25"/>
  <c r="Q30" i="25"/>
  <c r="P30" i="25"/>
  <c r="K30" i="25"/>
  <c r="J30" i="25"/>
  <c r="X29" i="25"/>
  <c r="W29" i="25"/>
  <c r="Q29" i="25"/>
  <c r="P29" i="25"/>
  <c r="K29" i="25"/>
  <c r="J29" i="25"/>
  <c r="X28" i="25"/>
  <c r="W28" i="25"/>
  <c r="Q28" i="25"/>
  <c r="P28" i="25"/>
  <c r="K28" i="25"/>
  <c r="J28" i="25"/>
  <c r="X27" i="25"/>
  <c r="W27" i="25"/>
  <c r="Q27" i="25"/>
  <c r="P27" i="25"/>
  <c r="K27" i="25"/>
  <c r="J27" i="25"/>
  <c r="X26" i="25"/>
  <c r="W26" i="25"/>
  <c r="Q26" i="25"/>
  <c r="P26" i="25"/>
  <c r="K26" i="25"/>
  <c r="J26" i="25"/>
  <c r="X25" i="25"/>
  <c r="W25" i="25"/>
  <c r="Q25" i="25"/>
  <c r="P25" i="25"/>
  <c r="K25" i="25"/>
  <c r="J25" i="25"/>
  <c r="X24" i="25"/>
  <c r="W24" i="25"/>
  <c r="Q24" i="25"/>
  <c r="P24" i="25"/>
  <c r="K24" i="25"/>
  <c r="J24" i="25"/>
  <c r="X23" i="25"/>
  <c r="W23" i="25"/>
  <c r="Q23" i="25"/>
  <c r="P23" i="25"/>
  <c r="K23" i="25"/>
  <c r="J23" i="25"/>
  <c r="X22" i="25"/>
  <c r="W22" i="25"/>
  <c r="Q22" i="25"/>
  <c r="P22" i="25"/>
  <c r="K22" i="25"/>
  <c r="J22" i="25"/>
  <c r="X21" i="25"/>
  <c r="W21" i="25"/>
  <c r="Q21" i="25"/>
  <c r="P21" i="25"/>
  <c r="K21" i="25"/>
  <c r="J21" i="25"/>
  <c r="X20" i="25"/>
  <c r="W20" i="25"/>
  <c r="Q20" i="25"/>
  <c r="P20" i="25"/>
  <c r="K20" i="25"/>
  <c r="J20" i="25"/>
  <c r="X19" i="25"/>
  <c r="W19" i="25"/>
  <c r="Q19" i="25"/>
  <c r="P19" i="25"/>
  <c r="K19" i="25"/>
  <c r="J19" i="25"/>
  <c r="X18" i="25"/>
  <c r="W18" i="25"/>
  <c r="Q18" i="25"/>
  <c r="P18" i="25"/>
  <c r="K18" i="25"/>
  <c r="J18" i="25"/>
  <c r="E18" i="25"/>
  <c r="E19" i="25" s="1"/>
  <c r="X17" i="25"/>
  <c r="Y17" i="25" s="1"/>
  <c r="W17" i="25"/>
  <c r="Q17" i="25"/>
  <c r="R17" i="25" s="1"/>
  <c r="P17" i="25"/>
  <c r="K17" i="25"/>
  <c r="L17" i="25" s="1"/>
  <c r="J17" i="25"/>
  <c r="E17" i="25"/>
  <c r="B17" i="25"/>
  <c r="W16" i="25"/>
  <c r="P16" i="25"/>
  <c r="J16" i="25"/>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W307" i="1"/>
  <c r="P307" i="1"/>
  <c r="J307" i="1"/>
  <c r="W306" i="1"/>
  <c r="P306" i="1"/>
  <c r="J306" i="1"/>
  <c r="W305" i="1"/>
  <c r="P305" i="1"/>
  <c r="J305" i="1"/>
  <c r="W304" i="1"/>
  <c r="P304" i="1"/>
  <c r="J304" i="1"/>
  <c r="W303" i="1"/>
  <c r="P303" i="1"/>
  <c r="J303" i="1"/>
  <c r="W302" i="1"/>
  <c r="P302" i="1"/>
  <c r="J302" i="1"/>
  <c r="W301" i="1"/>
  <c r="P301" i="1"/>
  <c r="J301" i="1"/>
  <c r="W300" i="1"/>
  <c r="P300" i="1"/>
  <c r="J300" i="1"/>
  <c r="W299" i="1"/>
  <c r="P299" i="1"/>
  <c r="J299" i="1"/>
  <c r="W298" i="1"/>
  <c r="P298" i="1"/>
  <c r="J298" i="1"/>
  <c r="W297" i="1"/>
  <c r="P297" i="1"/>
  <c r="J297" i="1"/>
  <c r="W296" i="1"/>
  <c r="P296" i="1"/>
  <c r="J296" i="1"/>
  <c r="W295" i="1"/>
  <c r="P295" i="1"/>
  <c r="J295" i="1"/>
  <c r="W294" i="1"/>
  <c r="P294" i="1"/>
  <c r="J294" i="1"/>
  <c r="W293" i="1"/>
  <c r="P293" i="1"/>
  <c r="J293" i="1"/>
  <c r="W292" i="1"/>
  <c r="P292" i="1"/>
  <c r="J292" i="1"/>
  <c r="AZ291" i="1"/>
  <c r="W291" i="1"/>
  <c r="P291" i="1"/>
  <c r="J291" i="1"/>
  <c r="AZ290" i="1"/>
  <c r="AY291" i="1" s="1"/>
  <c r="D291" i="1" s="1"/>
  <c r="AY290" i="1"/>
  <c r="W290" i="1"/>
  <c r="P290" i="1"/>
  <c r="J290" i="1"/>
  <c r="D290" i="1"/>
  <c r="AZ289" i="1"/>
  <c r="AY289" i="1"/>
  <c r="W289" i="1"/>
  <c r="P289" i="1"/>
  <c r="J289" i="1"/>
  <c r="D289" i="1"/>
  <c r="AZ288" i="1"/>
  <c r="W288" i="1"/>
  <c r="P288" i="1"/>
  <c r="J288" i="1"/>
  <c r="AZ287" i="1"/>
  <c r="AY288" i="1" s="1"/>
  <c r="D288" i="1" s="1"/>
  <c r="W287" i="1"/>
  <c r="P287" i="1"/>
  <c r="J287" i="1"/>
  <c r="AZ286" i="1"/>
  <c r="AY287" i="1" s="1"/>
  <c r="D287" i="1" s="1"/>
  <c r="W286" i="1"/>
  <c r="P286" i="1"/>
  <c r="J286" i="1"/>
  <c r="AZ285" i="1"/>
  <c r="AY286" i="1" s="1"/>
  <c r="D286" i="1" s="1"/>
  <c r="AY285" i="1"/>
  <c r="D285" i="1" s="1"/>
  <c r="W285" i="1"/>
  <c r="P285" i="1"/>
  <c r="J285" i="1"/>
  <c r="AZ284" i="1"/>
  <c r="W284" i="1"/>
  <c r="P284" i="1"/>
  <c r="J284" i="1"/>
  <c r="AZ283" i="1"/>
  <c r="AY284" i="1" s="1"/>
  <c r="D284" i="1" s="1"/>
  <c r="W283" i="1"/>
  <c r="P283" i="1"/>
  <c r="J283" i="1"/>
  <c r="AZ282" i="1"/>
  <c r="AY283" i="1" s="1"/>
  <c r="D283" i="1" s="1"/>
  <c r="AY282" i="1"/>
  <c r="W282" i="1"/>
  <c r="P282" i="1"/>
  <c r="J282" i="1"/>
  <c r="D282" i="1"/>
  <c r="AZ281" i="1"/>
  <c r="W281" i="1"/>
  <c r="P281" i="1"/>
  <c r="J281" i="1"/>
  <c r="AZ280" i="1"/>
  <c r="AY281" i="1" s="1"/>
  <c r="D281" i="1" s="1"/>
  <c r="W280" i="1"/>
  <c r="P280" i="1"/>
  <c r="J280" i="1"/>
  <c r="AZ279" i="1"/>
  <c r="AY280" i="1" s="1"/>
  <c r="D280" i="1" s="1"/>
  <c r="AY279" i="1"/>
  <c r="W279" i="1"/>
  <c r="P279" i="1"/>
  <c r="J279" i="1"/>
  <c r="D279" i="1"/>
  <c r="AZ278" i="1"/>
  <c r="AY278" i="1"/>
  <c r="W278" i="1"/>
  <c r="P278" i="1"/>
  <c r="J278" i="1"/>
  <c r="D278" i="1"/>
  <c r="AZ277" i="1"/>
  <c r="AY277" i="1"/>
  <c r="W277" i="1"/>
  <c r="P277" i="1"/>
  <c r="J277" i="1"/>
  <c r="D277" i="1"/>
  <c r="AZ276" i="1"/>
  <c r="W276" i="1"/>
  <c r="P276" i="1"/>
  <c r="J276" i="1"/>
  <c r="AZ275" i="1"/>
  <c r="AY276" i="1" s="1"/>
  <c r="D276" i="1" s="1"/>
  <c r="AY275" i="1"/>
  <c r="D275" i="1" s="1"/>
  <c r="W275" i="1"/>
  <c r="P275" i="1"/>
  <c r="J275" i="1"/>
  <c r="AZ274" i="1"/>
  <c r="W274" i="1"/>
  <c r="P274" i="1"/>
  <c r="J274" i="1"/>
  <c r="D274" i="1"/>
  <c r="AZ273" i="1"/>
  <c r="AY274" i="1" s="1"/>
  <c r="W273" i="1"/>
  <c r="P273" i="1"/>
  <c r="J273" i="1"/>
  <c r="AZ272" i="1"/>
  <c r="AY273" i="1" s="1"/>
  <c r="D273" i="1" s="1"/>
  <c r="W272" i="1"/>
  <c r="P272" i="1"/>
  <c r="J272" i="1"/>
  <c r="AZ271" i="1"/>
  <c r="AY272" i="1" s="1"/>
  <c r="D272" i="1" s="1"/>
  <c r="W271" i="1"/>
  <c r="P271" i="1"/>
  <c r="J271" i="1"/>
  <c r="AZ270" i="1"/>
  <c r="AY271" i="1" s="1"/>
  <c r="D271" i="1" s="1"/>
  <c r="AY270" i="1"/>
  <c r="W270" i="1"/>
  <c r="P270" i="1"/>
  <c r="J270" i="1"/>
  <c r="D270" i="1"/>
  <c r="AZ269" i="1"/>
  <c r="AY269" i="1"/>
  <c r="D269" i="1" s="1"/>
  <c r="W269" i="1"/>
  <c r="P269" i="1"/>
  <c r="J269" i="1"/>
  <c r="AZ268" i="1"/>
  <c r="W268" i="1"/>
  <c r="P268" i="1"/>
  <c r="J268" i="1"/>
  <c r="D268" i="1"/>
  <c r="AZ267" i="1"/>
  <c r="AY268" i="1" s="1"/>
  <c r="W267" i="1"/>
  <c r="P267" i="1"/>
  <c r="J267" i="1"/>
  <c r="AZ266" i="1"/>
  <c r="AY267" i="1" s="1"/>
  <c r="D267" i="1" s="1"/>
  <c r="AY266" i="1"/>
  <c r="D266" i="1" s="1"/>
  <c r="W266" i="1"/>
  <c r="P266" i="1"/>
  <c r="J266" i="1"/>
  <c r="AZ265" i="1"/>
  <c r="AY265" i="1"/>
  <c r="D265" i="1" s="1"/>
  <c r="W265" i="1"/>
  <c r="P265" i="1"/>
  <c r="J265" i="1"/>
  <c r="AZ264" i="1"/>
  <c r="AY264" i="1"/>
  <c r="W264" i="1"/>
  <c r="P264" i="1"/>
  <c r="J264" i="1"/>
  <c r="D264" i="1"/>
  <c r="AZ263" i="1"/>
  <c r="W263" i="1"/>
  <c r="P263" i="1"/>
  <c r="J263" i="1"/>
  <c r="AZ262" i="1"/>
  <c r="AY263" i="1" s="1"/>
  <c r="D263" i="1" s="1"/>
  <c r="AY262" i="1"/>
  <c r="D262" i="1" s="1"/>
  <c r="W262" i="1"/>
  <c r="P262" i="1"/>
  <c r="J262" i="1"/>
  <c r="AZ261" i="1"/>
  <c r="AY261" i="1"/>
  <c r="W261" i="1"/>
  <c r="P261" i="1"/>
  <c r="J261" i="1"/>
  <c r="D261" i="1"/>
  <c r="AZ260" i="1"/>
  <c r="W260" i="1"/>
  <c r="P260" i="1"/>
  <c r="J260" i="1"/>
  <c r="AZ259" i="1"/>
  <c r="AY260" i="1" s="1"/>
  <c r="D260" i="1" s="1"/>
  <c r="W259" i="1"/>
  <c r="P259" i="1"/>
  <c r="J259" i="1"/>
  <c r="AZ258" i="1"/>
  <c r="AY259" i="1" s="1"/>
  <c r="D259" i="1" s="1"/>
  <c r="AY258" i="1"/>
  <c r="W258" i="1"/>
  <c r="P258" i="1"/>
  <c r="J258" i="1"/>
  <c r="D258" i="1"/>
  <c r="AZ257" i="1"/>
  <c r="AY257" i="1"/>
  <c r="W257" i="1"/>
  <c r="P257" i="1"/>
  <c r="J257" i="1"/>
  <c r="D257" i="1"/>
  <c r="AZ256" i="1"/>
  <c r="AY256" i="1"/>
  <c r="D256" i="1" s="1"/>
  <c r="W256" i="1"/>
  <c r="P256" i="1"/>
  <c r="J256" i="1"/>
  <c r="AZ255" i="1"/>
  <c r="W255" i="1"/>
  <c r="P255" i="1"/>
  <c r="J255" i="1"/>
  <c r="AZ254" i="1"/>
  <c r="AY255" i="1" s="1"/>
  <c r="D255" i="1" s="1"/>
  <c r="W254" i="1"/>
  <c r="P254" i="1"/>
  <c r="J254" i="1"/>
  <c r="AZ253" i="1"/>
  <c r="AY254" i="1" s="1"/>
  <c r="D254" i="1" s="1"/>
  <c r="AY253" i="1"/>
  <c r="D253" i="1" s="1"/>
  <c r="W253" i="1"/>
  <c r="P253" i="1"/>
  <c r="J253" i="1"/>
  <c r="AZ252" i="1"/>
  <c r="AY252" i="1"/>
  <c r="W252" i="1"/>
  <c r="P252" i="1"/>
  <c r="J252" i="1"/>
  <c r="D252" i="1"/>
  <c r="AZ251" i="1"/>
  <c r="W251" i="1"/>
  <c r="P251" i="1"/>
  <c r="J251" i="1"/>
  <c r="AZ250" i="1"/>
  <c r="AY251" i="1" s="1"/>
  <c r="D251" i="1" s="1"/>
  <c r="W250" i="1"/>
  <c r="P250" i="1"/>
  <c r="J250" i="1"/>
  <c r="AZ249" i="1"/>
  <c r="AY250" i="1" s="1"/>
  <c r="D250" i="1" s="1"/>
  <c r="W249" i="1"/>
  <c r="P249" i="1"/>
  <c r="J249" i="1"/>
  <c r="AZ248" i="1"/>
  <c r="AY249" i="1" s="1"/>
  <c r="D249" i="1" s="1"/>
  <c r="W248" i="1"/>
  <c r="P248" i="1"/>
  <c r="J248" i="1"/>
  <c r="AZ247" i="1"/>
  <c r="AY248" i="1" s="1"/>
  <c r="D248" i="1" s="1"/>
  <c r="AY247" i="1"/>
  <c r="D247" i="1" s="1"/>
  <c r="W247" i="1"/>
  <c r="P247" i="1"/>
  <c r="J247" i="1"/>
  <c r="AZ246" i="1"/>
  <c r="AY246" i="1"/>
  <c r="W246" i="1"/>
  <c r="P246" i="1"/>
  <c r="J246" i="1"/>
  <c r="D246" i="1"/>
  <c r="AZ245" i="1"/>
  <c r="W245" i="1"/>
  <c r="P245" i="1"/>
  <c r="J245" i="1"/>
  <c r="AZ244" i="1"/>
  <c r="AY245" i="1" s="1"/>
  <c r="D245" i="1" s="1"/>
  <c r="W244" i="1"/>
  <c r="P244" i="1"/>
  <c r="J244" i="1"/>
  <c r="AZ243" i="1"/>
  <c r="AY244" i="1" s="1"/>
  <c r="D244" i="1" s="1"/>
  <c r="W243" i="1"/>
  <c r="P243" i="1"/>
  <c r="J243" i="1"/>
  <c r="AZ242" i="1"/>
  <c r="AY243" i="1" s="1"/>
  <c r="D243" i="1" s="1"/>
  <c r="AY242" i="1"/>
  <c r="W242" i="1"/>
  <c r="P242" i="1"/>
  <c r="J242" i="1"/>
  <c r="D242" i="1"/>
  <c r="AZ241" i="1"/>
  <c r="AY241" i="1"/>
  <c r="D241" i="1" s="1"/>
  <c r="W241" i="1"/>
  <c r="P241" i="1"/>
  <c r="J241" i="1"/>
  <c r="AZ240" i="1"/>
  <c r="W240" i="1"/>
  <c r="P240" i="1"/>
  <c r="J240" i="1"/>
  <c r="AZ239" i="1"/>
  <c r="AY240" i="1" s="1"/>
  <c r="D240" i="1" s="1"/>
  <c r="W239" i="1"/>
  <c r="P239" i="1"/>
  <c r="J239" i="1"/>
  <c r="AZ238" i="1"/>
  <c r="AY239" i="1" s="1"/>
  <c r="D239" i="1" s="1"/>
  <c r="AY238" i="1"/>
  <c r="W238" i="1"/>
  <c r="P238" i="1"/>
  <c r="J238" i="1"/>
  <c r="D238" i="1"/>
  <c r="AZ237" i="1"/>
  <c r="AY237" i="1"/>
  <c r="D237" i="1" s="1"/>
  <c r="W237" i="1"/>
  <c r="P237" i="1"/>
  <c r="J237" i="1"/>
  <c r="AZ236" i="1"/>
  <c r="W236" i="1"/>
  <c r="P236" i="1"/>
  <c r="J236" i="1"/>
  <c r="AZ235" i="1"/>
  <c r="AY236" i="1" s="1"/>
  <c r="D236" i="1" s="1"/>
  <c r="W235" i="1"/>
  <c r="P235" i="1"/>
  <c r="J235" i="1"/>
  <c r="AZ234" i="1"/>
  <c r="AY235" i="1" s="1"/>
  <c r="D235" i="1" s="1"/>
  <c r="AY234" i="1"/>
  <c r="D234" i="1" s="1"/>
  <c r="W234" i="1"/>
  <c r="P234" i="1"/>
  <c r="J234" i="1"/>
  <c r="AZ233" i="1"/>
  <c r="AY233" i="1"/>
  <c r="D233" i="1" s="1"/>
  <c r="W233" i="1"/>
  <c r="P233" i="1"/>
  <c r="J233" i="1"/>
  <c r="AZ232" i="1"/>
  <c r="W232" i="1"/>
  <c r="P232" i="1"/>
  <c r="J232" i="1"/>
  <c r="AZ231" i="1"/>
  <c r="AY232" i="1" s="1"/>
  <c r="D232" i="1" s="1"/>
  <c r="W231" i="1"/>
  <c r="P231" i="1"/>
  <c r="J231" i="1"/>
  <c r="AZ230" i="1"/>
  <c r="AY231" i="1" s="1"/>
  <c r="D231" i="1" s="1"/>
  <c r="W230" i="1"/>
  <c r="P230" i="1"/>
  <c r="J230" i="1"/>
  <c r="AZ229" i="1"/>
  <c r="AY230" i="1" s="1"/>
  <c r="D230" i="1" s="1"/>
  <c r="AY229" i="1"/>
  <c r="D229" i="1" s="1"/>
  <c r="W229" i="1"/>
  <c r="P229" i="1"/>
  <c r="J229" i="1"/>
  <c r="BA228" i="1"/>
  <c r="AZ228" i="1"/>
  <c r="AY228" i="1"/>
  <c r="D228" i="1" s="1"/>
  <c r="W228" i="1"/>
  <c r="P228" i="1"/>
  <c r="J228" i="1"/>
  <c r="AZ227" i="1"/>
  <c r="AY227" i="1"/>
  <c r="D227" i="1" s="1"/>
  <c r="W227" i="1"/>
  <c r="P227" i="1"/>
  <c r="J227" i="1"/>
  <c r="AZ226" i="1"/>
  <c r="W226" i="1"/>
  <c r="P226" i="1"/>
  <c r="J226" i="1"/>
  <c r="AZ225" i="1"/>
  <c r="AY226" i="1" s="1"/>
  <c r="D226" i="1" s="1"/>
  <c r="W225" i="1"/>
  <c r="P225" i="1"/>
  <c r="J225" i="1"/>
  <c r="AZ224" i="1"/>
  <c r="AY225" i="1" s="1"/>
  <c r="D225" i="1" s="1"/>
  <c r="AY224" i="1"/>
  <c r="D224" i="1" s="1"/>
  <c r="W224" i="1"/>
  <c r="P224" i="1"/>
  <c r="J224" i="1"/>
  <c r="BA223" i="1"/>
  <c r="AZ223" i="1"/>
  <c r="AY223" i="1"/>
  <c r="W223" i="1"/>
  <c r="P223" i="1"/>
  <c r="J223" i="1"/>
  <c r="D223" i="1"/>
  <c r="AZ222" i="1"/>
  <c r="AY222" i="1"/>
  <c r="D222" i="1" s="1"/>
  <c r="W222" i="1"/>
  <c r="P222" i="1"/>
  <c r="J222" i="1"/>
  <c r="AZ221" i="1"/>
  <c r="W221" i="1"/>
  <c r="P221" i="1"/>
  <c r="J221" i="1"/>
  <c r="AZ220" i="1"/>
  <c r="AY221" i="1" s="1"/>
  <c r="D221" i="1" s="1"/>
  <c r="W220" i="1"/>
  <c r="P220" i="1"/>
  <c r="J220" i="1"/>
  <c r="AZ219" i="1"/>
  <c r="AY220" i="1" s="1"/>
  <c r="D220" i="1" s="1"/>
  <c r="AY219" i="1"/>
  <c r="D219" i="1" s="1"/>
  <c r="W219" i="1"/>
  <c r="P219" i="1"/>
  <c r="J219" i="1"/>
  <c r="AZ218" i="1"/>
  <c r="W218" i="1"/>
  <c r="P218" i="1"/>
  <c r="J218" i="1"/>
  <c r="AZ217" i="1"/>
  <c r="AY218" i="1" s="1"/>
  <c r="D218" i="1" s="1"/>
  <c r="W217" i="1"/>
  <c r="P217" i="1"/>
  <c r="J217" i="1"/>
  <c r="AZ216" i="1"/>
  <c r="AY217" i="1" s="1"/>
  <c r="D217" i="1" s="1"/>
  <c r="AY216" i="1"/>
  <c r="D216" i="1" s="1"/>
  <c r="W216" i="1"/>
  <c r="P216" i="1"/>
  <c r="J216" i="1"/>
  <c r="AZ215" i="1"/>
  <c r="AY215" i="1"/>
  <c r="D215" i="1" s="1"/>
  <c r="W215" i="1"/>
  <c r="P215" i="1"/>
  <c r="J215" i="1"/>
  <c r="AZ214" i="1"/>
  <c r="W214" i="1"/>
  <c r="P214" i="1"/>
  <c r="J214" i="1"/>
  <c r="AZ213" i="1"/>
  <c r="AY214" i="1" s="1"/>
  <c r="D214" i="1" s="1"/>
  <c r="W213" i="1"/>
  <c r="P213" i="1"/>
  <c r="J213" i="1"/>
  <c r="AZ212" i="1"/>
  <c r="AY213" i="1" s="1"/>
  <c r="D213" i="1" s="1"/>
  <c r="AY212" i="1"/>
  <c r="D212" i="1" s="1"/>
  <c r="W212" i="1"/>
  <c r="P212" i="1"/>
  <c r="J212" i="1"/>
  <c r="AZ211" i="1"/>
  <c r="AY211" i="1"/>
  <c r="D211" i="1" s="1"/>
  <c r="W211" i="1"/>
  <c r="P211" i="1"/>
  <c r="J211" i="1"/>
  <c r="AZ210" i="1"/>
  <c r="W210" i="1"/>
  <c r="P210" i="1"/>
  <c r="J210" i="1"/>
  <c r="AZ209" i="1"/>
  <c r="AY210" i="1" s="1"/>
  <c r="D210" i="1" s="1"/>
  <c r="W209" i="1"/>
  <c r="P209" i="1"/>
  <c r="J209" i="1"/>
  <c r="D209" i="1"/>
  <c r="W208" i="1"/>
  <c r="P208" i="1"/>
  <c r="J208" i="1"/>
  <c r="D208" i="1"/>
  <c r="W207" i="1"/>
  <c r="P207" i="1"/>
  <c r="J207" i="1"/>
  <c r="D207" i="1"/>
  <c r="W206" i="1"/>
  <c r="P206" i="1"/>
  <c r="J206" i="1"/>
  <c r="D206" i="1"/>
  <c r="W205" i="1"/>
  <c r="P205" i="1"/>
  <c r="J205" i="1"/>
  <c r="D205" i="1"/>
  <c r="W204" i="1"/>
  <c r="P204" i="1"/>
  <c r="J204" i="1"/>
  <c r="D204" i="1"/>
  <c r="W203" i="1"/>
  <c r="P203" i="1"/>
  <c r="J203" i="1"/>
  <c r="D203" i="1"/>
  <c r="W202" i="1"/>
  <c r="P202" i="1"/>
  <c r="J202" i="1"/>
  <c r="D202" i="1"/>
  <c r="W201" i="1"/>
  <c r="P201" i="1"/>
  <c r="J201" i="1"/>
  <c r="D201" i="1"/>
  <c r="W200" i="1"/>
  <c r="P200" i="1"/>
  <c r="J200" i="1"/>
  <c r="D200" i="1"/>
  <c r="W199" i="1"/>
  <c r="P199" i="1"/>
  <c r="J199" i="1"/>
  <c r="D199" i="1"/>
  <c r="W198" i="1"/>
  <c r="P198" i="1"/>
  <c r="J198" i="1"/>
  <c r="D198" i="1"/>
  <c r="W197" i="1"/>
  <c r="P197" i="1"/>
  <c r="J197" i="1"/>
  <c r="D197" i="1"/>
  <c r="W196" i="1"/>
  <c r="P196" i="1"/>
  <c r="J196" i="1"/>
  <c r="D196" i="1"/>
  <c r="W195" i="1"/>
  <c r="P195" i="1"/>
  <c r="J195" i="1"/>
  <c r="D195" i="1"/>
  <c r="W194" i="1"/>
  <c r="P194" i="1"/>
  <c r="J194" i="1"/>
  <c r="D194" i="1"/>
  <c r="W193" i="1"/>
  <c r="P193" i="1"/>
  <c r="J193" i="1"/>
  <c r="D193" i="1"/>
  <c r="W192" i="1"/>
  <c r="P192" i="1"/>
  <c r="J192" i="1"/>
  <c r="D192" i="1"/>
  <c r="W191" i="1"/>
  <c r="P191" i="1"/>
  <c r="J191" i="1"/>
  <c r="D191" i="1"/>
  <c r="W190" i="1"/>
  <c r="P190" i="1"/>
  <c r="J190" i="1"/>
  <c r="D190" i="1"/>
  <c r="W189" i="1"/>
  <c r="P189" i="1"/>
  <c r="J189" i="1"/>
  <c r="D189" i="1"/>
  <c r="W188" i="1"/>
  <c r="P188" i="1"/>
  <c r="J188" i="1"/>
  <c r="D188" i="1"/>
  <c r="W187" i="1"/>
  <c r="P187" i="1"/>
  <c r="J187" i="1"/>
  <c r="D187" i="1"/>
  <c r="W186" i="1"/>
  <c r="P186" i="1"/>
  <c r="J186" i="1"/>
  <c r="D186" i="1"/>
  <c r="W185" i="1"/>
  <c r="P185" i="1"/>
  <c r="J185" i="1"/>
  <c r="D185" i="1"/>
  <c r="W184" i="1"/>
  <c r="P184" i="1"/>
  <c r="J184" i="1"/>
  <c r="D184" i="1"/>
  <c r="W183" i="1"/>
  <c r="P183" i="1"/>
  <c r="J183" i="1"/>
  <c r="D183" i="1"/>
  <c r="W182" i="1"/>
  <c r="P182" i="1"/>
  <c r="J182" i="1"/>
  <c r="D182" i="1"/>
  <c r="W181" i="1"/>
  <c r="P181" i="1"/>
  <c r="J181" i="1"/>
  <c r="D181" i="1"/>
  <c r="W180" i="1"/>
  <c r="P180" i="1"/>
  <c r="J180" i="1"/>
  <c r="D180" i="1"/>
  <c r="W179" i="1"/>
  <c r="P179" i="1"/>
  <c r="J179" i="1"/>
  <c r="D179" i="1"/>
  <c r="W178" i="1"/>
  <c r="P178" i="1"/>
  <c r="J178" i="1"/>
  <c r="D178" i="1"/>
  <c r="W177" i="1"/>
  <c r="P177" i="1"/>
  <c r="J177" i="1"/>
  <c r="D177" i="1"/>
  <c r="W176" i="1"/>
  <c r="P176" i="1"/>
  <c r="J176" i="1"/>
  <c r="D176" i="1"/>
  <c r="W175" i="1"/>
  <c r="P175" i="1"/>
  <c r="J175" i="1"/>
  <c r="D175" i="1"/>
  <c r="W174" i="1"/>
  <c r="P174" i="1"/>
  <c r="J174" i="1"/>
  <c r="D174" i="1"/>
  <c r="W173" i="1"/>
  <c r="P173" i="1"/>
  <c r="J173" i="1"/>
  <c r="D173" i="1"/>
  <c r="W172" i="1"/>
  <c r="P172" i="1"/>
  <c r="J172" i="1"/>
  <c r="D172" i="1"/>
  <c r="W171" i="1"/>
  <c r="P171" i="1"/>
  <c r="J171" i="1"/>
  <c r="D171" i="1"/>
  <c r="W170" i="1"/>
  <c r="P170" i="1"/>
  <c r="J170" i="1"/>
  <c r="D170" i="1"/>
  <c r="W169" i="1"/>
  <c r="P169" i="1"/>
  <c r="J169" i="1"/>
  <c r="D169" i="1"/>
  <c r="W168" i="1"/>
  <c r="P168" i="1"/>
  <c r="J168" i="1"/>
  <c r="D168" i="1"/>
  <c r="W167" i="1"/>
  <c r="P167" i="1"/>
  <c r="J167" i="1"/>
  <c r="D167" i="1"/>
  <c r="W166" i="1"/>
  <c r="P166" i="1"/>
  <c r="J166" i="1"/>
  <c r="D166" i="1"/>
  <c r="W165" i="1"/>
  <c r="P165" i="1"/>
  <c r="J165" i="1"/>
  <c r="D165" i="1"/>
  <c r="W164" i="1"/>
  <c r="P164" i="1"/>
  <c r="J164" i="1"/>
  <c r="D164" i="1"/>
  <c r="W163" i="1"/>
  <c r="P163" i="1"/>
  <c r="J163" i="1"/>
  <c r="D163" i="1"/>
  <c r="W162" i="1"/>
  <c r="P162" i="1"/>
  <c r="J162" i="1"/>
  <c r="D162" i="1"/>
  <c r="W161" i="1"/>
  <c r="P161" i="1"/>
  <c r="J161" i="1"/>
  <c r="D161" i="1"/>
  <c r="W160" i="1"/>
  <c r="P160" i="1"/>
  <c r="J160" i="1"/>
  <c r="D160" i="1"/>
  <c r="W159" i="1"/>
  <c r="P159" i="1"/>
  <c r="J159" i="1"/>
  <c r="D159" i="1"/>
  <c r="W158" i="1"/>
  <c r="P158" i="1"/>
  <c r="J158" i="1"/>
  <c r="D158" i="1"/>
  <c r="W157" i="1"/>
  <c r="P157" i="1"/>
  <c r="J157" i="1"/>
  <c r="D157" i="1"/>
  <c r="W156" i="1"/>
  <c r="P156" i="1"/>
  <c r="J156" i="1"/>
  <c r="D156" i="1"/>
  <c r="W155" i="1"/>
  <c r="P155" i="1"/>
  <c r="J155" i="1"/>
  <c r="D155" i="1"/>
  <c r="W154" i="1"/>
  <c r="P154" i="1"/>
  <c r="J154" i="1"/>
  <c r="D154" i="1"/>
  <c r="W153" i="1"/>
  <c r="P153" i="1"/>
  <c r="J153" i="1"/>
  <c r="D153" i="1"/>
  <c r="W152" i="1"/>
  <c r="P152" i="1"/>
  <c r="J152" i="1"/>
  <c r="D152" i="1"/>
  <c r="W151" i="1"/>
  <c r="P151" i="1"/>
  <c r="J151" i="1"/>
  <c r="D151" i="1"/>
  <c r="W150" i="1"/>
  <c r="P150" i="1"/>
  <c r="J150" i="1"/>
  <c r="D150" i="1"/>
  <c r="W149" i="1"/>
  <c r="P149" i="1"/>
  <c r="J149" i="1"/>
  <c r="W148" i="1"/>
  <c r="P148" i="1"/>
  <c r="J148" i="1"/>
  <c r="W147" i="1"/>
  <c r="P147" i="1"/>
  <c r="J147" i="1"/>
  <c r="W146" i="1"/>
  <c r="P146" i="1"/>
  <c r="J146" i="1"/>
  <c r="W145" i="1"/>
  <c r="P145" i="1"/>
  <c r="J145" i="1"/>
  <c r="W144" i="1"/>
  <c r="P144" i="1"/>
  <c r="J144" i="1"/>
  <c r="W143" i="1"/>
  <c r="P143" i="1"/>
  <c r="J143" i="1"/>
  <c r="W142" i="1"/>
  <c r="P142" i="1"/>
  <c r="J142" i="1"/>
  <c r="W141" i="1"/>
  <c r="P141" i="1"/>
  <c r="J141" i="1"/>
  <c r="W140" i="1"/>
  <c r="P140" i="1"/>
  <c r="J140" i="1"/>
  <c r="W139" i="1"/>
  <c r="P139" i="1"/>
  <c r="J139" i="1"/>
  <c r="W138" i="1"/>
  <c r="P138" i="1"/>
  <c r="J138" i="1"/>
  <c r="W137" i="1"/>
  <c r="P137" i="1"/>
  <c r="J137" i="1"/>
  <c r="W136" i="1"/>
  <c r="P136" i="1"/>
  <c r="J136" i="1"/>
  <c r="W135" i="1"/>
  <c r="P135" i="1"/>
  <c r="J135" i="1"/>
  <c r="W134" i="1"/>
  <c r="P134" i="1"/>
  <c r="J134" i="1"/>
  <c r="W133" i="1"/>
  <c r="P133" i="1"/>
  <c r="J133" i="1"/>
  <c r="W132" i="1"/>
  <c r="P132" i="1"/>
  <c r="J132" i="1"/>
  <c r="W131" i="1"/>
  <c r="P131" i="1"/>
  <c r="J131" i="1"/>
  <c r="W130" i="1"/>
  <c r="P130" i="1"/>
  <c r="J130" i="1"/>
  <c r="W129" i="1"/>
  <c r="P129" i="1"/>
  <c r="J129" i="1"/>
  <c r="W128" i="1"/>
  <c r="P128" i="1"/>
  <c r="J128" i="1"/>
  <c r="W127" i="1"/>
  <c r="P127" i="1"/>
  <c r="J127" i="1"/>
  <c r="W126" i="1"/>
  <c r="P126" i="1"/>
  <c r="J126" i="1"/>
  <c r="W125" i="1"/>
  <c r="P125" i="1"/>
  <c r="J125" i="1"/>
  <c r="W124" i="1"/>
  <c r="P124" i="1"/>
  <c r="J124" i="1"/>
  <c r="W123" i="1"/>
  <c r="P123" i="1"/>
  <c r="J123" i="1"/>
  <c r="W122" i="1"/>
  <c r="P122" i="1"/>
  <c r="J122" i="1"/>
  <c r="W121" i="1"/>
  <c r="P121" i="1"/>
  <c r="J121" i="1"/>
  <c r="W120" i="1"/>
  <c r="P120" i="1"/>
  <c r="J120" i="1"/>
  <c r="W119" i="1"/>
  <c r="P119" i="1"/>
  <c r="J119" i="1"/>
  <c r="W118" i="1"/>
  <c r="P118" i="1"/>
  <c r="J118" i="1"/>
  <c r="W117" i="1"/>
  <c r="P117" i="1"/>
  <c r="J117" i="1"/>
  <c r="W116" i="1"/>
  <c r="P116" i="1"/>
  <c r="J116" i="1"/>
  <c r="W115" i="1"/>
  <c r="P115" i="1"/>
  <c r="J115" i="1"/>
  <c r="W114" i="1"/>
  <c r="P114" i="1"/>
  <c r="J114" i="1"/>
  <c r="W113" i="1"/>
  <c r="P113" i="1"/>
  <c r="J113" i="1"/>
  <c r="W112" i="1"/>
  <c r="P112" i="1"/>
  <c r="J112" i="1"/>
  <c r="W111" i="1"/>
  <c r="P111" i="1"/>
  <c r="J111" i="1"/>
  <c r="W110" i="1"/>
  <c r="P110" i="1"/>
  <c r="J110" i="1"/>
  <c r="W109" i="1"/>
  <c r="P109" i="1"/>
  <c r="J109" i="1"/>
  <c r="W108" i="1"/>
  <c r="P108" i="1"/>
  <c r="J108" i="1"/>
  <c r="W107" i="1"/>
  <c r="P107" i="1"/>
  <c r="J107" i="1"/>
  <c r="W106" i="1"/>
  <c r="P106" i="1"/>
  <c r="J106" i="1"/>
  <c r="W105" i="1"/>
  <c r="P105" i="1"/>
  <c r="J105" i="1"/>
  <c r="W104" i="1"/>
  <c r="P104" i="1"/>
  <c r="J104" i="1"/>
  <c r="W103" i="1"/>
  <c r="P103" i="1"/>
  <c r="J103" i="1"/>
  <c r="W102" i="1"/>
  <c r="P102" i="1"/>
  <c r="J102" i="1"/>
  <c r="W101" i="1"/>
  <c r="P101" i="1"/>
  <c r="J101" i="1"/>
  <c r="W100" i="1"/>
  <c r="P100" i="1"/>
  <c r="J100" i="1"/>
  <c r="W99" i="1"/>
  <c r="P99" i="1"/>
  <c r="J99" i="1"/>
  <c r="W98" i="1"/>
  <c r="P98" i="1"/>
  <c r="J98" i="1"/>
  <c r="W97" i="1"/>
  <c r="P97" i="1"/>
  <c r="J97" i="1"/>
  <c r="W96" i="1"/>
  <c r="P96" i="1"/>
  <c r="J96" i="1"/>
  <c r="W95" i="1"/>
  <c r="P95" i="1"/>
  <c r="J95" i="1"/>
  <c r="W94" i="1"/>
  <c r="P94" i="1"/>
  <c r="J94" i="1"/>
  <c r="W93" i="1"/>
  <c r="P93" i="1"/>
  <c r="J93" i="1"/>
  <c r="W92" i="1"/>
  <c r="P92" i="1"/>
  <c r="J92" i="1"/>
  <c r="W91" i="1"/>
  <c r="P91" i="1"/>
  <c r="J91" i="1"/>
  <c r="W90" i="1"/>
  <c r="P90" i="1"/>
  <c r="J90" i="1"/>
  <c r="W89" i="1"/>
  <c r="P89" i="1"/>
  <c r="J89" i="1"/>
  <c r="W88" i="1"/>
  <c r="P88" i="1"/>
  <c r="J88" i="1"/>
  <c r="W87" i="1"/>
  <c r="P87" i="1"/>
  <c r="J87" i="1"/>
  <c r="W86" i="1"/>
  <c r="P86" i="1"/>
  <c r="J86" i="1"/>
  <c r="W85" i="1"/>
  <c r="P85" i="1"/>
  <c r="J85" i="1"/>
  <c r="W84" i="1"/>
  <c r="P84" i="1"/>
  <c r="J84" i="1"/>
  <c r="W83" i="1"/>
  <c r="P83" i="1"/>
  <c r="J83" i="1"/>
  <c r="W82" i="1"/>
  <c r="P82" i="1"/>
  <c r="J82" i="1"/>
  <c r="W81" i="1"/>
  <c r="P81" i="1"/>
  <c r="J81" i="1"/>
  <c r="W80" i="1"/>
  <c r="P80" i="1"/>
  <c r="J80" i="1"/>
  <c r="W79" i="1"/>
  <c r="P79" i="1"/>
  <c r="J79" i="1"/>
  <c r="W78" i="1"/>
  <c r="P78" i="1"/>
  <c r="J78" i="1"/>
  <c r="W77" i="1"/>
  <c r="P77" i="1"/>
  <c r="J77" i="1"/>
  <c r="W76" i="1"/>
  <c r="P76" i="1"/>
  <c r="J76" i="1"/>
  <c r="W75" i="1"/>
  <c r="P75" i="1"/>
  <c r="J75" i="1"/>
  <c r="W74" i="1"/>
  <c r="P74" i="1"/>
  <c r="J74" i="1"/>
  <c r="W73" i="1"/>
  <c r="P73" i="1"/>
  <c r="J73" i="1"/>
  <c r="W72" i="1"/>
  <c r="P72" i="1"/>
  <c r="J72" i="1"/>
  <c r="W71" i="1"/>
  <c r="P71" i="1"/>
  <c r="J71" i="1"/>
  <c r="W70" i="1"/>
  <c r="P70" i="1"/>
  <c r="J70" i="1"/>
  <c r="W69" i="1"/>
  <c r="P69" i="1"/>
  <c r="J69" i="1"/>
  <c r="W68" i="1"/>
  <c r="P68" i="1"/>
  <c r="J68" i="1"/>
  <c r="W67" i="1"/>
  <c r="P67" i="1"/>
  <c r="J67" i="1"/>
  <c r="W66" i="1"/>
  <c r="P66" i="1"/>
  <c r="J66" i="1"/>
  <c r="W65" i="1"/>
  <c r="P65" i="1"/>
  <c r="J65" i="1"/>
  <c r="W64" i="1"/>
  <c r="P64" i="1"/>
  <c r="J64" i="1"/>
  <c r="W63" i="1"/>
  <c r="P63" i="1"/>
  <c r="J63" i="1"/>
  <c r="W62" i="1"/>
  <c r="P62" i="1"/>
  <c r="J62" i="1"/>
  <c r="W61" i="1"/>
  <c r="P61" i="1"/>
  <c r="J61" i="1"/>
  <c r="W60" i="1"/>
  <c r="P60" i="1"/>
  <c r="J60" i="1"/>
  <c r="W59" i="1"/>
  <c r="P59" i="1"/>
  <c r="J59" i="1"/>
  <c r="W58" i="1"/>
  <c r="P58" i="1"/>
  <c r="J58" i="1"/>
  <c r="W57" i="1"/>
  <c r="P57" i="1"/>
  <c r="J57" i="1"/>
  <c r="W56" i="1"/>
  <c r="P56" i="1"/>
  <c r="J56" i="1"/>
  <c r="W55" i="1"/>
  <c r="P55" i="1"/>
  <c r="J55" i="1"/>
  <c r="W54" i="1"/>
  <c r="P54" i="1"/>
  <c r="J54" i="1"/>
  <c r="W53" i="1"/>
  <c r="P53" i="1"/>
  <c r="J53" i="1"/>
  <c r="W52" i="1"/>
  <c r="P52" i="1"/>
  <c r="J52" i="1"/>
  <c r="W51" i="1"/>
  <c r="P51" i="1"/>
  <c r="J51" i="1"/>
  <c r="W50" i="1"/>
  <c r="P50" i="1"/>
  <c r="J50" i="1"/>
  <c r="W49" i="1"/>
  <c r="P49" i="1"/>
  <c r="J49" i="1"/>
  <c r="W48" i="1"/>
  <c r="P48" i="1"/>
  <c r="J48" i="1"/>
  <c r="W47" i="1"/>
  <c r="P47" i="1"/>
  <c r="J47" i="1"/>
  <c r="W46" i="1"/>
  <c r="P46" i="1"/>
  <c r="J46" i="1"/>
  <c r="W45" i="1"/>
  <c r="P45" i="1"/>
  <c r="J45" i="1"/>
  <c r="W44" i="1"/>
  <c r="P44" i="1"/>
  <c r="J44" i="1"/>
  <c r="W43" i="1"/>
  <c r="P43" i="1"/>
  <c r="J43" i="1"/>
  <c r="W42" i="1"/>
  <c r="P42" i="1"/>
  <c r="J42" i="1"/>
  <c r="W41" i="1"/>
  <c r="P41" i="1"/>
  <c r="J41" i="1"/>
  <c r="W40" i="1"/>
  <c r="P40" i="1"/>
  <c r="J40" i="1"/>
  <c r="W39" i="1"/>
  <c r="P39" i="1"/>
  <c r="J39" i="1"/>
  <c r="W38" i="1"/>
  <c r="P38" i="1"/>
  <c r="J38" i="1"/>
  <c r="W37" i="1"/>
  <c r="P37" i="1"/>
  <c r="J37" i="1"/>
  <c r="W36" i="1"/>
  <c r="P36" i="1"/>
  <c r="J36" i="1"/>
  <c r="W35" i="1"/>
  <c r="P35" i="1"/>
  <c r="J35" i="1"/>
  <c r="W34" i="1"/>
  <c r="P34" i="1"/>
  <c r="J34" i="1"/>
  <c r="W33" i="1"/>
  <c r="P33" i="1"/>
  <c r="J33" i="1"/>
  <c r="W32" i="1"/>
  <c r="P32" i="1"/>
  <c r="J32" i="1"/>
  <c r="W31" i="1"/>
  <c r="P31" i="1"/>
  <c r="J31" i="1"/>
  <c r="W30" i="1"/>
  <c r="P30" i="1"/>
  <c r="J30" i="1"/>
  <c r="W29" i="1"/>
  <c r="P29" i="1"/>
  <c r="J29" i="1"/>
  <c r="W28" i="1"/>
  <c r="P28" i="1"/>
  <c r="J28" i="1"/>
  <c r="W27" i="1"/>
  <c r="P27" i="1"/>
  <c r="J27" i="1"/>
  <c r="W26" i="1"/>
  <c r="P26" i="1"/>
  <c r="J26" i="1"/>
  <c r="W25" i="1"/>
  <c r="P25" i="1"/>
  <c r="J25" i="1"/>
  <c r="W24" i="1"/>
  <c r="P24" i="1"/>
  <c r="J24" i="1"/>
  <c r="W23" i="1"/>
  <c r="P23" i="1"/>
  <c r="J23" i="1"/>
  <c r="W22" i="1"/>
  <c r="P22" i="1"/>
  <c r="J22" i="1"/>
  <c r="W21" i="1"/>
  <c r="P21" i="1"/>
  <c r="J21" i="1"/>
  <c r="W20" i="1"/>
  <c r="P20" i="1"/>
  <c r="J20" i="1"/>
  <c r="W19" i="1"/>
  <c r="P19" i="1"/>
  <c r="J19" i="1"/>
  <c r="W18" i="1"/>
  <c r="P18" i="1"/>
  <c r="J18" i="1"/>
  <c r="Y17" i="1"/>
  <c r="Y18" i="1" s="1"/>
  <c r="Y19" i="1" s="1"/>
  <c r="W17" i="1"/>
  <c r="R17" i="1"/>
  <c r="R18" i="1" s="1"/>
  <c r="R19" i="1" s="1"/>
  <c r="P17" i="1"/>
  <c r="L17" i="1"/>
  <c r="L18" i="1" s="1"/>
  <c r="L19" i="1" s="1"/>
  <c r="J17" i="1"/>
  <c r="E17" i="1"/>
  <c r="E18" i="1" s="1"/>
  <c r="E19" i="1" s="1"/>
  <c r="B17" i="1"/>
  <c r="B18" i="1" s="1"/>
  <c r="W16" i="1"/>
  <c r="P16" i="1"/>
  <c r="J16" i="1"/>
  <c r="A4" i="22"/>
  <c r="H22" i="22" s="1"/>
  <c r="H2" i="22"/>
  <c r="A2" i="22"/>
  <c r="D39" i="23" l="1"/>
  <c r="D78" i="23"/>
  <c r="P7" i="40"/>
  <c r="O7" i="40"/>
  <c r="O8" i="40"/>
  <c r="P8" i="40"/>
  <c r="U17" i="40"/>
  <c r="O12" i="40"/>
  <c r="O9" i="40"/>
  <c r="P12" i="40"/>
  <c r="P9" i="40"/>
  <c r="H39" i="23"/>
  <c r="AD42" i="29"/>
  <c r="P42" i="29"/>
  <c r="BI10" i="17" a="1"/>
  <c r="BI10" i="17" s="1"/>
  <c r="BI9" i="17" a="1"/>
  <c r="BI9" i="17" s="1"/>
  <c r="AE182" i="27"/>
  <c r="AZ212" i="25"/>
  <c r="AY213" i="25" s="1"/>
  <c r="AZ228" i="25"/>
  <c r="AZ244" i="25"/>
  <c r="AD51" i="29"/>
  <c r="BC17" i="17"/>
  <c r="AC66" i="17"/>
  <c r="AP70" i="17"/>
  <c r="AC74" i="17"/>
  <c r="CE78" i="17"/>
  <c r="CE82" i="17"/>
  <c r="BC84" i="17"/>
  <c r="AC25" i="17"/>
  <c r="AC29" i="17"/>
  <c r="AC33" i="17"/>
  <c r="AC41" i="17"/>
  <c r="BC45" i="17"/>
  <c r="BC49" i="17"/>
  <c r="BC53" i="17"/>
  <c r="AC56" i="17"/>
  <c r="AC60" i="17"/>
  <c r="BC64" i="17"/>
  <c r="CE24" i="17"/>
  <c r="CE22" i="17"/>
  <c r="BC85" i="17"/>
  <c r="BC89" i="17"/>
  <c r="AC93" i="17"/>
  <c r="BQ20" i="17"/>
  <c r="BQ21" i="17" s="1"/>
  <c r="BQ22" i="17" s="1"/>
  <c r="BS19" i="17"/>
  <c r="BC54" i="17"/>
  <c r="AP54" i="17"/>
  <c r="BC67" i="17"/>
  <c r="BC71" i="17"/>
  <c r="AC75" i="17"/>
  <c r="AP79" i="17"/>
  <c r="P83" i="17"/>
  <c r="CE83" i="17"/>
  <c r="BC16" i="17"/>
  <c r="BD16" i="17" s="1"/>
  <c r="BC18" i="17"/>
  <c r="AC32" i="17"/>
  <c r="BC36" i="17"/>
  <c r="AC40" i="17"/>
  <c r="BC44" i="17"/>
  <c r="BC48" i="17"/>
  <c r="BC52" i="17"/>
  <c r="AC57" i="17"/>
  <c r="BC61" i="17"/>
  <c r="AC83" i="17"/>
  <c r="P86" i="17"/>
  <c r="BC90" i="17"/>
  <c r="AC94" i="17"/>
  <c r="AP135" i="17"/>
  <c r="AC142" i="17"/>
  <c r="AP83" i="17"/>
  <c r="CE85" i="17"/>
  <c r="AC21" i="17"/>
  <c r="BC26" i="17"/>
  <c r="AC30" i="17"/>
  <c r="AC34" i="17"/>
  <c r="AC38" i="17"/>
  <c r="AC42" i="17"/>
  <c r="AP46" i="17"/>
  <c r="AC50" i="17"/>
  <c r="P52" i="17"/>
  <c r="P55" i="17"/>
  <c r="AC59" i="17"/>
  <c r="BC63" i="17"/>
  <c r="BC88" i="17"/>
  <c r="AC92" i="17"/>
  <c r="P16" i="28"/>
  <c r="Q16" i="28" s="1"/>
  <c r="P96" i="28"/>
  <c r="BC75" i="28"/>
  <c r="AE189" i="27"/>
  <c r="AE191" i="27"/>
  <c r="AD192" i="27" s="1"/>
  <c r="D192" i="27" s="1"/>
  <c r="AE199" i="27"/>
  <c r="AE210" i="27"/>
  <c r="AD211" i="27" s="1"/>
  <c r="D211" i="27" s="1"/>
  <c r="AE217" i="27"/>
  <c r="AD218" i="27" s="1"/>
  <c r="D218" i="27" s="1"/>
  <c r="AE229" i="27"/>
  <c r="AE230" i="27"/>
  <c r="AD231" i="27" s="1"/>
  <c r="D231" i="27" s="1"/>
  <c r="R18" i="25"/>
  <c r="CE46" i="17"/>
  <c r="CE96" i="17"/>
  <c r="P138" i="28"/>
  <c r="AP142" i="28"/>
  <c r="AZ239" i="25"/>
  <c r="AY240" i="25" s="1"/>
  <c r="D240" i="25" s="1"/>
  <c r="AC73" i="17"/>
  <c r="AC78" i="17"/>
  <c r="AP89" i="17"/>
  <c r="BC78" i="17"/>
  <c r="BP135" i="17"/>
  <c r="AZ242" i="25"/>
  <c r="AY243" i="25" s="1"/>
  <c r="D243" i="25" s="1"/>
  <c r="CE23" i="17"/>
  <c r="AP78" i="17"/>
  <c r="CE84" i="17"/>
  <c r="AC123" i="17"/>
  <c r="CE53" i="17"/>
  <c r="CE68" i="17"/>
  <c r="CE79" i="17"/>
  <c r="CE52" i="17"/>
  <c r="P54" i="17"/>
  <c r="CE54" i="17"/>
  <c r="P68" i="17"/>
  <c r="P73" i="17"/>
  <c r="P78" i="17"/>
  <c r="P103" i="17"/>
  <c r="AB169" i="26"/>
  <c r="AB185" i="26"/>
  <c r="AB214" i="26"/>
  <c r="AB231" i="26"/>
  <c r="AB174" i="26"/>
  <c r="AA175" i="26" s="1"/>
  <c r="D175" i="26" s="1"/>
  <c r="AB212" i="26"/>
  <c r="L18" i="26"/>
  <c r="L19" i="26" s="1"/>
  <c r="AB151" i="26"/>
  <c r="AB173" i="26"/>
  <c r="AB203" i="26"/>
  <c r="AA166" i="26"/>
  <c r="D166" i="26" s="1"/>
  <c r="AA220" i="26"/>
  <c r="D220" i="26" s="1"/>
  <c r="AB157" i="26"/>
  <c r="AB188" i="26"/>
  <c r="AB178" i="26"/>
  <c r="AA179" i="26" s="1"/>
  <c r="D179" i="26" s="1"/>
  <c r="K18" i="41"/>
  <c r="K19" i="41" s="1"/>
  <c r="AC37" i="28"/>
  <c r="AC61" i="28"/>
  <c r="P145" i="28"/>
  <c r="AP41" i="28"/>
  <c r="AP57" i="28"/>
  <c r="AC121" i="28"/>
  <c r="CE140" i="28"/>
  <c r="AE167" i="27"/>
  <c r="AD168" i="27" s="1"/>
  <c r="D168" i="27" s="1"/>
  <c r="AD166" i="27"/>
  <c r="D166" i="27" s="1"/>
  <c r="AE196" i="27"/>
  <c r="AE170" i="27"/>
  <c r="AE187" i="27"/>
  <c r="L18" i="25"/>
  <c r="L19" i="25" s="1"/>
  <c r="AC44" i="17"/>
  <c r="BC65" i="17"/>
  <c r="AC68" i="17"/>
  <c r="AC69" i="17"/>
  <c r="AP73" i="17"/>
  <c r="AC89" i="17"/>
  <c r="CE114" i="17"/>
  <c r="CE120" i="17"/>
  <c r="CE104" i="28"/>
  <c r="CE121" i="28"/>
  <c r="U18" i="40"/>
  <c r="U19" i="40" s="1"/>
  <c r="AZ249" i="25"/>
  <c r="AD10" i="25"/>
  <c r="AD11" i="25" s="1"/>
  <c r="AF11" i="25" s="1"/>
  <c r="AP96" i="17"/>
  <c r="BC130" i="17"/>
  <c r="AC130" i="17"/>
  <c r="AD48" i="29"/>
  <c r="BC40" i="17"/>
  <c r="AP69" i="17"/>
  <c r="AP131" i="17"/>
  <c r="BP131" i="17"/>
  <c r="BP132" i="17"/>
  <c r="Y18" i="25"/>
  <c r="Y19" i="25" s="1"/>
  <c r="BC31" i="17"/>
  <c r="CE44" i="17"/>
  <c r="CE45" i="17"/>
  <c r="CE70" i="17"/>
  <c r="CE127" i="17"/>
  <c r="BP141" i="28"/>
  <c r="AC18" i="17"/>
  <c r="P45" i="17"/>
  <c r="AC53" i="17"/>
  <c r="AC64" i="17"/>
  <c r="CE69" i="17"/>
  <c r="AC79" i="17"/>
  <c r="AC84" i="17"/>
  <c r="CE89" i="17"/>
  <c r="AC96" i="17"/>
  <c r="AC97" i="17"/>
  <c r="AC103" i="17"/>
  <c r="CE131" i="17"/>
  <c r="CE132" i="17"/>
  <c r="BC46" i="17"/>
  <c r="P88" i="17"/>
  <c r="P132" i="17"/>
  <c r="Q26" i="29"/>
  <c r="Q27" i="29" s="1"/>
  <c r="Q28" i="29" s="1"/>
  <c r="P64" i="28"/>
  <c r="P87" i="28"/>
  <c r="AC96" i="28"/>
  <c r="AC141" i="28"/>
  <c r="BC35" i="28"/>
  <c r="BC83" i="28"/>
  <c r="CE133" i="28"/>
  <c r="AC137" i="28"/>
  <c r="AE176" i="27"/>
  <c r="AE190" i="27"/>
  <c r="AD191" i="27" s="1"/>
  <c r="D191" i="27" s="1"/>
  <c r="AE179" i="27"/>
  <c r="AE202" i="27"/>
  <c r="AD163" i="27"/>
  <c r="D163" i="27" s="1"/>
  <c r="AE208" i="27"/>
  <c r="AE222" i="27"/>
  <c r="AD223" i="27" s="1"/>
  <c r="D223" i="27" s="1"/>
  <c r="AE177" i="27"/>
  <c r="AD178" i="27" s="1"/>
  <c r="D178" i="27" s="1"/>
  <c r="AE180" i="27"/>
  <c r="AD181" i="27" s="1"/>
  <c r="D181" i="27" s="1"/>
  <c r="AF166" i="27"/>
  <c r="AD167" i="27" s="1"/>
  <c r="D167" i="27" s="1"/>
  <c r="AE169" i="27"/>
  <c r="AD170" i="27" s="1"/>
  <c r="D170" i="27" s="1"/>
  <c r="AE209" i="27"/>
  <c r="AD210" i="27" s="1"/>
  <c r="D210" i="27" s="1"/>
  <c r="AE220" i="27"/>
  <c r="AE223" i="27"/>
  <c r="AE226" i="27"/>
  <c r="AD227" i="27" s="1"/>
  <c r="D227" i="27" s="1"/>
  <c r="BC33" i="17"/>
  <c r="AP123" i="28"/>
  <c r="CE38" i="28"/>
  <c r="CE82" i="28"/>
  <c r="D52" i="23"/>
  <c r="BC32" i="17"/>
  <c r="AC72" i="17"/>
  <c r="P137" i="17"/>
  <c r="P25" i="17"/>
  <c r="BC50" i="17"/>
  <c r="CE73" i="17"/>
  <c r="P101" i="17"/>
  <c r="AP102" i="17"/>
  <c r="BC103" i="17"/>
  <c r="BP105" i="28"/>
  <c r="BP121" i="28"/>
  <c r="P107" i="17"/>
  <c r="P113" i="17"/>
  <c r="P82" i="17"/>
  <c r="CE42" i="28"/>
  <c r="P67" i="17"/>
  <c r="AC22" i="28"/>
  <c r="BP106" i="28"/>
  <c r="P55" i="29"/>
  <c r="CE94" i="28"/>
  <c r="AD49" i="29"/>
  <c r="AZ233" i="25"/>
  <c r="AY234" i="25" s="1"/>
  <c r="D234" i="25" s="1"/>
  <c r="CE67" i="17"/>
  <c r="AC109" i="17"/>
  <c r="AC128" i="17"/>
  <c r="AF8" i="17" s="1"/>
  <c r="CE129" i="17"/>
  <c r="BC132" i="28"/>
  <c r="P24" i="17"/>
  <c r="P46" i="17"/>
  <c r="CE72" i="17"/>
  <c r="CE77" i="17"/>
  <c r="AP137" i="17"/>
  <c r="BC41" i="17"/>
  <c r="AP47" i="17"/>
  <c r="AC55" i="17"/>
  <c r="AC101" i="17"/>
  <c r="AC115" i="17"/>
  <c r="AC44" i="28"/>
  <c r="AP25" i="17"/>
  <c r="CE76" i="17"/>
  <c r="AC80" i="28"/>
  <c r="CE92" i="28"/>
  <c r="AD41" i="29"/>
  <c r="AD47" i="29"/>
  <c r="AZ227" i="25"/>
  <c r="AY228" i="25" s="1"/>
  <c r="D228" i="25" s="1"/>
  <c r="AC24" i="17"/>
  <c r="BC34" i="17"/>
  <c r="AP62" i="17"/>
  <c r="P89" i="17"/>
  <c r="P131" i="17"/>
  <c r="BP134" i="17"/>
  <c r="CE137" i="17"/>
  <c r="L18" i="37"/>
  <c r="L19" i="37" s="1"/>
  <c r="L20" i="37" s="1"/>
  <c r="L21" i="37" s="1"/>
  <c r="L22" i="37" s="1"/>
  <c r="AD44" i="29"/>
  <c r="AP134" i="28"/>
  <c r="Y20" i="25"/>
  <c r="Y21" i="25" s="1"/>
  <c r="Y22" i="25" s="1"/>
  <c r="Y23" i="25" s="1"/>
  <c r="Y24" i="25" s="1"/>
  <c r="Y25" i="25" s="1"/>
  <c r="Y26" i="25" s="1"/>
  <c r="Y27" i="25" s="1"/>
  <c r="Y28" i="25" s="1"/>
  <c r="Y29" i="25" s="1"/>
  <c r="Y30" i="25" s="1"/>
  <c r="Y31" i="25" s="1"/>
  <c r="Y32" i="25" s="1"/>
  <c r="Y33" i="25" s="1"/>
  <c r="Y34" i="25" s="1"/>
  <c r="Y35" i="25" s="1"/>
  <c r="Y36" i="25" s="1"/>
  <c r="Y37" i="25" s="1"/>
  <c r="Y38" i="25" s="1"/>
  <c r="Y39" i="25" s="1"/>
  <c r="Y40" i="25" s="1"/>
  <c r="Y41" i="25" s="1"/>
  <c r="Y42" i="25" s="1"/>
  <c r="Y43" i="25" s="1"/>
  <c r="Y44" i="25" s="1"/>
  <c r="Y45" i="25" s="1"/>
  <c r="Y46" i="25" s="1"/>
  <c r="Y47" i="25" s="1"/>
  <c r="Y48" i="25" s="1"/>
  <c r="Y49" i="25" s="1"/>
  <c r="Y50" i="25" s="1"/>
  <c r="Y51" i="25" s="1"/>
  <c r="Y52" i="25" s="1"/>
  <c r="Y53" i="25" s="1"/>
  <c r="Y54" i="25" s="1"/>
  <c r="Y55" i="25" s="1"/>
  <c r="Y56" i="25" s="1"/>
  <c r="Y57" i="25" s="1"/>
  <c r="Y58" i="25" s="1"/>
  <c r="Y59" i="25" s="1"/>
  <c r="Y60" i="25" s="1"/>
  <c r="Y61" i="25" s="1"/>
  <c r="Y62" i="25" s="1"/>
  <c r="Y63" i="25" s="1"/>
  <c r="Y64" i="25" s="1"/>
  <c r="Y65" i="25" s="1"/>
  <c r="Y66" i="25" s="1"/>
  <c r="Y67" i="25" s="1"/>
  <c r="Y68" i="25" s="1"/>
  <c r="Y69" i="25" s="1"/>
  <c r="Y70" i="25" s="1"/>
  <c r="Y71" i="25" s="1"/>
  <c r="Y72" i="25" s="1"/>
  <c r="Y73" i="25" s="1"/>
  <c r="Y74" i="25" s="1"/>
  <c r="Y75" i="25" s="1"/>
  <c r="Y76" i="25" s="1"/>
  <c r="Y77" i="25" s="1"/>
  <c r="Y78" i="25" s="1"/>
  <c r="Y79" i="25" s="1"/>
  <c r="Y80" i="25" s="1"/>
  <c r="Y81" i="25" s="1"/>
  <c r="Y82" i="25" s="1"/>
  <c r="Y83" i="25" s="1"/>
  <c r="Y84" i="25" s="1"/>
  <c r="Y85" i="25" s="1"/>
  <c r="Y86" i="25" s="1"/>
  <c r="Y87" i="25" s="1"/>
  <c r="Y88" i="25" s="1"/>
  <c r="Y89" i="25" s="1"/>
  <c r="Y90" i="25" s="1"/>
  <c r="Y91" i="25" s="1"/>
  <c r="Y92" i="25" s="1"/>
  <c r="Y93" i="25" s="1"/>
  <c r="Y94" i="25" s="1"/>
  <c r="Y95" i="25" s="1"/>
  <c r="Y96" i="25" s="1"/>
  <c r="Y97" i="25" s="1"/>
  <c r="Y98" i="25" s="1"/>
  <c r="Y99" i="25" s="1"/>
  <c r="Y100" i="25" s="1"/>
  <c r="Y101" i="25" s="1"/>
  <c r="Y102" i="25" s="1"/>
  <c r="Y103" i="25" s="1"/>
  <c r="Y104" i="25" s="1"/>
  <c r="Y105" i="25" s="1"/>
  <c r="Y106" i="25" s="1"/>
  <c r="Y107" i="25" s="1"/>
  <c r="Y108" i="25" s="1"/>
  <c r="Y109" i="25" s="1"/>
  <c r="Y110" i="25" s="1"/>
  <c r="Y111" i="25" s="1"/>
  <c r="Y112" i="25" s="1"/>
  <c r="Y113" i="25" s="1"/>
  <c r="Y114" i="25" s="1"/>
  <c r="Y115" i="25" s="1"/>
  <c r="Y116" i="25" s="1"/>
  <c r="Y117" i="25" s="1"/>
  <c r="Y118" i="25" s="1"/>
  <c r="Y119" i="25" s="1"/>
  <c r="Y120" i="25" s="1"/>
  <c r="Y121" i="25" s="1"/>
  <c r="Y122" i="25" s="1"/>
  <c r="Y123" i="25" s="1"/>
  <c r="Y124" i="25" s="1"/>
  <c r="Y125" i="25" s="1"/>
  <c r="Y126" i="25" s="1"/>
  <c r="Y127" i="25" s="1"/>
  <c r="Y128" i="25" s="1"/>
  <c r="Y129" i="25" s="1"/>
  <c r="Y130" i="25" s="1"/>
  <c r="Y131" i="25" s="1"/>
  <c r="Y132" i="25" s="1"/>
  <c r="Y133" i="25" s="1"/>
  <c r="Y134" i="25" s="1"/>
  <c r="Y135" i="25" s="1"/>
  <c r="Y136" i="25" s="1"/>
  <c r="Y137" i="25" s="1"/>
  <c r="Y138" i="25" s="1"/>
  <c r="Y139" i="25" s="1"/>
  <c r="Y140" i="25" s="1"/>
  <c r="Y141" i="25" s="1"/>
  <c r="Y142" i="25" s="1"/>
  <c r="Y143" i="25" s="1"/>
  <c r="Y144" i="25" s="1"/>
  <c r="Y145" i="25" s="1"/>
  <c r="Y146" i="25" s="1"/>
  <c r="Y147" i="25" s="1"/>
  <c r="Y148" i="25" s="1"/>
  <c r="Y149" i="25" s="1"/>
  <c r="Y150" i="25" s="1"/>
  <c r="Y151" i="25" s="1"/>
  <c r="Y152" i="25" s="1"/>
  <c r="Y153" i="25" s="1"/>
  <c r="Y154" i="25" s="1"/>
  <c r="Y155" i="25" s="1"/>
  <c r="Y156" i="25" s="1"/>
  <c r="Y157" i="25" s="1"/>
  <c r="Y158" i="25" s="1"/>
  <c r="Y159" i="25" s="1"/>
  <c r="Y160" i="25" s="1"/>
  <c r="Y161" i="25" s="1"/>
  <c r="Y162" i="25" s="1"/>
  <c r="Y163" i="25" s="1"/>
  <c r="Y164" i="25" s="1"/>
  <c r="Y165" i="25" s="1"/>
  <c r="Y166" i="25" s="1"/>
  <c r="Y167" i="25" s="1"/>
  <c r="Y168" i="25" s="1"/>
  <c r="Y169" i="25" s="1"/>
  <c r="Y170" i="25" s="1"/>
  <c r="Y171" i="25" s="1"/>
  <c r="Y172" i="25" s="1"/>
  <c r="BC43" i="17"/>
  <c r="AZ284" i="25"/>
  <c r="AY285" i="25" s="1"/>
  <c r="D285" i="25" s="1"/>
  <c r="P17" i="17"/>
  <c r="AC87" i="17"/>
  <c r="CE50" i="28"/>
  <c r="AP130" i="28"/>
  <c r="P52" i="29"/>
  <c r="AZ278" i="25"/>
  <c r="AZ283" i="25"/>
  <c r="AY284" i="25" s="1"/>
  <c r="D284" i="25" s="1"/>
  <c r="BC25" i="17"/>
  <c r="AC77" i="17"/>
  <c r="P95" i="17"/>
  <c r="AC129" i="17"/>
  <c r="H52" i="23"/>
  <c r="AC102" i="17"/>
  <c r="B5" i="22"/>
  <c r="I5" i="22" s="1"/>
  <c r="AP43" i="17"/>
  <c r="AZ260" i="25"/>
  <c r="BD17" i="17"/>
  <c r="AP55" i="17"/>
  <c r="BC74" i="17"/>
  <c r="AC127" i="17"/>
  <c r="CE128" i="17"/>
  <c r="BP141" i="17"/>
  <c r="BC60" i="17"/>
  <c r="BC77" i="17"/>
  <c r="BP144" i="28"/>
  <c r="P77" i="17"/>
  <c r="BC51" i="17"/>
  <c r="P72" i="17"/>
  <c r="AC98" i="28"/>
  <c r="AZ215" i="25"/>
  <c r="AY216" i="25" s="1"/>
  <c r="BC42" i="17"/>
  <c r="P76" i="17"/>
  <c r="AC122" i="17"/>
  <c r="AP134" i="17"/>
  <c r="BC29" i="28"/>
  <c r="P133" i="28"/>
  <c r="AP136" i="28"/>
  <c r="B17" i="22"/>
  <c r="J23" i="22" s="1"/>
  <c r="D65" i="23"/>
  <c r="AZ264" i="25"/>
  <c r="AY265" i="25" s="1"/>
  <c r="D265" i="25" s="1"/>
  <c r="AC95" i="17"/>
  <c r="P57" i="28"/>
  <c r="AP109" i="28"/>
  <c r="AZ234" i="25"/>
  <c r="AY235" i="25" s="1"/>
  <c r="D235" i="25" s="1"/>
  <c r="P19" i="17"/>
  <c r="CE25" i="17"/>
  <c r="P53" i="17"/>
  <c r="P69" i="17"/>
  <c r="AP90" i="17"/>
  <c r="R18" i="37"/>
  <c r="R19" i="37" s="1"/>
  <c r="R20" i="37" s="1"/>
  <c r="R21" i="37" s="1"/>
  <c r="R22" i="37" s="1"/>
  <c r="AP17" i="17"/>
  <c r="AZ224" i="25"/>
  <c r="AY225" i="25" s="1"/>
  <c r="D225" i="25" s="1"/>
  <c r="CE113" i="17"/>
  <c r="BC22" i="17"/>
  <c r="AC23" i="17"/>
  <c r="AC45" i="17"/>
  <c r="P49" i="17"/>
  <c r="AC85" i="17"/>
  <c r="P120" i="17"/>
  <c r="AP124" i="17"/>
  <c r="AC131" i="17"/>
  <c r="AP132" i="17"/>
  <c r="BC133" i="17"/>
  <c r="AC139" i="17"/>
  <c r="P19" i="28"/>
  <c r="AP39" i="28"/>
  <c r="CE131" i="28"/>
  <c r="AC32" i="28"/>
  <c r="P33" i="28"/>
  <c r="AC38" i="28"/>
  <c r="BC41" i="28"/>
  <c r="AC66" i="28"/>
  <c r="CE74" i="28"/>
  <c r="CE100" i="28"/>
  <c r="CE135" i="28"/>
  <c r="AP38" i="28"/>
  <c r="BC39" i="28"/>
  <c r="P40" i="28"/>
  <c r="BC65" i="28"/>
  <c r="AP89" i="28"/>
  <c r="AP98" i="28"/>
  <c r="P100" i="28"/>
  <c r="CE130" i="28"/>
  <c r="BP139" i="28"/>
  <c r="CE144" i="28"/>
  <c r="P89" i="28"/>
  <c r="AP86" i="28"/>
  <c r="CE105" i="28"/>
  <c r="AC78" i="28"/>
  <c r="AC86" i="28"/>
  <c r="BC141" i="28"/>
  <c r="CE142" i="28"/>
  <c r="AP59" i="28"/>
  <c r="AC68" i="28"/>
  <c r="AC74" i="28"/>
  <c r="BC103" i="28"/>
  <c r="AC111" i="28"/>
  <c r="BC136" i="28"/>
  <c r="AB183" i="26"/>
  <c r="AA184" i="26" s="1"/>
  <c r="D184" i="26" s="1"/>
  <c r="AB182" i="26"/>
  <c r="AB193" i="26"/>
  <c r="AB155" i="26"/>
  <c r="AB204" i="26"/>
  <c r="AA205" i="26" s="1"/>
  <c r="D205" i="26" s="1"/>
  <c r="AB224" i="26"/>
  <c r="AA162" i="26"/>
  <c r="AA163" i="26"/>
  <c r="D163" i="26" s="1"/>
  <c r="AB158" i="26"/>
  <c r="AB220" i="26"/>
  <c r="CE19" i="28"/>
  <c r="CF19" i="28" s="1"/>
  <c r="BC33" i="28"/>
  <c r="BC59" i="28"/>
  <c r="BC60" i="28"/>
  <c r="CE68" i="28"/>
  <c r="AP74" i="28"/>
  <c r="BC116" i="28"/>
  <c r="CE128" i="28"/>
  <c r="CE132" i="28"/>
  <c r="AP132" i="28"/>
  <c r="AC136" i="28"/>
  <c r="AC138" i="28"/>
  <c r="CE44" i="28"/>
  <c r="CE106" i="28"/>
  <c r="AC117" i="28"/>
  <c r="BC137" i="28"/>
  <c r="BC143" i="28"/>
  <c r="P72" i="28"/>
  <c r="BC109" i="28"/>
  <c r="BC121" i="28"/>
  <c r="AP32" i="28"/>
  <c r="AP33" i="28"/>
  <c r="AP56" i="28"/>
  <c r="P71" i="28"/>
  <c r="P82" i="28"/>
  <c r="P83" i="28"/>
  <c r="P94" i="28"/>
  <c r="P95" i="28"/>
  <c r="CE34" i="28"/>
  <c r="AP68" i="28"/>
  <c r="P70" i="28"/>
  <c r="BC80" i="28"/>
  <c r="AP81" i="28"/>
  <c r="BC92" i="28"/>
  <c r="AP93" i="28"/>
  <c r="AC94" i="28"/>
  <c r="BP109" i="28"/>
  <c r="CE111" i="28"/>
  <c r="CE112" i="28"/>
  <c r="P120" i="28"/>
  <c r="AP29" i="28"/>
  <c r="AP44" i="28"/>
  <c r="CE64" i="28"/>
  <c r="AP65" i="28"/>
  <c r="AP66" i="28"/>
  <c r="AP69" i="28"/>
  <c r="AP78" i="28"/>
  <c r="P79" i="28"/>
  <c r="BP103" i="28"/>
  <c r="AC104" i="28"/>
  <c r="BC105" i="28"/>
  <c r="AC108" i="28"/>
  <c r="AC110" i="28"/>
  <c r="AP119" i="28"/>
  <c r="BC123" i="28"/>
  <c r="BP124" i="28"/>
  <c r="AP18" i="28"/>
  <c r="AC19" i="28"/>
  <c r="CE30" i="28"/>
  <c r="BC44" i="28"/>
  <c r="AP45" i="28"/>
  <c r="BC47" i="28"/>
  <c r="AP53" i="28"/>
  <c r="BC63" i="28"/>
  <c r="AP77" i="28"/>
  <c r="P81" i="28"/>
  <c r="AP90" i="28"/>
  <c r="P93" i="28"/>
  <c r="AC102" i="28"/>
  <c r="BC104" i="28"/>
  <c r="P106" i="28"/>
  <c r="BC118" i="28"/>
  <c r="BP129" i="28"/>
  <c r="AE207" i="27"/>
  <c r="AE214" i="27"/>
  <c r="AD215" i="27" s="1"/>
  <c r="D215" i="27" s="1"/>
  <c r="AE215" i="27"/>
  <c r="AD216" i="27" s="1"/>
  <c r="D216" i="27" s="1"/>
  <c r="AE216" i="27"/>
  <c r="AD217" i="27" s="1"/>
  <c r="D217" i="27" s="1"/>
  <c r="AE219" i="27"/>
  <c r="AD220" i="27" s="1"/>
  <c r="D220" i="27" s="1"/>
  <c r="AE173" i="27"/>
  <c r="AD174" i="27" s="1"/>
  <c r="D174" i="27" s="1"/>
  <c r="AE194" i="27"/>
  <c r="AD195" i="27" s="1"/>
  <c r="D195" i="27" s="1"/>
  <c r="AE205" i="27"/>
  <c r="AD206" i="27" s="1"/>
  <c r="D206" i="27" s="1"/>
  <c r="AD165" i="27"/>
  <c r="D165" i="27" s="1"/>
  <c r="AE212" i="27"/>
  <c r="AD213" i="27" s="1"/>
  <c r="D213" i="27" s="1"/>
  <c r="AE231" i="27"/>
  <c r="L18" i="39"/>
  <c r="L19" i="39" s="1"/>
  <c r="AE192" i="27"/>
  <c r="AD193" i="27" s="1"/>
  <c r="D193" i="27" s="1"/>
  <c r="AD200" i="27"/>
  <c r="D200" i="27" s="1"/>
  <c r="AE175" i="27"/>
  <c r="AD176" i="27" s="1"/>
  <c r="D176" i="27" s="1"/>
  <c r="R18" i="27"/>
  <c r="R19" i="27" s="1"/>
  <c r="R20" i="27" s="1"/>
  <c r="R21" i="27" s="1"/>
  <c r="R22" i="27" s="1"/>
  <c r="AD183" i="27"/>
  <c r="D183" i="27" s="1"/>
  <c r="AE185" i="27"/>
  <c r="AD186" i="27" s="1"/>
  <c r="D186" i="27" s="1"/>
  <c r="AE195" i="27"/>
  <c r="AD196" i="27" s="1"/>
  <c r="D196" i="27" s="1"/>
  <c r="AE227" i="27"/>
  <c r="AD228" i="27" s="1"/>
  <c r="D228" i="27" s="1"/>
  <c r="AD180" i="27"/>
  <c r="D180" i="27" s="1"/>
  <c r="AD221" i="27"/>
  <c r="D221" i="27" s="1"/>
  <c r="AE224" i="27"/>
  <c r="AD225" i="27" s="1"/>
  <c r="D225" i="27" s="1"/>
  <c r="W17" i="41"/>
  <c r="V17" i="41"/>
  <c r="AZ231" i="25"/>
  <c r="AY232" i="25" s="1"/>
  <c r="D232" i="25" s="1"/>
  <c r="E39" i="23" s="1"/>
  <c r="AY245" i="25"/>
  <c r="D245" i="25" s="1"/>
  <c r="AZ291" i="25"/>
  <c r="BC20" i="17"/>
  <c r="BC24" i="17"/>
  <c r="BC29" i="17"/>
  <c r="CE31" i="17"/>
  <c r="CE32" i="17"/>
  <c r="CE33" i="17"/>
  <c r="BC38" i="17"/>
  <c r="CE40" i="17"/>
  <c r="CE41" i="17"/>
  <c r="CE42" i="17"/>
  <c r="P48" i="17"/>
  <c r="AP49" i="17"/>
  <c r="AP51" i="17"/>
  <c r="AC54" i="17"/>
  <c r="CE55" i="17"/>
  <c r="P58" i="17"/>
  <c r="P63" i="17"/>
  <c r="AP64" i="17"/>
  <c r="AP66" i="17"/>
  <c r="P71" i="17"/>
  <c r="AP72" i="17"/>
  <c r="AP80" i="17"/>
  <c r="AC81" i="17"/>
  <c r="BC82" i="17"/>
  <c r="P91" i="17"/>
  <c r="BC92" i="17"/>
  <c r="AP95" i="17"/>
  <c r="AP101" i="17"/>
  <c r="BP102" i="17"/>
  <c r="CE108" i="17"/>
  <c r="CE121" i="17"/>
  <c r="CE122" i="17"/>
  <c r="CE123" i="17"/>
  <c r="P126" i="17"/>
  <c r="CE126" i="17"/>
  <c r="P133" i="17"/>
  <c r="P136" i="17"/>
  <c r="CE138" i="17"/>
  <c r="CE139" i="17"/>
  <c r="AP140" i="17"/>
  <c r="AC141" i="17"/>
  <c r="P145" i="17"/>
  <c r="CE22" i="28"/>
  <c r="BC32" i="28"/>
  <c r="AP35" i="28"/>
  <c r="AP63" i="28"/>
  <c r="CE66" i="28"/>
  <c r="BC71" i="28"/>
  <c r="AC82" i="28"/>
  <c r="AC84" i="28"/>
  <c r="AC92" i="28"/>
  <c r="CE102" i="28"/>
  <c r="AP103" i="28"/>
  <c r="BP104" i="28"/>
  <c r="AC105" i="28"/>
  <c r="P109" i="28"/>
  <c r="CE110" i="28"/>
  <c r="AP113" i="28"/>
  <c r="P116" i="28"/>
  <c r="BC120" i="28"/>
  <c r="AP133" i="28"/>
  <c r="CE145" i="28"/>
  <c r="AZ225" i="25"/>
  <c r="AY226" i="25" s="1"/>
  <c r="D226" i="25" s="1"/>
  <c r="AZ248" i="25"/>
  <c r="AY249" i="25" s="1"/>
  <c r="D249" i="25" s="1"/>
  <c r="AZ250" i="25"/>
  <c r="AY251" i="25" s="1"/>
  <c r="D251" i="25" s="1"/>
  <c r="AZ252" i="25"/>
  <c r="AZ263" i="25"/>
  <c r="AY264" i="25" s="1"/>
  <c r="D264" i="25" s="1"/>
  <c r="AZ265" i="25"/>
  <c r="AY266" i="25" s="1"/>
  <c r="D266" i="25" s="1"/>
  <c r="AZ272" i="25"/>
  <c r="AY273" i="25" s="1"/>
  <c r="D273" i="25" s="1"/>
  <c r="AZ276" i="25"/>
  <c r="AY277" i="25" s="1"/>
  <c r="D277" i="25" s="1"/>
  <c r="P18" i="17"/>
  <c r="P22" i="17"/>
  <c r="P23" i="17"/>
  <c r="P31" i="17"/>
  <c r="P32" i="17"/>
  <c r="P33" i="17"/>
  <c r="P40" i="17"/>
  <c r="P41" i="17"/>
  <c r="P42" i="17"/>
  <c r="P44" i="17"/>
  <c r="AP45" i="17"/>
  <c r="AC47" i="17"/>
  <c r="CE48" i="17"/>
  <c r="AP50" i="17"/>
  <c r="AP53" i="17"/>
  <c r="BC58" i="17"/>
  <c r="AC62" i="17"/>
  <c r="CE63" i="17"/>
  <c r="AP65" i="17"/>
  <c r="BC66" i="17"/>
  <c r="AP68" i="17"/>
  <c r="BC70" i="17"/>
  <c r="CE71" i="17"/>
  <c r="P79" i="17"/>
  <c r="AC80" i="17"/>
  <c r="AP82" i="17"/>
  <c r="P84" i="17"/>
  <c r="AP85" i="17"/>
  <c r="AP87" i="17"/>
  <c r="AC90" i="17"/>
  <c r="CE91" i="17"/>
  <c r="CE94" i="17"/>
  <c r="AP97" i="17"/>
  <c r="CE107" i="17"/>
  <c r="P108" i="17"/>
  <c r="AP115" i="17"/>
  <c r="BC124" i="17"/>
  <c r="P127" i="17"/>
  <c r="AP130" i="17"/>
  <c r="AC132" i="17"/>
  <c r="CE133" i="17"/>
  <c r="AC137" i="17"/>
  <c r="BP140" i="17"/>
  <c r="BC23" i="28"/>
  <c r="BC45" i="28"/>
  <c r="AC56" i="28"/>
  <c r="CE62" i="28"/>
  <c r="P65" i="28"/>
  <c r="P69" i="28"/>
  <c r="CE70" i="28"/>
  <c r="CE78" i="28"/>
  <c r="AC90" i="28"/>
  <c r="P132" i="28"/>
  <c r="P136" i="28"/>
  <c r="CE136" i="28"/>
  <c r="AY210" i="25"/>
  <c r="AP75" i="17"/>
  <c r="AP86" i="17"/>
  <c r="AP119" i="17"/>
  <c r="BP119" i="17"/>
  <c r="AC121" i="17"/>
  <c r="AC138" i="17"/>
  <c r="BP108" i="28"/>
  <c r="AP128" i="28"/>
  <c r="AZ214" i="25"/>
  <c r="AY215" i="25" s="1"/>
  <c r="AZ221" i="25"/>
  <c r="AY222" i="25" s="1"/>
  <c r="AZ253" i="25"/>
  <c r="AY254" i="25" s="1"/>
  <c r="D254" i="25" s="1"/>
  <c r="AZ257" i="25"/>
  <c r="AY258" i="25" s="1"/>
  <c r="D258" i="25" s="1"/>
  <c r="AZ277" i="25"/>
  <c r="AY278" i="25" s="1"/>
  <c r="D278" i="25" s="1"/>
  <c r="AZ279" i="25"/>
  <c r="AY280" i="25" s="1"/>
  <c r="D280" i="25" s="1"/>
  <c r="AZ289" i="25"/>
  <c r="AY290" i="25" s="1"/>
  <c r="D290" i="25" s="1"/>
  <c r="BC19" i="17"/>
  <c r="AC43" i="17"/>
  <c r="AC48" i="17"/>
  <c r="CE49" i="17"/>
  <c r="BC55" i="17"/>
  <c r="AP60" i="17"/>
  <c r="AC63" i="17"/>
  <c r="CE64" i="17"/>
  <c r="AC71" i="17"/>
  <c r="AP74" i="17"/>
  <c r="BC75" i="17"/>
  <c r="P85" i="17"/>
  <c r="AC86" i="17"/>
  <c r="CE88" i="17"/>
  <c r="AC91" i="17"/>
  <c r="CE95" i="17"/>
  <c r="P96" i="17"/>
  <c r="P102" i="17"/>
  <c r="AP120" i="17"/>
  <c r="BP120" i="17"/>
  <c r="P130" i="17"/>
  <c r="AC133" i="17"/>
  <c r="BC139" i="17"/>
  <c r="P140" i="17"/>
  <c r="CE140" i="17"/>
  <c r="AP141" i="17"/>
  <c r="AP143" i="17"/>
  <c r="BP143" i="17"/>
  <c r="AC16" i="28"/>
  <c r="AD16" i="28" s="1"/>
  <c r="AC17" i="28"/>
  <c r="CE20" i="28"/>
  <c r="P28" i="28"/>
  <c r="P29" i="28"/>
  <c r="CE32" i="28"/>
  <c r="BC56" i="28"/>
  <c r="CE58" i="28"/>
  <c r="P77" i="28"/>
  <c r="CE80" i="28"/>
  <c r="P90" i="28"/>
  <c r="BC95" i="28"/>
  <c r="P103" i="28"/>
  <c r="BC108" i="28"/>
  <c r="AP120" i="28"/>
  <c r="CE143" i="28"/>
  <c r="AP59" i="17"/>
  <c r="BC91" i="17"/>
  <c r="AP125" i="17"/>
  <c r="BP125" i="17"/>
  <c r="BP144" i="17"/>
  <c r="AP140" i="28"/>
  <c r="H65" i="23"/>
  <c r="I78" i="23"/>
  <c r="AZ245" i="25"/>
  <c r="AY246" i="25" s="1"/>
  <c r="D246" i="25" s="1"/>
  <c r="AZ261" i="25"/>
  <c r="AZ270" i="25"/>
  <c r="AY271" i="25" s="1"/>
  <c r="D271" i="25" s="1"/>
  <c r="AZ280" i="25"/>
  <c r="AY281" i="25" s="1"/>
  <c r="D281" i="25" s="1"/>
  <c r="AZ285" i="25"/>
  <c r="AY286" i="25" s="1"/>
  <c r="D286" i="25" s="1"/>
  <c r="AZ287" i="25"/>
  <c r="AZ288" i="25"/>
  <c r="AY289" i="25" s="1"/>
  <c r="D289" i="25" s="1"/>
  <c r="AC49" i="17"/>
  <c r="AP57" i="17"/>
  <c r="AP58" i="17"/>
  <c r="BC59" i="17"/>
  <c r="CE61" i="17"/>
  <c r="BC79" i="17"/>
  <c r="AP109" i="17"/>
  <c r="P114" i="17"/>
  <c r="P119" i="17"/>
  <c r="CE119" i="17"/>
  <c r="AP121" i="17"/>
  <c r="AP122" i="17"/>
  <c r="AP123" i="17"/>
  <c r="AP126" i="17"/>
  <c r="BP126" i="17"/>
  <c r="AP138" i="17"/>
  <c r="AP139" i="17"/>
  <c r="P141" i="17"/>
  <c r="BC16" i="28"/>
  <c r="BD16" i="28" s="1"/>
  <c r="CE26" i="28"/>
  <c r="CE46" i="28"/>
  <c r="CE54" i="28"/>
  <c r="BP102" i="28"/>
  <c r="CE108" i="28"/>
  <c r="BP110" i="28"/>
  <c r="BP132" i="28"/>
  <c r="AC133" i="28"/>
  <c r="BC133" i="28"/>
  <c r="BP137" i="28"/>
  <c r="AP139" i="28"/>
  <c r="AC140" i="28"/>
  <c r="AD56" i="29"/>
  <c r="I65" i="23"/>
  <c r="AZ211" i="25"/>
  <c r="AZ216" i="25"/>
  <c r="AY217" i="25" s="1"/>
  <c r="D217" i="25" s="1"/>
  <c r="AZ217" i="25"/>
  <c r="AY218" i="25" s="1"/>
  <c r="BA223" i="25"/>
  <c r="AY224" i="25" s="1"/>
  <c r="D224" i="25" s="1"/>
  <c r="AZ229" i="25"/>
  <c r="AY230" i="25" s="1"/>
  <c r="D230" i="25" s="1"/>
  <c r="AZ236" i="25"/>
  <c r="AY237" i="25" s="1"/>
  <c r="D237" i="25" s="1"/>
  <c r="AZ254" i="25"/>
  <c r="AY255" i="25" s="1"/>
  <c r="D255" i="25" s="1"/>
  <c r="AP21" i="17"/>
  <c r="AP30" i="17"/>
  <c r="AP39" i="17"/>
  <c r="P47" i="17"/>
  <c r="AP48" i="17"/>
  <c r="AP56" i="17"/>
  <c r="BC57" i="17"/>
  <c r="P61" i="17"/>
  <c r="P62" i="17"/>
  <c r="AP63" i="17"/>
  <c r="AP71" i="17"/>
  <c r="P90" i="17"/>
  <c r="AP93" i="17"/>
  <c r="P118" i="17"/>
  <c r="AP133" i="17"/>
  <c r="CE141" i="17"/>
  <c r="CE144" i="17"/>
  <c r="P45" i="28"/>
  <c r="CE56" i="28"/>
  <c r="CE86" i="28"/>
  <c r="BP100" i="28"/>
  <c r="BC102" i="28"/>
  <c r="BC110" i="28"/>
  <c r="B9" i="22"/>
  <c r="I23" i="22" s="1"/>
  <c r="AZ246" i="25"/>
  <c r="AY247" i="25" s="1"/>
  <c r="D247" i="25" s="1"/>
  <c r="AZ247" i="25"/>
  <c r="AY248" i="25" s="1"/>
  <c r="D248" i="25" s="1"/>
  <c r="AZ255" i="25"/>
  <c r="AY256" i="25" s="1"/>
  <c r="D256" i="25" s="1"/>
  <c r="CF19" i="17"/>
  <c r="AP20" i="17"/>
  <c r="BC21" i="17"/>
  <c r="AP23" i="17"/>
  <c r="AP29" i="17"/>
  <c r="BC30" i="17"/>
  <c r="AP38" i="17"/>
  <c r="BC39" i="17"/>
  <c r="AP44" i="17"/>
  <c r="CE47" i="17"/>
  <c r="BC56" i="17"/>
  <c r="CE62" i="17"/>
  <c r="P70" i="17"/>
  <c r="AP81" i="17"/>
  <c r="AC82" i="17"/>
  <c r="AP84" i="17"/>
  <c r="CE90" i="17"/>
  <c r="AP92" i="17"/>
  <c r="BC93" i="17"/>
  <c r="BP101" i="17"/>
  <c r="BC118" i="17"/>
  <c r="P121" i="17"/>
  <c r="P125" i="17"/>
  <c r="CE125" i="17"/>
  <c r="AP127" i="17"/>
  <c r="AP128" i="17"/>
  <c r="AP129" i="17"/>
  <c r="P138" i="17"/>
  <c r="BP139" i="17"/>
  <c r="P144" i="17"/>
  <c r="CE145" i="17"/>
  <c r="P41" i="28"/>
  <c r="P52" i="28"/>
  <c r="P53" i="28"/>
  <c r="BC68" i="28"/>
  <c r="AC70" i="28"/>
  <c r="BC87" i="28"/>
  <c r="P98" i="28"/>
  <c r="AP100" i="28"/>
  <c r="BC119" i="28"/>
  <c r="AC124" i="28"/>
  <c r="BC128" i="28"/>
  <c r="AD57" i="29"/>
  <c r="AB153" i="26"/>
  <c r="AA154" i="26" s="1"/>
  <c r="AA209" i="26"/>
  <c r="D209" i="26" s="1"/>
  <c r="AA222" i="26"/>
  <c r="D222" i="26" s="1"/>
  <c r="AA172" i="26"/>
  <c r="D172" i="26" s="1"/>
  <c r="I39" i="23" s="1"/>
  <c r="AB207" i="26"/>
  <c r="AB217" i="26"/>
  <c r="AA218" i="26" s="1"/>
  <c r="D218" i="26" s="1"/>
  <c r="AB223" i="26"/>
  <c r="AA181" i="26"/>
  <c r="D181" i="26" s="1"/>
  <c r="AA223" i="26"/>
  <c r="D223" i="26" s="1"/>
  <c r="AA170" i="26"/>
  <c r="D170" i="26" s="1"/>
  <c r="AA215" i="26"/>
  <c r="D215" i="26" s="1"/>
  <c r="AB216" i="26"/>
  <c r="AA217" i="26" s="1"/>
  <c r="D217" i="26" s="1"/>
  <c r="AA152" i="26"/>
  <c r="AB159" i="26"/>
  <c r="AA160" i="26" s="1"/>
  <c r="AA164" i="26"/>
  <c r="D164" i="26" s="1"/>
  <c r="AB167" i="26"/>
  <c r="AA188" i="26"/>
  <c r="D188" i="26" s="1"/>
  <c r="AB190" i="26"/>
  <c r="AB192" i="26"/>
  <c r="AA193" i="26" s="1"/>
  <c r="D193" i="26" s="1"/>
  <c r="AA198" i="26"/>
  <c r="D198" i="26" s="1"/>
  <c r="AB205" i="26"/>
  <c r="AA206" i="26" s="1"/>
  <c r="D206" i="26" s="1"/>
  <c r="AB230" i="26"/>
  <c r="AB227" i="26"/>
  <c r="R18" i="26"/>
  <c r="R19" i="26" s="1"/>
  <c r="AB211" i="26"/>
  <c r="AB226" i="26"/>
  <c r="AA227" i="26" s="1"/>
  <c r="D227" i="26" s="1"/>
  <c r="AP144" i="28"/>
  <c r="P144" i="28"/>
  <c r="BP145" i="28"/>
  <c r="BP145" i="17"/>
  <c r="AC145" i="17"/>
  <c r="BC145" i="17"/>
  <c r="AP144" i="17"/>
  <c r="AC4" i="32"/>
  <c r="AC8" i="32" s="1"/>
  <c r="S51" i="31"/>
  <c r="S48" i="31"/>
  <c r="S46" i="31"/>
  <c r="S52" i="31"/>
  <c r="S45" i="31"/>
  <c r="Q13" i="1" a="1"/>
  <c r="Q13" i="1" s="1"/>
  <c r="Z8" i="1"/>
  <c r="D7" i="1" a="1"/>
  <c r="D7" i="1" s="1"/>
  <c r="Z9" i="1"/>
  <c r="S7" i="1"/>
  <c r="X7" i="1" a="1"/>
  <c r="X7" i="1" s="1"/>
  <c r="AA12" i="1"/>
  <c r="U12" i="1"/>
  <c r="K9" i="1" a="1"/>
  <c r="K9" i="1" s="1"/>
  <c r="S6" i="1"/>
  <c r="M11" i="1"/>
  <c r="B19" i="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L13" i="1"/>
  <c r="S12" i="1"/>
  <c r="U10" i="1"/>
  <c r="M8" i="1"/>
  <c r="K7" i="1" a="1"/>
  <c r="K7" i="1" s="1"/>
  <c r="F9" i="1"/>
  <c r="H7" i="1"/>
  <c r="X13" i="1" a="1"/>
  <c r="X13" i="1" s="1"/>
  <c r="D13" i="1" a="1"/>
  <c r="D13" i="1" s="1"/>
  <c r="H12" i="1"/>
  <c r="Q11" i="1" a="1"/>
  <c r="Q11" i="1" s="1"/>
  <c r="AA9" i="1"/>
  <c r="T7" i="1"/>
  <c r="Z6" i="1"/>
  <c r="F6" i="1"/>
  <c r="T10" i="1"/>
  <c r="X8" i="1" a="1"/>
  <c r="X8" i="1" s="1"/>
  <c r="T9" i="1"/>
  <c r="F8" i="1"/>
  <c r="H6" i="1"/>
  <c r="K10" i="1" a="1"/>
  <c r="K10" i="1" s="1"/>
  <c r="Q6" i="1" a="1"/>
  <c r="Q6" i="1" s="1"/>
  <c r="M10" i="1"/>
  <c r="D5" i="10" s="1"/>
  <c r="L7" i="1"/>
  <c r="L8" i="1"/>
  <c r="Z161" i="25"/>
  <c r="H244" i="1"/>
  <c r="E20" i="1"/>
  <c r="E21" i="1" s="1"/>
  <c r="E22" i="1" s="1"/>
  <c r="G19" i="1"/>
  <c r="L20" i="1"/>
  <c r="L21" i="1" s="1"/>
  <c r="L22" i="1" s="1"/>
  <c r="N19" i="1"/>
  <c r="AB213" i="25"/>
  <c r="D213" i="25"/>
  <c r="H232" i="1"/>
  <c r="R20" i="1"/>
  <c r="R21" i="1" s="1"/>
  <c r="R22" i="1" s="1"/>
  <c r="T19" i="1"/>
  <c r="H256" i="1"/>
  <c r="H268" i="1"/>
  <c r="Y20" i="1"/>
  <c r="Y21" i="1" s="1"/>
  <c r="Y22" i="1" s="1"/>
  <c r="AA19" i="1"/>
  <c r="C8" i="22"/>
  <c r="I18" i="22" s="1"/>
  <c r="D9" i="1" a="1"/>
  <c r="D9" i="1" s="1"/>
  <c r="F10" i="1"/>
  <c r="Z10" i="1"/>
  <c r="M12" i="1"/>
  <c r="B6" i="22"/>
  <c r="B16" i="22"/>
  <c r="L6" i="1"/>
  <c r="X6" i="1" a="1"/>
  <c r="X6" i="1" s="1"/>
  <c r="F7" i="1"/>
  <c r="Z7" i="1"/>
  <c r="K8" i="1" a="1"/>
  <c r="K8" i="1" s="1"/>
  <c r="C37" i="22" s="1"/>
  <c r="M6" i="22" s="1"/>
  <c r="T8" i="1"/>
  <c r="M9" i="1"/>
  <c r="AA10" i="1"/>
  <c r="U11" i="1"/>
  <c r="Q12" i="1" a="1"/>
  <c r="Q12" i="1" s="1"/>
  <c r="H13" i="1"/>
  <c r="S13" i="1"/>
  <c r="AZ219" i="25"/>
  <c r="AY220" i="25" s="1"/>
  <c r="AZ256" i="25"/>
  <c r="AY257" i="25" s="1"/>
  <c r="D257" i="25" s="1"/>
  <c r="AZ259" i="25"/>
  <c r="AY260" i="25" s="1"/>
  <c r="D260" i="25" s="1"/>
  <c r="AZ269" i="25"/>
  <c r="AY270" i="25" s="1"/>
  <c r="D270" i="25" s="1"/>
  <c r="AZ273" i="25"/>
  <c r="AY274" i="25" s="1"/>
  <c r="D274" i="25" s="1"/>
  <c r="AZ274" i="25"/>
  <c r="AY275" i="25" s="1"/>
  <c r="D275" i="25" s="1"/>
  <c r="AZ286" i="25"/>
  <c r="AY287" i="25" s="1"/>
  <c r="D287" i="25" s="1"/>
  <c r="AE183" i="27"/>
  <c r="AD184" i="27" s="1"/>
  <c r="D184" i="27" s="1"/>
  <c r="U6" i="1"/>
  <c r="X9" i="1" a="1"/>
  <c r="X9" i="1" s="1"/>
  <c r="T11" i="1"/>
  <c r="G13" i="1"/>
  <c r="C6" i="22"/>
  <c r="C16" i="22"/>
  <c r="J18" i="22" s="1"/>
  <c r="G7" i="1"/>
  <c r="AA7" i="1"/>
  <c r="U8" i="1"/>
  <c r="Q9" i="1" a="1"/>
  <c r="Q9" i="1" s="1"/>
  <c r="H10" i="1"/>
  <c r="D2" i="10" s="1"/>
  <c r="S10" i="1"/>
  <c r="D11" i="1" a="1"/>
  <c r="D11" i="1" s="1"/>
  <c r="X11" i="1" a="1"/>
  <c r="X11" i="1" s="1"/>
  <c r="F12" i="1"/>
  <c r="Z12" i="1"/>
  <c r="K13" i="1" a="1"/>
  <c r="K13" i="1" s="1"/>
  <c r="T13" i="1"/>
  <c r="AZ232" i="25"/>
  <c r="AY233" i="25" s="1"/>
  <c r="D233" i="25" s="1"/>
  <c r="AZ275" i="25"/>
  <c r="AY276" i="25" s="1"/>
  <c r="D276" i="25" s="1"/>
  <c r="N22" i="2"/>
  <c r="L23" i="2"/>
  <c r="L24" i="2" s="1"/>
  <c r="L25" i="2" s="1"/>
  <c r="L23" i="35"/>
  <c r="L24" i="35" s="1"/>
  <c r="L25" i="35" s="1"/>
  <c r="N22" i="35"/>
  <c r="B7" i="22"/>
  <c r="C9" i="22"/>
  <c r="I24" i="22" s="1"/>
  <c r="R19" i="25"/>
  <c r="AB217" i="25"/>
  <c r="AZ237" i="25"/>
  <c r="AY238" i="25" s="1"/>
  <c r="D238" i="25" s="1"/>
  <c r="AY253" i="25"/>
  <c r="D253" i="25" s="1"/>
  <c r="AZ267" i="25"/>
  <c r="AY268" i="25" s="1"/>
  <c r="D268" i="25" s="1"/>
  <c r="AZ281" i="25"/>
  <c r="AY282" i="25" s="1"/>
  <c r="D282" i="25" s="1"/>
  <c r="T19" i="2"/>
  <c r="R20" i="2"/>
  <c r="R21" i="2" s="1"/>
  <c r="R22" i="2" s="1"/>
  <c r="T19" i="27"/>
  <c r="L23" i="36"/>
  <c r="L24" i="36" s="1"/>
  <c r="L25" i="36" s="1"/>
  <c r="N22" i="36"/>
  <c r="AW47" i="17"/>
  <c r="AW48" i="17" s="1"/>
  <c r="AW49" i="17" s="1"/>
  <c r="AY46" i="17"/>
  <c r="AX46" i="17"/>
  <c r="E5" i="24"/>
  <c r="E7" i="24"/>
  <c r="B2" i="23"/>
  <c r="E1" i="24"/>
  <c r="H4" i="22"/>
  <c r="C7" i="22"/>
  <c r="I12" i="22" s="1"/>
  <c r="H16" i="22"/>
  <c r="G6" i="1"/>
  <c r="AA6" i="1"/>
  <c r="U7" i="1"/>
  <c r="Q8" i="1" a="1"/>
  <c r="Q8" i="1" s="1"/>
  <c r="H9" i="1"/>
  <c r="S9" i="1"/>
  <c r="L10" i="1"/>
  <c r="E5" i="10" s="1"/>
  <c r="X10" i="1" a="1"/>
  <c r="X10" i="1" s="1"/>
  <c r="F11" i="1"/>
  <c r="Z11" i="1"/>
  <c r="K12" i="1" a="1"/>
  <c r="K12" i="1" s="1"/>
  <c r="T12" i="1"/>
  <c r="M13" i="1"/>
  <c r="AY250" i="25"/>
  <c r="D250" i="25" s="1"/>
  <c r="AZ262" i="25"/>
  <c r="AY263" i="25" s="1"/>
  <c r="D263" i="25" s="1"/>
  <c r="AZ282" i="25"/>
  <c r="AY283" i="25" s="1"/>
  <c r="D283" i="25" s="1"/>
  <c r="X41" i="29"/>
  <c r="X42" i="29" s="1"/>
  <c r="X43" i="29" s="1"/>
  <c r="Z40" i="29"/>
  <c r="AY279" i="25"/>
  <c r="D279" i="25" s="1"/>
  <c r="H184" i="2"/>
  <c r="AE201" i="27"/>
  <c r="AD202" i="27" s="1"/>
  <c r="D202" i="27" s="1"/>
  <c r="W20" i="28"/>
  <c r="W21" i="28" s="1"/>
  <c r="W22" i="28" s="1"/>
  <c r="Y19" i="28"/>
  <c r="AB211" i="25"/>
  <c r="E20" i="2"/>
  <c r="E21" i="2" s="1"/>
  <c r="E22" i="2" s="1"/>
  <c r="G19" i="2"/>
  <c r="C5" i="22"/>
  <c r="I6" i="22" s="1"/>
  <c r="B8" i="22"/>
  <c r="H10" i="22"/>
  <c r="C17" i="22"/>
  <c r="J24" i="22" s="1"/>
  <c r="J25" i="22" s="1"/>
  <c r="K6" i="1" a="1"/>
  <c r="K6" i="1" s="1"/>
  <c r="C29" i="22" s="1"/>
  <c r="L6" i="22" s="1"/>
  <c r="T6" i="1"/>
  <c r="M7" i="1"/>
  <c r="G8" i="1"/>
  <c r="U9" i="1"/>
  <c r="Q10" i="1" a="1"/>
  <c r="Q10" i="1" s="1"/>
  <c r="H11" i="1"/>
  <c r="S11" i="1"/>
  <c r="D12" i="1" a="1"/>
  <c r="D12" i="1" s="1"/>
  <c r="L12" i="1"/>
  <c r="X12" i="1" a="1"/>
  <c r="X12" i="1" s="1"/>
  <c r="Z13" i="1"/>
  <c r="D223" i="25"/>
  <c r="AB223" i="25"/>
  <c r="AZ230" i="25"/>
  <c r="AY231" i="25" s="1"/>
  <c r="D231" i="25" s="1"/>
  <c r="AZ268" i="25"/>
  <c r="AY269" i="25" s="1"/>
  <c r="D269" i="25" s="1"/>
  <c r="AZ220" i="25"/>
  <c r="AY221" i="25" s="1"/>
  <c r="Q7" i="1" a="1"/>
  <c r="Q7" i="1" s="1"/>
  <c r="H8" i="1"/>
  <c r="K11" i="1" a="1"/>
  <c r="K11" i="1" s="1"/>
  <c r="AA13" i="1"/>
  <c r="G19" i="25"/>
  <c r="E20" i="25"/>
  <c r="E21" i="25" s="1"/>
  <c r="E22" i="25" s="1"/>
  <c r="AZ226" i="25"/>
  <c r="AY227" i="25" s="1"/>
  <c r="D227" i="25" s="1"/>
  <c r="AY261" i="25"/>
  <c r="D261" i="25" s="1"/>
  <c r="AZ290" i="25"/>
  <c r="AY291" i="25" s="1"/>
  <c r="D291" i="25" s="1"/>
  <c r="T22" i="35"/>
  <c r="R23" i="35"/>
  <c r="R24" i="35" s="1"/>
  <c r="R25" i="35" s="1"/>
  <c r="AY212" i="25"/>
  <c r="BA228" i="25"/>
  <c r="AY229" i="25" s="1"/>
  <c r="D229" i="25" s="1"/>
  <c r="AY262" i="25"/>
  <c r="D262" i="25" s="1"/>
  <c r="L18" i="27"/>
  <c r="L19" i="27" s="1"/>
  <c r="B19" i="27"/>
  <c r="AD173" i="27"/>
  <c r="D173" i="27" s="1"/>
  <c r="AD177" i="27"/>
  <c r="D177" i="27" s="1"/>
  <c r="AD197" i="27"/>
  <c r="D197" i="27" s="1"/>
  <c r="AE204" i="27"/>
  <c r="AD205" i="27" s="1"/>
  <c r="D205" i="27" s="1"/>
  <c r="B18" i="36"/>
  <c r="BJ20" i="28"/>
  <c r="BJ21" i="28" s="1"/>
  <c r="BJ22" i="28" s="1"/>
  <c r="BL19" i="28"/>
  <c r="AZ238" i="25"/>
  <c r="AY239" i="25" s="1"/>
  <c r="D239" i="25" s="1"/>
  <c r="AZ243" i="25"/>
  <c r="AY244" i="25" s="1"/>
  <c r="D244" i="25" s="1"/>
  <c r="G19" i="27"/>
  <c r="AE178" i="27"/>
  <c r="AD179" i="27" s="1"/>
  <c r="D179" i="27" s="1"/>
  <c r="AE193" i="27"/>
  <c r="AD194" i="27" s="1"/>
  <c r="D194" i="27" s="1"/>
  <c r="AE200" i="27"/>
  <c r="AD201" i="27" s="1"/>
  <c r="D201" i="27" s="1"/>
  <c r="AD209" i="27"/>
  <c r="D209" i="27" s="1"/>
  <c r="AD224" i="27"/>
  <c r="D224" i="27" s="1"/>
  <c r="E18" i="36"/>
  <c r="E19" i="36" s="1"/>
  <c r="E20" i="36" s="1"/>
  <c r="E21" i="36" s="1"/>
  <c r="E22" i="36" s="1"/>
  <c r="E23" i="35"/>
  <c r="E24" i="35" s="1"/>
  <c r="E25" i="35" s="1"/>
  <c r="G22" i="35"/>
  <c r="BQ23" i="17"/>
  <c r="BQ24" i="17" s="1"/>
  <c r="BQ25" i="17" s="1"/>
  <c r="BS22" i="17"/>
  <c r="BR22" i="17"/>
  <c r="AZ213" i="25"/>
  <c r="AY214" i="25" s="1"/>
  <c r="AZ218" i="25"/>
  <c r="AY219" i="25" s="1"/>
  <c r="AZ235" i="25"/>
  <c r="AY236" i="25" s="1"/>
  <c r="D236" i="25" s="1"/>
  <c r="AZ240" i="25"/>
  <c r="AY241" i="25" s="1"/>
  <c r="D241" i="25" s="1"/>
  <c r="AZ258" i="25"/>
  <c r="AY259" i="25" s="1"/>
  <c r="D259" i="25" s="1"/>
  <c r="AZ271" i="25"/>
  <c r="AY272" i="25" s="1"/>
  <c r="D272" i="25" s="1"/>
  <c r="AY288" i="25"/>
  <c r="D288" i="25" s="1"/>
  <c r="AE197" i="27"/>
  <c r="AD198" i="27" s="1"/>
  <c r="D198" i="27" s="1"/>
  <c r="BJ47" i="17"/>
  <c r="BJ48" i="17" s="1"/>
  <c r="BJ49" i="17" s="1"/>
  <c r="BK46" i="17"/>
  <c r="BL46" i="17"/>
  <c r="AZ251" i="25"/>
  <c r="AY252" i="25" s="1"/>
  <c r="D252" i="25" s="1"/>
  <c r="AZ266" i="25"/>
  <c r="AY267" i="25" s="1"/>
  <c r="D267" i="25" s="1"/>
  <c r="AD171" i="27"/>
  <c r="D171" i="27" s="1"/>
  <c r="AE174" i="27"/>
  <c r="AD175" i="27" s="1"/>
  <c r="D175" i="27" s="1"/>
  <c r="AE198" i="27"/>
  <c r="AD199" i="27" s="1"/>
  <c r="D199" i="27" s="1"/>
  <c r="AD203" i="27"/>
  <c r="D203" i="27" s="1"/>
  <c r="AD208" i="27"/>
  <c r="D208" i="27" s="1"/>
  <c r="AE213" i="27"/>
  <c r="AD214" i="27" s="1"/>
  <c r="D214" i="27" s="1"/>
  <c r="AE188" i="27"/>
  <c r="AD189" i="27" s="1"/>
  <c r="D189" i="27" s="1"/>
  <c r="AE206" i="27"/>
  <c r="AD207" i="27" s="1"/>
  <c r="D207" i="27" s="1"/>
  <c r="AD230" i="27"/>
  <c r="D230" i="27" s="1"/>
  <c r="T22" i="36"/>
  <c r="R23" i="36"/>
  <c r="R24" i="36" s="1"/>
  <c r="R25" i="36" s="1"/>
  <c r="AZ223" i="25"/>
  <c r="B20" i="2"/>
  <c r="E23" i="27"/>
  <c r="E24" i="27" s="1"/>
  <c r="E25" i="27" s="1"/>
  <c r="G22" i="27"/>
  <c r="AE171" i="27"/>
  <c r="AD172" i="27" s="1"/>
  <c r="D172" i="27" s="1"/>
  <c r="M39" i="23" s="1"/>
  <c r="AD190" i="27"/>
  <c r="D190" i="27" s="1"/>
  <c r="B18" i="25"/>
  <c r="AZ241" i="25"/>
  <c r="AY242" i="25" s="1"/>
  <c r="D242" i="25" s="1"/>
  <c r="N65" i="23"/>
  <c r="N78" i="23"/>
  <c r="N39" i="23"/>
  <c r="AE186" i="27"/>
  <c r="AD187" i="27" s="1"/>
  <c r="D187" i="27" s="1"/>
  <c r="AD188" i="27"/>
  <c r="D188" i="27" s="1"/>
  <c r="AE203" i="27"/>
  <c r="AD204" i="27" s="1"/>
  <c r="D204" i="27" s="1"/>
  <c r="AL19" i="17"/>
  <c r="AJ20" i="17"/>
  <c r="AJ21" i="17" s="1"/>
  <c r="AJ22" i="17" s="1"/>
  <c r="L19" i="28"/>
  <c r="J20" i="28"/>
  <c r="J21" i="28" s="1"/>
  <c r="J22" i="28" s="1"/>
  <c r="BD18" i="17"/>
  <c r="BD19" i="17" s="1"/>
  <c r="AE163" i="27"/>
  <c r="AD164" i="27" s="1"/>
  <c r="D164" i="27" s="1"/>
  <c r="AE168" i="27"/>
  <c r="AD169" i="27" s="1"/>
  <c r="D169" i="27" s="1"/>
  <c r="AE181" i="27"/>
  <c r="AD182" i="27" s="1"/>
  <c r="D182" i="27" s="1"/>
  <c r="AE184" i="27"/>
  <c r="AD185" i="27" s="1"/>
  <c r="D185" i="27" s="1"/>
  <c r="AE211" i="27"/>
  <c r="AD212" i="27" s="1"/>
  <c r="D212" i="27" s="1"/>
  <c r="AE218" i="27"/>
  <c r="AD219" i="27" s="1"/>
  <c r="D219" i="27" s="1"/>
  <c r="AE221" i="27"/>
  <c r="AD222" i="27" s="1"/>
  <c r="D222" i="27" s="1"/>
  <c r="AE228" i="27"/>
  <c r="AD229" i="27" s="1"/>
  <c r="D229" i="27" s="1"/>
  <c r="B19" i="35"/>
  <c r="BZ22" i="17"/>
  <c r="P100" i="17"/>
  <c r="AC100" i="17"/>
  <c r="AP100" i="17"/>
  <c r="CE100" i="17"/>
  <c r="BC100" i="17"/>
  <c r="BP104" i="17"/>
  <c r="P104" i="17"/>
  <c r="CE104" i="17"/>
  <c r="AC104" i="17"/>
  <c r="AP104" i="17"/>
  <c r="J20" i="17"/>
  <c r="J21" i="17" s="1"/>
  <c r="J22" i="17" s="1"/>
  <c r="L19" i="17"/>
  <c r="BP99" i="17"/>
  <c r="P99" i="17"/>
  <c r="CE99" i="17"/>
  <c r="AC99" i="17"/>
  <c r="AP99" i="17"/>
  <c r="BZ22" i="28"/>
  <c r="BY23" i="28"/>
  <c r="BY24" i="28" s="1"/>
  <c r="BY25" i="28" s="1"/>
  <c r="CA22" i="28"/>
  <c r="AE166" i="27"/>
  <c r="AE225" i="27"/>
  <c r="AD226" i="27" s="1"/>
  <c r="D226" i="27" s="1"/>
  <c r="P26" i="17"/>
  <c r="CE26" i="17"/>
  <c r="AC26" i="17"/>
  <c r="AP26" i="17"/>
  <c r="P35" i="17"/>
  <c r="CE35" i="17"/>
  <c r="AC35" i="17"/>
  <c r="AP35" i="17"/>
  <c r="BP98" i="17"/>
  <c r="P98" i="17"/>
  <c r="CE98" i="17"/>
  <c r="AC98" i="17"/>
  <c r="AP98" i="17"/>
  <c r="CE106" i="17"/>
  <c r="AP106" i="17"/>
  <c r="AC106" i="17"/>
  <c r="BC106" i="17"/>
  <c r="P106" i="17"/>
  <c r="BS19" i="28"/>
  <c r="BQ20" i="28"/>
  <c r="BQ21" i="28" s="1"/>
  <c r="BQ22" i="28" s="1"/>
  <c r="BC17" i="28"/>
  <c r="Y19" i="17"/>
  <c r="W20" i="17"/>
  <c r="W21" i="17" s="1"/>
  <c r="W22" i="17" s="1"/>
  <c r="P27" i="17"/>
  <c r="CE27" i="17"/>
  <c r="AC27" i="17"/>
  <c r="AP27" i="17"/>
  <c r="P36" i="17"/>
  <c r="CE36" i="17"/>
  <c r="AC36" i="17"/>
  <c r="AP36" i="17"/>
  <c r="BC99" i="17"/>
  <c r="P17" i="28"/>
  <c r="CA19" i="28"/>
  <c r="AP21" i="28"/>
  <c r="BC21" i="28"/>
  <c r="AP61" i="28"/>
  <c r="CE61" i="28"/>
  <c r="BC61" i="28"/>
  <c r="P61" i="28"/>
  <c r="P107" i="28"/>
  <c r="AC107" i="28"/>
  <c r="BC107" i="28"/>
  <c r="BP107" i="28"/>
  <c r="BY23" i="17"/>
  <c r="BY24" i="17" s="1"/>
  <c r="BY25" i="17" s="1"/>
  <c r="AC28" i="17"/>
  <c r="AP28" i="17"/>
  <c r="CE28" i="17"/>
  <c r="P28" i="17"/>
  <c r="BC28" i="17"/>
  <c r="AC37" i="17"/>
  <c r="AP37" i="17"/>
  <c r="CE37" i="17"/>
  <c r="P37" i="17"/>
  <c r="BC37" i="17"/>
  <c r="BP105" i="17"/>
  <c r="P105" i="17"/>
  <c r="CE105" i="17"/>
  <c r="AC105" i="17"/>
  <c r="AP105" i="17"/>
  <c r="AJ20" i="28"/>
  <c r="AJ21" i="28" s="1"/>
  <c r="AJ22" i="28" s="1"/>
  <c r="AL19" i="28"/>
  <c r="AW20" i="28"/>
  <c r="AW21" i="28" s="1"/>
  <c r="AW22" i="28" s="1"/>
  <c r="AY19" i="28"/>
  <c r="AP37" i="28"/>
  <c r="CE37" i="28"/>
  <c r="BC37" i="28"/>
  <c r="P37" i="28"/>
  <c r="AC17" i="17"/>
  <c r="AP19" i="17"/>
  <c r="CE20" i="17"/>
  <c r="CE21" i="17"/>
  <c r="CE29" i="17"/>
  <c r="CE30" i="17"/>
  <c r="AP31" i="17"/>
  <c r="CE34" i="17"/>
  <c r="CE38" i="17"/>
  <c r="CE39" i="17"/>
  <c r="AP40" i="17"/>
  <c r="AC46" i="17"/>
  <c r="CE50" i="17"/>
  <c r="CE51" i="17"/>
  <c r="AP52" i="17"/>
  <c r="CE56" i="17"/>
  <c r="CE57" i="17"/>
  <c r="CE59" i="17"/>
  <c r="CE60" i="17"/>
  <c r="AP61" i="17"/>
  <c r="CE65" i="17"/>
  <c r="CE66" i="17"/>
  <c r="AP67" i="17"/>
  <c r="AC70" i="17"/>
  <c r="CE74" i="17"/>
  <c r="CE75" i="17"/>
  <c r="AP76" i="17"/>
  <c r="CE80" i="17"/>
  <c r="CE81" i="17"/>
  <c r="CE86" i="17"/>
  <c r="CE87" i="17"/>
  <c r="AP88" i="17"/>
  <c r="CE92" i="17"/>
  <c r="CE93" i="17"/>
  <c r="AP94" i="17"/>
  <c r="BC97" i="17"/>
  <c r="CE103" i="17"/>
  <c r="AC107" i="17"/>
  <c r="AC108" i="17"/>
  <c r="BC109" i="17"/>
  <c r="BP110" i="17"/>
  <c r="BP111" i="17"/>
  <c r="P112" i="17"/>
  <c r="AC113" i="17"/>
  <c r="AC114" i="17"/>
  <c r="BC115" i="17"/>
  <c r="BP116" i="17"/>
  <c r="BP117" i="17"/>
  <c r="CE118" i="17"/>
  <c r="BC119" i="17"/>
  <c r="BC120" i="17"/>
  <c r="BP121" i="17"/>
  <c r="P122" i="17"/>
  <c r="P123" i="17"/>
  <c r="AC124" i="17"/>
  <c r="BC125" i="17"/>
  <c r="BC126" i="17"/>
  <c r="BP127" i="17"/>
  <c r="P128" i="17"/>
  <c r="P129" i="17"/>
  <c r="CE134" i="17"/>
  <c r="CE135" i="17"/>
  <c r="AP136" i="17"/>
  <c r="AC140" i="17"/>
  <c r="CE143" i="17"/>
  <c r="AC144" i="17"/>
  <c r="B17" i="28"/>
  <c r="AP20" i="28"/>
  <c r="CE21" i="28"/>
  <c r="AC21" i="28"/>
  <c r="P27" i="28"/>
  <c r="CE27" i="28"/>
  <c r="AC27" i="28"/>
  <c r="P36" i="28"/>
  <c r="CE36" i="28"/>
  <c r="AC36" i="28"/>
  <c r="AC40" i="28"/>
  <c r="AP40" i="28"/>
  <c r="BC40" i="28"/>
  <c r="AC46" i="28"/>
  <c r="P47" i="28"/>
  <c r="CE47" i="28"/>
  <c r="AC47" i="28"/>
  <c r="P51" i="28"/>
  <c r="CE51" i="28"/>
  <c r="AC51" i="28"/>
  <c r="BC53" i="28"/>
  <c r="BC57" i="28"/>
  <c r="P60" i="28"/>
  <c r="CE60" i="28"/>
  <c r="AC60" i="28"/>
  <c r="AP62" i="28"/>
  <c r="AC62" i="28"/>
  <c r="AC64" i="28"/>
  <c r="AP64" i="28"/>
  <c r="BC64" i="28"/>
  <c r="P75" i="28"/>
  <c r="AC76" i="28"/>
  <c r="P99" i="28"/>
  <c r="CE122" i="28"/>
  <c r="P122" i="28"/>
  <c r="BC122" i="28"/>
  <c r="AC16" i="17"/>
  <c r="AC19" i="17"/>
  <c r="P20" i="17"/>
  <c r="P21" i="17"/>
  <c r="P29" i="17"/>
  <c r="P30" i="17"/>
  <c r="P38" i="17"/>
  <c r="P39" i="17"/>
  <c r="P50" i="17"/>
  <c r="P51" i="17"/>
  <c r="AC52" i="17"/>
  <c r="P56" i="17"/>
  <c r="P57" i="17"/>
  <c r="P59" i="17"/>
  <c r="P60" i="17"/>
  <c r="AC61" i="17"/>
  <c r="P65" i="17"/>
  <c r="P66" i="17"/>
  <c r="AC67" i="17"/>
  <c r="P74" i="17"/>
  <c r="P75" i="17"/>
  <c r="AC76" i="17"/>
  <c r="AC88" i="17"/>
  <c r="P92" i="17"/>
  <c r="P93" i="17"/>
  <c r="CE97" i="17"/>
  <c r="CE101" i="17"/>
  <c r="CE102" i="17"/>
  <c r="AP103" i="17"/>
  <c r="CE109" i="17"/>
  <c r="AP110" i="17"/>
  <c r="AP111" i="17"/>
  <c r="CE115" i="17"/>
  <c r="AP116" i="17"/>
  <c r="AP117" i="17"/>
  <c r="BP122" i="17"/>
  <c r="BP123" i="17"/>
  <c r="P124" i="17"/>
  <c r="BP128" i="17"/>
  <c r="BT163" i="17" s="1"/>
  <c r="BP129" i="17"/>
  <c r="CE130" i="17"/>
  <c r="P134" i="17"/>
  <c r="P135" i="17"/>
  <c r="AC136" i="17"/>
  <c r="BC137" i="17"/>
  <c r="BC138" i="17"/>
  <c r="P142" i="17"/>
  <c r="P143" i="17"/>
  <c r="AP16" i="28"/>
  <c r="AQ16" i="28" s="1"/>
  <c r="AP17" i="28"/>
  <c r="AC18" i="28"/>
  <c r="BC20" i="28"/>
  <c r="AC20" i="28"/>
  <c r="AP23" i="28"/>
  <c r="AP27" i="28"/>
  <c r="AP47" i="28"/>
  <c r="AP51" i="28"/>
  <c r="AP76" i="28"/>
  <c r="BC76" i="28"/>
  <c r="P76" i="28"/>
  <c r="P91" i="28"/>
  <c r="AC99" i="28"/>
  <c r="BC99" i="28"/>
  <c r="BP99" i="28"/>
  <c r="CE107" i="28"/>
  <c r="AP115" i="28"/>
  <c r="P115" i="28"/>
  <c r="CE115" i="28"/>
  <c r="AC115" i="28"/>
  <c r="BC115" i="28"/>
  <c r="BP115" i="28"/>
  <c r="E24" i="41"/>
  <c r="E25" i="41" s="1"/>
  <c r="E26" i="41" s="1"/>
  <c r="G23" i="41"/>
  <c r="BC110" i="17"/>
  <c r="BC111" i="17"/>
  <c r="BP112" i="17"/>
  <c r="BC116" i="17"/>
  <c r="BC117" i="17"/>
  <c r="BP118" i="17"/>
  <c r="AP142" i="17"/>
  <c r="BC24" i="28"/>
  <c r="CE28" i="28"/>
  <c r="AP30" i="28"/>
  <c r="AC30" i="28"/>
  <c r="P34" i="28"/>
  <c r="P43" i="28"/>
  <c r="AC43" i="28"/>
  <c r="AP43" i="28"/>
  <c r="CE43" i="28"/>
  <c r="BC43" i="28"/>
  <c r="BC48" i="28"/>
  <c r="CE52" i="28"/>
  <c r="AP54" i="28"/>
  <c r="AC54" i="28"/>
  <c r="P58" i="28"/>
  <c r="P67" i="28"/>
  <c r="AC67" i="28"/>
  <c r="AP67" i="28"/>
  <c r="CE67" i="28"/>
  <c r="BC67" i="28"/>
  <c r="CE72" i="28"/>
  <c r="AC72" i="28"/>
  <c r="AP73" i="28"/>
  <c r="CE73" i="28"/>
  <c r="BC73" i="28"/>
  <c r="P73" i="28"/>
  <c r="AC73" i="28"/>
  <c r="AP97" i="28"/>
  <c r="CE97" i="28"/>
  <c r="BC97" i="28"/>
  <c r="P97" i="28"/>
  <c r="AC97" i="28"/>
  <c r="P16" i="17"/>
  <c r="B18" i="17"/>
  <c r="AP18" i="17"/>
  <c r="AC22" i="17"/>
  <c r="P43" i="17"/>
  <c r="AC58" i="17"/>
  <c r="P94" i="17"/>
  <c r="BC94" i="17"/>
  <c r="BP107" i="17"/>
  <c r="BP108" i="17"/>
  <c r="P109" i="17"/>
  <c r="AC110" i="17"/>
  <c r="AC111" i="17"/>
  <c r="BC112" i="17"/>
  <c r="BP113" i="17"/>
  <c r="BP114" i="17"/>
  <c r="P115" i="17"/>
  <c r="AC116" i="17"/>
  <c r="AC117" i="17"/>
  <c r="AC118" i="17"/>
  <c r="BP124" i="17"/>
  <c r="CE142" i="17"/>
  <c r="P24" i="28"/>
  <c r="CE24" i="28"/>
  <c r="AC24" i="28"/>
  <c r="AP26" i="28"/>
  <c r="AC26" i="28"/>
  <c r="AC28" i="28"/>
  <c r="AP28" i="28"/>
  <c r="BC28" i="28"/>
  <c r="AC34" i="28"/>
  <c r="P35" i="28"/>
  <c r="CE35" i="28"/>
  <c r="AC35" i="28"/>
  <c r="P39" i="28"/>
  <c r="CE39" i="28"/>
  <c r="AC39" i="28"/>
  <c r="P48" i="28"/>
  <c r="CE48" i="28"/>
  <c r="AC48" i="28"/>
  <c r="AP50" i="28"/>
  <c r="AC50" i="28"/>
  <c r="AC52" i="28"/>
  <c r="AP52" i="28"/>
  <c r="BC52" i="28"/>
  <c r="AC58" i="28"/>
  <c r="P59" i="28"/>
  <c r="CE59" i="28"/>
  <c r="AC59" i="28"/>
  <c r="P63" i="28"/>
  <c r="CE63" i="28"/>
  <c r="AC63" i="28"/>
  <c r="AC88" i="28"/>
  <c r="AP22" i="17"/>
  <c r="AP32" i="17"/>
  <c r="AP33" i="17"/>
  <c r="P34" i="17"/>
  <c r="AP41" i="17"/>
  <c r="AP42" i="17"/>
  <c r="BC80" i="17"/>
  <c r="BC81" i="17"/>
  <c r="BC86" i="17"/>
  <c r="BC87" i="17"/>
  <c r="AP107" i="17"/>
  <c r="AP108" i="17"/>
  <c r="CE112" i="17"/>
  <c r="AP113" i="17"/>
  <c r="AP114" i="17"/>
  <c r="BC134" i="17"/>
  <c r="BC135" i="17"/>
  <c r="BP136" i="17"/>
  <c r="BC142" i="17"/>
  <c r="BC143" i="17"/>
  <c r="BC88" i="28"/>
  <c r="P88" i="28"/>
  <c r="AP16" i="17"/>
  <c r="CE110" i="17"/>
  <c r="CE111" i="17"/>
  <c r="AP112" i="17"/>
  <c r="CE116" i="17"/>
  <c r="CE117" i="17"/>
  <c r="BC136" i="17"/>
  <c r="AP19" i="28"/>
  <c r="BC19" i="28"/>
  <c r="P21" i="28"/>
  <c r="P23" i="28"/>
  <c r="CE23" i="28"/>
  <c r="AC23" i="28"/>
  <c r="AP25" i="28"/>
  <c r="CE25" i="28"/>
  <c r="BC25" i="28"/>
  <c r="P25" i="28"/>
  <c r="AC25" i="28"/>
  <c r="AP49" i="28"/>
  <c r="CE49" i="28"/>
  <c r="BC49" i="28"/>
  <c r="P49" i="28"/>
  <c r="AC49" i="28"/>
  <c r="P84" i="28"/>
  <c r="P101" i="28"/>
  <c r="AP118" i="28"/>
  <c r="P118" i="28"/>
  <c r="AC126" i="28"/>
  <c r="BP126" i="28"/>
  <c r="CE126" i="28"/>
  <c r="P126" i="28"/>
  <c r="AP126" i="28"/>
  <c r="BC126" i="28"/>
  <c r="AP34" i="17"/>
  <c r="P18" i="28"/>
  <c r="BC18" i="28"/>
  <c r="P22" i="28"/>
  <c r="BC27" i="28"/>
  <c r="P31" i="28"/>
  <c r="AC31" i="28"/>
  <c r="AP31" i="28"/>
  <c r="CE31" i="28"/>
  <c r="BC31" i="28"/>
  <c r="BC36" i="28"/>
  <c r="CE40" i="28"/>
  <c r="AP42" i="28"/>
  <c r="AC42" i="28"/>
  <c r="P46" i="28"/>
  <c r="BC51" i="28"/>
  <c r="P55" i="28"/>
  <c r="AC55" i="28"/>
  <c r="AP55" i="28"/>
  <c r="CE55" i="28"/>
  <c r="BC55" i="28"/>
  <c r="AP85" i="28"/>
  <c r="CE85" i="28"/>
  <c r="BC85" i="28"/>
  <c r="P85" i="28"/>
  <c r="AC85" i="28"/>
  <c r="AC101" i="28"/>
  <c r="BC101" i="28"/>
  <c r="BP101" i="28"/>
  <c r="G19" i="38"/>
  <c r="E20" i="38"/>
  <c r="E21" i="38" s="1"/>
  <c r="E22" i="38" s="1"/>
  <c r="BC69" i="28"/>
  <c r="AP71" i="28"/>
  <c r="AP75" i="28"/>
  <c r="BC77" i="28"/>
  <c r="BC81" i="28"/>
  <c r="AP83" i="28"/>
  <c r="AP87" i="28"/>
  <c r="BC89" i="28"/>
  <c r="BC93" i="28"/>
  <c r="AP95" i="28"/>
  <c r="AC106" i="28"/>
  <c r="BP114" i="28"/>
  <c r="AC114" i="28"/>
  <c r="CE114" i="28"/>
  <c r="BP122" i="28"/>
  <c r="BP127" i="28"/>
  <c r="AC127" i="28"/>
  <c r="CE127" i="28"/>
  <c r="BC127" i="28"/>
  <c r="U18" i="41"/>
  <c r="U19" i="41" s="1"/>
  <c r="U20" i="41" s="1"/>
  <c r="N21" i="41"/>
  <c r="N22" i="41" s="1"/>
  <c r="N23" i="41" s="1"/>
  <c r="P20" i="41"/>
  <c r="E20" i="39"/>
  <c r="E21" i="39" s="1"/>
  <c r="E22" i="39" s="1"/>
  <c r="G19" i="39"/>
  <c r="T19" i="39"/>
  <c r="R20" i="39"/>
  <c r="R21" i="39" s="1"/>
  <c r="R22" i="39" s="1"/>
  <c r="B20" i="12"/>
  <c r="AP22" i="28"/>
  <c r="AP24" i="28"/>
  <c r="BC26" i="28"/>
  <c r="AC29" i="28"/>
  <c r="BC30" i="28"/>
  <c r="AC33" i="28"/>
  <c r="AP34" i="28"/>
  <c r="AP36" i="28"/>
  <c r="BC38" i="28"/>
  <c r="AC41" i="28"/>
  <c r="BC42" i="28"/>
  <c r="AC45" i="28"/>
  <c r="AP46" i="28"/>
  <c r="AP48" i="28"/>
  <c r="BC50" i="28"/>
  <c r="AC53" i="28"/>
  <c r="BC54" i="28"/>
  <c r="AC57" i="28"/>
  <c r="AP58" i="28"/>
  <c r="AP60" i="28"/>
  <c r="BC62" i="28"/>
  <c r="AC65" i="28"/>
  <c r="BC66" i="28"/>
  <c r="AC69" i="28"/>
  <c r="AP70" i="28"/>
  <c r="AP72" i="28"/>
  <c r="BC74" i="28"/>
  <c r="AC77" i="28"/>
  <c r="BC78" i="28"/>
  <c r="AC81" i="28"/>
  <c r="AP82" i="28"/>
  <c r="AP84" i="28"/>
  <c r="BC86" i="28"/>
  <c r="AC89" i="28"/>
  <c r="BC90" i="28"/>
  <c r="AC93" i="28"/>
  <c r="AP94" i="28"/>
  <c r="AP96" i="28"/>
  <c r="BC98" i="28"/>
  <c r="AP99" i="28"/>
  <c r="AC100" i="28"/>
  <c r="AP101" i="28"/>
  <c r="P102" i="28"/>
  <c r="CE103" i="28"/>
  <c r="P104" i="28"/>
  <c r="AP106" i="28"/>
  <c r="AP107" i="28"/>
  <c r="P108" i="28"/>
  <c r="CE109" i="28"/>
  <c r="P110" i="28"/>
  <c r="BP111" i="28"/>
  <c r="AP116" i="28"/>
  <c r="CE118" i="28"/>
  <c r="BP118" i="28"/>
  <c r="P119" i="28"/>
  <c r="P130" i="28"/>
  <c r="BC135" i="28"/>
  <c r="AP135" i="28"/>
  <c r="BP135" i="28"/>
  <c r="P135" i="28"/>
  <c r="AC135" i="28"/>
  <c r="BC138" i="28"/>
  <c r="AP138" i="28"/>
  <c r="L18" i="38"/>
  <c r="L19" i="38" s="1"/>
  <c r="P20" i="28"/>
  <c r="BC22" i="28"/>
  <c r="CE29" i="28"/>
  <c r="P32" i="28"/>
  <c r="CE33" i="28"/>
  <c r="BC34" i="28"/>
  <c r="CE41" i="28"/>
  <c r="P44" i="28"/>
  <c r="CE45" i="28"/>
  <c r="BC46" i="28"/>
  <c r="CE53" i="28"/>
  <c r="P56" i="28"/>
  <c r="CE57" i="28"/>
  <c r="BC58" i="28"/>
  <c r="CE65" i="28"/>
  <c r="P68" i="28"/>
  <c r="CE69" i="28"/>
  <c r="BC70" i="28"/>
  <c r="AC71" i="28"/>
  <c r="BC72" i="28"/>
  <c r="AC75" i="28"/>
  <c r="CE77" i="28"/>
  <c r="BC79" i="28"/>
  <c r="P80" i="28"/>
  <c r="CE81" i="28"/>
  <c r="BC82" i="28"/>
  <c r="AC83" i="28"/>
  <c r="BC84" i="28"/>
  <c r="AC87" i="28"/>
  <c r="CE89" i="28"/>
  <c r="BC91" i="28"/>
  <c r="P92" i="28"/>
  <c r="CE93" i="28"/>
  <c r="BC94" i="28"/>
  <c r="AC95" i="28"/>
  <c r="BC96" i="28"/>
  <c r="AP102" i="28"/>
  <c r="AC103" i="28"/>
  <c r="AP104" i="28"/>
  <c r="P105" i="28"/>
  <c r="BC106" i="28"/>
  <c r="AP108" i="28"/>
  <c r="AC109" i="28"/>
  <c r="AP110" i="28"/>
  <c r="P111" i="28"/>
  <c r="P112" i="28"/>
  <c r="BC112" i="28"/>
  <c r="AP112" i="28"/>
  <c r="BP112" i="28"/>
  <c r="BC113" i="28"/>
  <c r="CE119" i="28"/>
  <c r="AC119" i="28"/>
  <c r="BP119" i="28"/>
  <c r="CE125" i="28"/>
  <c r="BP125" i="28"/>
  <c r="P125" i="28"/>
  <c r="AC125" i="28"/>
  <c r="AC128" i="28"/>
  <c r="P128" i="28"/>
  <c r="P134" i="28"/>
  <c r="N20" i="40"/>
  <c r="N21" i="40" s="1"/>
  <c r="N22" i="40" s="1"/>
  <c r="AB201" i="26"/>
  <c r="AA202" i="26" s="1"/>
  <c r="D202" i="26" s="1"/>
  <c r="CE79" i="28"/>
  <c r="CE90" i="28"/>
  <c r="CE91" i="28"/>
  <c r="CE98" i="28"/>
  <c r="P113" i="28"/>
  <c r="BP116" i="28"/>
  <c r="AC116" i="28"/>
  <c r="CE116" i="28"/>
  <c r="P117" i="28"/>
  <c r="AP117" i="28"/>
  <c r="BC117" i="28"/>
  <c r="AP127" i="28"/>
  <c r="AA18" i="41"/>
  <c r="AA19" i="41" s="1"/>
  <c r="AA20" i="41" s="1"/>
  <c r="AC17" i="41"/>
  <c r="E20" i="40"/>
  <c r="E21" i="40" s="1"/>
  <c r="E22" i="40" s="1"/>
  <c r="G19" i="40"/>
  <c r="P26" i="28"/>
  <c r="P30" i="28"/>
  <c r="P38" i="28"/>
  <c r="P42" i="28"/>
  <c r="P50" i="28"/>
  <c r="P54" i="28"/>
  <c r="P62" i="28"/>
  <c r="P66" i="28"/>
  <c r="CE71" i="28"/>
  <c r="P74" i="28"/>
  <c r="CE75" i="28"/>
  <c r="CE76" i="28"/>
  <c r="P78" i="28"/>
  <c r="AP79" i="28"/>
  <c r="AP80" i="28"/>
  <c r="CE83" i="28"/>
  <c r="P86" i="28"/>
  <c r="CE87" i="28"/>
  <c r="CE88" i="28"/>
  <c r="AP91" i="28"/>
  <c r="AP92" i="28"/>
  <c r="CE95" i="28"/>
  <c r="AP105" i="28"/>
  <c r="AP111" i="28"/>
  <c r="AP114" i="28"/>
  <c r="BC114" i="28"/>
  <c r="BP120" i="28"/>
  <c r="AC120" i="28"/>
  <c r="CE120" i="28"/>
  <c r="P127" i="28"/>
  <c r="AB17" i="41"/>
  <c r="K20" i="41"/>
  <c r="G19" i="37"/>
  <c r="E20" i="37"/>
  <c r="E21" i="37" s="1"/>
  <c r="E22" i="37" s="1"/>
  <c r="E20" i="12"/>
  <c r="E21" i="12" s="1"/>
  <c r="E22" i="12" s="1"/>
  <c r="L20" i="6"/>
  <c r="L21" i="6" s="1"/>
  <c r="L22" i="6" s="1"/>
  <c r="N19" i="6"/>
  <c r="AC79" i="28"/>
  <c r="CE84" i="28"/>
  <c r="AP88" i="28"/>
  <c r="AC91" i="28"/>
  <c r="CE96" i="28"/>
  <c r="BP98" i="28"/>
  <c r="CE99" i="28"/>
  <c r="BC100" i="28"/>
  <c r="CE101" i="28"/>
  <c r="BC111" i="28"/>
  <c r="AC112" i="28"/>
  <c r="CE113" i="28"/>
  <c r="AC113" i="28"/>
  <c r="BP113" i="28"/>
  <c r="P114" i="28"/>
  <c r="CE117" i="28"/>
  <c r="BP117" i="28"/>
  <c r="AC118" i="28"/>
  <c r="BC125" i="28"/>
  <c r="BC129" i="28"/>
  <c r="AP129" i="28"/>
  <c r="P129" i="28"/>
  <c r="CE129" i="28"/>
  <c r="AC129" i="28"/>
  <c r="BC134" i="28"/>
  <c r="B18" i="38"/>
  <c r="L20" i="12"/>
  <c r="L21" i="12" s="1"/>
  <c r="L22" i="12" s="1"/>
  <c r="N19" i="12"/>
  <c r="AP121" i="28"/>
  <c r="P121" i="28"/>
  <c r="CE123" i="28"/>
  <c r="BP123" i="28"/>
  <c r="P123" i="28"/>
  <c r="AC123" i="28"/>
  <c r="BC124" i="28"/>
  <c r="P124" i="28"/>
  <c r="AP124" i="28"/>
  <c r="CE124" i="28"/>
  <c r="AP125" i="28"/>
  <c r="BC131" i="28"/>
  <c r="AP131" i="28"/>
  <c r="BP131" i="28"/>
  <c r="P131" i="28"/>
  <c r="AC131" i="28"/>
  <c r="AC134" i="28"/>
  <c r="AP122" i="28"/>
  <c r="BC130" i="28"/>
  <c r="BP136" i="28"/>
  <c r="CE137" i="28"/>
  <c r="BC139" i="28"/>
  <c r="P140" i="28"/>
  <c r="CE141" i="28"/>
  <c r="BC142" i="28"/>
  <c r="AC143" i="28"/>
  <c r="BC144" i="28"/>
  <c r="AC145" i="28"/>
  <c r="B20" i="6"/>
  <c r="BP128" i="28"/>
  <c r="BP130" i="28"/>
  <c r="AC132" i="28"/>
  <c r="BP133" i="28"/>
  <c r="CE134" i="28"/>
  <c r="P137" i="28"/>
  <c r="CE138" i="28"/>
  <c r="CE139" i="28"/>
  <c r="BP140" i="28"/>
  <c r="P141" i="28"/>
  <c r="BP142" i="28"/>
  <c r="AC144" i="28"/>
  <c r="AP145" i="28"/>
  <c r="AC122" i="28"/>
  <c r="BP134" i="28"/>
  <c r="AP137" i="28"/>
  <c r="BP138" i="28"/>
  <c r="AC139" i="28"/>
  <c r="AP141" i="28"/>
  <c r="P143" i="28"/>
  <c r="BC145" i="28"/>
  <c r="B18" i="40"/>
  <c r="E20" i="6"/>
  <c r="E21" i="6" s="1"/>
  <c r="E22" i="6" s="1"/>
  <c r="G19" i="6"/>
  <c r="L20" i="26"/>
  <c r="L21" i="26" s="1"/>
  <c r="L22" i="26" s="1"/>
  <c r="N19" i="26"/>
  <c r="AB200" i="26"/>
  <c r="AA201" i="26" s="1"/>
  <c r="D201" i="26" s="1"/>
  <c r="P139" i="28"/>
  <c r="BC140" i="28"/>
  <c r="P142" i="28"/>
  <c r="BP143" i="28"/>
  <c r="K21" i="41"/>
  <c r="K22" i="41" s="1"/>
  <c r="K23" i="41" s="1"/>
  <c r="K24" i="41" s="1"/>
  <c r="K25" i="41" s="1"/>
  <c r="K26" i="41" s="1"/>
  <c r="K27" i="41" s="1"/>
  <c r="K28" i="41" s="1"/>
  <c r="K29" i="41" s="1"/>
  <c r="K30" i="41" s="1"/>
  <c r="K31" i="41" s="1"/>
  <c r="K32" i="41" s="1"/>
  <c r="K33" i="41" s="1"/>
  <c r="K34" i="41" s="1"/>
  <c r="K35" i="41" s="1"/>
  <c r="K36" i="41" s="1"/>
  <c r="K37" i="41" s="1"/>
  <c r="K38" i="41" s="1"/>
  <c r="K39" i="41" s="1"/>
  <c r="K40" i="41" s="1"/>
  <c r="K41" i="41" s="1"/>
  <c r="K42" i="41" s="1"/>
  <c r="K43" i="41" s="1"/>
  <c r="K44" i="41" s="1"/>
  <c r="K45" i="41" s="1"/>
  <c r="K46" i="41" s="1"/>
  <c r="K47" i="41" s="1"/>
  <c r="K48" i="41" s="1"/>
  <c r="K49" i="41" s="1"/>
  <c r="K50" i="41" s="1"/>
  <c r="K51" i="41" s="1"/>
  <c r="K52" i="41" s="1"/>
  <c r="K53" i="41" s="1"/>
  <c r="K54" i="41" s="1"/>
  <c r="K55" i="41" s="1"/>
  <c r="K56" i="41" s="1"/>
  <c r="K57" i="41" s="1"/>
  <c r="K58" i="41" s="1"/>
  <c r="K59" i="41" s="1"/>
  <c r="K60" i="41" s="1"/>
  <c r="K61" i="41" s="1"/>
  <c r="K62" i="41" s="1"/>
  <c r="K63" i="41" s="1"/>
  <c r="K64" i="41" s="1"/>
  <c r="K65" i="41" s="1"/>
  <c r="B18" i="39"/>
  <c r="T19" i="6"/>
  <c r="R20" i="6"/>
  <c r="R21" i="6" s="1"/>
  <c r="R22" i="6" s="1"/>
  <c r="H208" i="6"/>
  <c r="AC130" i="28"/>
  <c r="AC142" i="28"/>
  <c r="AP143" i="28"/>
  <c r="B18" i="37"/>
  <c r="K18" i="40"/>
  <c r="AB184" i="26"/>
  <c r="AA185" i="26" s="1"/>
  <c r="D185" i="26" s="1"/>
  <c r="H184" i="6"/>
  <c r="AB177" i="26"/>
  <c r="AA178" i="26" s="1"/>
  <c r="D178" i="26" s="1"/>
  <c r="AB181" i="26"/>
  <c r="AA182" i="26"/>
  <c r="D182" i="26" s="1"/>
  <c r="R20" i="26"/>
  <c r="R21" i="26" s="1"/>
  <c r="R22" i="26" s="1"/>
  <c r="T19" i="26"/>
  <c r="V162" i="26"/>
  <c r="D162" i="26"/>
  <c r="AA171" i="26"/>
  <c r="D171" i="26" s="1"/>
  <c r="L28" i="29"/>
  <c r="J29" i="29"/>
  <c r="J30" i="29" s="1"/>
  <c r="J31" i="29" s="1"/>
  <c r="V152" i="26"/>
  <c r="D152" i="26"/>
  <c r="AA156" i="26"/>
  <c r="AA168" i="26"/>
  <c r="D168" i="26" s="1"/>
  <c r="AA191" i="26"/>
  <c r="D191" i="26" s="1"/>
  <c r="AB154" i="26"/>
  <c r="AA155" i="26" s="1"/>
  <c r="AA159" i="26"/>
  <c r="AB160" i="26"/>
  <c r="AA161" i="26" s="1"/>
  <c r="AA183" i="26"/>
  <c r="D183" i="26" s="1"/>
  <c r="AA186" i="26"/>
  <c r="D186" i="26" s="1"/>
  <c r="AB202" i="26"/>
  <c r="AA203" i="26" s="1"/>
  <c r="D203" i="26" s="1"/>
  <c r="AA204" i="26"/>
  <c r="D204" i="26" s="1"/>
  <c r="AA208" i="26"/>
  <c r="D208" i="26" s="1"/>
  <c r="AA212" i="26"/>
  <c r="D212" i="26" s="1"/>
  <c r="AA153" i="26"/>
  <c r="AA165" i="26"/>
  <c r="D165" i="26" s="1"/>
  <c r="AA176" i="26"/>
  <c r="D176" i="26" s="1"/>
  <c r="AA189" i="26"/>
  <c r="D189" i="26" s="1"/>
  <c r="AA194" i="26"/>
  <c r="D194" i="26" s="1"/>
  <c r="AA158" i="26"/>
  <c r="AA197" i="26"/>
  <c r="D197" i="26" s="1"/>
  <c r="H196" i="6"/>
  <c r="G25" i="26"/>
  <c r="E26" i="26"/>
  <c r="E27" i="26" s="1"/>
  <c r="E28" i="26" s="1"/>
  <c r="AB189" i="26"/>
  <c r="AA190" i="26" s="1"/>
  <c r="D190" i="26" s="1"/>
  <c r="AA195" i="26"/>
  <c r="D195" i="26" s="1"/>
  <c r="J78" i="23"/>
  <c r="J39" i="23"/>
  <c r="J65" i="23"/>
  <c r="J52" i="23"/>
  <c r="G22" i="26"/>
  <c r="AB156" i="26"/>
  <c r="AA157" i="26" s="1"/>
  <c r="AB168" i="26"/>
  <c r="AA169" i="26" s="1"/>
  <c r="D169" i="26" s="1"/>
  <c r="AB172" i="26"/>
  <c r="AA173" i="26" s="1"/>
  <c r="D173" i="26" s="1"/>
  <c r="AA174" i="26"/>
  <c r="D174" i="26" s="1"/>
  <c r="AB179" i="26"/>
  <c r="AA180" i="26" s="1"/>
  <c r="D180" i="26" s="1"/>
  <c r="AB191" i="26"/>
  <c r="AA192" i="26" s="1"/>
  <c r="D192" i="26" s="1"/>
  <c r="AB210" i="26"/>
  <c r="AA211" i="26"/>
  <c r="D211" i="26" s="1"/>
  <c r="AB166" i="26"/>
  <c r="AA167" i="26" s="1"/>
  <c r="D167" i="26" s="1"/>
  <c r="AB176" i="26"/>
  <c r="AA177" i="26" s="1"/>
  <c r="D177" i="26" s="1"/>
  <c r="AB186" i="26"/>
  <c r="AA187" i="26" s="1"/>
  <c r="D187" i="26" s="1"/>
  <c r="AB199" i="26"/>
  <c r="AA200" i="26" s="1"/>
  <c r="D200" i="26" s="1"/>
  <c r="AB206" i="26"/>
  <c r="AA207" i="26" s="1"/>
  <c r="D207" i="26" s="1"/>
  <c r="AB209" i="26"/>
  <c r="AA210" i="26" s="1"/>
  <c r="D210" i="26" s="1"/>
  <c r="AA213" i="26"/>
  <c r="D213" i="26" s="1"/>
  <c r="AA225" i="26"/>
  <c r="D225" i="26" s="1"/>
  <c r="P53" i="29"/>
  <c r="AB218" i="26"/>
  <c r="AA219" i="26" s="1"/>
  <c r="D219" i="26" s="1"/>
  <c r="AE20" i="29"/>
  <c r="AE21" i="29" s="1"/>
  <c r="AE22" i="29" s="1"/>
  <c r="AG19" i="29"/>
  <c r="AB225" i="26"/>
  <c r="AA226" i="26" s="1"/>
  <c r="D226" i="26" s="1"/>
  <c r="AB228" i="26"/>
  <c r="AA229" i="26" s="1"/>
  <c r="D229" i="26" s="1"/>
  <c r="AA224" i="26"/>
  <c r="D224" i="26" s="1"/>
  <c r="AA231" i="26"/>
  <c r="D231" i="26" s="1"/>
  <c r="B18" i="26"/>
  <c r="AB213" i="26"/>
  <c r="AA214" i="26" s="1"/>
  <c r="D214" i="26" s="1"/>
  <c r="E20" i="21"/>
  <c r="E21" i="21" s="1"/>
  <c r="E22" i="21" s="1"/>
  <c r="G19" i="21"/>
  <c r="M20" i="21"/>
  <c r="M21" i="21" s="1"/>
  <c r="M22" i="21" s="1"/>
  <c r="O19" i="21"/>
  <c r="AB215" i="26"/>
  <c r="AA216" i="26" s="1"/>
  <c r="D216" i="26" s="1"/>
  <c r="AB229" i="26"/>
  <c r="AA230" i="26" s="1"/>
  <c r="D230" i="26" s="1"/>
  <c r="P39" i="29"/>
  <c r="AA221" i="26"/>
  <c r="D221" i="26" s="1"/>
  <c r="AA228" i="26"/>
  <c r="D228" i="26" s="1"/>
  <c r="AD50" i="29"/>
  <c r="AD54" i="29"/>
  <c r="H145" i="21"/>
  <c r="H154" i="21"/>
  <c r="H156" i="21"/>
  <c r="C53" i="23"/>
  <c r="R54" i="23"/>
  <c r="AC10" i="32"/>
  <c r="AC7" i="32"/>
  <c r="B18" i="29"/>
  <c r="AD39" i="29"/>
  <c r="AD40" i="29"/>
  <c r="AD45" i="29"/>
  <c r="AD53" i="29"/>
  <c r="V19" i="21"/>
  <c r="T20" i="21"/>
  <c r="T21" i="21" s="1"/>
  <c r="T22" i="21" s="1"/>
  <c r="H144" i="21"/>
  <c r="H151" i="21"/>
  <c r="H153" i="21"/>
  <c r="P46" i="29"/>
  <c r="H146" i="21"/>
  <c r="N52" i="23"/>
  <c r="H148" i="21"/>
  <c r="H150" i="21"/>
  <c r="H152" i="21"/>
  <c r="H155" i="21"/>
  <c r="C40" i="23"/>
  <c r="R41" i="23"/>
  <c r="P43" i="29"/>
  <c r="C66" i="23"/>
  <c r="R67" i="23"/>
  <c r="L39" i="23"/>
  <c r="F39" i="23"/>
  <c r="L65" i="23"/>
  <c r="F65" i="23"/>
  <c r="E65" i="23"/>
  <c r="B19" i="21"/>
  <c r="A75" i="10"/>
  <c r="M52" i="23"/>
  <c r="L78" i="23"/>
  <c r="H78" i="23"/>
  <c r="F78" i="23"/>
  <c r="E78" i="23"/>
  <c r="L52" i="23"/>
  <c r="F52" i="23"/>
  <c r="C79" i="23"/>
  <c r="R80" i="23"/>
  <c r="BT160" i="17" l="1"/>
  <c r="L20" i="25"/>
  <c r="L21" i="25" s="1"/>
  <c r="L22" i="25" s="1"/>
  <c r="N19" i="25"/>
  <c r="L20" i="39"/>
  <c r="L21" i="39" s="1"/>
  <c r="L22" i="39" s="1"/>
  <c r="N19" i="39"/>
  <c r="Q17" i="28"/>
  <c r="U20" i="40"/>
  <c r="U21" i="40" s="1"/>
  <c r="U22" i="40" s="1"/>
  <c r="W19" i="40"/>
  <c r="AB210" i="25"/>
  <c r="D210" i="25"/>
  <c r="D218" i="25"/>
  <c r="AB218" i="25"/>
  <c r="BP9" i="17" a="1"/>
  <c r="BP9" i="17" s="1"/>
  <c r="BJ9" i="17" s="1"/>
  <c r="BP10" i="17" a="1"/>
  <c r="BP10" i="17" s="1"/>
  <c r="BJ10" i="17" s="1"/>
  <c r="AQ16" i="17"/>
  <c r="AQ17" i="17" s="1"/>
  <c r="AQ18" i="17" s="1"/>
  <c r="AQ19" i="17" s="1"/>
  <c r="BT157" i="17"/>
  <c r="Q16" i="17"/>
  <c r="Q17" i="17" s="1"/>
  <c r="Q18" i="17" s="1"/>
  <c r="Q19" i="17" s="1"/>
  <c r="S19" i="17" s="1"/>
  <c r="AD16" i="17"/>
  <c r="AD17" i="17" s="1"/>
  <c r="AD18" i="17" s="1"/>
  <c r="AD19" i="17" s="1"/>
  <c r="BD17" i="28"/>
  <c r="BD18" i="28" s="1"/>
  <c r="BD19" i="28" s="1"/>
  <c r="BF19" i="28" s="1"/>
  <c r="S28" i="29"/>
  <c r="Q29" i="29"/>
  <c r="Q30" i="29" s="1"/>
  <c r="Q31" i="29" s="1"/>
  <c r="Z142" i="17"/>
  <c r="BT154" i="17"/>
  <c r="AD17" i="28"/>
  <c r="AD18" i="28" s="1"/>
  <c r="AD19" i="28" s="1"/>
  <c r="CF20" i="28"/>
  <c r="CF21" i="28" s="1"/>
  <c r="CF22" i="28" s="1"/>
  <c r="CG22" i="28" s="1"/>
  <c r="D9" i="22"/>
  <c r="AH82" i="29"/>
  <c r="I7" i="22"/>
  <c r="T19" i="37"/>
  <c r="CF20" i="17"/>
  <c r="CF21" i="17" s="1"/>
  <c r="CF22" i="17" s="1"/>
  <c r="CH22" i="17" s="1"/>
  <c r="N19" i="37"/>
  <c r="CH19" i="28"/>
  <c r="AH80" i="29"/>
  <c r="AB215" i="25"/>
  <c r="D215" i="25"/>
  <c r="Z118" i="17"/>
  <c r="AZ130" i="17"/>
  <c r="CB130" i="17"/>
  <c r="AM94" i="17"/>
  <c r="I25" i="22"/>
  <c r="AZ118" i="17"/>
  <c r="CB118" i="17"/>
  <c r="AM130" i="17"/>
  <c r="Q18" i="28"/>
  <c r="Q19" i="28" s="1"/>
  <c r="S19" i="28" s="1"/>
  <c r="V160" i="26"/>
  <c r="D160" i="26"/>
  <c r="I52" i="23" s="1"/>
  <c r="D154" i="26"/>
  <c r="V154" i="26"/>
  <c r="R7" i="1"/>
  <c r="Y8" i="1"/>
  <c r="E17" i="22"/>
  <c r="Y12" i="1"/>
  <c r="R11" i="1"/>
  <c r="Y10" i="1"/>
  <c r="E11" i="1"/>
  <c r="AH14" i="32"/>
  <c r="D221" i="25"/>
  <c r="AB221" i="25"/>
  <c r="D214" i="25"/>
  <c r="AB214" i="25"/>
  <c r="D219" i="25"/>
  <c r="E53" i="23" s="1"/>
  <c r="AB219" i="25"/>
  <c r="D220" i="25"/>
  <c r="E52" i="23" s="1"/>
  <c r="AB220" i="25"/>
  <c r="A74" i="10"/>
  <c r="H40" i="23"/>
  <c r="M40" i="23"/>
  <c r="L40" i="23"/>
  <c r="J40" i="23"/>
  <c r="I40" i="23"/>
  <c r="F40" i="23"/>
  <c r="E40" i="23"/>
  <c r="N40" i="23"/>
  <c r="D40" i="23"/>
  <c r="AH74" i="29"/>
  <c r="AH78" i="29"/>
  <c r="B21" i="6"/>
  <c r="K19" i="40"/>
  <c r="K20" i="40" s="1"/>
  <c r="K21" i="40" s="1"/>
  <c r="K22" i="40" s="1"/>
  <c r="K23" i="40" s="1"/>
  <c r="K24" i="40" s="1"/>
  <c r="K25" i="40" s="1"/>
  <c r="K26" i="40" s="1"/>
  <c r="K27" i="40" s="1"/>
  <c r="K28" i="40" s="1"/>
  <c r="K29" i="40" s="1"/>
  <c r="K30" i="40" s="1"/>
  <c r="K31" i="40" s="1"/>
  <c r="K32" i="40" s="1"/>
  <c r="K33" i="40" s="1"/>
  <c r="K34" i="40" s="1"/>
  <c r="K35" i="40" s="1"/>
  <c r="K36" i="40" s="1"/>
  <c r="K37" i="40" s="1"/>
  <c r="K38" i="40" s="1"/>
  <c r="K39" i="40" s="1"/>
  <c r="K40" i="40" s="1"/>
  <c r="K41" i="40" s="1"/>
  <c r="K42" i="40" s="1"/>
  <c r="K43" i="40" s="1"/>
  <c r="E23" i="37"/>
  <c r="E24" i="37" s="1"/>
  <c r="E25" i="37" s="1"/>
  <c r="G22" i="37"/>
  <c r="G22" i="40"/>
  <c r="E23" i="40"/>
  <c r="E24" i="40" s="1"/>
  <c r="E25" i="40" s="1"/>
  <c r="U23" i="40"/>
  <c r="U24" i="40" s="1"/>
  <c r="U25" i="40" s="1"/>
  <c r="W22" i="40"/>
  <c r="BT142" i="17"/>
  <c r="AQ17" i="28"/>
  <c r="AQ18" i="28" s="1"/>
  <c r="AQ19" i="28" s="1"/>
  <c r="Z130" i="17"/>
  <c r="B20" i="35"/>
  <c r="G25" i="27"/>
  <c r="E26" i="27"/>
  <c r="E27" i="27" s="1"/>
  <c r="E28" i="27" s="1"/>
  <c r="B21" i="2"/>
  <c r="E23" i="36"/>
  <c r="E24" i="36" s="1"/>
  <c r="E25" i="36" s="1"/>
  <c r="G22" i="36"/>
  <c r="AB212" i="25"/>
  <c r="D212" i="25"/>
  <c r="E12" i="1"/>
  <c r="R8" i="1"/>
  <c r="C38" i="22"/>
  <c r="L26" i="36"/>
  <c r="L27" i="36" s="1"/>
  <c r="L28" i="36" s="1"/>
  <c r="N25" i="36"/>
  <c r="S54" i="31"/>
  <c r="B19" i="29"/>
  <c r="AH76" i="29"/>
  <c r="V158" i="26"/>
  <c r="D158" i="26"/>
  <c r="N22" i="37"/>
  <c r="L23" i="37"/>
  <c r="L24" i="37" s="1"/>
  <c r="L25" i="37" s="1"/>
  <c r="G26" i="41"/>
  <c r="E27" i="41"/>
  <c r="E28" i="41" s="1"/>
  <c r="E29" i="41" s="1"/>
  <c r="AL22" i="28"/>
  <c r="AJ23" i="28"/>
  <c r="AJ24" i="28" s="1"/>
  <c r="AJ25" i="28" s="1"/>
  <c r="AK22" i="28"/>
  <c r="BY26" i="17"/>
  <c r="BY27" i="17" s="1"/>
  <c r="BY28" i="17" s="1"/>
  <c r="CA25" i="17"/>
  <c r="E23" i="2"/>
  <c r="E24" i="2" s="1"/>
  <c r="E25" i="2" s="1"/>
  <c r="G22" i="2"/>
  <c r="K8" i="31"/>
  <c r="I7" i="24"/>
  <c r="C53" i="22"/>
  <c r="O6" i="22" s="1"/>
  <c r="AB216" i="25"/>
  <c r="D216" i="25"/>
  <c r="E9" i="1"/>
  <c r="C5" i="10"/>
  <c r="C45" i="22"/>
  <c r="N6" i="22" s="1"/>
  <c r="AC9" i="32"/>
  <c r="E29" i="26"/>
  <c r="E30" i="26" s="1"/>
  <c r="E31" i="26" s="1"/>
  <c r="F28" i="26"/>
  <c r="G28" i="26"/>
  <c r="L20" i="38"/>
  <c r="L21" i="38" s="1"/>
  <c r="L22" i="38" s="1"/>
  <c r="N19" i="38"/>
  <c r="R12" i="1"/>
  <c r="E16" i="22"/>
  <c r="D16" i="22"/>
  <c r="J17" i="22"/>
  <c r="J19" i="22" s="1"/>
  <c r="Z172" i="25"/>
  <c r="Y173" i="25"/>
  <c r="Y174" i="25" s="1"/>
  <c r="Y175" i="25" s="1"/>
  <c r="Y176" i="25" s="1"/>
  <c r="Y177" i="25" s="1"/>
  <c r="Y178" i="25" s="1"/>
  <c r="Y179" i="25" s="1"/>
  <c r="Y180" i="25" s="1"/>
  <c r="Y181" i="25" s="1"/>
  <c r="Y182" i="25" s="1"/>
  <c r="Y183" i="25" s="1"/>
  <c r="Y184" i="25" s="1"/>
  <c r="S47" i="31"/>
  <c r="H79" i="23"/>
  <c r="N79" i="23"/>
  <c r="D79" i="23"/>
  <c r="M79" i="23"/>
  <c r="L79" i="23"/>
  <c r="J79" i="23"/>
  <c r="I79" i="23"/>
  <c r="F79" i="23"/>
  <c r="E79" i="23"/>
  <c r="C54" i="23"/>
  <c r="R55" i="23"/>
  <c r="B19" i="26"/>
  <c r="AE23" i="29"/>
  <c r="AE24" i="29" s="1"/>
  <c r="AE25" i="29" s="1"/>
  <c r="AG22" i="29"/>
  <c r="B21" i="12"/>
  <c r="L22" i="28"/>
  <c r="K22" i="28"/>
  <c r="J23" i="28"/>
  <c r="J24" i="28" s="1"/>
  <c r="J25" i="28" s="1"/>
  <c r="BJ23" i="28"/>
  <c r="BJ24" i="28" s="1"/>
  <c r="BJ25" i="28" s="1"/>
  <c r="BK22" i="28"/>
  <c r="BL22" i="28"/>
  <c r="C46" i="22"/>
  <c r="R10" i="1"/>
  <c r="L1" i="24"/>
  <c r="K1" i="24"/>
  <c r="E2" i="24"/>
  <c r="M1" i="24"/>
  <c r="R23" i="2"/>
  <c r="R24" i="2" s="1"/>
  <c r="R25" i="2" s="1"/>
  <c r="T22" i="2"/>
  <c r="G7" i="31"/>
  <c r="F5" i="30" s="1"/>
  <c r="Y6" i="1"/>
  <c r="D17" i="22"/>
  <c r="L23" i="1"/>
  <c r="L24" i="1" s="1"/>
  <c r="L25" i="1" s="1"/>
  <c r="N22" i="1"/>
  <c r="Y7" i="1"/>
  <c r="C54" i="22"/>
  <c r="R13" i="1"/>
  <c r="C67" i="23"/>
  <c r="R68" i="23"/>
  <c r="H53" i="23"/>
  <c r="M53" i="23"/>
  <c r="L53" i="23"/>
  <c r="D53" i="23"/>
  <c r="N53" i="23"/>
  <c r="F53" i="23"/>
  <c r="J53" i="23"/>
  <c r="AH81" i="29"/>
  <c r="R23" i="6"/>
  <c r="R24" i="6" s="1"/>
  <c r="R25" i="6" s="1"/>
  <c r="T22" i="6"/>
  <c r="E23" i="6"/>
  <c r="E24" i="6" s="1"/>
  <c r="E25" i="6" s="1"/>
  <c r="G22" i="6"/>
  <c r="T22" i="39"/>
  <c r="R23" i="39"/>
  <c r="R24" i="39" s="1"/>
  <c r="R25" i="39" s="1"/>
  <c r="M94" i="17"/>
  <c r="AM118" i="17"/>
  <c r="B19" i="36"/>
  <c r="C2" i="23"/>
  <c r="B3" i="23"/>
  <c r="N25" i="35"/>
  <c r="L26" i="35"/>
  <c r="L27" i="35" s="1"/>
  <c r="L28" i="35" s="1"/>
  <c r="Y11" i="1"/>
  <c r="Y9" i="1"/>
  <c r="E6" i="22"/>
  <c r="D6" i="22"/>
  <c r="AH79" i="29"/>
  <c r="D157" i="26"/>
  <c r="V157" i="26"/>
  <c r="D159" i="26"/>
  <c r="I53" i="23" s="1"/>
  <c r="V159" i="26"/>
  <c r="N22" i="6"/>
  <c r="L23" i="6"/>
  <c r="L24" i="6" s="1"/>
  <c r="L25" i="6" s="1"/>
  <c r="N23" i="40"/>
  <c r="N24" i="40" s="1"/>
  <c r="N25" i="40" s="1"/>
  <c r="P22" i="40"/>
  <c r="W20" i="41"/>
  <c r="U21" i="41"/>
  <c r="U22" i="41" s="1"/>
  <c r="U23" i="41" s="1"/>
  <c r="G22" i="38"/>
  <c r="E23" i="38"/>
  <c r="E24" i="38" s="1"/>
  <c r="E25" i="38" s="1"/>
  <c r="AJ23" i="17"/>
  <c r="AJ24" i="17" s="1"/>
  <c r="AJ25" i="17" s="1"/>
  <c r="AL22" i="17"/>
  <c r="AK22" i="17"/>
  <c r="L20" i="27"/>
  <c r="L21" i="27" s="1"/>
  <c r="L22" i="27" s="1"/>
  <c r="N19" i="27"/>
  <c r="I17" i="22"/>
  <c r="I19" i="22" s="1"/>
  <c r="E8" i="22"/>
  <c r="D8" i="22"/>
  <c r="AY49" i="17"/>
  <c r="AW50" i="17"/>
  <c r="AW51" i="17" s="1"/>
  <c r="AW52" i="17" s="1"/>
  <c r="C41" i="23"/>
  <c r="R42" i="23"/>
  <c r="AH75" i="29"/>
  <c r="E23" i="21"/>
  <c r="E24" i="21" s="1"/>
  <c r="E25" i="21" s="1"/>
  <c r="G22" i="21"/>
  <c r="AH77" i="29"/>
  <c r="V155" i="26"/>
  <c r="D155" i="26"/>
  <c r="K5" i="40"/>
  <c r="B19" i="37"/>
  <c r="B19" i="39"/>
  <c r="U12" i="40"/>
  <c r="H12" i="40"/>
  <c r="H11" i="40"/>
  <c r="Q5" i="40"/>
  <c r="T12" i="40" a="1"/>
  <c r="T12" i="40" s="1"/>
  <c r="G12" i="40"/>
  <c r="T11" i="40" a="1"/>
  <c r="T11" i="40" s="1"/>
  <c r="T7" i="40" a="1"/>
  <c r="T7" i="40" s="1"/>
  <c r="F12" i="40"/>
  <c r="B19" i="40"/>
  <c r="B20" i="40" s="1"/>
  <c r="B21" i="40" s="1"/>
  <c r="B22" i="40" s="1"/>
  <c r="B23" i="40" s="1"/>
  <c r="B24" i="40" s="1"/>
  <c r="B25" i="40" s="1"/>
  <c r="B26" i="40" s="1"/>
  <c r="B27" i="40" s="1"/>
  <c r="B28" i="40" s="1"/>
  <c r="B29" i="40" s="1"/>
  <c r="B30" i="40" s="1"/>
  <c r="B31" i="40" s="1"/>
  <c r="B32" i="40" s="1"/>
  <c r="B33" i="40" s="1"/>
  <c r="B34" i="40" s="1"/>
  <c r="B35" i="40" s="1"/>
  <c r="B36" i="40" s="1"/>
  <c r="B37" i="40" s="1"/>
  <c r="B38" i="40" s="1"/>
  <c r="B39" i="40" s="1"/>
  <c r="B40" i="40" s="1"/>
  <c r="B41" i="40" s="1"/>
  <c r="B42" i="40" s="1"/>
  <c r="B43" i="40" s="1"/>
  <c r="D12" i="40" a="1"/>
  <c r="D12" i="40" s="1"/>
  <c r="D7" i="40" a="1"/>
  <c r="D7" i="40" s="1"/>
  <c r="V12" i="40"/>
  <c r="V11" i="40"/>
  <c r="V7" i="40"/>
  <c r="V6" i="40"/>
  <c r="L23" i="12"/>
  <c r="L24" i="12" s="1"/>
  <c r="L25" i="12" s="1"/>
  <c r="N22" i="12"/>
  <c r="G22" i="12"/>
  <c r="E23" i="12"/>
  <c r="E24" i="12" s="1"/>
  <c r="E25" i="12" s="1"/>
  <c r="E23" i="39"/>
  <c r="E24" i="39" s="1"/>
  <c r="E25" i="39" s="1"/>
  <c r="G22" i="39"/>
  <c r="B19" i="17"/>
  <c r="AY22" i="28"/>
  <c r="AX22" i="28"/>
  <c r="AW23" i="28"/>
  <c r="AW24" i="28" s="1"/>
  <c r="AW25" i="28" s="1"/>
  <c r="BQ23" i="28"/>
  <c r="BQ24" i="28" s="1"/>
  <c r="BQ25" i="28" s="1"/>
  <c r="BS22" i="28"/>
  <c r="BR22" i="28"/>
  <c r="E26" i="35"/>
  <c r="E27" i="35" s="1"/>
  <c r="E28" i="35" s="1"/>
  <c r="G25" i="35"/>
  <c r="AB222" i="25"/>
  <c r="D222" i="25"/>
  <c r="Z43" i="29"/>
  <c r="X44" i="29"/>
  <c r="X45" i="29" s="1"/>
  <c r="X46" i="29" s="1"/>
  <c r="Y43" i="29"/>
  <c r="R20" i="25"/>
  <c r="R21" i="25" s="1"/>
  <c r="R22" i="25" s="1"/>
  <c r="T19" i="25"/>
  <c r="AA22" i="1"/>
  <c r="Y23" i="1"/>
  <c r="Y24" i="1" s="1"/>
  <c r="Y25" i="1" s="1"/>
  <c r="E23" i="1"/>
  <c r="E24" i="1" s="1"/>
  <c r="E25" i="1" s="1"/>
  <c r="G22" i="1"/>
  <c r="B2" i="10"/>
  <c r="E2" i="10"/>
  <c r="R6" i="1"/>
  <c r="C30" i="22"/>
  <c r="S53" i="31"/>
  <c r="B20" i="21"/>
  <c r="CA25" i="28"/>
  <c r="BY26" i="28"/>
  <c r="BY27" i="28" s="1"/>
  <c r="BY28" i="28" s="1"/>
  <c r="BD20" i="17"/>
  <c r="BD21" i="17" s="1"/>
  <c r="BD22" i="17" s="1"/>
  <c r="BF19" i="17"/>
  <c r="R26" i="35"/>
  <c r="R27" i="35" s="1"/>
  <c r="R28" i="35" s="1"/>
  <c r="T25" i="35"/>
  <c r="E23" i="25"/>
  <c r="E24" i="25" s="1"/>
  <c r="E25" i="25" s="1"/>
  <c r="G22" i="25"/>
  <c r="R23" i="27"/>
  <c r="R24" i="27" s="1"/>
  <c r="R25" i="27" s="1"/>
  <c r="T22" i="27"/>
  <c r="R9" i="1"/>
  <c r="K5" i="31"/>
  <c r="I5" i="24"/>
  <c r="B53" i="22"/>
  <c r="B54" i="22"/>
  <c r="E13" i="1"/>
  <c r="E7" i="1"/>
  <c r="C80" i="23"/>
  <c r="R81" i="23"/>
  <c r="V156" i="26"/>
  <c r="D156" i="26"/>
  <c r="N22" i="26"/>
  <c r="L23" i="26"/>
  <c r="L24" i="26" s="1"/>
  <c r="L25" i="26" s="1"/>
  <c r="L22" i="17"/>
  <c r="K22" i="17"/>
  <c r="J23" i="17"/>
  <c r="J24" i="17" s="1"/>
  <c r="J25" i="17" s="1"/>
  <c r="T25" i="36"/>
  <c r="R26" i="36"/>
  <c r="R27" i="36" s="1"/>
  <c r="R28" i="36" s="1"/>
  <c r="BL49" i="17"/>
  <c r="BJ50" i="17"/>
  <c r="BJ51" i="17" s="1"/>
  <c r="BJ52" i="17" s="1"/>
  <c r="I11" i="22"/>
  <c r="I13" i="22" s="1"/>
  <c r="E7" i="22"/>
  <c r="D7" i="22"/>
  <c r="K7" i="31"/>
  <c r="Y13" i="1"/>
  <c r="V22" i="21"/>
  <c r="T23" i="21"/>
  <c r="T24" i="21" s="1"/>
  <c r="T25" i="21" s="1"/>
  <c r="T22" i="26"/>
  <c r="R23" i="26"/>
  <c r="R24" i="26" s="1"/>
  <c r="R25" i="26" s="1"/>
  <c r="B19" i="38"/>
  <c r="T22" i="1"/>
  <c r="R23" i="1"/>
  <c r="R24" i="1" s="1"/>
  <c r="R25" i="1" s="1"/>
  <c r="E9" i="22"/>
  <c r="G11" i="1"/>
  <c r="H66" i="23"/>
  <c r="M66" i="23"/>
  <c r="L66" i="23"/>
  <c r="N66" i="23"/>
  <c r="J66" i="23"/>
  <c r="I66" i="23"/>
  <c r="F66" i="23"/>
  <c r="D66" i="23"/>
  <c r="E66" i="23"/>
  <c r="M23" i="21"/>
  <c r="M24" i="21" s="1"/>
  <c r="M25" i="21" s="1"/>
  <c r="O22" i="21"/>
  <c r="V153" i="26"/>
  <c r="D153" i="26"/>
  <c r="V161" i="26"/>
  <c r="D161" i="26"/>
  <c r="J32" i="29"/>
  <c r="J33" i="29" s="1"/>
  <c r="J34" i="29" s="1"/>
  <c r="L31" i="29"/>
  <c r="AA21" i="41"/>
  <c r="AA22" i="41" s="1"/>
  <c r="AA23" i="41" s="1"/>
  <c r="AC20" i="41"/>
  <c r="P23" i="41"/>
  <c r="N24" i="41"/>
  <c r="N25" i="41" s="1"/>
  <c r="N26" i="41" s="1"/>
  <c r="R23" i="37"/>
  <c r="R24" i="37" s="1"/>
  <c r="R25" i="37" s="1"/>
  <c r="T22" i="37"/>
  <c r="B18" i="28"/>
  <c r="X22" i="17"/>
  <c r="W23" i="17"/>
  <c r="W24" i="17" s="1"/>
  <c r="W25" i="17" s="1"/>
  <c r="Y22" i="17"/>
  <c r="B19" i="25"/>
  <c r="BQ26" i="17"/>
  <c r="BQ27" i="17" s="1"/>
  <c r="BQ28" i="17" s="1"/>
  <c r="BS25" i="17"/>
  <c r="B20" i="27"/>
  <c r="L9" i="1"/>
  <c r="F13" i="1"/>
  <c r="AA8" i="1"/>
  <c r="Y22" i="28"/>
  <c r="X22" i="28"/>
  <c r="W23" i="28"/>
  <c r="W24" i="28" s="1"/>
  <c r="W25" i="28" s="1"/>
  <c r="D10" i="1" a="1"/>
  <c r="D10" i="1" s="1"/>
  <c r="E1" i="31"/>
  <c r="N25" i="2"/>
  <c r="L26" i="2"/>
  <c r="L27" i="2" s="1"/>
  <c r="L28" i="2" s="1"/>
  <c r="L11" i="1"/>
  <c r="M6" i="1"/>
  <c r="S8" i="1"/>
  <c r="G10" i="1"/>
  <c r="D6" i="1" a="1"/>
  <c r="D6" i="1" s="1"/>
  <c r="E5" i="22"/>
  <c r="D5" i="22"/>
  <c r="U13" i="1"/>
  <c r="AA11" i="1"/>
  <c r="G9" i="1"/>
  <c r="G12" i="1"/>
  <c r="D8" i="1" a="1"/>
  <c r="D8" i="1" s="1"/>
  <c r="S49" i="31"/>
  <c r="S50" i="31"/>
  <c r="B181" i="32" l="1"/>
  <c r="B180" i="32"/>
  <c r="B179" i="32"/>
  <c r="N22" i="25"/>
  <c r="L23" i="25"/>
  <c r="L24" i="25" s="1"/>
  <c r="L25" i="25" s="1"/>
  <c r="L23" i="39"/>
  <c r="L24" i="39" s="1"/>
  <c r="L25" i="39" s="1"/>
  <c r="N22" i="39"/>
  <c r="B178" i="32"/>
  <c r="B177" i="32"/>
  <c r="B176" i="32"/>
  <c r="S31" i="29"/>
  <c r="Q32" i="29"/>
  <c r="Q33" i="29" s="1"/>
  <c r="Q34" i="29" s="1"/>
  <c r="B173" i="32"/>
  <c r="B174" i="32"/>
  <c r="B175" i="32"/>
  <c r="B171" i="32"/>
  <c r="P171" i="32" s="1"/>
  <c r="B170" i="32"/>
  <c r="P170" i="32" s="1"/>
  <c r="B172" i="32"/>
  <c r="P172" i="32" s="1"/>
  <c r="CF23" i="17"/>
  <c r="CF24" i="17" s="1"/>
  <c r="CF25" i="17" s="1"/>
  <c r="CG22" i="17"/>
  <c r="B169" i="32"/>
  <c r="B168" i="32"/>
  <c r="B167" i="32"/>
  <c r="Q20" i="28"/>
  <c r="Q21" i="28" s="1"/>
  <c r="Q22" i="28" s="1"/>
  <c r="B164" i="32"/>
  <c r="B166" i="32"/>
  <c r="B165" i="32"/>
  <c r="CH22" i="28"/>
  <c r="BD20" i="28"/>
  <c r="BD21" i="28" s="1"/>
  <c r="BD22" i="28" s="1"/>
  <c r="BE22" i="28" s="1"/>
  <c r="CF23" i="28"/>
  <c r="CF24" i="28" s="1"/>
  <c r="CF25" i="28" s="1"/>
  <c r="CF26" i="28" s="1"/>
  <c r="CF27" i="28" s="1"/>
  <c r="CF28" i="28" s="1"/>
  <c r="Q20" i="17"/>
  <c r="Q21" i="17" s="1"/>
  <c r="Q22" i="17" s="1"/>
  <c r="B161" i="32"/>
  <c r="B162" i="32"/>
  <c r="B163" i="32"/>
  <c r="E11" i="40"/>
  <c r="P5" i="40"/>
  <c r="M5" i="40" a="1"/>
  <c r="M5" i="40" s="1"/>
  <c r="H5" i="40"/>
  <c r="F5" i="40"/>
  <c r="B22" i="2"/>
  <c r="CA28" i="28"/>
  <c r="BY29" i="28"/>
  <c r="BY30" i="28" s="1"/>
  <c r="BY31" i="28" s="1"/>
  <c r="L26" i="25"/>
  <c r="L27" i="25" s="1"/>
  <c r="L28" i="25" s="1"/>
  <c r="N25" i="25"/>
  <c r="L26" i="1"/>
  <c r="L27" i="1" s="1"/>
  <c r="L28" i="1" s="1"/>
  <c r="N25" i="1"/>
  <c r="BY29" i="17"/>
  <c r="BY30" i="17" s="1"/>
  <c r="BY31" i="17" s="1"/>
  <c r="CA28" i="17"/>
  <c r="A73" i="10"/>
  <c r="L29" i="2"/>
  <c r="L30" i="2" s="1"/>
  <c r="L31" i="2" s="1"/>
  <c r="N28" i="2"/>
  <c r="M28" i="2"/>
  <c r="AC23" i="41"/>
  <c r="AA24" i="41"/>
  <c r="AA25" i="41" s="1"/>
  <c r="AA26" i="41" s="1"/>
  <c r="BJ53" i="17"/>
  <c r="BJ54" i="17" s="1"/>
  <c r="BJ55" i="17" s="1"/>
  <c r="BL52" i="17"/>
  <c r="E12" i="40"/>
  <c r="D5" i="40" a="1"/>
  <c r="D5" i="40" s="1"/>
  <c r="T25" i="39"/>
  <c r="R26" i="39"/>
  <c r="R27" i="39" s="1"/>
  <c r="R28" i="39" s="1"/>
  <c r="C68" i="23"/>
  <c r="R69" i="23"/>
  <c r="C55" i="23"/>
  <c r="R56" i="23"/>
  <c r="B157" i="32"/>
  <c r="B149" i="32"/>
  <c r="B141" i="32"/>
  <c r="B133" i="32"/>
  <c r="B153" i="32"/>
  <c r="B145" i="32"/>
  <c r="B137" i="32"/>
  <c r="B159" i="32"/>
  <c r="B146" i="32"/>
  <c r="B140" i="32"/>
  <c r="B135" i="32"/>
  <c r="B158" i="32"/>
  <c r="B152" i="32"/>
  <c r="B139" i="32"/>
  <c r="B150" i="32"/>
  <c r="B144" i="32"/>
  <c r="B156" i="32"/>
  <c r="B143" i="32"/>
  <c r="B148" i="32"/>
  <c r="B126" i="32"/>
  <c r="B117" i="32"/>
  <c r="B109" i="32"/>
  <c r="B101" i="32"/>
  <c r="B160" i="32"/>
  <c r="B147" i="32"/>
  <c r="B134" i="32"/>
  <c r="B131" i="32"/>
  <c r="B127" i="32"/>
  <c r="B120" i="32"/>
  <c r="B112" i="32"/>
  <c r="B154" i="32"/>
  <c r="B136" i="32"/>
  <c r="B121" i="32"/>
  <c r="B113" i="32"/>
  <c r="B105" i="32"/>
  <c r="B108" i="32"/>
  <c r="B97" i="32"/>
  <c r="B89" i="32"/>
  <c r="B151" i="32"/>
  <c r="B129" i="32"/>
  <c r="B124" i="32"/>
  <c r="B118" i="32"/>
  <c r="B92" i="32"/>
  <c r="B130" i="32"/>
  <c r="B125" i="32"/>
  <c r="B111" i="32"/>
  <c r="B104" i="32"/>
  <c r="B93" i="32"/>
  <c r="B142" i="32"/>
  <c r="B123" i="32"/>
  <c r="B90" i="32"/>
  <c r="B86" i="32"/>
  <c r="B78" i="32"/>
  <c r="B70" i="32"/>
  <c r="B114" i="32"/>
  <c r="B99" i="32"/>
  <c r="B91" i="32"/>
  <c r="B81" i="32"/>
  <c r="B73" i="32"/>
  <c r="B65" i="32"/>
  <c r="B62" i="32"/>
  <c r="B58" i="32"/>
  <c r="B54" i="32"/>
  <c r="B50" i="32"/>
  <c r="B46" i="32"/>
  <c r="B132" i="32"/>
  <c r="B116" i="32"/>
  <c r="B107" i="32"/>
  <c r="B84" i="32"/>
  <c r="B76" i="32"/>
  <c r="B87" i="32"/>
  <c r="B79" i="32"/>
  <c r="B71" i="32"/>
  <c r="B63" i="32"/>
  <c r="B59" i="32"/>
  <c r="B55" i="32"/>
  <c r="B51" i="32"/>
  <c r="B47" i="32"/>
  <c r="B122" i="32"/>
  <c r="B95" i="32"/>
  <c r="B94" i="32"/>
  <c r="B82" i="32"/>
  <c r="B74" i="32"/>
  <c r="B66" i="32"/>
  <c r="B155" i="32"/>
  <c r="B138" i="32"/>
  <c r="B128" i="32"/>
  <c r="B106" i="32"/>
  <c r="B103" i="32"/>
  <c r="B88" i="32"/>
  <c r="B80" i="32"/>
  <c r="B72" i="32"/>
  <c r="B64" i="32"/>
  <c r="B68" i="32"/>
  <c r="B56" i="32"/>
  <c r="B52" i="32"/>
  <c r="B42" i="32"/>
  <c r="B119" i="32"/>
  <c r="B98" i="32"/>
  <c r="B75" i="32"/>
  <c r="B49" i="32"/>
  <c r="B43" i="32"/>
  <c r="B69" i="32"/>
  <c r="B60" i="32"/>
  <c r="B53" i="32"/>
  <c r="B110" i="32"/>
  <c r="B40" i="32"/>
  <c r="B44" i="32"/>
  <c r="B39" i="32"/>
  <c r="B115" i="32"/>
  <c r="B96" i="32"/>
  <c r="B85" i="32"/>
  <c r="B38" i="32"/>
  <c r="B102" i="32"/>
  <c r="B45" i="32"/>
  <c r="B41" i="32"/>
  <c r="B100" i="32"/>
  <c r="B77" i="32"/>
  <c r="B67" i="32"/>
  <c r="B61" i="32"/>
  <c r="B57" i="32"/>
  <c r="B83" i="32"/>
  <c r="B48" i="32"/>
  <c r="B36" i="32"/>
  <c r="B37" i="32"/>
  <c r="B35" i="32"/>
  <c r="B30" i="32"/>
  <c r="B27" i="32"/>
  <c r="B33" i="32"/>
  <c r="B31" i="32"/>
  <c r="B28" i="32"/>
  <c r="B34" i="32"/>
  <c r="B32" i="32"/>
  <c r="B29" i="32"/>
  <c r="B26" i="32"/>
  <c r="B25" i="32"/>
  <c r="B22" i="32"/>
  <c r="B23" i="32"/>
  <c r="B24" i="32"/>
  <c r="B21" i="32"/>
  <c r="B19" i="32"/>
  <c r="B16" i="32"/>
  <c r="B15" i="32"/>
  <c r="B20" i="32"/>
  <c r="B18" i="32"/>
  <c r="B17" i="32"/>
  <c r="B10" i="32"/>
  <c r="B6" i="32"/>
  <c r="B3" i="32"/>
  <c r="B13" i="32"/>
  <c r="B11" i="32"/>
  <c r="B9" i="32"/>
  <c r="B7" i="32"/>
  <c r="B4" i="32"/>
  <c r="B14" i="32"/>
  <c r="B8" i="32"/>
  <c r="B12" i="32"/>
  <c r="B5" i="32"/>
  <c r="E30" i="41"/>
  <c r="E31" i="41" s="1"/>
  <c r="E32" i="41" s="1"/>
  <c r="G29" i="41"/>
  <c r="F29" i="41"/>
  <c r="AQ20" i="28"/>
  <c r="AQ21" i="28" s="1"/>
  <c r="AQ22" i="28" s="1"/>
  <c r="AS19" i="28"/>
  <c r="E26" i="40"/>
  <c r="E27" i="40" s="1"/>
  <c r="E28" i="40" s="1"/>
  <c r="G25" i="40"/>
  <c r="B22" i="6"/>
  <c r="C81" i="23"/>
  <c r="R82" i="23"/>
  <c r="E29" i="35"/>
  <c r="E30" i="35" s="1"/>
  <c r="E31" i="35" s="1"/>
  <c r="G28" i="35"/>
  <c r="G5" i="40" a="1"/>
  <c r="G5" i="40" s="1"/>
  <c r="T5" i="40" a="1"/>
  <c r="T5" i="40" s="1"/>
  <c r="H6" i="40"/>
  <c r="U5" i="40"/>
  <c r="E26" i="21"/>
  <c r="E27" i="21" s="1"/>
  <c r="E28" i="21" s="1"/>
  <c r="G25" i="21"/>
  <c r="U24" i="41"/>
  <c r="U25" i="41" s="1"/>
  <c r="U26" i="41" s="1"/>
  <c r="W23" i="41"/>
  <c r="L29" i="35"/>
  <c r="L30" i="35" s="1"/>
  <c r="L31" i="35" s="1"/>
  <c r="N28" i="35"/>
  <c r="E26" i="6"/>
  <c r="E27" i="6" s="1"/>
  <c r="E28" i="6" s="1"/>
  <c r="G25" i="6"/>
  <c r="M67" i="23"/>
  <c r="H67" i="23"/>
  <c r="F67" i="23"/>
  <c r="N67" i="23"/>
  <c r="L67" i="23"/>
  <c r="J67" i="23"/>
  <c r="I67" i="23"/>
  <c r="D67" i="23"/>
  <c r="E67" i="23"/>
  <c r="AG25" i="29"/>
  <c r="AE26" i="29"/>
  <c r="AE27" i="29" s="1"/>
  <c r="AE28" i="29" s="1"/>
  <c r="M54" i="23"/>
  <c r="H54" i="23"/>
  <c r="F54" i="23"/>
  <c r="E54" i="23"/>
  <c r="D54" i="23"/>
  <c r="N54" i="23"/>
  <c r="J54" i="23"/>
  <c r="L54" i="23"/>
  <c r="I54" i="23"/>
  <c r="AJ26" i="28"/>
  <c r="AJ27" i="28" s="1"/>
  <c r="AJ28" i="28" s="1"/>
  <c r="AL25" i="28"/>
  <c r="B21" i="35"/>
  <c r="U26" i="40"/>
  <c r="U27" i="40" s="1"/>
  <c r="U28" i="40" s="1"/>
  <c r="W25" i="40"/>
  <c r="L26" i="39"/>
  <c r="L27" i="39" s="1"/>
  <c r="L28" i="39" s="1"/>
  <c r="N25" i="39"/>
  <c r="E2" i="31"/>
  <c r="O1" i="31"/>
  <c r="N1" i="31"/>
  <c r="M1" i="31"/>
  <c r="T28" i="36"/>
  <c r="R29" i="36"/>
  <c r="R30" i="36" s="1"/>
  <c r="R31" i="36" s="1"/>
  <c r="M80" i="23"/>
  <c r="I80" i="23"/>
  <c r="H80" i="23"/>
  <c r="F80" i="23"/>
  <c r="N80" i="23"/>
  <c r="L80" i="23"/>
  <c r="E80" i="23"/>
  <c r="J80" i="23"/>
  <c r="D80" i="23"/>
  <c r="E26" i="1"/>
  <c r="E27" i="1" s="1"/>
  <c r="E28" i="1" s="1"/>
  <c r="G25" i="1"/>
  <c r="R23" i="25"/>
  <c r="R24" i="25" s="1"/>
  <c r="R25" i="25" s="1"/>
  <c r="T22" i="25"/>
  <c r="E26" i="39"/>
  <c r="E27" i="39" s="1"/>
  <c r="E28" i="39" s="1"/>
  <c r="G25" i="39"/>
  <c r="V5" i="40"/>
  <c r="D6" i="40" a="1"/>
  <c r="D6" i="40" s="1"/>
  <c r="F6" i="40"/>
  <c r="G6" i="40"/>
  <c r="H7" i="40"/>
  <c r="U6" i="40"/>
  <c r="N22" i="27"/>
  <c r="L23" i="27"/>
  <c r="L24" i="27" s="1"/>
  <c r="L25" i="27" s="1"/>
  <c r="B20" i="26"/>
  <c r="L29" i="36"/>
  <c r="L30" i="36" s="1"/>
  <c r="L31" i="36" s="1"/>
  <c r="N28" i="36"/>
  <c r="T28" i="35"/>
  <c r="R29" i="35"/>
  <c r="R30" i="35" s="1"/>
  <c r="R31" i="35" s="1"/>
  <c r="Y25" i="17"/>
  <c r="W26" i="17"/>
  <c r="W27" i="17" s="1"/>
  <c r="W28" i="17" s="1"/>
  <c r="N27" i="41"/>
  <c r="N28" i="41" s="1"/>
  <c r="N29" i="41" s="1"/>
  <c r="P26" i="41"/>
  <c r="V25" i="21"/>
  <c r="T26" i="21"/>
  <c r="T27" i="21" s="1"/>
  <c r="T28" i="21" s="1"/>
  <c r="N25" i="26"/>
  <c r="L26" i="26"/>
  <c r="L27" i="26" s="1"/>
  <c r="L28" i="26" s="1"/>
  <c r="R26" i="27"/>
  <c r="R27" i="27" s="1"/>
  <c r="R28" i="27" s="1"/>
  <c r="T25" i="27"/>
  <c r="B21" i="21"/>
  <c r="Y26" i="1"/>
  <c r="Y27" i="1" s="1"/>
  <c r="Y28" i="1" s="1"/>
  <c r="AA25" i="1"/>
  <c r="G25" i="12"/>
  <c r="E26" i="12"/>
  <c r="E27" i="12" s="1"/>
  <c r="E28" i="12" s="1"/>
  <c r="E7" i="40"/>
  <c r="T6" i="40" a="1"/>
  <c r="T6" i="40" s="1"/>
  <c r="N7" i="40"/>
  <c r="N11" i="40"/>
  <c r="B20" i="39"/>
  <c r="O5" i="40"/>
  <c r="C42" i="23"/>
  <c r="R43" i="23"/>
  <c r="B4" i="23"/>
  <c r="C3" i="23"/>
  <c r="N22" i="38"/>
  <c r="L23" i="38"/>
  <c r="L24" i="38" s="1"/>
  <c r="L25" i="38" s="1"/>
  <c r="E26" i="36"/>
  <c r="E27" i="36" s="1"/>
  <c r="E28" i="36" s="1"/>
  <c r="G25" i="36"/>
  <c r="G28" i="27"/>
  <c r="F28" i="27"/>
  <c r="E29" i="27"/>
  <c r="E30" i="27" s="1"/>
  <c r="E31" i="27" s="1"/>
  <c r="E26" i="37"/>
  <c r="E27" i="37" s="1"/>
  <c r="E28" i="37" s="1"/>
  <c r="G25" i="37"/>
  <c r="BQ29" i="17"/>
  <c r="BQ30" i="17" s="1"/>
  <c r="BQ31" i="17" s="1"/>
  <c r="BS28" i="17"/>
  <c r="E26" i="38"/>
  <c r="E27" i="38" s="1"/>
  <c r="E28" i="38" s="1"/>
  <c r="G25" i="38"/>
  <c r="G31" i="26"/>
  <c r="E32" i="26"/>
  <c r="E33" i="26" s="1"/>
  <c r="E34" i="26" s="1"/>
  <c r="AD20" i="17"/>
  <c r="AD21" i="17" s="1"/>
  <c r="AD22" i="17" s="1"/>
  <c r="AF19" i="17"/>
  <c r="B20" i="25"/>
  <c r="B30" i="22"/>
  <c r="B29" i="22"/>
  <c r="E6" i="1"/>
  <c r="E8" i="1"/>
  <c r="B37" i="22"/>
  <c r="B38" i="22"/>
  <c r="C2" i="10"/>
  <c r="E10" i="1"/>
  <c r="B46" i="22"/>
  <c r="B45" i="22"/>
  <c r="M26" i="21"/>
  <c r="M27" i="21" s="1"/>
  <c r="M28" i="21" s="1"/>
  <c r="O25" i="21"/>
  <c r="Z46" i="29"/>
  <c r="X47" i="29"/>
  <c r="X48" i="29" s="1"/>
  <c r="X49" i="29" s="1"/>
  <c r="Y46" i="29"/>
  <c r="BQ26" i="28"/>
  <c r="BQ27" i="28" s="1"/>
  <c r="BQ28" i="28" s="1"/>
  <c r="BS25" i="28"/>
  <c r="B20" i="17"/>
  <c r="F7" i="40"/>
  <c r="F11" i="40"/>
  <c r="G7" i="40"/>
  <c r="G11" i="40"/>
  <c r="U7" i="40"/>
  <c r="U11" i="40"/>
  <c r="M41" i="23"/>
  <c r="H41" i="23"/>
  <c r="J41" i="23"/>
  <c r="I41" i="23"/>
  <c r="F41" i="23"/>
  <c r="E41" i="23"/>
  <c r="D41" i="23"/>
  <c r="N41" i="23"/>
  <c r="L41" i="23"/>
  <c r="AW53" i="17"/>
  <c r="AW54" i="17" s="1"/>
  <c r="AW55" i="17" s="1"/>
  <c r="AY52" i="17"/>
  <c r="P25" i="40"/>
  <c r="N26" i="40"/>
  <c r="N27" i="40" s="1"/>
  <c r="N28" i="40" s="1"/>
  <c r="N2" i="23"/>
  <c r="D2" i="23"/>
  <c r="M2" i="23"/>
  <c r="L2" i="23"/>
  <c r="J2" i="23"/>
  <c r="I2" i="23"/>
  <c r="F2" i="23"/>
  <c r="H2" i="23"/>
  <c r="E2" i="23"/>
  <c r="T25" i="2"/>
  <c r="R26" i="2"/>
  <c r="R27" i="2" s="1"/>
  <c r="R28" i="2" s="1"/>
  <c r="L26" i="37"/>
  <c r="L27" i="37" s="1"/>
  <c r="L28" i="37" s="1"/>
  <c r="N25" i="37"/>
  <c r="B20" i="29"/>
  <c r="AD20" i="28"/>
  <c r="AD21" i="28" s="1"/>
  <c r="AD22" i="28" s="1"/>
  <c r="AF19" i="28"/>
  <c r="B19" i="28"/>
  <c r="J35" i="29"/>
  <c r="J36" i="29" s="1"/>
  <c r="J37" i="29" s="1"/>
  <c r="K34" i="29"/>
  <c r="L34" i="29"/>
  <c r="S34" i="29"/>
  <c r="R34" i="29"/>
  <c r="Q35" i="29"/>
  <c r="Q36" i="29" s="1"/>
  <c r="Q37" i="29" s="1"/>
  <c r="R26" i="1"/>
  <c r="R27" i="1" s="1"/>
  <c r="R28" i="1" s="1"/>
  <c r="T25" i="1"/>
  <c r="B20" i="38"/>
  <c r="R26" i="26"/>
  <c r="R27" i="26" s="1"/>
  <c r="R28" i="26" s="1"/>
  <c r="T25" i="26"/>
  <c r="D54" i="22"/>
  <c r="E54" i="22"/>
  <c r="G25" i="25"/>
  <c r="E26" i="25"/>
  <c r="E27" i="25" s="1"/>
  <c r="E28" i="25" s="1"/>
  <c r="BE22" i="17"/>
  <c r="BF22" i="17"/>
  <c r="BD23" i="17"/>
  <c r="BD24" i="17" s="1"/>
  <c r="BD25" i="17" s="1"/>
  <c r="AW26" i="28"/>
  <c r="AW27" i="28" s="1"/>
  <c r="AW28" i="28" s="1"/>
  <c r="AY25" i="28"/>
  <c r="N12" i="40"/>
  <c r="B20" i="37"/>
  <c r="AJ26" i="17"/>
  <c r="AJ27" i="17" s="1"/>
  <c r="AJ28" i="17" s="1"/>
  <c r="AL25" i="17"/>
  <c r="N25" i="6"/>
  <c r="L26" i="6"/>
  <c r="L27" i="6" s="1"/>
  <c r="L28" i="6" s="1"/>
  <c r="B20" i="36"/>
  <c r="K4" i="24"/>
  <c r="M4" i="24"/>
  <c r="L4" i="24"/>
  <c r="BJ26" i="28"/>
  <c r="BJ27" i="28" s="1"/>
  <c r="BJ28" i="28" s="1"/>
  <c r="BL25" i="28"/>
  <c r="B22" i="12"/>
  <c r="E26" i="2"/>
  <c r="E27" i="2" s="1"/>
  <c r="E28" i="2" s="1"/>
  <c r="G25" i="2"/>
  <c r="Y25" i="28"/>
  <c r="W26" i="28"/>
  <c r="W27" i="28" s="1"/>
  <c r="W28" i="28" s="1"/>
  <c r="B21" i="27"/>
  <c r="R26" i="37"/>
  <c r="R27" i="37" s="1"/>
  <c r="R28" i="37" s="1"/>
  <c r="T25" i="37"/>
  <c r="J26" i="17"/>
  <c r="J27" i="17" s="1"/>
  <c r="J28" i="17" s="1"/>
  <c r="L25" i="17"/>
  <c r="O5" i="22"/>
  <c r="O7" i="22" s="1"/>
  <c r="D53" i="22"/>
  <c r="E53" i="22"/>
  <c r="L26" i="12"/>
  <c r="L27" i="12" s="1"/>
  <c r="L28" i="12" s="1"/>
  <c r="N25" i="12"/>
  <c r="T25" i="6"/>
  <c r="R26" i="6"/>
  <c r="R27" i="6" s="1"/>
  <c r="R28" i="6" s="1"/>
  <c r="L25" i="28"/>
  <c r="J26" i="28"/>
  <c r="J27" i="28" s="1"/>
  <c r="J28" i="28" s="1"/>
  <c r="AQ20" i="17"/>
  <c r="AQ21" i="17" s="1"/>
  <c r="AQ22" i="17" s="1"/>
  <c r="AS19" i="17"/>
  <c r="Z184" i="25"/>
  <c r="Y185" i="25"/>
  <c r="Y186" i="25" s="1"/>
  <c r="Y187" i="25" s="1"/>
  <c r="Y188" i="25" s="1"/>
  <c r="Y189" i="25" s="1"/>
  <c r="Y190" i="25" s="1"/>
  <c r="Y191" i="25" s="1"/>
  <c r="Y192" i="25" s="1"/>
  <c r="Y193" i="25" s="1"/>
  <c r="Y194" i="25" s="1"/>
  <c r="Y195" i="25" s="1"/>
  <c r="Y196" i="25" s="1"/>
  <c r="P181" i="32" l="1"/>
  <c r="Q181" i="32"/>
  <c r="D181" i="32"/>
  <c r="T181" i="32" s="1"/>
  <c r="E181" i="32"/>
  <c r="F181" i="32"/>
  <c r="L181" i="32"/>
  <c r="O181" i="32"/>
  <c r="C181" i="32"/>
  <c r="M181" i="32"/>
  <c r="H181" i="32"/>
  <c r="J181" i="32"/>
  <c r="G181" i="32"/>
  <c r="I181" i="32"/>
  <c r="K181" i="32"/>
  <c r="I180" i="32"/>
  <c r="G180" i="32"/>
  <c r="P180" i="32"/>
  <c r="M180" i="32"/>
  <c r="C180" i="32"/>
  <c r="D180" i="32"/>
  <c r="T180" i="32" s="1"/>
  <c r="J180" i="32"/>
  <c r="K180" i="32"/>
  <c r="F180" i="32"/>
  <c r="O180" i="32"/>
  <c r="H180" i="32"/>
  <c r="Q180" i="32"/>
  <c r="L180" i="32"/>
  <c r="E180" i="32"/>
  <c r="L179" i="32"/>
  <c r="G179" i="32"/>
  <c r="F179" i="32"/>
  <c r="C179" i="32"/>
  <c r="M179" i="32"/>
  <c r="Q179" i="32"/>
  <c r="E179" i="32"/>
  <c r="D179" i="32"/>
  <c r="T179" i="32" s="1"/>
  <c r="H179" i="32"/>
  <c r="J179" i="32"/>
  <c r="I179" i="32"/>
  <c r="O179" i="32"/>
  <c r="K179" i="32"/>
  <c r="P179" i="32"/>
  <c r="CF26" i="17"/>
  <c r="CF27" i="17" s="1"/>
  <c r="CF28" i="17" s="1"/>
  <c r="CH25" i="17"/>
  <c r="Q23" i="28"/>
  <c r="Q24" i="28" s="1"/>
  <c r="Q25" i="28" s="1"/>
  <c r="R22" i="28"/>
  <c r="M178" i="32"/>
  <c r="D178" i="32"/>
  <c r="T178" i="32" s="1"/>
  <c r="L178" i="32"/>
  <c r="F178" i="32"/>
  <c r="O178" i="32"/>
  <c r="E178" i="32"/>
  <c r="Q178" i="32"/>
  <c r="C178" i="32"/>
  <c r="K178" i="32"/>
  <c r="I178" i="32"/>
  <c r="H178" i="32"/>
  <c r="J178" i="32"/>
  <c r="P178" i="32"/>
  <c r="G178" i="32"/>
  <c r="G177" i="32"/>
  <c r="H177" i="32"/>
  <c r="L177" i="32"/>
  <c r="O177" i="32"/>
  <c r="I177" i="32"/>
  <c r="D177" i="32"/>
  <c r="T177" i="32" s="1"/>
  <c r="F177" i="32"/>
  <c r="Q177" i="32"/>
  <c r="C177" i="32"/>
  <c r="K177" i="32"/>
  <c r="E177" i="32"/>
  <c r="M177" i="32"/>
  <c r="P177" i="32"/>
  <c r="J177" i="32"/>
  <c r="Q176" i="32"/>
  <c r="G176" i="32"/>
  <c r="F176" i="32"/>
  <c r="M176" i="32"/>
  <c r="D176" i="32"/>
  <c r="T176" i="32" s="1"/>
  <c r="K176" i="32"/>
  <c r="O176" i="32"/>
  <c r="E176" i="32"/>
  <c r="L176" i="32"/>
  <c r="C176" i="32"/>
  <c r="H176" i="32"/>
  <c r="I176" i="32"/>
  <c r="J176" i="32"/>
  <c r="P176" i="32"/>
  <c r="Q23" i="17"/>
  <c r="Q24" i="17" s="1"/>
  <c r="Q25" i="17" s="1"/>
  <c r="S22" i="17"/>
  <c r="R22" i="17"/>
  <c r="P175" i="32"/>
  <c r="E175" i="32"/>
  <c r="F175" i="32"/>
  <c r="K175" i="32"/>
  <c r="J175" i="32"/>
  <c r="Q175" i="32"/>
  <c r="C175" i="32"/>
  <c r="G175" i="32"/>
  <c r="D175" i="32"/>
  <c r="T175" i="32" s="1"/>
  <c r="I175" i="32"/>
  <c r="L175" i="32"/>
  <c r="M175" i="32"/>
  <c r="H175" i="32"/>
  <c r="O175" i="32"/>
  <c r="P174" i="32"/>
  <c r="F174" i="32"/>
  <c r="M174" i="32"/>
  <c r="J174" i="32"/>
  <c r="I174" i="32"/>
  <c r="H174" i="32"/>
  <c r="C174" i="32"/>
  <c r="D174" i="32"/>
  <c r="T174" i="32" s="1"/>
  <c r="O174" i="32"/>
  <c r="K174" i="32"/>
  <c r="Q174" i="32"/>
  <c r="G174" i="32"/>
  <c r="L174" i="32"/>
  <c r="E174" i="32"/>
  <c r="M173" i="32"/>
  <c r="F173" i="32"/>
  <c r="Q173" i="32"/>
  <c r="D173" i="32"/>
  <c r="T173" i="32" s="1"/>
  <c r="P173" i="32"/>
  <c r="G173" i="32"/>
  <c r="J173" i="32"/>
  <c r="C173" i="32"/>
  <c r="O173" i="32"/>
  <c r="I173" i="32"/>
  <c r="K173" i="32"/>
  <c r="H173" i="32"/>
  <c r="E173" i="32"/>
  <c r="L173" i="32"/>
  <c r="S22" i="28"/>
  <c r="BD23" i="28"/>
  <c r="BD24" i="28" s="1"/>
  <c r="BD25" i="28" s="1"/>
  <c r="BF22" i="28"/>
  <c r="I172" i="32"/>
  <c r="H172" i="32"/>
  <c r="K172" i="32"/>
  <c r="O172" i="32"/>
  <c r="J172" i="32"/>
  <c r="F172" i="32"/>
  <c r="M172" i="32"/>
  <c r="E172" i="32"/>
  <c r="D172" i="32"/>
  <c r="T172" i="32" s="1"/>
  <c r="L172" i="32"/>
  <c r="X172" i="32" s="1"/>
  <c r="Q172" i="32"/>
  <c r="C172" i="32"/>
  <c r="G172" i="32"/>
  <c r="K170" i="32"/>
  <c r="E170" i="32"/>
  <c r="I170" i="32"/>
  <c r="L170" i="32"/>
  <c r="X170" i="32" s="1"/>
  <c r="Q170" i="32"/>
  <c r="D170" i="32"/>
  <c r="T170" i="32" s="1"/>
  <c r="M170" i="32"/>
  <c r="F170" i="32"/>
  <c r="C170" i="32"/>
  <c r="H170" i="32"/>
  <c r="J170" i="32"/>
  <c r="O170" i="32"/>
  <c r="G170" i="32"/>
  <c r="L171" i="32"/>
  <c r="X171" i="32" s="1"/>
  <c r="J171" i="32"/>
  <c r="C171" i="32"/>
  <c r="G171" i="32"/>
  <c r="F171" i="32"/>
  <c r="K171" i="32"/>
  <c r="D171" i="32"/>
  <c r="T171" i="32" s="1"/>
  <c r="M171" i="32"/>
  <c r="E171" i="32"/>
  <c r="I171" i="32"/>
  <c r="O171" i="32"/>
  <c r="H171" i="32"/>
  <c r="Q171" i="32"/>
  <c r="M167" i="32"/>
  <c r="L167" i="32"/>
  <c r="K167" i="32"/>
  <c r="D167" i="32"/>
  <c r="Q167" i="32"/>
  <c r="J167" i="32"/>
  <c r="H167" i="32"/>
  <c r="I167" i="32"/>
  <c r="P167" i="32"/>
  <c r="G167" i="32"/>
  <c r="E167" i="32"/>
  <c r="F167" i="32"/>
  <c r="O167" i="32"/>
  <c r="C167" i="32"/>
  <c r="D168" i="32"/>
  <c r="P168" i="32"/>
  <c r="G168" i="32"/>
  <c r="L168" i="32"/>
  <c r="C168" i="32"/>
  <c r="F168" i="32"/>
  <c r="O168" i="32"/>
  <c r="K168" i="32"/>
  <c r="H168" i="32"/>
  <c r="M168" i="32"/>
  <c r="J168" i="32"/>
  <c r="E168" i="32"/>
  <c r="Q168" i="32"/>
  <c r="I168" i="32"/>
  <c r="Q169" i="32"/>
  <c r="P169" i="32"/>
  <c r="J169" i="32"/>
  <c r="O169" i="32"/>
  <c r="K169" i="32"/>
  <c r="G169" i="32"/>
  <c r="L169" i="32"/>
  <c r="C169" i="32"/>
  <c r="E169" i="32"/>
  <c r="H169" i="32"/>
  <c r="I169" i="32"/>
  <c r="M169" i="32"/>
  <c r="F169" i="32"/>
  <c r="D169" i="32"/>
  <c r="CH25" i="28"/>
  <c r="D165" i="32"/>
  <c r="Q165" i="32"/>
  <c r="P165" i="32"/>
  <c r="O165" i="32"/>
  <c r="J165" i="32"/>
  <c r="M165" i="32"/>
  <c r="E165" i="32"/>
  <c r="L165" i="32"/>
  <c r="I165" i="32"/>
  <c r="G165" i="32"/>
  <c r="H165" i="32"/>
  <c r="K165" i="32"/>
  <c r="F165" i="32"/>
  <c r="C165" i="32"/>
  <c r="F166" i="32"/>
  <c r="L166" i="32"/>
  <c r="J166" i="32"/>
  <c r="K166" i="32"/>
  <c r="O166" i="32"/>
  <c r="G166" i="32"/>
  <c r="Q166" i="32"/>
  <c r="P166" i="32"/>
  <c r="M166" i="32"/>
  <c r="H166" i="32"/>
  <c r="E166" i="32"/>
  <c r="I166" i="32"/>
  <c r="D166" i="32"/>
  <c r="C166" i="32"/>
  <c r="D164" i="32"/>
  <c r="J164" i="32"/>
  <c r="P164" i="32"/>
  <c r="M164" i="32"/>
  <c r="C164" i="32"/>
  <c r="G164" i="32"/>
  <c r="L164" i="32"/>
  <c r="H164" i="32"/>
  <c r="O164" i="32"/>
  <c r="I164" i="32"/>
  <c r="K164" i="32"/>
  <c r="F164" i="32"/>
  <c r="Q164" i="32"/>
  <c r="E164" i="32"/>
  <c r="G163" i="32"/>
  <c r="C163" i="32"/>
  <c r="F163" i="32"/>
  <c r="I163" i="32"/>
  <c r="Q163" i="32"/>
  <c r="K163" i="32"/>
  <c r="H163" i="32"/>
  <c r="L163" i="32"/>
  <c r="J163" i="32"/>
  <c r="D163" i="32"/>
  <c r="P163" i="32"/>
  <c r="E163" i="32"/>
  <c r="M163" i="32"/>
  <c r="O163" i="32"/>
  <c r="Q162" i="32"/>
  <c r="J162" i="32"/>
  <c r="I162" i="32"/>
  <c r="H162" i="32"/>
  <c r="F162" i="32"/>
  <c r="E162" i="32"/>
  <c r="D162" i="32"/>
  <c r="K162" i="32"/>
  <c r="O162" i="32"/>
  <c r="P162" i="32"/>
  <c r="L162" i="32"/>
  <c r="G162" i="32"/>
  <c r="C162" i="32"/>
  <c r="M162" i="32"/>
  <c r="K161" i="32"/>
  <c r="L161" i="32"/>
  <c r="E161" i="32"/>
  <c r="C161" i="32"/>
  <c r="G161" i="32"/>
  <c r="O161" i="32"/>
  <c r="P161" i="32"/>
  <c r="J161" i="32"/>
  <c r="I161" i="32"/>
  <c r="D161" i="32"/>
  <c r="Q161" i="32"/>
  <c r="M161" i="32"/>
  <c r="F161" i="32"/>
  <c r="H161" i="32"/>
  <c r="N5" i="40"/>
  <c r="BJ29" i="28"/>
  <c r="BJ30" i="28" s="1"/>
  <c r="BJ31" i="28" s="1"/>
  <c r="BL28" i="28"/>
  <c r="B21" i="37"/>
  <c r="BQ29" i="28"/>
  <c r="BQ30" i="28" s="1"/>
  <c r="BQ31" i="28" s="1"/>
  <c r="BS28" i="28"/>
  <c r="D38" i="22"/>
  <c r="E38" i="22"/>
  <c r="C4" i="23"/>
  <c r="B5" i="23"/>
  <c r="P29" i="41"/>
  <c r="N30" i="41"/>
  <c r="N31" i="41" s="1"/>
  <c r="N32" i="41" s="1"/>
  <c r="O29" i="41"/>
  <c r="T31" i="36"/>
  <c r="R32" i="36"/>
  <c r="R33" i="36" s="1"/>
  <c r="R34" i="36" s="1"/>
  <c r="S31" i="36"/>
  <c r="CH28" i="17"/>
  <c r="CF29" i="17"/>
  <c r="CF30" i="17" s="1"/>
  <c r="CF31" i="17" s="1"/>
  <c r="AR22" i="28"/>
  <c r="AQ23" i="28"/>
  <c r="AQ24" i="28" s="1"/>
  <c r="AQ25" i="28" s="1"/>
  <c r="AS22" i="28"/>
  <c r="P5" i="32"/>
  <c r="O5" i="32"/>
  <c r="L5" i="32"/>
  <c r="K5" i="32"/>
  <c r="G5" i="32"/>
  <c r="C5" i="32"/>
  <c r="P13" i="32"/>
  <c r="O13" i="32"/>
  <c r="K13" i="32"/>
  <c r="G13" i="32"/>
  <c r="L13" i="32"/>
  <c r="C13" i="32"/>
  <c r="P15" i="32"/>
  <c r="L15" i="32"/>
  <c r="K15" i="32"/>
  <c r="O15" i="32"/>
  <c r="C15" i="32"/>
  <c r="G15" i="32"/>
  <c r="O26" i="32"/>
  <c r="M26" i="32"/>
  <c r="P26" i="32"/>
  <c r="L26" i="32"/>
  <c r="C26" i="32"/>
  <c r="K26" i="32"/>
  <c r="I26" i="32"/>
  <c r="G26" i="32"/>
  <c r="Q26" i="32"/>
  <c r="E26" i="32"/>
  <c r="O30" i="32"/>
  <c r="M30" i="32"/>
  <c r="L30" i="32"/>
  <c r="K30" i="32"/>
  <c r="I30" i="32"/>
  <c r="C30" i="32"/>
  <c r="G30" i="32"/>
  <c r="P30" i="32"/>
  <c r="Q30" i="32"/>
  <c r="E30" i="32"/>
  <c r="K67" i="32"/>
  <c r="I67" i="32"/>
  <c r="Q67" i="32"/>
  <c r="G67" i="32"/>
  <c r="P67" i="32"/>
  <c r="E67" i="32"/>
  <c r="M67" i="32"/>
  <c r="C67" i="32"/>
  <c r="O67" i="32"/>
  <c r="L67" i="32"/>
  <c r="D67" i="32"/>
  <c r="H67" i="32"/>
  <c r="H96" i="32"/>
  <c r="Q96" i="32"/>
  <c r="G96" i="32"/>
  <c r="M96" i="32"/>
  <c r="C96" i="32"/>
  <c r="L96" i="32"/>
  <c r="K96" i="32"/>
  <c r="I96" i="32"/>
  <c r="E96" i="32"/>
  <c r="D96" i="32"/>
  <c r="P96" i="32"/>
  <c r="O96" i="32"/>
  <c r="H69" i="32"/>
  <c r="Q69" i="32"/>
  <c r="G69" i="32"/>
  <c r="O69" i="32"/>
  <c r="D69" i="32"/>
  <c r="M69" i="32"/>
  <c r="C69" i="32"/>
  <c r="K69" i="32"/>
  <c r="I69" i="32"/>
  <c r="E69" i="32"/>
  <c r="P69" i="32"/>
  <c r="L69" i="32"/>
  <c r="H56" i="32"/>
  <c r="Q56" i="32"/>
  <c r="G56" i="32"/>
  <c r="O56" i="32"/>
  <c r="D56" i="32"/>
  <c r="M56" i="32"/>
  <c r="C56" i="32"/>
  <c r="P56" i="32"/>
  <c r="L56" i="32"/>
  <c r="K56" i="32"/>
  <c r="I56" i="32"/>
  <c r="E56" i="32"/>
  <c r="L128" i="32"/>
  <c r="D128" i="32"/>
  <c r="K128" i="32"/>
  <c r="C128" i="32"/>
  <c r="Q128" i="32"/>
  <c r="H128" i="32"/>
  <c r="O128" i="32"/>
  <c r="M128" i="32"/>
  <c r="I128" i="32"/>
  <c r="G128" i="32"/>
  <c r="E128" i="32"/>
  <c r="P128" i="32"/>
  <c r="J128" i="32"/>
  <c r="F128" i="32"/>
  <c r="K122" i="32"/>
  <c r="I122" i="32"/>
  <c r="P122" i="32"/>
  <c r="E122" i="32"/>
  <c r="L122" i="32"/>
  <c r="H122" i="32"/>
  <c r="D122" i="32"/>
  <c r="C122" i="32"/>
  <c r="Q122" i="32"/>
  <c r="O122" i="32"/>
  <c r="M122" i="32"/>
  <c r="G122" i="32"/>
  <c r="O87" i="32"/>
  <c r="D87" i="32"/>
  <c r="G87" i="32"/>
  <c r="Q87" i="32"/>
  <c r="E87" i="32"/>
  <c r="P87" i="32"/>
  <c r="C87" i="32"/>
  <c r="M87" i="32"/>
  <c r="L87" i="32"/>
  <c r="I87" i="32"/>
  <c r="K87" i="32"/>
  <c r="H87" i="32"/>
  <c r="M54" i="32"/>
  <c r="C54" i="32"/>
  <c r="L54" i="32"/>
  <c r="I54" i="32"/>
  <c r="H54" i="32"/>
  <c r="Q54" i="32"/>
  <c r="P54" i="32"/>
  <c r="D54" i="32"/>
  <c r="O54" i="32"/>
  <c r="K54" i="32"/>
  <c r="E54" i="32"/>
  <c r="G54" i="32"/>
  <c r="K114" i="32"/>
  <c r="I114" i="32"/>
  <c r="P114" i="32"/>
  <c r="E114" i="32"/>
  <c r="M114" i="32"/>
  <c r="L114" i="32"/>
  <c r="G114" i="32"/>
  <c r="D114" i="32"/>
  <c r="C114" i="32"/>
  <c r="O114" i="32"/>
  <c r="Q114" i="32"/>
  <c r="H114" i="32"/>
  <c r="M104" i="32"/>
  <c r="C104" i="32"/>
  <c r="H104" i="32"/>
  <c r="G104" i="32"/>
  <c r="E104" i="32"/>
  <c r="P104" i="32"/>
  <c r="O104" i="32"/>
  <c r="Q104" i="32"/>
  <c r="L104" i="32"/>
  <c r="I104" i="32"/>
  <c r="K104" i="32"/>
  <c r="D104" i="32"/>
  <c r="L151" i="32"/>
  <c r="D151" i="32"/>
  <c r="Q151" i="32"/>
  <c r="H151" i="32"/>
  <c r="P151" i="32"/>
  <c r="E151" i="32"/>
  <c r="O151" i="32"/>
  <c r="C151" i="32"/>
  <c r="K151" i="32"/>
  <c r="J151" i="32"/>
  <c r="M151" i="32"/>
  <c r="G151" i="32"/>
  <c r="F151" i="32"/>
  <c r="I151" i="32"/>
  <c r="P154" i="32"/>
  <c r="G154" i="32"/>
  <c r="K154" i="32"/>
  <c r="C154" i="32"/>
  <c r="J154" i="32"/>
  <c r="I154" i="32"/>
  <c r="F154" i="32"/>
  <c r="Q154" i="32"/>
  <c r="E154" i="32"/>
  <c r="M154" i="32"/>
  <c r="L154" i="32"/>
  <c r="H154" i="32"/>
  <c r="D154" i="32"/>
  <c r="O154" i="32"/>
  <c r="L101" i="32"/>
  <c r="Q101" i="32"/>
  <c r="G101" i="32"/>
  <c r="M101" i="32"/>
  <c r="K101" i="32"/>
  <c r="E101" i="32"/>
  <c r="C101" i="32"/>
  <c r="P101" i="32"/>
  <c r="O101" i="32"/>
  <c r="H101" i="32"/>
  <c r="I101" i="32"/>
  <c r="D101" i="32"/>
  <c r="K150" i="32"/>
  <c r="C150" i="32"/>
  <c r="P150" i="32"/>
  <c r="G150" i="32"/>
  <c r="F150" i="32"/>
  <c r="Q150" i="32"/>
  <c r="E150" i="32"/>
  <c r="M150" i="32"/>
  <c r="L150" i="32"/>
  <c r="O150" i="32"/>
  <c r="I150" i="32"/>
  <c r="J150" i="32"/>
  <c r="H150" i="32"/>
  <c r="D150" i="32"/>
  <c r="O137" i="32"/>
  <c r="F137" i="32"/>
  <c r="J137" i="32"/>
  <c r="G137" i="32"/>
  <c r="M137" i="32"/>
  <c r="C137" i="32"/>
  <c r="L137" i="32"/>
  <c r="E137" i="32"/>
  <c r="D137" i="32"/>
  <c r="P137" i="32"/>
  <c r="K137" i="32"/>
  <c r="I137" i="32"/>
  <c r="H137" i="32"/>
  <c r="Q137" i="32"/>
  <c r="CA31" i="17"/>
  <c r="BY32" i="17"/>
  <c r="BY33" i="17" s="1"/>
  <c r="BY34" i="17" s="1"/>
  <c r="N29" i="40"/>
  <c r="N30" i="40" s="1"/>
  <c r="N31" i="40" s="1"/>
  <c r="P28" i="40"/>
  <c r="O28" i="40"/>
  <c r="Q26" i="17"/>
  <c r="Q27" i="17" s="1"/>
  <c r="Q28" i="17" s="1"/>
  <c r="S25" i="17"/>
  <c r="B23" i="12"/>
  <c r="G5" i="24"/>
  <c r="G7" i="24" s="1"/>
  <c r="AL28" i="17"/>
  <c r="AJ29" i="17"/>
  <c r="AJ30" i="17" s="1"/>
  <c r="AJ31" i="17" s="1"/>
  <c r="B21" i="38"/>
  <c r="J38" i="29"/>
  <c r="J39" i="29" s="1"/>
  <c r="J40" i="29" s="1"/>
  <c r="L37" i="29"/>
  <c r="D37" i="22"/>
  <c r="M5" i="22"/>
  <c r="M7" i="22" s="1"/>
  <c r="E37" i="22"/>
  <c r="AF22" i="17"/>
  <c r="AE22" i="17"/>
  <c r="AD23" i="17"/>
  <c r="AD24" i="17" s="1"/>
  <c r="AD25" i="17" s="1"/>
  <c r="C43" i="23"/>
  <c r="R44" i="23"/>
  <c r="Y28" i="17"/>
  <c r="W29" i="17"/>
  <c r="W30" i="17" s="1"/>
  <c r="W31" i="17" s="1"/>
  <c r="B21" i="26"/>
  <c r="W26" i="41"/>
  <c r="U27" i="41"/>
  <c r="U28" i="41" s="1"/>
  <c r="U29" i="41" s="1"/>
  <c r="C82" i="23"/>
  <c r="R83" i="23"/>
  <c r="K12" i="32"/>
  <c r="G12" i="32"/>
  <c r="C12" i="32"/>
  <c r="P12" i="32"/>
  <c r="O12" i="32"/>
  <c r="L12" i="32"/>
  <c r="G3" i="32"/>
  <c r="C3" i="32"/>
  <c r="P3" i="32"/>
  <c r="O3" i="32"/>
  <c r="L3" i="32"/>
  <c r="K3" i="32"/>
  <c r="O16" i="32"/>
  <c r="M16" i="32"/>
  <c r="L16" i="32"/>
  <c r="K16" i="32"/>
  <c r="I16" i="32"/>
  <c r="G16" i="32"/>
  <c r="Q16" i="32"/>
  <c r="P16" i="32"/>
  <c r="E16" i="32"/>
  <c r="C16" i="32"/>
  <c r="L29" i="32"/>
  <c r="K29" i="32"/>
  <c r="I29" i="32"/>
  <c r="G29" i="32"/>
  <c r="Q29" i="32"/>
  <c r="E29" i="32"/>
  <c r="P29" i="32"/>
  <c r="C29" i="32"/>
  <c r="M29" i="32"/>
  <c r="O29" i="32"/>
  <c r="O35" i="32"/>
  <c r="M35" i="32"/>
  <c r="L35" i="32"/>
  <c r="K35" i="32"/>
  <c r="I35" i="32"/>
  <c r="G35" i="32"/>
  <c r="Q35" i="32"/>
  <c r="E35" i="32"/>
  <c r="P35" i="32"/>
  <c r="C35" i="32"/>
  <c r="H77" i="32"/>
  <c r="Q77" i="32"/>
  <c r="G77" i="32"/>
  <c r="P77" i="32"/>
  <c r="E77" i="32"/>
  <c r="O77" i="32"/>
  <c r="D77" i="32"/>
  <c r="M77" i="32"/>
  <c r="C77" i="32"/>
  <c r="K77" i="32"/>
  <c r="L77" i="32"/>
  <c r="I77" i="32"/>
  <c r="O115" i="32"/>
  <c r="D115" i="32"/>
  <c r="M115" i="32"/>
  <c r="C115" i="32"/>
  <c r="I115" i="32"/>
  <c r="P115" i="32"/>
  <c r="L115" i="32"/>
  <c r="H115" i="32"/>
  <c r="G115" i="32"/>
  <c r="Q115" i="32"/>
  <c r="K115" i="32"/>
  <c r="E115" i="32"/>
  <c r="O43" i="32"/>
  <c r="D43" i="32"/>
  <c r="K43" i="32"/>
  <c r="L43" i="32"/>
  <c r="I43" i="32"/>
  <c r="H43" i="32"/>
  <c r="G43" i="32"/>
  <c r="C43" i="32"/>
  <c r="E43" i="32"/>
  <c r="Q43" i="32"/>
  <c r="P43" i="32"/>
  <c r="M43" i="32"/>
  <c r="O68" i="32"/>
  <c r="D68" i="32"/>
  <c r="M68" i="32"/>
  <c r="C68" i="32"/>
  <c r="K68" i="32"/>
  <c r="I68" i="32"/>
  <c r="Q68" i="32"/>
  <c r="G68" i="32"/>
  <c r="P68" i="32"/>
  <c r="L68" i="32"/>
  <c r="H68" i="32"/>
  <c r="E68" i="32"/>
  <c r="P138" i="32"/>
  <c r="G138" i="32"/>
  <c r="K138" i="32"/>
  <c r="C138" i="32"/>
  <c r="Q138" i="32"/>
  <c r="E138" i="32"/>
  <c r="O138" i="32"/>
  <c r="L138" i="32"/>
  <c r="J138" i="32"/>
  <c r="H138" i="32"/>
  <c r="M138" i="32"/>
  <c r="F138" i="32"/>
  <c r="D138" i="32"/>
  <c r="I138" i="32"/>
  <c r="O47" i="32"/>
  <c r="D47" i="32"/>
  <c r="L47" i="32"/>
  <c r="K47" i="32"/>
  <c r="E47" i="32"/>
  <c r="C47" i="32"/>
  <c r="H47" i="32"/>
  <c r="Q47" i="32"/>
  <c r="P47" i="32"/>
  <c r="I47" i="32"/>
  <c r="M47" i="32"/>
  <c r="G47" i="32"/>
  <c r="O76" i="32"/>
  <c r="D76" i="32"/>
  <c r="M76" i="32"/>
  <c r="C76" i="32"/>
  <c r="L76" i="32"/>
  <c r="K76" i="32"/>
  <c r="I76" i="32"/>
  <c r="Q76" i="32"/>
  <c r="G76" i="32"/>
  <c r="P76" i="32"/>
  <c r="H76" i="32"/>
  <c r="E76" i="32"/>
  <c r="M58" i="32"/>
  <c r="C58" i="32"/>
  <c r="L58" i="32"/>
  <c r="I58" i="32"/>
  <c r="H58" i="32"/>
  <c r="G58" i="32"/>
  <c r="E58" i="32"/>
  <c r="D58" i="32"/>
  <c r="Q58" i="32"/>
  <c r="P58" i="32"/>
  <c r="O58" i="32"/>
  <c r="K58" i="32"/>
  <c r="L70" i="32"/>
  <c r="K70" i="32"/>
  <c r="H70" i="32"/>
  <c r="Q70" i="32"/>
  <c r="G70" i="32"/>
  <c r="O70" i="32"/>
  <c r="D70" i="32"/>
  <c r="P70" i="32"/>
  <c r="M70" i="32"/>
  <c r="I70" i="32"/>
  <c r="E70" i="32"/>
  <c r="C70" i="32"/>
  <c r="I111" i="32"/>
  <c r="H111" i="32"/>
  <c r="O111" i="32"/>
  <c r="D111" i="32"/>
  <c r="G111" i="32"/>
  <c r="E111" i="32"/>
  <c r="Q111" i="32"/>
  <c r="P111" i="32"/>
  <c r="M111" i="32"/>
  <c r="L111" i="32"/>
  <c r="K111" i="32"/>
  <c r="C111" i="32"/>
  <c r="L89" i="32"/>
  <c r="K89" i="32"/>
  <c r="Q89" i="32"/>
  <c r="G89" i="32"/>
  <c r="P89" i="32"/>
  <c r="O89" i="32"/>
  <c r="M89" i="32"/>
  <c r="I89" i="32"/>
  <c r="H89" i="32"/>
  <c r="D89" i="32"/>
  <c r="E89" i="32"/>
  <c r="C89" i="32"/>
  <c r="M112" i="32"/>
  <c r="C112" i="32"/>
  <c r="L112" i="32"/>
  <c r="H112" i="32"/>
  <c r="I112" i="32"/>
  <c r="G112" i="32"/>
  <c r="D112" i="32"/>
  <c r="Q112" i="32"/>
  <c r="P112" i="32"/>
  <c r="K112" i="32"/>
  <c r="O112" i="32"/>
  <c r="E112" i="32"/>
  <c r="L109" i="32"/>
  <c r="K109" i="32"/>
  <c r="Q109" i="32"/>
  <c r="G109" i="32"/>
  <c r="D109" i="32"/>
  <c r="C109" i="32"/>
  <c r="O109" i="32"/>
  <c r="M109" i="32"/>
  <c r="I109" i="32"/>
  <c r="H109" i="32"/>
  <c r="E109" i="32"/>
  <c r="P109" i="32"/>
  <c r="Q139" i="32"/>
  <c r="H139" i="32"/>
  <c r="L139" i="32"/>
  <c r="D139" i="32"/>
  <c r="O139" i="32"/>
  <c r="C139" i="32"/>
  <c r="M139" i="32"/>
  <c r="J139" i="32"/>
  <c r="I139" i="32"/>
  <c r="P139" i="32"/>
  <c r="F139" i="32"/>
  <c r="K139" i="32"/>
  <c r="E139" i="32"/>
  <c r="G139" i="32"/>
  <c r="O145" i="32"/>
  <c r="F145" i="32"/>
  <c r="J145" i="32"/>
  <c r="P145" i="32"/>
  <c r="D145" i="32"/>
  <c r="M145" i="32"/>
  <c r="C145" i="32"/>
  <c r="K145" i="32"/>
  <c r="I145" i="32"/>
  <c r="G145" i="32"/>
  <c r="E145" i="32"/>
  <c r="Q145" i="32"/>
  <c r="L145" i="32"/>
  <c r="H145" i="32"/>
  <c r="N31" i="2"/>
  <c r="L32" i="2"/>
  <c r="L33" i="2" s="1"/>
  <c r="L34" i="2" s="1"/>
  <c r="G28" i="2"/>
  <c r="F28" i="2"/>
  <c r="E29" i="2"/>
  <c r="E30" i="2" s="1"/>
  <c r="E31" i="2" s="1"/>
  <c r="H5" i="24"/>
  <c r="H7" i="24" s="1"/>
  <c r="G28" i="25"/>
  <c r="E29" i="25"/>
  <c r="E30" i="25" s="1"/>
  <c r="E31" i="25" s="1"/>
  <c r="F28" i="25"/>
  <c r="X50" i="29"/>
  <c r="X51" i="29" s="1"/>
  <c r="X52" i="29" s="1"/>
  <c r="Z49" i="29"/>
  <c r="G34" i="26"/>
  <c r="E35" i="26"/>
  <c r="E36" i="26" s="1"/>
  <c r="E37" i="26" s="1"/>
  <c r="N25" i="38"/>
  <c r="L26" i="38"/>
  <c r="L27" i="38" s="1"/>
  <c r="L28" i="38" s="1"/>
  <c r="H42" i="23"/>
  <c r="M42" i="23"/>
  <c r="I42" i="23"/>
  <c r="F42" i="23"/>
  <c r="E42" i="23"/>
  <c r="D42" i="23"/>
  <c r="L42" i="23"/>
  <c r="J42" i="23"/>
  <c r="N42" i="23"/>
  <c r="F28" i="12"/>
  <c r="G28" i="12"/>
  <c r="E29" i="12"/>
  <c r="E30" i="12" s="1"/>
  <c r="E31" i="12" s="1"/>
  <c r="CH28" i="28"/>
  <c r="CF29" i="28"/>
  <c r="CF30" i="28" s="1"/>
  <c r="CF31" i="28" s="1"/>
  <c r="L26" i="27"/>
  <c r="L27" i="27" s="1"/>
  <c r="L28" i="27" s="1"/>
  <c r="N25" i="27"/>
  <c r="E6" i="40"/>
  <c r="H81" i="23"/>
  <c r="N81" i="23"/>
  <c r="D81" i="23"/>
  <c r="M81" i="23"/>
  <c r="L81" i="23"/>
  <c r="F81" i="23"/>
  <c r="E81" i="23"/>
  <c r="J81" i="23"/>
  <c r="I81" i="23"/>
  <c r="P8" i="32"/>
  <c r="O8" i="32"/>
  <c r="L8" i="32"/>
  <c r="K8" i="32"/>
  <c r="G8" i="32"/>
  <c r="C8" i="32"/>
  <c r="C6" i="32"/>
  <c r="P6" i="32"/>
  <c r="O6" i="32"/>
  <c r="L6" i="32"/>
  <c r="K6" i="32"/>
  <c r="G6" i="32"/>
  <c r="O19" i="32"/>
  <c r="M19" i="32"/>
  <c r="L19" i="32"/>
  <c r="K19" i="32"/>
  <c r="I19" i="32"/>
  <c r="G19" i="32"/>
  <c r="C19" i="32"/>
  <c r="Q19" i="32"/>
  <c r="P19" i="32"/>
  <c r="E19" i="32"/>
  <c r="L32" i="32"/>
  <c r="K32" i="32"/>
  <c r="I32" i="32"/>
  <c r="G32" i="32"/>
  <c r="M32" i="32"/>
  <c r="Q32" i="32"/>
  <c r="E32" i="32"/>
  <c r="P32" i="32"/>
  <c r="C32" i="32"/>
  <c r="O32" i="32"/>
  <c r="M37" i="32"/>
  <c r="O37" i="32"/>
  <c r="L37" i="32"/>
  <c r="K37" i="32"/>
  <c r="I37" i="32"/>
  <c r="E37" i="32"/>
  <c r="G37" i="32"/>
  <c r="Q37" i="32"/>
  <c r="P37" i="32"/>
  <c r="C37" i="32"/>
  <c r="H100" i="32"/>
  <c r="L100" i="32"/>
  <c r="K100" i="32"/>
  <c r="Q100" i="32"/>
  <c r="E100" i="32"/>
  <c r="M100" i="32"/>
  <c r="I100" i="32"/>
  <c r="G100" i="32"/>
  <c r="D100" i="32"/>
  <c r="C100" i="32"/>
  <c r="P100" i="32"/>
  <c r="O100" i="32"/>
  <c r="K39" i="32"/>
  <c r="I39" i="32"/>
  <c r="H39" i="32"/>
  <c r="L39" i="32"/>
  <c r="Q39" i="32"/>
  <c r="G39" i="32"/>
  <c r="P39" i="32"/>
  <c r="E39" i="32"/>
  <c r="O39" i="32"/>
  <c r="D39" i="32"/>
  <c r="M39" i="32"/>
  <c r="C39" i="32"/>
  <c r="I49" i="32"/>
  <c r="Q49" i="32"/>
  <c r="G49" i="32"/>
  <c r="P49" i="32"/>
  <c r="E49" i="32"/>
  <c r="M49" i="32"/>
  <c r="L49" i="32"/>
  <c r="K49" i="32"/>
  <c r="H49" i="32"/>
  <c r="D49" i="32"/>
  <c r="C49" i="32"/>
  <c r="O49" i="32"/>
  <c r="I64" i="32"/>
  <c r="H64" i="32"/>
  <c r="P64" i="32"/>
  <c r="E64" i="32"/>
  <c r="O64" i="32"/>
  <c r="D64" i="32"/>
  <c r="L64" i="32"/>
  <c r="Q64" i="32"/>
  <c r="K64" i="32"/>
  <c r="M64" i="32"/>
  <c r="G64" i="32"/>
  <c r="C64" i="32"/>
  <c r="Q155" i="32"/>
  <c r="H155" i="32"/>
  <c r="L155" i="32"/>
  <c r="D155" i="32"/>
  <c r="I155" i="32"/>
  <c r="G155" i="32"/>
  <c r="P155" i="32"/>
  <c r="E155" i="32"/>
  <c r="O155" i="32"/>
  <c r="C155" i="32"/>
  <c r="K155" i="32"/>
  <c r="J155" i="32"/>
  <c r="F155" i="32"/>
  <c r="M155" i="32"/>
  <c r="O51" i="32"/>
  <c r="D51" i="32"/>
  <c r="L51" i="32"/>
  <c r="K51" i="32"/>
  <c r="G51" i="32"/>
  <c r="E51" i="32"/>
  <c r="I51" i="32"/>
  <c r="C51" i="32"/>
  <c r="Q51" i="32"/>
  <c r="M51" i="32"/>
  <c r="P51" i="32"/>
  <c r="H51" i="32"/>
  <c r="O84" i="32"/>
  <c r="D84" i="32"/>
  <c r="M84" i="32"/>
  <c r="C84" i="32"/>
  <c r="L84" i="32"/>
  <c r="K84" i="32"/>
  <c r="I84" i="32"/>
  <c r="Q84" i="32"/>
  <c r="G84" i="32"/>
  <c r="P84" i="32"/>
  <c r="H84" i="32"/>
  <c r="E84" i="32"/>
  <c r="M62" i="32"/>
  <c r="C62" i="32"/>
  <c r="L62" i="32"/>
  <c r="I62" i="32"/>
  <c r="H62" i="32"/>
  <c r="P62" i="32"/>
  <c r="E62" i="32"/>
  <c r="G62" i="32"/>
  <c r="D62" i="32"/>
  <c r="Q62" i="32"/>
  <c r="O62" i="32"/>
  <c r="K62" i="32"/>
  <c r="L78" i="32"/>
  <c r="K78" i="32"/>
  <c r="I78" i="32"/>
  <c r="H78" i="32"/>
  <c r="Q78" i="32"/>
  <c r="G78" i="32"/>
  <c r="O78" i="32"/>
  <c r="D78" i="32"/>
  <c r="P78" i="32"/>
  <c r="M78" i="32"/>
  <c r="E78" i="32"/>
  <c r="C78" i="32"/>
  <c r="I125" i="32"/>
  <c r="Q125" i="32"/>
  <c r="H125" i="32"/>
  <c r="M125" i="32"/>
  <c r="E125" i="32"/>
  <c r="F125" i="32"/>
  <c r="D125" i="32"/>
  <c r="O125" i="32"/>
  <c r="L125" i="32"/>
  <c r="J125" i="32"/>
  <c r="P125" i="32"/>
  <c r="K125" i="32"/>
  <c r="C125" i="32"/>
  <c r="G125" i="32"/>
  <c r="L97" i="32"/>
  <c r="K97" i="32"/>
  <c r="Q97" i="32"/>
  <c r="G97" i="32"/>
  <c r="O97" i="32"/>
  <c r="M97" i="32"/>
  <c r="I97" i="32"/>
  <c r="H97" i="32"/>
  <c r="E97" i="32"/>
  <c r="C97" i="32"/>
  <c r="P97" i="32"/>
  <c r="D97" i="32"/>
  <c r="M120" i="32"/>
  <c r="C120" i="32"/>
  <c r="L120" i="32"/>
  <c r="H120" i="32"/>
  <c r="G120" i="32"/>
  <c r="E120" i="32"/>
  <c r="Q120" i="32"/>
  <c r="P120" i="32"/>
  <c r="O120" i="32"/>
  <c r="K120" i="32"/>
  <c r="I120" i="32"/>
  <c r="D120" i="32"/>
  <c r="L117" i="32"/>
  <c r="K117" i="32"/>
  <c r="Q117" i="32"/>
  <c r="G117" i="32"/>
  <c r="C117" i="32"/>
  <c r="P117" i="32"/>
  <c r="M117" i="32"/>
  <c r="I117" i="32"/>
  <c r="O117" i="32"/>
  <c r="H117" i="32"/>
  <c r="D117" i="32"/>
  <c r="E117" i="32"/>
  <c r="M152" i="32"/>
  <c r="E152" i="32"/>
  <c r="I152" i="32"/>
  <c r="O152" i="32"/>
  <c r="C152" i="32"/>
  <c r="L152" i="32"/>
  <c r="J152" i="32"/>
  <c r="H152" i="32"/>
  <c r="Q152" i="32"/>
  <c r="P152" i="32"/>
  <c r="K152" i="32"/>
  <c r="F152" i="32"/>
  <c r="G152" i="32"/>
  <c r="D152" i="32"/>
  <c r="O153" i="32"/>
  <c r="F153" i="32"/>
  <c r="J153" i="32"/>
  <c r="L153" i="32"/>
  <c r="K153" i="32"/>
  <c r="H153" i="32"/>
  <c r="G153" i="32"/>
  <c r="P153" i="32"/>
  <c r="M153" i="32"/>
  <c r="I153" i="32"/>
  <c r="D153" i="32"/>
  <c r="C153" i="32"/>
  <c r="Q153" i="32"/>
  <c r="E153" i="32"/>
  <c r="BL55" i="17"/>
  <c r="BJ56" i="17"/>
  <c r="BJ57" i="17" s="1"/>
  <c r="BJ58" i="17" s="1"/>
  <c r="N28" i="1"/>
  <c r="L29" i="1"/>
  <c r="L30" i="1" s="1"/>
  <c r="L31" i="1" s="1"/>
  <c r="M28" i="1"/>
  <c r="AY55" i="17"/>
  <c r="AW56" i="17"/>
  <c r="AW57" i="17" s="1"/>
  <c r="AW58" i="17" s="1"/>
  <c r="B21" i="25"/>
  <c r="B21" i="39"/>
  <c r="B22" i="21"/>
  <c r="V28" i="21"/>
  <c r="U28" i="21"/>
  <c r="T29" i="21"/>
  <c r="T30" i="21" s="1"/>
  <c r="T31" i="21" s="1"/>
  <c r="R26" i="25"/>
  <c r="R27" i="25" s="1"/>
  <c r="R28" i="25" s="1"/>
  <c r="T25" i="25"/>
  <c r="G28" i="21"/>
  <c r="F28" i="21"/>
  <c r="E29" i="21"/>
  <c r="E30" i="21" s="1"/>
  <c r="E31" i="21" s="1"/>
  <c r="E32" i="35"/>
  <c r="E33" i="35" s="1"/>
  <c r="E34" i="35" s="1"/>
  <c r="G31" i="35"/>
  <c r="F31" i="35"/>
  <c r="B23" i="6"/>
  <c r="K14" i="32"/>
  <c r="G14" i="32"/>
  <c r="C14" i="32"/>
  <c r="P14" i="32"/>
  <c r="O14" i="32"/>
  <c r="L14" i="32"/>
  <c r="O21" i="32"/>
  <c r="M21" i="32"/>
  <c r="L21" i="32"/>
  <c r="K21" i="32"/>
  <c r="I21" i="32"/>
  <c r="G21" i="32"/>
  <c r="Q21" i="32"/>
  <c r="P21" i="32"/>
  <c r="E21" i="32"/>
  <c r="C21" i="32"/>
  <c r="I34" i="32"/>
  <c r="Q34" i="32"/>
  <c r="G34" i="32"/>
  <c r="E34" i="32"/>
  <c r="P34" i="32"/>
  <c r="C34" i="32"/>
  <c r="K34" i="32"/>
  <c r="O34" i="32"/>
  <c r="M34" i="32"/>
  <c r="L34" i="32"/>
  <c r="G36" i="32"/>
  <c r="P36" i="32"/>
  <c r="Q36" i="32"/>
  <c r="E36" i="32"/>
  <c r="C36" i="32"/>
  <c r="O36" i="32"/>
  <c r="M36" i="32"/>
  <c r="L36" i="32"/>
  <c r="I36" i="32"/>
  <c r="K36" i="32"/>
  <c r="I41" i="32"/>
  <c r="H41" i="32"/>
  <c r="L41" i="32"/>
  <c r="Q41" i="32"/>
  <c r="G41" i="32"/>
  <c r="P41" i="32"/>
  <c r="E41" i="32"/>
  <c r="M41" i="32"/>
  <c r="O41" i="32"/>
  <c r="D41" i="32"/>
  <c r="C41" i="32"/>
  <c r="K41" i="32"/>
  <c r="Q44" i="32"/>
  <c r="G44" i="32"/>
  <c r="M44" i="32"/>
  <c r="C44" i="32"/>
  <c r="K44" i="32"/>
  <c r="I44" i="32"/>
  <c r="O44" i="32"/>
  <c r="H44" i="32"/>
  <c r="E44" i="32"/>
  <c r="D44" i="32"/>
  <c r="P44" i="32"/>
  <c r="L44" i="32"/>
  <c r="K75" i="32"/>
  <c r="I75" i="32"/>
  <c r="H75" i="32"/>
  <c r="Q75" i="32"/>
  <c r="G75" i="32"/>
  <c r="P75" i="32"/>
  <c r="E75" i="32"/>
  <c r="M75" i="32"/>
  <c r="C75" i="32"/>
  <c r="D75" i="32"/>
  <c r="O75" i="32"/>
  <c r="L75" i="32"/>
  <c r="I72" i="32"/>
  <c r="H72" i="32"/>
  <c r="P72" i="32"/>
  <c r="E72" i="32"/>
  <c r="O72" i="32"/>
  <c r="D72" i="32"/>
  <c r="L72" i="32"/>
  <c r="C72" i="32"/>
  <c r="Q72" i="32"/>
  <c r="M72" i="32"/>
  <c r="K72" i="32"/>
  <c r="G72" i="32"/>
  <c r="Q66" i="32"/>
  <c r="G66" i="32"/>
  <c r="P66" i="32"/>
  <c r="E66" i="32"/>
  <c r="M66" i="32"/>
  <c r="C66" i="32"/>
  <c r="L66" i="32"/>
  <c r="I66" i="32"/>
  <c r="O66" i="32"/>
  <c r="K66" i="32"/>
  <c r="H66" i="32"/>
  <c r="D66" i="32"/>
  <c r="P55" i="32"/>
  <c r="E55" i="32"/>
  <c r="O55" i="32"/>
  <c r="D55" i="32"/>
  <c r="L55" i="32"/>
  <c r="K55" i="32"/>
  <c r="I55" i="32"/>
  <c r="H55" i="32"/>
  <c r="G55" i="32"/>
  <c r="C55" i="32"/>
  <c r="Q55" i="32"/>
  <c r="M55" i="32"/>
  <c r="O107" i="32"/>
  <c r="D107" i="32"/>
  <c r="M107" i="32"/>
  <c r="C107" i="32"/>
  <c r="I107" i="32"/>
  <c r="Q107" i="32"/>
  <c r="P107" i="32"/>
  <c r="K107" i="32"/>
  <c r="H107" i="32"/>
  <c r="G107" i="32"/>
  <c r="E107" i="32"/>
  <c r="L107" i="32"/>
  <c r="M65" i="32"/>
  <c r="C65" i="32"/>
  <c r="L65" i="32"/>
  <c r="I65" i="32"/>
  <c r="H65" i="32"/>
  <c r="P65" i="32"/>
  <c r="E65" i="32"/>
  <c r="G65" i="32"/>
  <c r="D65" i="32"/>
  <c r="Q65" i="32"/>
  <c r="O65" i="32"/>
  <c r="K65" i="32"/>
  <c r="L86" i="32"/>
  <c r="K86" i="32"/>
  <c r="I86" i="32"/>
  <c r="H86" i="32"/>
  <c r="Q86" i="32"/>
  <c r="G86" i="32"/>
  <c r="O86" i="32"/>
  <c r="D86" i="32"/>
  <c r="P86" i="32"/>
  <c r="M86" i="32"/>
  <c r="E86" i="32"/>
  <c r="C86" i="32"/>
  <c r="P130" i="32"/>
  <c r="G130" i="32"/>
  <c r="H130" i="32"/>
  <c r="Q130" i="32"/>
  <c r="F130" i="32"/>
  <c r="L130" i="32"/>
  <c r="C130" i="32"/>
  <c r="I130" i="32"/>
  <c r="E130" i="32"/>
  <c r="O130" i="32"/>
  <c r="K130" i="32"/>
  <c r="M130" i="32"/>
  <c r="J130" i="32"/>
  <c r="D130" i="32"/>
  <c r="H108" i="32"/>
  <c r="Q108" i="32"/>
  <c r="G108" i="32"/>
  <c r="M108" i="32"/>
  <c r="C108" i="32"/>
  <c r="P108" i="32"/>
  <c r="L108" i="32"/>
  <c r="K108" i="32"/>
  <c r="O108" i="32"/>
  <c r="I108" i="32"/>
  <c r="D108" i="32"/>
  <c r="E108" i="32"/>
  <c r="K127" i="32"/>
  <c r="C127" i="32"/>
  <c r="J127" i="32"/>
  <c r="P127" i="32"/>
  <c r="G127" i="32"/>
  <c r="L127" i="32"/>
  <c r="I127" i="32"/>
  <c r="F127" i="32"/>
  <c r="E127" i="32"/>
  <c r="O127" i="32"/>
  <c r="Q127" i="32"/>
  <c r="M127" i="32"/>
  <c r="H127" i="32"/>
  <c r="D127" i="32"/>
  <c r="J126" i="32"/>
  <c r="I126" i="32"/>
  <c r="O126" i="32"/>
  <c r="F126" i="32"/>
  <c r="H126" i="32"/>
  <c r="G126" i="32"/>
  <c r="Q126" i="32"/>
  <c r="D126" i="32"/>
  <c r="P126" i="32"/>
  <c r="C126" i="32"/>
  <c r="L126" i="32"/>
  <c r="E126" i="32"/>
  <c r="M126" i="32"/>
  <c r="K126" i="32"/>
  <c r="K158" i="32"/>
  <c r="C158" i="32"/>
  <c r="P158" i="32"/>
  <c r="G158" i="32"/>
  <c r="O158" i="32"/>
  <c r="D158" i="32"/>
  <c r="M158" i="32"/>
  <c r="J158" i="32"/>
  <c r="I158" i="32"/>
  <c r="F158" i="32"/>
  <c r="E158" i="32"/>
  <c r="Q158" i="32"/>
  <c r="L158" i="32"/>
  <c r="H158" i="32"/>
  <c r="J133" i="32"/>
  <c r="L133" i="32"/>
  <c r="H133" i="32"/>
  <c r="P133" i="32"/>
  <c r="D133" i="32"/>
  <c r="O133" i="32"/>
  <c r="C133" i="32"/>
  <c r="I133" i="32"/>
  <c r="Q133" i="32"/>
  <c r="M133" i="32"/>
  <c r="G133" i="32"/>
  <c r="F133" i="32"/>
  <c r="K133" i="32"/>
  <c r="E133" i="32"/>
  <c r="R29" i="1"/>
  <c r="R30" i="1" s="1"/>
  <c r="R31" i="1" s="1"/>
  <c r="S28" i="1"/>
  <c r="T28" i="1"/>
  <c r="B20" i="28"/>
  <c r="T28" i="6"/>
  <c r="S28" i="6"/>
  <c r="R29" i="6"/>
  <c r="R30" i="6" s="1"/>
  <c r="R31" i="6" s="1"/>
  <c r="T28" i="37"/>
  <c r="S28" i="37"/>
  <c r="R29" i="37"/>
  <c r="R30" i="37" s="1"/>
  <c r="R31" i="37" s="1"/>
  <c r="S37" i="29"/>
  <c r="Q38" i="29"/>
  <c r="Q39" i="29" s="1"/>
  <c r="Q40" i="29" s="1"/>
  <c r="B21" i="29"/>
  <c r="M29" i="21"/>
  <c r="M30" i="21" s="1"/>
  <c r="M31" i="21" s="1"/>
  <c r="O28" i="21"/>
  <c r="N28" i="21"/>
  <c r="N5" i="22"/>
  <c r="N7" i="22" s="1"/>
  <c r="E45" i="22"/>
  <c r="D45" i="22"/>
  <c r="L5" i="22"/>
  <c r="L7" i="22" s="1"/>
  <c r="E29" i="22"/>
  <c r="D29" i="22"/>
  <c r="G31" i="27"/>
  <c r="E32" i="27"/>
  <c r="E33" i="27" s="1"/>
  <c r="E34" i="27" s="1"/>
  <c r="T31" i="35"/>
  <c r="S31" i="35"/>
  <c r="R32" i="35"/>
  <c r="R33" i="35" s="1"/>
  <c r="R34" i="35" s="1"/>
  <c r="P4" i="31"/>
  <c r="O4" i="31"/>
  <c r="N4" i="31"/>
  <c r="M4" i="31"/>
  <c r="G104" i="31" s="1"/>
  <c r="L29" i="39"/>
  <c r="L30" i="39" s="1"/>
  <c r="L31" i="39" s="1"/>
  <c r="N28" i="39"/>
  <c r="M28" i="39"/>
  <c r="B22" i="35"/>
  <c r="G28" i="6"/>
  <c r="F28" i="6"/>
  <c r="E29" i="6"/>
  <c r="E30" i="6" s="1"/>
  <c r="E31" i="6" s="1"/>
  <c r="L4" i="32"/>
  <c r="K4" i="32"/>
  <c r="G4" i="32"/>
  <c r="C4" i="32"/>
  <c r="A4" i="32"/>
  <c r="A5" i="32" s="1"/>
  <c r="A6" i="32" s="1"/>
  <c r="A7" i="32" s="1"/>
  <c r="A8" i="32" s="1"/>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A58" i="32" s="1"/>
  <c r="A59" i="32" s="1"/>
  <c r="A60" i="32" s="1"/>
  <c r="A61" i="32" s="1"/>
  <c r="A62" i="32" s="1"/>
  <c r="A63" i="32" s="1"/>
  <c r="A64" i="32" s="1"/>
  <c r="A65" i="32" s="1"/>
  <c r="A66" i="32" s="1"/>
  <c r="A67" i="32" s="1"/>
  <c r="A68" i="32" s="1"/>
  <c r="A69" i="32" s="1"/>
  <c r="A70" i="32" s="1"/>
  <c r="A71" i="32" s="1"/>
  <c r="A72" i="32" s="1"/>
  <c r="A73" i="32" s="1"/>
  <c r="A74" i="32" s="1"/>
  <c r="A75" i="32" s="1"/>
  <c r="A76" i="32" s="1"/>
  <c r="A77" i="32" s="1"/>
  <c r="A78" i="32" s="1"/>
  <c r="A79" i="32" s="1"/>
  <c r="A80" i="32" s="1"/>
  <c r="A81" i="32" s="1"/>
  <c r="A82" i="32" s="1"/>
  <c r="A83" i="32" s="1"/>
  <c r="A84" i="32" s="1"/>
  <c r="A85" i="32" s="1"/>
  <c r="A86" i="32" s="1"/>
  <c r="A87" i="32" s="1"/>
  <c r="A88" i="32" s="1"/>
  <c r="A89" i="32" s="1"/>
  <c r="A90" i="32" s="1"/>
  <c r="A91" i="32" s="1"/>
  <c r="A92" i="32" s="1"/>
  <c r="A93" i="32" s="1"/>
  <c r="A94" i="32" s="1"/>
  <c r="A95" i="32" s="1"/>
  <c r="A96" i="32" s="1"/>
  <c r="A97" i="32" s="1"/>
  <c r="A98" i="32" s="1"/>
  <c r="A99" i="32" s="1"/>
  <c r="A100" i="32" s="1"/>
  <c r="A101" i="32" s="1"/>
  <c r="A102" i="32" s="1"/>
  <c r="A103" i="32" s="1"/>
  <c r="A104" i="32" s="1"/>
  <c r="A105" i="32" s="1"/>
  <c r="A106" i="32" s="1"/>
  <c r="A107" i="32" s="1"/>
  <c r="A108" i="32" s="1"/>
  <c r="A109" i="32" s="1"/>
  <c r="A110" i="32" s="1"/>
  <c r="A111" i="32" s="1"/>
  <c r="A112" i="32" s="1"/>
  <c r="A113" i="32" s="1"/>
  <c r="A114" i="32" s="1"/>
  <c r="A115" i="32" s="1"/>
  <c r="A116" i="32" s="1"/>
  <c r="A117" i="32" s="1"/>
  <c r="A118" i="32" s="1"/>
  <c r="A119" i="32" s="1"/>
  <c r="A120" i="32" s="1"/>
  <c r="A121" i="32" s="1"/>
  <c r="A122" i="32" s="1"/>
  <c r="A123" i="32" s="1"/>
  <c r="A124" i="32" s="1"/>
  <c r="A125" i="32" s="1"/>
  <c r="A126" i="32" s="1"/>
  <c r="A127" i="32" s="1"/>
  <c r="A128" i="32" s="1"/>
  <c r="A129" i="32" s="1"/>
  <c r="A130" i="32" s="1"/>
  <c r="A131" i="32" s="1"/>
  <c r="A132" i="32" s="1"/>
  <c r="A133" i="32" s="1"/>
  <c r="A134" i="32" s="1"/>
  <c r="A135" i="32" s="1"/>
  <c r="A136" i="32" s="1"/>
  <c r="A137" i="32" s="1"/>
  <c r="A138" i="32" s="1"/>
  <c r="A139" i="32" s="1"/>
  <c r="A140" i="32" s="1"/>
  <c r="A141" i="32" s="1"/>
  <c r="A142" i="32" s="1"/>
  <c r="A143" i="32" s="1"/>
  <c r="A144" i="32" s="1"/>
  <c r="A145" i="32" s="1"/>
  <c r="A146" i="32" s="1"/>
  <c r="A147" i="32" s="1"/>
  <c r="A148" i="32" s="1"/>
  <c r="A149" i="32" s="1"/>
  <c r="A150" i="32" s="1"/>
  <c r="A151" i="32" s="1"/>
  <c r="A152" i="32" s="1"/>
  <c r="A153" i="32" s="1"/>
  <c r="A154" i="32" s="1"/>
  <c r="A155" i="32" s="1"/>
  <c r="A156" i="32" s="1"/>
  <c r="A157" i="32" s="1"/>
  <c r="A158" i="32" s="1"/>
  <c r="A159" i="32" s="1"/>
  <c r="A160" i="32" s="1"/>
  <c r="A161" i="32" s="1"/>
  <c r="A162" i="32" s="1"/>
  <c r="A163" i="32" s="1"/>
  <c r="A164" i="32" s="1"/>
  <c r="A165" i="32" s="1"/>
  <c r="A166" i="32" s="1"/>
  <c r="A167" i="32" s="1"/>
  <c r="A168" i="32" s="1"/>
  <c r="A169" i="32" s="1"/>
  <c r="A170" i="32" s="1"/>
  <c r="A171" i="32" s="1"/>
  <c r="A172" i="32" s="1"/>
  <c r="A173" i="32" s="1"/>
  <c r="A174" i="32" s="1"/>
  <c r="A175" i="32" s="1"/>
  <c r="A176" i="32" s="1"/>
  <c r="A177" i="32" s="1"/>
  <c r="A178" i="32" s="1"/>
  <c r="A179" i="32" s="1"/>
  <c r="A180" i="32" s="1"/>
  <c r="A181" i="32" s="1"/>
  <c r="O4" i="32"/>
  <c r="P4" i="32"/>
  <c r="L10" i="32"/>
  <c r="G10" i="32"/>
  <c r="P10" i="32"/>
  <c r="O10" i="32"/>
  <c r="K10" i="32"/>
  <c r="C10" i="32"/>
  <c r="I24" i="32"/>
  <c r="K24" i="32"/>
  <c r="G24" i="32"/>
  <c r="Q24" i="32"/>
  <c r="E24" i="32"/>
  <c r="M24" i="32"/>
  <c r="P24" i="32"/>
  <c r="C24" i="32"/>
  <c r="O24" i="32"/>
  <c r="L24" i="32"/>
  <c r="G28" i="32"/>
  <c r="Q28" i="32"/>
  <c r="E28" i="32"/>
  <c r="C28" i="32"/>
  <c r="P28" i="32"/>
  <c r="I28" i="32"/>
  <c r="O28" i="32"/>
  <c r="L28" i="32"/>
  <c r="M28" i="32"/>
  <c r="K28" i="32"/>
  <c r="Q48" i="32"/>
  <c r="G48" i="32"/>
  <c r="O48" i="32"/>
  <c r="D48" i="32"/>
  <c r="M48" i="32"/>
  <c r="C48" i="32"/>
  <c r="P48" i="32"/>
  <c r="E48" i="32"/>
  <c r="L48" i="32"/>
  <c r="K48" i="32"/>
  <c r="I48" i="32"/>
  <c r="H48" i="32"/>
  <c r="I45" i="32"/>
  <c r="Q45" i="32"/>
  <c r="G45" i="32"/>
  <c r="P45" i="32"/>
  <c r="E45" i="32"/>
  <c r="L45" i="32"/>
  <c r="K45" i="32"/>
  <c r="O45" i="32"/>
  <c r="H45" i="32"/>
  <c r="D45" i="32"/>
  <c r="C45" i="32"/>
  <c r="M45" i="32"/>
  <c r="P40" i="32"/>
  <c r="E40" i="32"/>
  <c r="O40" i="32"/>
  <c r="D40" i="32"/>
  <c r="M40" i="32"/>
  <c r="C40" i="32"/>
  <c r="L40" i="32"/>
  <c r="I40" i="32"/>
  <c r="K40" i="32"/>
  <c r="H40" i="32"/>
  <c r="Q40" i="32"/>
  <c r="G40" i="32"/>
  <c r="P98" i="32"/>
  <c r="E98" i="32"/>
  <c r="O98" i="32"/>
  <c r="D98" i="32"/>
  <c r="K98" i="32"/>
  <c r="Q98" i="32"/>
  <c r="M98" i="32"/>
  <c r="L98" i="32"/>
  <c r="I98" i="32"/>
  <c r="H98" i="32"/>
  <c r="C98" i="32"/>
  <c r="G98" i="32"/>
  <c r="I80" i="32"/>
  <c r="H80" i="32"/>
  <c r="Q80" i="32"/>
  <c r="G80" i="32"/>
  <c r="P80" i="32"/>
  <c r="E80" i="32"/>
  <c r="O80" i="32"/>
  <c r="D80" i="32"/>
  <c r="L80" i="32"/>
  <c r="M80" i="32"/>
  <c r="K80" i="32"/>
  <c r="C80" i="32"/>
  <c r="Q74" i="32"/>
  <c r="G74" i="32"/>
  <c r="P74" i="32"/>
  <c r="E74" i="32"/>
  <c r="M74" i="32"/>
  <c r="C74" i="32"/>
  <c r="L74" i="32"/>
  <c r="I74" i="32"/>
  <c r="O74" i="32"/>
  <c r="K74" i="32"/>
  <c r="H74" i="32"/>
  <c r="D74" i="32"/>
  <c r="P59" i="32"/>
  <c r="E59" i="32"/>
  <c r="O59" i="32"/>
  <c r="D59" i="32"/>
  <c r="L59" i="32"/>
  <c r="K59" i="32"/>
  <c r="Q59" i="32"/>
  <c r="M59" i="32"/>
  <c r="I59" i="32"/>
  <c r="H59" i="32"/>
  <c r="G59" i="32"/>
  <c r="C59" i="32"/>
  <c r="H116" i="32"/>
  <c r="Q116" i="32"/>
  <c r="G116" i="32"/>
  <c r="M116" i="32"/>
  <c r="C116" i="32"/>
  <c r="P116" i="32"/>
  <c r="O116" i="32"/>
  <c r="K116" i="32"/>
  <c r="I116" i="32"/>
  <c r="E116" i="32"/>
  <c r="D116" i="32"/>
  <c r="L116" i="32"/>
  <c r="M73" i="32"/>
  <c r="C73" i="32"/>
  <c r="L73" i="32"/>
  <c r="I73" i="32"/>
  <c r="H73" i="32"/>
  <c r="P73" i="32"/>
  <c r="E73" i="32"/>
  <c r="K73" i="32"/>
  <c r="G73" i="32"/>
  <c r="D73" i="32"/>
  <c r="Q73" i="32"/>
  <c r="O73" i="32"/>
  <c r="P90" i="32"/>
  <c r="E90" i="32"/>
  <c r="O90" i="32"/>
  <c r="D90" i="32"/>
  <c r="K90" i="32"/>
  <c r="Q90" i="32"/>
  <c r="M90" i="32"/>
  <c r="L90" i="32"/>
  <c r="I90" i="32"/>
  <c r="G90" i="32"/>
  <c r="H90" i="32"/>
  <c r="C90" i="32"/>
  <c r="M92" i="32"/>
  <c r="C92" i="32"/>
  <c r="L92" i="32"/>
  <c r="H92" i="32"/>
  <c r="E92" i="32"/>
  <c r="D92" i="32"/>
  <c r="Q92" i="32"/>
  <c r="P92" i="32"/>
  <c r="O92" i="32"/>
  <c r="I92" i="32"/>
  <c r="K92" i="32"/>
  <c r="G92" i="32"/>
  <c r="Q105" i="32"/>
  <c r="G105" i="32"/>
  <c r="L105" i="32"/>
  <c r="O105" i="32"/>
  <c r="M105" i="32"/>
  <c r="I105" i="32"/>
  <c r="H105" i="32"/>
  <c r="E105" i="32"/>
  <c r="D105" i="32"/>
  <c r="C105" i="32"/>
  <c r="P105" i="32"/>
  <c r="K105" i="32"/>
  <c r="Q131" i="32"/>
  <c r="H131" i="32"/>
  <c r="L131" i="32"/>
  <c r="C131" i="32"/>
  <c r="K131" i="32"/>
  <c r="G131" i="32"/>
  <c r="O131" i="32"/>
  <c r="M131" i="32"/>
  <c r="I131" i="32"/>
  <c r="F131" i="32"/>
  <c r="D131" i="32"/>
  <c r="P131" i="32"/>
  <c r="E131" i="32"/>
  <c r="J131" i="32"/>
  <c r="I148" i="32"/>
  <c r="M148" i="32"/>
  <c r="E148" i="32"/>
  <c r="J148" i="32"/>
  <c r="H148" i="32"/>
  <c r="Q148" i="32"/>
  <c r="F148" i="32"/>
  <c r="P148" i="32"/>
  <c r="D148" i="32"/>
  <c r="L148" i="32"/>
  <c r="O148" i="32"/>
  <c r="K148" i="32"/>
  <c r="C148" i="32"/>
  <c r="G148" i="32"/>
  <c r="L135" i="32"/>
  <c r="D135" i="32"/>
  <c r="K135" i="32"/>
  <c r="H135" i="32"/>
  <c r="F135" i="32"/>
  <c r="Q135" i="32"/>
  <c r="E135" i="32"/>
  <c r="M135" i="32"/>
  <c r="I135" i="32"/>
  <c r="G135" i="32"/>
  <c r="O135" i="32"/>
  <c r="P135" i="32"/>
  <c r="C135" i="32"/>
  <c r="J135" i="32"/>
  <c r="J141" i="32"/>
  <c r="O141" i="32"/>
  <c r="F141" i="32"/>
  <c r="K141" i="32"/>
  <c r="I141" i="32"/>
  <c r="G141" i="32"/>
  <c r="Q141" i="32"/>
  <c r="E141" i="32"/>
  <c r="M141" i="32"/>
  <c r="L141" i="32"/>
  <c r="C141" i="32"/>
  <c r="P141" i="32"/>
  <c r="D141" i="32"/>
  <c r="H141" i="32"/>
  <c r="C56" i="23"/>
  <c r="R57" i="23"/>
  <c r="C69" i="23"/>
  <c r="R70" i="23"/>
  <c r="R29" i="26"/>
  <c r="R30" i="26" s="1"/>
  <c r="R31" i="26" s="1"/>
  <c r="T28" i="26"/>
  <c r="S28" i="26"/>
  <c r="B21" i="36"/>
  <c r="AW29" i="28"/>
  <c r="AW30" i="28" s="1"/>
  <c r="AW31" i="28" s="1"/>
  <c r="AY28" i="28"/>
  <c r="T28" i="2"/>
  <c r="S28" i="2"/>
  <c r="R29" i="2"/>
  <c r="R30" i="2" s="1"/>
  <c r="R31" i="2" s="1"/>
  <c r="E46" i="22"/>
  <c r="D46" i="22"/>
  <c r="D30" i="22"/>
  <c r="E30" i="22"/>
  <c r="E29" i="38"/>
  <c r="E30" i="38" s="1"/>
  <c r="E31" i="38" s="1"/>
  <c r="F28" i="38"/>
  <c r="G28" i="38"/>
  <c r="G28" i="37"/>
  <c r="F28" i="37"/>
  <c r="E29" i="37"/>
  <c r="E30" i="37" s="1"/>
  <c r="E31" i="37" s="1"/>
  <c r="E29" i="36"/>
  <c r="E30" i="36" s="1"/>
  <c r="E31" i="36" s="1"/>
  <c r="G28" i="36"/>
  <c r="Y29" i="1"/>
  <c r="Y30" i="1" s="1"/>
  <c r="Y31" i="1" s="1"/>
  <c r="AA28" i="1"/>
  <c r="G28" i="1"/>
  <c r="F28" i="1"/>
  <c r="E29" i="1"/>
  <c r="E30" i="1" s="1"/>
  <c r="E31" i="1" s="1"/>
  <c r="G28" i="40"/>
  <c r="F28" i="40"/>
  <c r="Q5" i="33" s="1"/>
  <c r="E29" i="40"/>
  <c r="E30" i="40" s="1"/>
  <c r="E31" i="40" s="1"/>
  <c r="L7" i="32"/>
  <c r="K7" i="32"/>
  <c r="G7" i="32"/>
  <c r="C7" i="32"/>
  <c r="O7" i="32"/>
  <c r="P7" i="32"/>
  <c r="I17" i="32"/>
  <c r="G17" i="32"/>
  <c r="Q17" i="32"/>
  <c r="E17" i="32"/>
  <c r="P17" i="32"/>
  <c r="C17" i="32"/>
  <c r="O17" i="32"/>
  <c r="M17" i="32"/>
  <c r="L17" i="32"/>
  <c r="K17" i="32"/>
  <c r="Q23" i="32"/>
  <c r="E23" i="32"/>
  <c r="K23" i="32"/>
  <c r="G23" i="32"/>
  <c r="P23" i="32"/>
  <c r="C23" i="32"/>
  <c r="O23" i="32"/>
  <c r="M23" i="32"/>
  <c r="L23" i="32"/>
  <c r="I23" i="32"/>
  <c r="G31" i="32"/>
  <c r="P31" i="32"/>
  <c r="Q31" i="32"/>
  <c r="E31" i="32"/>
  <c r="C31" i="32"/>
  <c r="O31" i="32"/>
  <c r="M31" i="32"/>
  <c r="I31" i="32"/>
  <c r="L31" i="32"/>
  <c r="K31" i="32"/>
  <c r="K83" i="32"/>
  <c r="I83" i="32"/>
  <c r="H83" i="32"/>
  <c r="Q83" i="32"/>
  <c r="G83" i="32"/>
  <c r="P83" i="32"/>
  <c r="E83" i="32"/>
  <c r="M83" i="32"/>
  <c r="C83" i="32"/>
  <c r="O83" i="32"/>
  <c r="L83" i="32"/>
  <c r="D83" i="32"/>
  <c r="P102" i="32"/>
  <c r="E102" i="32"/>
  <c r="K102" i="32"/>
  <c r="G102" i="32"/>
  <c r="D102" i="32"/>
  <c r="M102" i="32"/>
  <c r="Q102" i="32"/>
  <c r="O102" i="32"/>
  <c r="L102" i="32"/>
  <c r="I102" i="32"/>
  <c r="C102" i="32"/>
  <c r="H102" i="32"/>
  <c r="P110" i="32"/>
  <c r="E110" i="32"/>
  <c r="O110" i="32"/>
  <c r="D110" i="32"/>
  <c r="K110" i="32"/>
  <c r="G110" i="32"/>
  <c r="C110" i="32"/>
  <c r="Q110" i="32"/>
  <c r="M110" i="32"/>
  <c r="L110" i="32"/>
  <c r="H110" i="32"/>
  <c r="I110" i="32"/>
  <c r="I119" i="32"/>
  <c r="H119" i="32"/>
  <c r="O119" i="32"/>
  <c r="D119" i="32"/>
  <c r="E119" i="32"/>
  <c r="C119" i="32"/>
  <c r="P119" i="32"/>
  <c r="M119" i="32"/>
  <c r="Q119" i="32"/>
  <c r="L119" i="32"/>
  <c r="G119" i="32"/>
  <c r="K119" i="32"/>
  <c r="H88" i="32"/>
  <c r="Q88" i="32"/>
  <c r="G88" i="32"/>
  <c r="M88" i="32"/>
  <c r="C88" i="32"/>
  <c r="O88" i="32"/>
  <c r="L88" i="32"/>
  <c r="K88" i="32"/>
  <c r="I88" i="32"/>
  <c r="E88" i="32"/>
  <c r="P88" i="32"/>
  <c r="D88" i="32"/>
  <c r="Q82" i="32"/>
  <c r="G82" i="32"/>
  <c r="P82" i="32"/>
  <c r="E82" i="32"/>
  <c r="O82" i="32"/>
  <c r="D82" i="32"/>
  <c r="M82" i="32"/>
  <c r="C82" i="32"/>
  <c r="L82" i="32"/>
  <c r="I82" i="32"/>
  <c r="K82" i="32"/>
  <c r="H82" i="32"/>
  <c r="P63" i="32"/>
  <c r="E63" i="32"/>
  <c r="O63" i="32"/>
  <c r="D63" i="32"/>
  <c r="L63" i="32"/>
  <c r="K63" i="32"/>
  <c r="H63" i="32"/>
  <c r="Q63" i="32"/>
  <c r="M63" i="32"/>
  <c r="I63" i="32"/>
  <c r="C63" i="32"/>
  <c r="G63" i="32"/>
  <c r="I132" i="32"/>
  <c r="Q132" i="32"/>
  <c r="G132" i="32"/>
  <c r="P132" i="32"/>
  <c r="F132" i="32"/>
  <c r="L132" i="32"/>
  <c r="C132" i="32"/>
  <c r="E132" i="32"/>
  <c r="D132" i="32"/>
  <c r="O132" i="32"/>
  <c r="M132" i="32"/>
  <c r="J132" i="32"/>
  <c r="K132" i="32"/>
  <c r="H132" i="32"/>
  <c r="M81" i="32"/>
  <c r="C81" i="32"/>
  <c r="L81" i="32"/>
  <c r="K81" i="32"/>
  <c r="I81" i="32"/>
  <c r="H81" i="32"/>
  <c r="P81" i="32"/>
  <c r="E81" i="32"/>
  <c r="G81" i="32"/>
  <c r="D81" i="32"/>
  <c r="Q81" i="32"/>
  <c r="O81" i="32"/>
  <c r="O123" i="32"/>
  <c r="D123" i="32"/>
  <c r="M123" i="32"/>
  <c r="C123" i="32"/>
  <c r="I123" i="32"/>
  <c r="L123" i="32"/>
  <c r="K123" i="32"/>
  <c r="G123" i="32"/>
  <c r="E123" i="32"/>
  <c r="Q123" i="32"/>
  <c r="P123" i="32"/>
  <c r="H123" i="32"/>
  <c r="P118" i="32"/>
  <c r="E118" i="32"/>
  <c r="O118" i="32"/>
  <c r="D118" i="32"/>
  <c r="K118" i="32"/>
  <c r="C118" i="32"/>
  <c r="M118" i="32"/>
  <c r="L118" i="32"/>
  <c r="I118" i="32"/>
  <c r="H118" i="32"/>
  <c r="G118" i="32"/>
  <c r="Q118" i="32"/>
  <c r="Q113" i="32"/>
  <c r="G113" i="32"/>
  <c r="P113" i="32"/>
  <c r="E113" i="32"/>
  <c r="L113" i="32"/>
  <c r="K113" i="32"/>
  <c r="I113" i="32"/>
  <c r="D113" i="32"/>
  <c r="C113" i="32"/>
  <c r="O113" i="32"/>
  <c r="M113" i="32"/>
  <c r="H113" i="32"/>
  <c r="K134" i="32"/>
  <c r="C134" i="32"/>
  <c r="Q134" i="32"/>
  <c r="G134" i="32"/>
  <c r="M134" i="32"/>
  <c r="D134" i="32"/>
  <c r="E134" i="32"/>
  <c r="P134" i="32"/>
  <c r="J134" i="32"/>
  <c r="L134" i="32"/>
  <c r="I134" i="32"/>
  <c r="F134" i="32"/>
  <c r="O134" i="32"/>
  <c r="H134" i="32"/>
  <c r="L143" i="32"/>
  <c r="D143" i="32"/>
  <c r="Q143" i="32"/>
  <c r="H143" i="32"/>
  <c r="G143" i="32"/>
  <c r="F143" i="32"/>
  <c r="O143" i="32"/>
  <c r="C143" i="32"/>
  <c r="M143" i="32"/>
  <c r="J143" i="32"/>
  <c r="I143" i="32"/>
  <c r="E143" i="32"/>
  <c r="P143" i="32"/>
  <c r="K143" i="32"/>
  <c r="I140" i="32"/>
  <c r="M140" i="32"/>
  <c r="E140" i="32"/>
  <c r="L140" i="32"/>
  <c r="K140" i="32"/>
  <c r="H140" i="32"/>
  <c r="G140" i="32"/>
  <c r="P140" i="32"/>
  <c r="O140" i="32"/>
  <c r="D140" i="32"/>
  <c r="F140" i="32"/>
  <c r="C140" i="32"/>
  <c r="Q140" i="32"/>
  <c r="J140" i="32"/>
  <c r="J149" i="32"/>
  <c r="O149" i="32"/>
  <c r="F149" i="32"/>
  <c r="H149" i="32"/>
  <c r="G149" i="32"/>
  <c r="P149" i="32"/>
  <c r="D149" i="32"/>
  <c r="M149" i="32"/>
  <c r="C149" i="32"/>
  <c r="Q149" i="32"/>
  <c r="K149" i="32"/>
  <c r="I149" i="32"/>
  <c r="E149" i="32"/>
  <c r="L149" i="32"/>
  <c r="H55" i="23"/>
  <c r="M55" i="23"/>
  <c r="L55" i="23"/>
  <c r="F55" i="23"/>
  <c r="E55" i="23"/>
  <c r="D55" i="23"/>
  <c r="J55" i="23"/>
  <c r="N55" i="23"/>
  <c r="I55" i="23"/>
  <c r="H68" i="23"/>
  <c r="M68" i="23"/>
  <c r="L68" i="23"/>
  <c r="N68" i="23"/>
  <c r="J68" i="23"/>
  <c r="I68" i="23"/>
  <c r="E68" i="23"/>
  <c r="D68" i="23"/>
  <c r="F68" i="23"/>
  <c r="E5" i="40"/>
  <c r="A72" i="10"/>
  <c r="N28" i="25"/>
  <c r="M28" i="25"/>
  <c r="L29" i="25"/>
  <c r="L30" i="25" s="1"/>
  <c r="L31" i="25" s="1"/>
  <c r="B23" i="2"/>
  <c r="F5" i="24"/>
  <c r="F7" i="24" s="1"/>
  <c r="AR22" i="17"/>
  <c r="AQ23" i="17"/>
  <c r="AQ24" i="17" s="1"/>
  <c r="AQ25" i="17" s="1"/>
  <c r="AS22" i="17"/>
  <c r="J29" i="17"/>
  <c r="J30" i="17" s="1"/>
  <c r="J31" i="17" s="1"/>
  <c r="L28" i="17"/>
  <c r="B22" i="27"/>
  <c r="L29" i="6"/>
  <c r="L30" i="6" s="1"/>
  <c r="L31" i="6" s="1"/>
  <c r="N28" i="6"/>
  <c r="M28" i="6"/>
  <c r="B21" i="17"/>
  <c r="R29" i="27"/>
  <c r="R30" i="27" s="1"/>
  <c r="R31" i="27" s="1"/>
  <c r="T28" i="27"/>
  <c r="S28" i="27"/>
  <c r="N6" i="40"/>
  <c r="G28" i="39"/>
  <c r="F28" i="39"/>
  <c r="E29" i="39"/>
  <c r="E30" i="39" s="1"/>
  <c r="E31" i="39" s="1"/>
  <c r="U29" i="40"/>
  <c r="U30" i="40" s="1"/>
  <c r="U31" i="40" s="1"/>
  <c r="W28" i="40"/>
  <c r="V28" i="40"/>
  <c r="AG28" i="29"/>
  <c r="AE29" i="29"/>
  <c r="AE30" i="29" s="1"/>
  <c r="AE31" i="29" s="1"/>
  <c r="O9" i="32"/>
  <c r="L9" i="32"/>
  <c r="K9" i="32"/>
  <c r="G9" i="32"/>
  <c r="C9" i="32"/>
  <c r="P9" i="32"/>
  <c r="I18" i="32"/>
  <c r="G18" i="32"/>
  <c r="Q18" i="32"/>
  <c r="E18" i="32"/>
  <c r="P18" i="32"/>
  <c r="C18" i="32"/>
  <c r="O18" i="32"/>
  <c r="M18" i="32"/>
  <c r="L18" i="32"/>
  <c r="K18" i="32"/>
  <c r="O22" i="32"/>
  <c r="P22" i="32"/>
  <c r="M22" i="32"/>
  <c r="C22" i="32"/>
  <c r="L22" i="32"/>
  <c r="K22" i="32"/>
  <c r="G22" i="32"/>
  <c r="I22" i="32"/>
  <c r="Q22" i="32"/>
  <c r="E22" i="32"/>
  <c r="P33" i="32"/>
  <c r="C33" i="32"/>
  <c r="M33" i="32"/>
  <c r="O33" i="32"/>
  <c r="L33" i="32"/>
  <c r="E33" i="32"/>
  <c r="K33" i="32"/>
  <c r="I33" i="32"/>
  <c r="Q33" i="32"/>
  <c r="G33" i="32"/>
  <c r="K57" i="32"/>
  <c r="I57" i="32"/>
  <c r="Q57" i="32"/>
  <c r="G57" i="32"/>
  <c r="P57" i="32"/>
  <c r="E57" i="32"/>
  <c r="O57" i="32"/>
  <c r="M57" i="32"/>
  <c r="L57" i="32"/>
  <c r="H57" i="32"/>
  <c r="C57" i="32"/>
  <c r="D57" i="32"/>
  <c r="G38" i="32"/>
  <c r="Q38" i="32"/>
  <c r="E38" i="32"/>
  <c r="M38" i="32"/>
  <c r="P38" i="32"/>
  <c r="C38" i="32"/>
  <c r="L38" i="32"/>
  <c r="K38" i="32"/>
  <c r="O38" i="32"/>
  <c r="I38" i="32"/>
  <c r="K53" i="32"/>
  <c r="I53" i="32"/>
  <c r="Q53" i="32"/>
  <c r="G53" i="32"/>
  <c r="P53" i="32"/>
  <c r="E53" i="32"/>
  <c r="D53" i="32"/>
  <c r="C53" i="32"/>
  <c r="L53" i="32"/>
  <c r="O53" i="32"/>
  <c r="M53" i="32"/>
  <c r="H53" i="32"/>
  <c r="H42" i="32"/>
  <c r="M42" i="32"/>
  <c r="L42" i="32"/>
  <c r="D42" i="32"/>
  <c r="K42" i="32"/>
  <c r="I42" i="32"/>
  <c r="Q42" i="32"/>
  <c r="G42" i="32"/>
  <c r="E42" i="32"/>
  <c r="P42" i="32"/>
  <c r="O42" i="32"/>
  <c r="C42" i="32"/>
  <c r="I103" i="32"/>
  <c r="O103" i="32"/>
  <c r="D103" i="32"/>
  <c r="M103" i="32"/>
  <c r="L103" i="32"/>
  <c r="H103" i="32"/>
  <c r="G103" i="32"/>
  <c r="Q103" i="32"/>
  <c r="P103" i="32"/>
  <c r="K103" i="32"/>
  <c r="E103" i="32"/>
  <c r="C103" i="32"/>
  <c r="K94" i="32"/>
  <c r="I94" i="32"/>
  <c r="P94" i="32"/>
  <c r="E94" i="32"/>
  <c r="H94" i="32"/>
  <c r="G94" i="32"/>
  <c r="D94" i="32"/>
  <c r="C94" i="32"/>
  <c r="Q94" i="32"/>
  <c r="M94" i="32"/>
  <c r="O94" i="32"/>
  <c r="L94" i="32"/>
  <c r="P71" i="32"/>
  <c r="E71" i="32"/>
  <c r="O71" i="32"/>
  <c r="D71" i="32"/>
  <c r="L71" i="32"/>
  <c r="K71" i="32"/>
  <c r="H71" i="32"/>
  <c r="Q71" i="32"/>
  <c r="M71" i="32"/>
  <c r="I71" i="32"/>
  <c r="G71" i="32"/>
  <c r="C71" i="32"/>
  <c r="L46" i="32"/>
  <c r="I46" i="32"/>
  <c r="H46" i="32"/>
  <c r="G46" i="32"/>
  <c r="E46" i="32"/>
  <c r="M46" i="32"/>
  <c r="D46" i="32"/>
  <c r="Q46" i="32"/>
  <c r="C46" i="32"/>
  <c r="P46" i="32"/>
  <c r="O46" i="32"/>
  <c r="K46" i="32"/>
  <c r="I91" i="32"/>
  <c r="H91" i="32"/>
  <c r="O91" i="32"/>
  <c r="D91" i="32"/>
  <c r="C91" i="32"/>
  <c r="Q91" i="32"/>
  <c r="P91" i="32"/>
  <c r="M91" i="32"/>
  <c r="L91" i="32"/>
  <c r="G91" i="32"/>
  <c r="K91" i="32"/>
  <c r="E91" i="32"/>
  <c r="K142" i="32"/>
  <c r="C142" i="32"/>
  <c r="P142" i="32"/>
  <c r="G142" i="32"/>
  <c r="I142" i="32"/>
  <c r="H142" i="32"/>
  <c r="Q142" i="32"/>
  <c r="E142" i="32"/>
  <c r="O142" i="32"/>
  <c r="D142" i="32"/>
  <c r="L142" i="32"/>
  <c r="J142" i="32"/>
  <c r="M142" i="32"/>
  <c r="F142" i="32"/>
  <c r="Q124" i="32"/>
  <c r="H124" i="32"/>
  <c r="P124" i="32"/>
  <c r="G124" i="32"/>
  <c r="L124" i="32"/>
  <c r="D124" i="32"/>
  <c r="C124" i="32"/>
  <c r="O124" i="32"/>
  <c r="K124" i="32"/>
  <c r="J124" i="32"/>
  <c r="F124" i="32"/>
  <c r="M124" i="32"/>
  <c r="I124" i="32"/>
  <c r="E124" i="32"/>
  <c r="Q121" i="32"/>
  <c r="G121" i="32"/>
  <c r="P121" i="32"/>
  <c r="E121" i="32"/>
  <c r="L121" i="32"/>
  <c r="I121" i="32"/>
  <c r="H121" i="32"/>
  <c r="C121" i="32"/>
  <c r="O121" i="32"/>
  <c r="K121" i="32"/>
  <c r="M121" i="32"/>
  <c r="D121" i="32"/>
  <c r="Q147" i="32"/>
  <c r="H147" i="32"/>
  <c r="L147" i="32"/>
  <c r="D147" i="32"/>
  <c r="K147" i="32"/>
  <c r="J147" i="32"/>
  <c r="G147" i="32"/>
  <c r="F147" i="32"/>
  <c r="C147" i="32"/>
  <c r="O147" i="32"/>
  <c r="P147" i="32"/>
  <c r="M147" i="32"/>
  <c r="E147" i="32"/>
  <c r="I147" i="32"/>
  <c r="I156" i="32"/>
  <c r="M156" i="32"/>
  <c r="E156" i="32"/>
  <c r="G156" i="32"/>
  <c r="Q156" i="32"/>
  <c r="F156" i="32"/>
  <c r="O156" i="32"/>
  <c r="C156" i="32"/>
  <c r="L156" i="32"/>
  <c r="J156" i="32"/>
  <c r="H156" i="32"/>
  <c r="D156" i="32"/>
  <c r="P156" i="32"/>
  <c r="K156" i="32"/>
  <c r="P146" i="32"/>
  <c r="G146" i="32"/>
  <c r="K146" i="32"/>
  <c r="C146" i="32"/>
  <c r="M146" i="32"/>
  <c r="L146" i="32"/>
  <c r="I146" i="32"/>
  <c r="H146" i="32"/>
  <c r="E146" i="32"/>
  <c r="D146" i="32"/>
  <c r="Q146" i="32"/>
  <c r="F146" i="32"/>
  <c r="O146" i="32"/>
  <c r="J146" i="32"/>
  <c r="J157" i="32"/>
  <c r="O157" i="32"/>
  <c r="F157" i="32"/>
  <c r="Q157" i="32"/>
  <c r="E157" i="32"/>
  <c r="P157" i="32"/>
  <c r="D157" i="32"/>
  <c r="L157" i="32"/>
  <c r="K157" i="32"/>
  <c r="H157" i="32"/>
  <c r="G157" i="32"/>
  <c r="C157" i="32"/>
  <c r="I157" i="32"/>
  <c r="M157" i="32"/>
  <c r="AA27" i="41"/>
  <c r="AA28" i="41" s="1"/>
  <c r="AA29" i="41" s="1"/>
  <c r="AC26" i="41"/>
  <c r="CA31" i="28"/>
  <c r="BY32" i="28"/>
  <c r="BY33" i="28" s="1"/>
  <c r="BY34" i="28" s="1"/>
  <c r="L28" i="28"/>
  <c r="J29" i="28"/>
  <c r="J30" i="28" s="1"/>
  <c r="J31" i="28" s="1"/>
  <c r="Z196" i="25"/>
  <c r="Y197" i="25"/>
  <c r="Y198" i="25" s="1"/>
  <c r="Y199" i="25" s="1"/>
  <c r="Y200" i="25" s="1"/>
  <c r="Y201" i="25" s="1"/>
  <c r="Y202" i="25" s="1"/>
  <c r="Y203" i="25" s="1"/>
  <c r="Y204" i="25" s="1"/>
  <c r="Y205" i="25" s="1"/>
  <c r="Y206" i="25" s="1"/>
  <c r="Y207" i="25" s="1"/>
  <c r="Y208" i="25" s="1"/>
  <c r="N28" i="12"/>
  <c r="M28" i="12"/>
  <c r="L29" i="12"/>
  <c r="L30" i="12" s="1"/>
  <c r="L31" i="12" s="1"/>
  <c r="W29" i="28"/>
  <c r="W30" i="28" s="1"/>
  <c r="W31" i="28" s="1"/>
  <c r="Y28" i="28"/>
  <c r="BD26" i="17"/>
  <c r="BD27" i="17" s="1"/>
  <c r="BD28" i="17" s="1"/>
  <c r="BF25" i="17"/>
  <c r="AF22" i="28"/>
  <c r="AD23" i="28"/>
  <c r="AD24" i="28" s="1"/>
  <c r="AD25" i="28" s="1"/>
  <c r="AE22" i="28"/>
  <c r="L29" i="37"/>
  <c r="L30" i="37" s="1"/>
  <c r="L31" i="37" s="1"/>
  <c r="N28" i="37"/>
  <c r="M28" i="37"/>
  <c r="BQ32" i="17"/>
  <c r="BQ33" i="17" s="1"/>
  <c r="BQ34" i="17" s="1"/>
  <c r="BS31" i="17"/>
  <c r="H3" i="23"/>
  <c r="F3" i="23"/>
  <c r="E3" i="23"/>
  <c r="N3" i="23"/>
  <c r="D3" i="23"/>
  <c r="M3" i="23"/>
  <c r="J3" i="23"/>
  <c r="L3" i="23"/>
  <c r="I3" i="23"/>
  <c r="N28" i="26"/>
  <c r="M28" i="26"/>
  <c r="L29" i="26"/>
  <c r="L30" i="26" s="1"/>
  <c r="L31" i="26" s="1"/>
  <c r="L32" i="36"/>
  <c r="L33" i="36" s="1"/>
  <c r="L34" i="36" s="1"/>
  <c r="N31" i="36"/>
  <c r="M31" i="36"/>
  <c r="AJ29" i="28"/>
  <c r="AJ30" i="28" s="1"/>
  <c r="AJ31" i="28" s="1"/>
  <c r="AL28" i="28"/>
  <c r="L32" i="35"/>
  <c r="L33" i="35" s="1"/>
  <c r="L34" i="35" s="1"/>
  <c r="N31" i="35"/>
  <c r="M31" i="35"/>
  <c r="G32" i="41"/>
  <c r="E33" i="41"/>
  <c r="E34" i="41" s="1"/>
  <c r="E35" i="41" s="1"/>
  <c r="P11" i="32"/>
  <c r="O11" i="32"/>
  <c r="K11" i="32"/>
  <c r="G11" i="32"/>
  <c r="L11" i="32"/>
  <c r="C11" i="32"/>
  <c r="I20" i="32"/>
  <c r="G20" i="32"/>
  <c r="Q20" i="32"/>
  <c r="E20" i="32"/>
  <c r="P20" i="32"/>
  <c r="C20" i="32"/>
  <c r="O20" i="32"/>
  <c r="M20" i="32"/>
  <c r="L20" i="32"/>
  <c r="K20" i="32"/>
  <c r="O25" i="32"/>
  <c r="G25" i="32"/>
  <c r="M25" i="32"/>
  <c r="L25" i="32"/>
  <c r="K25" i="32"/>
  <c r="I25" i="32"/>
  <c r="Q25" i="32"/>
  <c r="E25" i="32"/>
  <c r="P25" i="32"/>
  <c r="C25" i="32"/>
  <c r="O27" i="32"/>
  <c r="M27" i="32"/>
  <c r="C27" i="32"/>
  <c r="L27" i="32"/>
  <c r="P27" i="32"/>
  <c r="K27" i="32"/>
  <c r="G27" i="32"/>
  <c r="I27" i="32"/>
  <c r="Q27" i="32"/>
  <c r="E27" i="32"/>
  <c r="K61" i="32"/>
  <c r="I61" i="32"/>
  <c r="Q61" i="32"/>
  <c r="G61" i="32"/>
  <c r="P61" i="32"/>
  <c r="E61" i="32"/>
  <c r="M61" i="32"/>
  <c r="C61" i="32"/>
  <c r="O61" i="32"/>
  <c r="L61" i="32"/>
  <c r="H61" i="32"/>
  <c r="D61" i="32"/>
  <c r="H85" i="32"/>
  <c r="Q85" i="32"/>
  <c r="G85" i="32"/>
  <c r="P85" i="32"/>
  <c r="E85" i="32"/>
  <c r="O85" i="32"/>
  <c r="D85" i="32"/>
  <c r="M85" i="32"/>
  <c r="C85" i="32"/>
  <c r="K85" i="32"/>
  <c r="L85" i="32"/>
  <c r="I85" i="32"/>
  <c r="H60" i="32"/>
  <c r="Q60" i="32"/>
  <c r="G60" i="32"/>
  <c r="O60" i="32"/>
  <c r="D60" i="32"/>
  <c r="M60" i="32"/>
  <c r="C60" i="32"/>
  <c r="K60" i="32"/>
  <c r="I60" i="32"/>
  <c r="E60" i="32"/>
  <c r="P60" i="32"/>
  <c r="L60" i="32"/>
  <c r="Q52" i="32"/>
  <c r="G52" i="32"/>
  <c r="O52" i="32"/>
  <c r="D52" i="32"/>
  <c r="M52" i="32"/>
  <c r="C52" i="32"/>
  <c r="H52" i="32"/>
  <c r="P52" i="32"/>
  <c r="L52" i="32"/>
  <c r="I52" i="32"/>
  <c r="K52" i="32"/>
  <c r="E52" i="32"/>
  <c r="K106" i="32"/>
  <c r="I106" i="32"/>
  <c r="P106" i="32"/>
  <c r="E106" i="32"/>
  <c r="O106" i="32"/>
  <c r="M106" i="32"/>
  <c r="H106" i="32"/>
  <c r="G106" i="32"/>
  <c r="Q106" i="32"/>
  <c r="L106" i="32"/>
  <c r="D106" i="32"/>
  <c r="C106" i="32"/>
  <c r="O95" i="32"/>
  <c r="D95" i="32"/>
  <c r="M95" i="32"/>
  <c r="C95" i="32"/>
  <c r="I95" i="32"/>
  <c r="K95" i="32"/>
  <c r="H95" i="32"/>
  <c r="G95" i="32"/>
  <c r="E95" i="32"/>
  <c r="P95" i="32"/>
  <c r="Q95" i="32"/>
  <c r="L95" i="32"/>
  <c r="P79" i="32"/>
  <c r="E79" i="32"/>
  <c r="O79" i="32"/>
  <c r="D79" i="32"/>
  <c r="M79" i="32"/>
  <c r="C79" i="32"/>
  <c r="L79" i="32"/>
  <c r="K79" i="32"/>
  <c r="H79" i="32"/>
  <c r="Q79" i="32"/>
  <c r="I79" i="32"/>
  <c r="G79" i="32"/>
  <c r="L50" i="32"/>
  <c r="I50" i="32"/>
  <c r="H50" i="32"/>
  <c r="K50" i="32"/>
  <c r="G50" i="32"/>
  <c r="O50" i="32"/>
  <c r="E50" i="32"/>
  <c r="D50" i="32"/>
  <c r="P50" i="32"/>
  <c r="Q50" i="32"/>
  <c r="C50" i="32"/>
  <c r="M50" i="32"/>
  <c r="O99" i="32"/>
  <c r="D99" i="32"/>
  <c r="L99" i="32"/>
  <c r="K99" i="32"/>
  <c r="G99" i="32"/>
  <c r="C99" i="32"/>
  <c r="Q99" i="32"/>
  <c r="P99" i="32"/>
  <c r="M99" i="32"/>
  <c r="H99" i="32"/>
  <c r="I99" i="32"/>
  <c r="E99" i="32"/>
  <c r="Q93" i="32"/>
  <c r="G93" i="32"/>
  <c r="P93" i="32"/>
  <c r="E93" i="32"/>
  <c r="L93" i="32"/>
  <c r="H93" i="32"/>
  <c r="D93" i="32"/>
  <c r="C93" i="32"/>
  <c r="O93" i="32"/>
  <c r="K93" i="32"/>
  <c r="M93" i="32"/>
  <c r="I93" i="32"/>
  <c r="M129" i="32"/>
  <c r="E129" i="32"/>
  <c r="L129" i="32"/>
  <c r="D129" i="32"/>
  <c r="I129" i="32"/>
  <c r="Q129" i="32"/>
  <c r="C129" i="32"/>
  <c r="P129" i="32"/>
  <c r="K129" i="32"/>
  <c r="J129" i="32"/>
  <c r="G129" i="32"/>
  <c r="F129" i="32"/>
  <c r="O129" i="32"/>
  <c r="H129" i="32"/>
  <c r="M136" i="32"/>
  <c r="E136" i="32"/>
  <c r="I136" i="32"/>
  <c r="H136" i="32"/>
  <c r="P136" i="32"/>
  <c r="D136" i="32"/>
  <c r="O136" i="32"/>
  <c r="C136" i="32"/>
  <c r="K136" i="32"/>
  <c r="J136" i="32"/>
  <c r="G136" i="32"/>
  <c r="F136" i="32"/>
  <c r="Q136" i="32"/>
  <c r="L136" i="32"/>
  <c r="M160" i="32"/>
  <c r="E160" i="32"/>
  <c r="I160" i="32"/>
  <c r="K160" i="32"/>
  <c r="J160" i="32"/>
  <c r="G160" i="32"/>
  <c r="Q160" i="32"/>
  <c r="F160" i="32"/>
  <c r="C160" i="32"/>
  <c r="O160" i="32"/>
  <c r="L160" i="32"/>
  <c r="H160" i="32"/>
  <c r="D160" i="32"/>
  <c r="P160" i="32"/>
  <c r="M144" i="32"/>
  <c r="E144" i="32"/>
  <c r="I144" i="32"/>
  <c r="Q144" i="32"/>
  <c r="F144" i="32"/>
  <c r="P144" i="32"/>
  <c r="D144" i="32"/>
  <c r="L144" i="32"/>
  <c r="K144" i="32"/>
  <c r="H144" i="32"/>
  <c r="G144" i="32"/>
  <c r="O144" i="32"/>
  <c r="C144" i="32"/>
  <c r="J144" i="32"/>
  <c r="L159" i="32"/>
  <c r="D159" i="32"/>
  <c r="Q159" i="32"/>
  <c r="H159" i="32"/>
  <c r="M159" i="32"/>
  <c r="K159" i="32"/>
  <c r="I159" i="32"/>
  <c r="G159" i="32"/>
  <c r="E159" i="32"/>
  <c r="C159" i="32"/>
  <c r="P159" i="32"/>
  <c r="O159" i="32"/>
  <c r="F159" i="32"/>
  <c r="J159" i="32"/>
  <c r="T28" i="39"/>
  <c r="R29" i="39"/>
  <c r="R30" i="39" s="1"/>
  <c r="R31" i="39" s="1"/>
  <c r="S28" i="39"/>
  <c r="Y180" i="32" l="1"/>
  <c r="V181" i="32"/>
  <c r="V180" i="32"/>
  <c r="U180" i="32"/>
  <c r="Y179" i="32"/>
  <c r="W180" i="32"/>
  <c r="U181" i="32"/>
  <c r="U179" i="32"/>
  <c r="S181" i="32"/>
  <c r="X179" i="32"/>
  <c r="Q26" i="28"/>
  <c r="Q27" i="28" s="1"/>
  <c r="Q28" i="28" s="1"/>
  <c r="S25" i="28"/>
  <c r="X181" i="32"/>
  <c r="X180" i="32"/>
  <c r="V179" i="32"/>
  <c r="Y181" i="32"/>
  <c r="W181" i="32"/>
  <c r="S180" i="32"/>
  <c r="S179" i="32"/>
  <c r="W179" i="32"/>
  <c r="Y174" i="32"/>
  <c r="S177" i="32"/>
  <c r="Y178" i="32"/>
  <c r="X178" i="32"/>
  <c r="S178" i="32"/>
  <c r="W176" i="32"/>
  <c r="U177" i="32"/>
  <c r="S176" i="32"/>
  <c r="U176" i="32"/>
  <c r="X177" i="32"/>
  <c r="X176" i="32"/>
  <c r="V178" i="32"/>
  <c r="V177" i="32"/>
  <c r="V176" i="32"/>
  <c r="U178" i="32"/>
  <c r="Y177" i="32"/>
  <c r="Y176" i="32"/>
  <c r="W178" i="32"/>
  <c r="W177" i="32"/>
  <c r="BD26" i="28"/>
  <c r="BD27" i="28" s="1"/>
  <c r="BD28" i="28" s="1"/>
  <c r="BF25" i="28"/>
  <c r="V175" i="32"/>
  <c r="U174" i="32"/>
  <c r="W175" i="32"/>
  <c r="V174" i="32"/>
  <c r="W173" i="32"/>
  <c r="S174" i="32"/>
  <c r="U173" i="32"/>
  <c r="X173" i="32"/>
  <c r="S173" i="32"/>
  <c r="S175" i="32"/>
  <c r="Y175" i="32"/>
  <c r="Y173" i="32"/>
  <c r="U175" i="32"/>
  <c r="V173" i="32"/>
  <c r="W174" i="32"/>
  <c r="X174" i="32"/>
  <c r="X175" i="32"/>
  <c r="V170" i="32"/>
  <c r="V172" i="32"/>
  <c r="V171" i="32"/>
  <c r="U171" i="32"/>
  <c r="U170" i="32"/>
  <c r="U172" i="32"/>
  <c r="Y170" i="32"/>
  <c r="Y172" i="32"/>
  <c r="Y171" i="32"/>
  <c r="S172" i="32"/>
  <c r="W172" i="32"/>
  <c r="W170" i="32"/>
  <c r="W171" i="32"/>
  <c r="S171" i="32"/>
  <c r="S170" i="32"/>
  <c r="X165" i="32"/>
  <c r="X166" i="32"/>
  <c r="T164" i="32"/>
  <c r="X168" i="32"/>
  <c r="X167" i="32"/>
  <c r="T166" i="32"/>
  <c r="X169" i="32"/>
  <c r="X164" i="32"/>
  <c r="T168" i="32"/>
  <c r="T165" i="32"/>
  <c r="T167" i="32"/>
  <c r="T169" i="32"/>
  <c r="U169" i="32"/>
  <c r="W167" i="32"/>
  <c r="V167" i="32"/>
  <c r="V168" i="32"/>
  <c r="V169" i="32"/>
  <c r="Y167" i="32"/>
  <c r="U168" i="32"/>
  <c r="Y169" i="32"/>
  <c r="Y168" i="32"/>
  <c r="U167" i="32"/>
  <c r="W169" i="32"/>
  <c r="W168" i="32"/>
  <c r="S167" i="32"/>
  <c r="S169" i="32"/>
  <c r="S168" i="32"/>
  <c r="V165" i="32"/>
  <c r="V164" i="32"/>
  <c r="V166" i="32"/>
  <c r="U166" i="32"/>
  <c r="U164" i="32"/>
  <c r="Y165" i="32"/>
  <c r="U165" i="32"/>
  <c r="Y164" i="32"/>
  <c r="Y166" i="32"/>
  <c r="S165" i="32"/>
  <c r="W166" i="32"/>
  <c r="S166" i="32"/>
  <c r="W164" i="32"/>
  <c r="W165" i="32"/>
  <c r="S164" i="32"/>
  <c r="T161" i="32"/>
  <c r="X162" i="32"/>
  <c r="T162" i="32"/>
  <c r="X161" i="32"/>
  <c r="X163" i="32"/>
  <c r="T163" i="32"/>
  <c r="V163" i="32"/>
  <c r="V162" i="32"/>
  <c r="V161" i="32"/>
  <c r="W163" i="32"/>
  <c r="Y162" i="32"/>
  <c r="U163" i="32"/>
  <c r="Y161" i="32"/>
  <c r="Y163" i="32"/>
  <c r="U161" i="32"/>
  <c r="U162" i="32"/>
  <c r="S161" i="32"/>
  <c r="W162" i="32"/>
  <c r="W161" i="32"/>
  <c r="S162" i="32"/>
  <c r="S163" i="32"/>
  <c r="J10" i="31"/>
  <c r="J11" i="31"/>
  <c r="J31" i="31" s="1"/>
  <c r="X159" i="32"/>
  <c r="X160" i="32"/>
  <c r="X158" i="32"/>
  <c r="T158" i="32"/>
  <c r="T160" i="32"/>
  <c r="T159" i="32"/>
  <c r="W29" i="32"/>
  <c r="S37" i="32"/>
  <c r="Y58" i="32"/>
  <c r="U109" i="32"/>
  <c r="U89" i="32"/>
  <c r="X86" i="32"/>
  <c r="X78" i="32"/>
  <c r="U60" i="32"/>
  <c r="V124" i="32"/>
  <c r="U27" i="32"/>
  <c r="V133" i="32"/>
  <c r="U88" i="32"/>
  <c r="S144" i="32"/>
  <c r="Y95" i="32"/>
  <c r="U44" i="32"/>
  <c r="X50" i="32"/>
  <c r="T106" i="32"/>
  <c r="W81" i="32"/>
  <c r="S121" i="32"/>
  <c r="Y71" i="32"/>
  <c r="Y143" i="32"/>
  <c r="W38" i="32"/>
  <c r="T149" i="32"/>
  <c r="X91" i="32"/>
  <c r="W42" i="32"/>
  <c r="S57" i="32"/>
  <c r="X81" i="32"/>
  <c r="X63" i="32"/>
  <c r="T102" i="32"/>
  <c r="Y31" i="32"/>
  <c r="X23" i="32"/>
  <c r="X147" i="32"/>
  <c r="S95" i="32"/>
  <c r="Y18" i="32"/>
  <c r="S25" i="32"/>
  <c r="U20" i="32"/>
  <c r="T157" i="32"/>
  <c r="Y68" i="32"/>
  <c r="Y106" i="32"/>
  <c r="U94" i="32"/>
  <c r="T42" i="32"/>
  <c r="U149" i="32"/>
  <c r="V140" i="32"/>
  <c r="S101" i="32"/>
  <c r="Y114" i="32"/>
  <c r="U159" i="32"/>
  <c r="U136" i="32"/>
  <c r="W144" i="32"/>
  <c r="Y144" i="32"/>
  <c r="U61" i="32"/>
  <c r="Y57" i="32"/>
  <c r="Y24" i="32"/>
  <c r="W86" i="32"/>
  <c r="S97" i="32"/>
  <c r="W98" i="32"/>
  <c r="U97" i="32"/>
  <c r="U78" i="32"/>
  <c r="V155" i="32"/>
  <c r="V138" i="32"/>
  <c r="X128" i="32"/>
  <c r="X123" i="32"/>
  <c r="X92" i="32"/>
  <c r="X114" i="32"/>
  <c r="U139" i="32"/>
  <c r="X30" i="32"/>
  <c r="T154" i="32"/>
  <c r="S15" i="32"/>
  <c r="U127" i="32"/>
  <c r="S56" i="32"/>
  <c r="W10" i="32"/>
  <c r="Y149" i="32"/>
  <c r="S31" i="32"/>
  <c r="U48" i="32"/>
  <c r="W158" i="32"/>
  <c r="S108" i="32"/>
  <c r="W65" i="32"/>
  <c r="Y55" i="32"/>
  <c r="X44" i="32"/>
  <c r="S14" i="32"/>
  <c r="X153" i="32"/>
  <c r="T152" i="32"/>
  <c r="U120" i="32"/>
  <c r="U84" i="32"/>
  <c r="S51" i="32"/>
  <c r="Y37" i="32"/>
  <c r="Y111" i="32"/>
  <c r="X68" i="32"/>
  <c r="W68" i="32"/>
  <c r="W115" i="32"/>
  <c r="W104" i="32"/>
  <c r="X110" i="32"/>
  <c r="S83" i="32"/>
  <c r="T64" i="32"/>
  <c r="Y96" i="32"/>
  <c r="S132" i="32"/>
  <c r="W63" i="32"/>
  <c r="X88" i="32"/>
  <c r="Y102" i="32"/>
  <c r="W23" i="32"/>
  <c r="S90" i="32"/>
  <c r="T74" i="32"/>
  <c r="Y28" i="32"/>
  <c r="S133" i="32"/>
  <c r="W145" i="32"/>
  <c r="Y128" i="32"/>
  <c r="X67" i="32"/>
  <c r="Y26" i="32"/>
  <c r="W32" i="32"/>
  <c r="S6" i="32"/>
  <c r="X140" i="32"/>
  <c r="V134" i="32"/>
  <c r="U36" i="32"/>
  <c r="W20" i="32"/>
  <c r="U124" i="32"/>
  <c r="T52" i="32"/>
  <c r="S29" i="32"/>
  <c r="W69" i="32"/>
  <c r="W5" i="32"/>
  <c r="U80" i="32"/>
  <c r="U98" i="32"/>
  <c r="T120" i="32"/>
  <c r="V125" i="32"/>
  <c r="X62" i="32"/>
  <c r="W49" i="32"/>
  <c r="U39" i="32"/>
  <c r="W100" i="32"/>
  <c r="S8" i="32"/>
  <c r="S63" i="32"/>
  <c r="W146" i="32"/>
  <c r="X9" i="32"/>
  <c r="T140" i="32"/>
  <c r="S143" i="32"/>
  <c r="X132" i="32"/>
  <c r="X60" i="32"/>
  <c r="W124" i="32"/>
  <c r="S18" i="32"/>
  <c r="W149" i="32"/>
  <c r="W122" i="32"/>
  <c r="U146" i="32"/>
  <c r="W57" i="32"/>
  <c r="Y33" i="32"/>
  <c r="W118" i="32"/>
  <c r="T135" i="32"/>
  <c r="X148" i="32"/>
  <c r="S105" i="32"/>
  <c r="Y116" i="32"/>
  <c r="T45" i="32"/>
  <c r="U158" i="32"/>
  <c r="X126" i="32"/>
  <c r="U130" i="32"/>
  <c r="Y72" i="32"/>
  <c r="Y44" i="32"/>
  <c r="V152" i="32"/>
  <c r="T155" i="32"/>
  <c r="Y64" i="32"/>
  <c r="X49" i="32"/>
  <c r="Y100" i="32"/>
  <c r="U47" i="32"/>
  <c r="W16" i="32"/>
  <c r="W87" i="32"/>
  <c r="X5" i="32"/>
  <c r="W11" i="32"/>
  <c r="S147" i="32"/>
  <c r="Y93" i="32"/>
  <c r="U95" i="32"/>
  <c r="S85" i="32"/>
  <c r="X61" i="32"/>
  <c r="X157" i="32"/>
  <c r="U121" i="32"/>
  <c r="T119" i="32"/>
  <c r="U92" i="32"/>
  <c r="Y74" i="32"/>
  <c r="W28" i="32"/>
  <c r="W4" i="32"/>
  <c r="X133" i="32"/>
  <c r="S158" i="32"/>
  <c r="T127" i="32"/>
  <c r="Y108" i="32"/>
  <c r="S86" i="32"/>
  <c r="S72" i="32"/>
  <c r="Y75" i="32"/>
  <c r="W36" i="32"/>
  <c r="S125" i="32"/>
  <c r="U125" i="32"/>
  <c r="X39" i="32"/>
  <c r="X100" i="32"/>
  <c r="U32" i="32"/>
  <c r="X19" i="32"/>
  <c r="W19" i="32"/>
  <c r="T139" i="32"/>
  <c r="U112" i="32"/>
  <c r="S111" i="32"/>
  <c r="X12" i="32"/>
  <c r="X137" i="32"/>
  <c r="T101" i="32"/>
  <c r="U122" i="32"/>
  <c r="T128" i="32"/>
  <c r="U99" i="32"/>
  <c r="T46" i="32"/>
  <c r="Y42" i="32"/>
  <c r="S102" i="32"/>
  <c r="U83" i="32"/>
  <c r="T59" i="32"/>
  <c r="T48" i="32"/>
  <c r="U54" i="32"/>
  <c r="Y136" i="32"/>
  <c r="X106" i="32"/>
  <c r="X27" i="32"/>
  <c r="Y73" i="32"/>
  <c r="W116" i="32"/>
  <c r="W40" i="32"/>
  <c r="T75" i="32"/>
  <c r="S117" i="32"/>
  <c r="W62" i="32"/>
  <c r="S112" i="32"/>
  <c r="W89" i="32"/>
  <c r="W70" i="32"/>
  <c r="X58" i="32"/>
  <c r="S58" i="32"/>
  <c r="S43" i="32"/>
  <c r="U137" i="32"/>
  <c r="S54" i="32"/>
  <c r="S52" i="32"/>
  <c r="X146" i="32"/>
  <c r="S73" i="32"/>
  <c r="U59" i="32"/>
  <c r="U40" i="32"/>
  <c r="Y133" i="32"/>
  <c r="X34" i="32"/>
  <c r="U117" i="32"/>
  <c r="T97" i="32"/>
  <c r="S39" i="32"/>
  <c r="W37" i="32"/>
  <c r="X112" i="32"/>
  <c r="T77" i="32"/>
  <c r="X35" i="32"/>
  <c r="V154" i="32"/>
  <c r="U87" i="32"/>
  <c r="Y30" i="32"/>
  <c r="T144" i="32"/>
  <c r="V156" i="32"/>
  <c r="S42" i="32"/>
  <c r="U126" i="32"/>
  <c r="S44" i="32"/>
  <c r="W105" i="32"/>
  <c r="T90" i="32"/>
  <c r="T80" i="32"/>
  <c r="T98" i="32"/>
  <c r="U41" i="32"/>
  <c r="U77" i="32"/>
  <c r="Y151" i="32"/>
  <c r="T69" i="32"/>
  <c r="X93" i="32"/>
  <c r="Y99" i="32"/>
  <c r="S50" i="32"/>
  <c r="Y27" i="32"/>
  <c r="W27" i="32"/>
  <c r="T156" i="32"/>
  <c r="W147" i="32"/>
  <c r="T142" i="32"/>
  <c r="S142" i="32"/>
  <c r="Y91" i="32"/>
  <c r="X42" i="32"/>
  <c r="T57" i="32"/>
  <c r="U33" i="32"/>
  <c r="S140" i="32"/>
  <c r="T143" i="32"/>
  <c r="U81" i="32"/>
  <c r="U63" i="32"/>
  <c r="T82" i="32"/>
  <c r="S23" i="32"/>
  <c r="X7" i="32"/>
  <c r="T148" i="32"/>
  <c r="W131" i="32"/>
  <c r="T116" i="32"/>
  <c r="X74" i="32"/>
  <c r="W80" i="32"/>
  <c r="S126" i="32"/>
  <c r="V127" i="32"/>
  <c r="U108" i="32"/>
  <c r="W130" i="32"/>
  <c r="Y65" i="32"/>
  <c r="S55" i="32"/>
  <c r="T44" i="32"/>
  <c r="W117" i="32"/>
  <c r="U100" i="32"/>
  <c r="S32" i="32"/>
  <c r="S139" i="32"/>
  <c r="T89" i="32"/>
  <c r="X76" i="32"/>
  <c r="S150" i="32"/>
  <c r="U101" i="32"/>
  <c r="S154" i="32"/>
  <c r="T151" i="32"/>
  <c r="W114" i="32"/>
  <c r="S128" i="32"/>
  <c r="X144" i="32"/>
  <c r="S61" i="32"/>
  <c r="W46" i="32"/>
  <c r="S99" i="32"/>
  <c r="Y50" i="32"/>
  <c r="Y147" i="32"/>
  <c r="X124" i="32"/>
  <c r="U140" i="32"/>
  <c r="V159" i="32"/>
  <c r="W129" i="32"/>
  <c r="Y52" i="32"/>
  <c r="W25" i="32"/>
  <c r="S94" i="32"/>
  <c r="S38" i="32"/>
  <c r="T123" i="32"/>
  <c r="Y110" i="32"/>
  <c r="S17" i="32"/>
  <c r="S7" i="32"/>
  <c r="V148" i="32"/>
  <c r="W74" i="32"/>
  <c r="V158" i="32"/>
  <c r="T126" i="32"/>
  <c r="X70" i="32"/>
  <c r="W13" i="32"/>
  <c r="X115" i="32"/>
  <c r="T136" i="32"/>
  <c r="T129" i="32"/>
  <c r="S93" i="32"/>
  <c r="T50" i="32"/>
  <c r="S106" i="32"/>
  <c r="X52" i="32"/>
  <c r="W60" i="32"/>
  <c r="U25" i="32"/>
  <c r="Y146" i="32"/>
  <c r="X121" i="32"/>
  <c r="Y142" i="32"/>
  <c r="T94" i="32"/>
  <c r="U103" i="32"/>
  <c r="T103" i="32"/>
  <c r="S113" i="32"/>
  <c r="Y113" i="32"/>
  <c r="U123" i="32"/>
  <c r="W123" i="32"/>
  <c r="W119" i="32"/>
  <c r="S110" i="32"/>
  <c r="W141" i="32"/>
  <c r="Y148" i="32"/>
  <c r="X131" i="32"/>
  <c r="U105" i="32"/>
  <c r="W73" i="32"/>
  <c r="S59" i="32"/>
  <c r="W45" i="32"/>
  <c r="W108" i="32"/>
  <c r="U86" i="32"/>
  <c r="U107" i="32"/>
  <c r="X66" i="32"/>
  <c r="W44" i="32"/>
  <c r="S41" i="32"/>
  <c r="W21" i="32"/>
  <c r="X152" i="32"/>
  <c r="T78" i="32"/>
  <c r="Y84" i="32"/>
  <c r="S155" i="32"/>
  <c r="Y32" i="32"/>
  <c r="T145" i="32"/>
  <c r="V139" i="32"/>
  <c r="W109" i="32"/>
  <c r="W58" i="32"/>
  <c r="X138" i="32"/>
  <c r="W43" i="32"/>
  <c r="Y29" i="32"/>
  <c r="Y16" i="32"/>
  <c r="S12" i="32"/>
  <c r="T137" i="32"/>
  <c r="W137" i="32"/>
  <c r="U150" i="32"/>
  <c r="S87" i="32"/>
  <c r="X122" i="32"/>
  <c r="S26" i="32"/>
  <c r="X13" i="32"/>
  <c r="Y160" i="32"/>
  <c r="V142" i="32"/>
  <c r="S33" i="32"/>
  <c r="S22" i="32"/>
  <c r="T113" i="32"/>
  <c r="Y118" i="32"/>
  <c r="T118" i="32"/>
  <c r="W88" i="32"/>
  <c r="U102" i="32"/>
  <c r="X83" i="32"/>
  <c r="Y80" i="32"/>
  <c r="X28" i="32"/>
  <c r="X24" i="32"/>
  <c r="S4" i="32"/>
  <c r="T130" i="32"/>
  <c r="X65" i="32"/>
  <c r="T72" i="32"/>
  <c r="S34" i="32"/>
  <c r="W97" i="32"/>
  <c r="W78" i="32"/>
  <c r="W155" i="32"/>
  <c r="Y155" i="32"/>
  <c r="T100" i="32"/>
  <c r="Y145" i="32"/>
  <c r="S68" i="32"/>
  <c r="T150" i="32"/>
  <c r="X87" i="32"/>
  <c r="W96" i="32"/>
  <c r="S67" i="32"/>
  <c r="V136" i="32"/>
  <c r="U79" i="32"/>
  <c r="W85" i="32"/>
  <c r="V157" i="32"/>
  <c r="W156" i="32"/>
  <c r="U147" i="32"/>
  <c r="U46" i="32"/>
  <c r="X71" i="32"/>
  <c r="X103" i="32"/>
  <c r="X33" i="32"/>
  <c r="X18" i="32"/>
  <c r="X143" i="32"/>
  <c r="T73" i="32"/>
  <c r="V130" i="32"/>
  <c r="W66" i="32"/>
  <c r="W41" i="32"/>
  <c r="Y36" i="32"/>
  <c r="Y21" i="32"/>
  <c r="V153" i="32"/>
  <c r="T51" i="32"/>
  <c r="S64" i="32"/>
  <c r="Y139" i="32"/>
  <c r="X89" i="32"/>
  <c r="W35" i="32"/>
  <c r="V150" i="32"/>
  <c r="X151" i="32"/>
  <c r="X96" i="32"/>
  <c r="W30" i="32"/>
  <c r="S53" i="32"/>
  <c r="Y38" i="32"/>
  <c r="U22" i="32"/>
  <c r="X22" i="32"/>
  <c r="S134" i="32"/>
  <c r="S82" i="32"/>
  <c r="T88" i="32"/>
  <c r="S135" i="32"/>
  <c r="Y131" i="32"/>
  <c r="W92" i="32"/>
  <c r="X40" i="32"/>
  <c r="U45" i="32"/>
  <c r="W127" i="32"/>
  <c r="T86" i="32"/>
  <c r="T55" i="32"/>
  <c r="U72" i="32"/>
  <c r="X36" i="32"/>
  <c r="U34" i="32"/>
  <c r="W153" i="32"/>
  <c r="T117" i="32"/>
  <c r="Y120" i="32"/>
  <c r="X97" i="32"/>
  <c r="T62" i="32"/>
  <c r="W51" i="32"/>
  <c r="X155" i="32"/>
  <c r="Y112" i="32"/>
  <c r="X111" i="32"/>
  <c r="S70" i="32"/>
  <c r="Y70" i="32"/>
  <c r="Y115" i="32"/>
  <c r="T115" i="32"/>
  <c r="W77" i="32"/>
  <c r="U35" i="32"/>
  <c r="Y137" i="32"/>
  <c r="X101" i="32"/>
  <c r="Y104" i="32"/>
  <c r="U114" i="32"/>
  <c r="Y56" i="32"/>
  <c r="T96" i="32"/>
  <c r="U67" i="32"/>
  <c r="N31" i="26"/>
  <c r="L32" i="26"/>
  <c r="L33" i="26" s="1"/>
  <c r="L34" i="26" s="1"/>
  <c r="T61" i="32"/>
  <c r="Y53" i="32"/>
  <c r="AE32" i="29"/>
  <c r="AE33" i="29" s="1"/>
  <c r="AE34" i="29" s="1"/>
  <c r="AG31" i="29"/>
  <c r="C57" i="23"/>
  <c r="R58" i="23"/>
  <c r="X129" i="32"/>
  <c r="X95" i="32"/>
  <c r="Y121" i="32"/>
  <c r="S46" i="32"/>
  <c r="S160" i="32"/>
  <c r="U160" i="32"/>
  <c r="S136" i="32"/>
  <c r="S129" i="32"/>
  <c r="T99" i="32"/>
  <c r="U50" i="32"/>
  <c r="T79" i="32"/>
  <c r="W95" i="32"/>
  <c r="W106" i="32"/>
  <c r="W52" i="32"/>
  <c r="U85" i="32"/>
  <c r="W61" i="32"/>
  <c r="Y25" i="32"/>
  <c r="Y20" i="32"/>
  <c r="X11" i="32"/>
  <c r="BR34" i="17"/>
  <c r="BQ35" i="17"/>
  <c r="BQ36" i="17" s="1"/>
  <c r="BQ37" i="17" s="1"/>
  <c r="BS34" i="17"/>
  <c r="N31" i="12"/>
  <c r="L32" i="12"/>
  <c r="L33" i="12" s="1"/>
  <c r="L34" i="12" s="1"/>
  <c r="V146" i="32"/>
  <c r="U156" i="32"/>
  <c r="S124" i="32"/>
  <c r="W91" i="32"/>
  <c r="Y46" i="32"/>
  <c r="S71" i="32"/>
  <c r="Y94" i="32"/>
  <c r="W33" i="32"/>
  <c r="B23" i="27"/>
  <c r="S149" i="32"/>
  <c r="W143" i="32"/>
  <c r="W134" i="32"/>
  <c r="T134" i="32"/>
  <c r="X113" i="32"/>
  <c r="S81" i="32"/>
  <c r="U132" i="32"/>
  <c r="X82" i="32"/>
  <c r="U119" i="32"/>
  <c r="U110" i="32"/>
  <c r="U23" i="32"/>
  <c r="X17" i="32"/>
  <c r="G31" i="37"/>
  <c r="E32" i="37"/>
  <c r="E33" i="37" s="1"/>
  <c r="E34" i="37" s="1"/>
  <c r="X135" i="32"/>
  <c r="V135" i="32"/>
  <c r="W148" i="32"/>
  <c r="U148" i="32"/>
  <c r="T131" i="32"/>
  <c r="U90" i="32"/>
  <c r="U73" i="32"/>
  <c r="X59" i="32"/>
  <c r="S74" i="32"/>
  <c r="Y45" i="32"/>
  <c r="X10" i="32"/>
  <c r="L32" i="39"/>
  <c r="L33" i="39" s="1"/>
  <c r="L34" i="39" s="1"/>
  <c r="N31" i="39"/>
  <c r="R35" i="35"/>
  <c r="R36" i="35" s="1"/>
  <c r="R37" i="35" s="1"/>
  <c r="T34" i="35"/>
  <c r="S40" i="29"/>
  <c r="Q41" i="29"/>
  <c r="Q42" i="29" s="1"/>
  <c r="Q43" i="29" s="1"/>
  <c r="Y130" i="32"/>
  <c r="X75" i="32"/>
  <c r="U21" i="32"/>
  <c r="V31" i="21"/>
  <c r="T32" i="21"/>
  <c r="T33" i="21" s="1"/>
  <c r="T34" i="21" s="1"/>
  <c r="B22" i="25"/>
  <c r="BL58" i="17"/>
  <c r="BK58" i="17"/>
  <c r="BJ59" i="17"/>
  <c r="BJ60" i="17" s="1"/>
  <c r="BJ61" i="17" s="1"/>
  <c r="T153" i="32"/>
  <c r="W125" i="32"/>
  <c r="Y78" i="32"/>
  <c r="Y62" i="32"/>
  <c r="T39" i="32"/>
  <c r="Y19" i="32"/>
  <c r="CH31" i="28"/>
  <c r="CF32" i="28"/>
  <c r="CF33" i="28" s="1"/>
  <c r="CF34" i="28" s="1"/>
  <c r="S145" i="32"/>
  <c r="S89" i="32"/>
  <c r="Y76" i="32"/>
  <c r="W76" i="32"/>
  <c r="Y138" i="32"/>
  <c r="T68" i="32"/>
  <c r="U115" i="32"/>
  <c r="S115" i="32"/>
  <c r="S77" i="32"/>
  <c r="AQ39" i="32"/>
  <c r="AQ40" i="32"/>
  <c r="AQ38" i="32"/>
  <c r="U16" i="32"/>
  <c r="AS39" i="32"/>
  <c r="AS40" i="32"/>
  <c r="S104" i="32"/>
  <c r="S69" i="32"/>
  <c r="N33" i="41"/>
  <c r="N34" i="41" s="1"/>
  <c r="N35" i="41" s="1"/>
  <c r="P32" i="41"/>
  <c r="L32" i="25"/>
  <c r="L33" i="25" s="1"/>
  <c r="L34" i="25" s="1"/>
  <c r="N31" i="25"/>
  <c r="M69" i="23"/>
  <c r="H69" i="23"/>
  <c r="F69" i="23"/>
  <c r="N69" i="23"/>
  <c r="L69" i="23"/>
  <c r="J69" i="23"/>
  <c r="E69" i="23"/>
  <c r="I69" i="23"/>
  <c r="D69" i="23"/>
  <c r="L32" i="37"/>
  <c r="L33" i="37" s="1"/>
  <c r="L34" i="37" s="1"/>
  <c r="N31" i="37"/>
  <c r="AA30" i="41"/>
  <c r="AA31" i="41" s="1"/>
  <c r="AA32" i="41" s="1"/>
  <c r="AC29" i="41"/>
  <c r="AB29" i="41"/>
  <c r="W159" i="32"/>
  <c r="W160" i="32"/>
  <c r="T95" i="32"/>
  <c r="N34" i="35"/>
  <c r="L35" i="35"/>
  <c r="L36" i="35" s="1"/>
  <c r="L37" i="35" s="1"/>
  <c r="W32" i="28"/>
  <c r="W33" i="28" s="1"/>
  <c r="W34" i="28" s="1"/>
  <c r="Y31" i="28"/>
  <c r="T147" i="32"/>
  <c r="W9" i="32"/>
  <c r="J32" i="17"/>
  <c r="J33" i="17" s="1"/>
  <c r="J34" i="17" s="1"/>
  <c r="L31" i="17"/>
  <c r="A71" i="10"/>
  <c r="T31" i="39"/>
  <c r="R32" i="39"/>
  <c r="R33" i="39" s="1"/>
  <c r="R34" i="39" s="1"/>
  <c r="S159" i="32"/>
  <c r="Y159" i="32"/>
  <c r="U144" i="32"/>
  <c r="V160" i="32"/>
  <c r="W136" i="32"/>
  <c r="Y129" i="32"/>
  <c r="U93" i="32"/>
  <c r="X99" i="32"/>
  <c r="W99" i="32"/>
  <c r="W50" i="32"/>
  <c r="Y79" i="32"/>
  <c r="W79" i="32"/>
  <c r="U106" i="32"/>
  <c r="S60" i="32"/>
  <c r="X85" i="32"/>
  <c r="S27" i="32"/>
  <c r="S157" i="32"/>
  <c r="U157" i="32"/>
  <c r="S146" i="32"/>
  <c r="T124" i="32"/>
  <c r="T71" i="32"/>
  <c r="T53" i="32"/>
  <c r="U38" i="32"/>
  <c r="E32" i="39"/>
  <c r="E33" i="39" s="1"/>
  <c r="E34" i="39" s="1"/>
  <c r="G31" i="39"/>
  <c r="V143" i="32"/>
  <c r="W113" i="32"/>
  <c r="S118" i="32"/>
  <c r="S123" i="32"/>
  <c r="W83" i="32"/>
  <c r="W31" i="32"/>
  <c r="Y23" i="32"/>
  <c r="U17" i="32"/>
  <c r="Y32" i="1"/>
  <c r="Y33" i="1" s="1"/>
  <c r="Y34" i="1" s="1"/>
  <c r="AA31" i="1"/>
  <c r="R32" i="26"/>
  <c r="R33" i="26" s="1"/>
  <c r="R34" i="26" s="1"/>
  <c r="T31" i="26"/>
  <c r="T141" i="32"/>
  <c r="W135" i="32"/>
  <c r="V131" i="32"/>
  <c r="X90" i="32"/>
  <c r="X73" i="32"/>
  <c r="U116" i="32"/>
  <c r="Y59" i="32"/>
  <c r="Y98" i="32"/>
  <c r="Y40" i="32"/>
  <c r="T40" i="32"/>
  <c r="S48" i="32"/>
  <c r="G105" i="31"/>
  <c r="G103" i="31"/>
  <c r="G5" i="31"/>
  <c r="M32" i="21"/>
  <c r="M33" i="21" s="1"/>
  <c r="M34" i="21" s="1"/>
  <c r="O31" i="21"/>
  <c r="Y126" i="32"/>
  <c r="T108" i="32"/>
  <c r="T107" i="32"/>
  <c r="T66" i="32"/>
  <c r="U66" i="32"/>
  <c r="X21" i="32"/>
  <c r="G31" i="21"/>
  <c r="E32" i="21"/>
  <c r="E33" i="21" s="1"/>
  <c r="E34" i="21" s="1"/>
  <c r="B23" i="21"/>
  <c r="Y152" i="32"/>
  <c r="U152" i="32"/>
  <c r="X117" i="32"/>
  <c r="T125" i="32"/>
  <c r="S78" i="32"/>
  <c r="S62" i="32"/>
  <c r="X51" i="32"/>
  <c r="U49" i="32"/>
  <c r="W39" i="32"/>
  <c r="X37" i="32"/>
  <c r="S19" i="32"/>
  <c r="G31" i="25"/>
  <c r="E32" i="25"/>
  <c r="E33" i="25" s="1"/>
  <c r="E34" i="25" s="1"/>
  <c r="E32" i="2"/>
  <c r="E33" i="2" s="1"/>
  <c r="E34" i="2" s="1"/>
  <c r="G31" i="2"/>
  <c r="W139" i="32"/>
  <c r="T112" i="32"/>
  <c r="Y89" i="32"/>
  <c r="S138" i="32"/>
  <c r="S35" i="32"/>
  <c r="U29" i="32"/>
  <c r="X16" i="32"/>
  <c r="W12" i="32"/>
  <c r="W29" i="41"/>
  <c r="V29" i="41"/>
  <c r="U30" i="41"/>
  <c r="U31" i="41" s="1"/>
  <c r="U32" i="41" s="1"/>
  <c r="AF25" i="17"/>
  <c r="AD26" i="17"/>
  <c r="AD27" i="17" s="1"/>
  <c r="AD28" i="17" s="1"/>
  <c r="J41" i="29"/>
  <c r="J42" i="29" s="1"/>
  <c r="J43" i="29" s="1"/>
  <c r="L40" i="29"/>
  <c r="S28" i="17"/>
  <c r="Q29" i="17"/>
  <c r="Q30" i="17" s="1"/>
  <c r="Q31" i="17" s="1"/>
  <c r="V137" i="32"/>
  <c r="U128" i="32"/>
  <c r="X56" i="32"/>
  <c r="U30" i="32"/>
  <c r="W15" i="32"/>
  <c r="E36" i="41"/>
  <c r="E37" i="41" s="1"/>
  <c r="E38" i="41" s="1"/>
  <c r="G35" i="41"/>
  <c r="AJ32" i="28"/>
  <c r="AJ33" i="28" s="1"/>
  <c r="AJ34" i="28" s="1"/>
  <c r="AL31" i="28"/>
  <c r="Y157" i="32"/>
  <c r="T146" i="32"/>
  <c r="V147" i="32"/>
  <c r="W71" i="32"/>
  <c r="S103" i="32"/>
  <c r="U42" i="32"/>
  <c r="U53" i="32"/>
  <c r="U57" i="32"/>
  <c r="U32" i="40"/>
  <c r="U33" i="40" s="1"/>
  <c r="U34" i="40" s="1"/>
  <c r="W31" i="40"/>
  <c r="AS25" i="17"/>
  <c r="AQ26" i="17"/>
  <c r="AQ27" i="17" s="1"/>
  <c r="AQ28" i="17" s="1"/>
  <c r="Y140" i="32"/>
  <c r="T63" i="32"/>
  <c r="Y82" i="32"/>
  <c r="Y17" i="32"/>
  <c r="X141" i="32"/>
  <c r="U74" i="32"/>
  <c r="H5" i="31"/>
  <c r="B21" i="28"/>
  <c r="W107" i="32"/>
  <c r="B24" i="6"/>
  <c r="R29" i="25"/>
  <c r="R30" i="25" s="1"/>
  <c r="R31" i="25" s="1"/>
  <c r="T28" i="25"/>
  <c r="S28" i="25"/>
  <c r="N28" i="27"/>
  <c r="L29" i="27"/>
  <c r="L30" i="27" s="1"/>
  <c r="L31" i="27" s="1"/>
  <c r="M28" i="27"/>
  <c r="AK38" i="32"/>
  <c r="AK39" i="32"/>
  <c r="AK40" i="32"/>
  <c r="Y31" i="17"/>
  <c r="W32" i="17"/>
  <c r="W33" i="17" s="1"/>
  <c r="W34" i="17" s="1"/>
  <c r="N32" i="40"/>
  <c r="N33" i="40" s="1"/>
  <c r="N34" i="40" s="1"/>
  <c r="P31" i="40"/>
  <c r="B6" i="23"/>
  <c r="C5" i="23"/>
  <c r="X136" i="32"/>
  <c r="V129" i="32"/>
  <c r="W93" i="32"/>
  <c r="X79" i="32"/>
  <c r="T60" i="32"/>
  <c r="Y85" i="32"/>
  <c r="S11" i="32"/>
  <c r="L35" i="36"/>
  <c r="L36" i="36" s="1"/>
  <c r="L37" i="36" s="1"/>
  <c r="N34" i="36"/>
  <c r="BD29" i="17"/>
  <c r="BD30" i="17" s="1"/>
  <c r="BD31" i="17" s="1"/>
  <c r="BF28" i="17"/>
  <c r="Z208" i="25"/>
  <c r="Y209" i="25"/>
  <c r="Y210" i="25" s="1"/>
  <c r="Y211" i="25" s="1"/>
  <c r="Y212" i="25" s="1"/>
  <c r="Y213" i="25" s="1"/>
  <c r="Y214" i="25" s="1"/>
  <c r="Y215" i="25" s="1"/>
  <c r="Y216" i="25" s="1"/>
  <c r="Y217" i="25" s="1"/>
  <c r="Y218" i="25" s="1"/>
  <c r="Y219" i="25" s="1"/>
  <c r="Y220" i="25" s="1"/>
  <c r="BZ34" i="28"/>
  <c r="BY35" i="28"/>
  <c r="BY36" i="28" s="1"/>
  <c r="BY37" i="28" s="1"/>
  <c r="CA34" i="28"/>
  <c r="S156" i="32"/>
  <c r="T121" i="32"/>
  <c r="X142" i="32"/>
  <c r="U71" i="32"/>
  <c r="X53" i="32"/>
  <c r="X57" i="32"/>
  <c r="W18" i="32"/>
  <c r="S9" i="32"/>
  <c r="B24" i="2"/>
  <c r="X149" i="32"/>
  <c r="U143" i="32"/>
  <c r="Y134" i="32"/>
  <c r="Y123" i="32"/>
  <c r="V132" i="32"/>
  <c r="S88" i="32"/>
  <c r="Y119" i="32"/>
  <c r="U31" i="32"/>
  <c r="C70" i="23"/>
  <c r="R71" i="23"/>
  <c r="S141" i="32"/>
  <c r="V141" i="32"/>
  <c r="S92" i="32"/>
  <c r="Y90" i="32"/>
  <c r="W24" i="32"/>
  <c r="I69" i="31"/>
  <c r="I70" i="31"/>
  <c r="I5" i="31"/>
  <c r="I71" i="31"/>
  <c r="X130" i="32"/>
  <c r="Y86" i="32"/>
  <c r="X107" i="32"/>
  <c r="W75" i="32"/>
  <c r="X41" i="32"/>
  <c r="W14" i="32"/>
  <c r="W120" i="32"/>
  <c r="S120" i="32"/>
  <c r="Y51" i="32"/>
  <c r="S49" i="32"/>
  <c r="G31" i="12"/>
  <c r="E32" i="12"/>
  <c r="E33" i="12" s="1"/>
  <c r="E34" i="12" s="1"/>
  <c r="N28" i="38"/>
  <c r="M28" i="38"/>
  <c r="L29" i="38"/>
  <c r="L30" i="38" s="1"/>
  <c r="L31" i="38" s="1"/>
  <c r="N34" i="2"/>
  <c r="L35" i="2"/>
  <c r="L36" i="2" s="1"/>
  <c r="L37" i="2" s="1"/>
  <c r="X145" i="32"/>
  <c r="U70" i="32"/>
  <c r="X43" i="32"/>
  <c r="AO39" i="32"/>
  <c r="AO38" i="32"/>
  <c r="AO40" i="32"/>
  <c r="C83" i="23"/>
  <c r="R84" i="23"/>
  <c r="W54" i="32"/>
  <c r="X69" i="32"/>
  <c r="U96" i="32"/>
  <c r="X26" i="32"/>
  <c r="CH31" i="17"/>
  <c r="CF32" i="17"/>
  <c r="CF33" i="17" s="1"/>
  <c r="CF34" i="17" s="1"/>
  <c r="N4" i="23"/>
  <c r="D4" i="23"/>
  <c r="M4" i="23"/>
  <c r="L4" i="23"/>
  <c r="J4" i="23"/>
  <c r="I4" i="23"/>
  <c r="F4" i="23"/>
  <c r="H4" i="23"/>
  <c r="E4" i="23"/>
  <c r="B22" i="37"/>
  <c r="X105" i="32"/>
  <c r="S98" i="32"/>
  <c r="W48" i="32"/>
  <c r="S24" i="32"/>
  <c r="X4" i="32"/>
  <c r="J5" i="31"/>
  <c r="T31" i="37"/>
  <c r="R32" i="37"/>
  <c r="R33" i="37" s="1"/>
  <c r="R34" i="37" s="1"/>
  <c r="U133" i="32"/>
  <c r="V126" i="32"/>
  <c r="Y127" i="32"/>
  <c r="X127" i="32"/>
  <c r="S65" i="32"/>
  <c r="Y66" i="32"/>
  <c r="X14" i="32"/>
  <c r="Y117" i="32"/>
  <c r="X120" i="32"/>
  <c r="U62" i="32"/>
  <c r="S84" i="32"/>
  <c r="U155" i="32"/>
  <c r="W64" i="32"/>
  <c r="T49" i="32"/>
  <c r="Y49" i="32"/>
  <c r="U37" i="32"/>
  <c r="W6" i="32"/>
  <c r="W8" i="32"/>
  <c r="U145" i="32"/>
  <c r="X139" i="32"/>
  <c r="S109" i="32"/>
  <c r="W112" i="32"/>
  <c r="U111" i="32"/>
  <c r="T58" i="32"/>
  <c r="U76" i="32"/>
  <c r="X47" i="32"/>
  <c r="T47" i="32"/>
  <c r="Y43" i="32"/>
  <c r="Y35" i="32"/>
  <c r="AS38" i="32"/>
  <c r="W3" i="32"/>
  <c r="M82" i="23"/>
  <c r="I82" i="23"/>
  <c r="H82" i="23"/>
  <c r="F82" i="23"/>
  <c r="L82" i="23"/>
  <c r="J82" i="23"/>
  <c r="E82" i="23"/>
  <c r="D82" i="23"/>
  <c r="N82" i="23"/>
  <c r="C44" i="23"/>
  <c r="R45" i="23"/>
  <c r="Y150" i="32"/>
  <c r="X104" i="32"/>
  <c r="T54" i="32"/>
  <c r="Y122" i="32"/>
  <c r="U69" i="32"/>
  <c r="U26" i="32"/>
  <c r="X15" i="32"/>
  <c r="V144" i="32"/>
  <c r="W103" i="32"/>
  <c r="S10" i="32"/>
  <c r="B23" i="35"/>
  <c r="B22" i="29"/>
  <c r="R32" i="1"/>
  <c r="R33" i="1" s="1"/>
  <c r="R34" i="1" s="1"/>
  <c r="T31" i="1"/>
  <c r="W133" i="32"/>
  <c r="Y158" i="32"/>
  <c r="W126" i="32"/>
  <c r="S130" i="32"/>
  <c r="T65" i="32"/>
  <c r="Y107" i="32"/>
  <c r="W55" i="32"/>
  <c r="W72" i="32"/>
  <c r="S75" i="32"/>
  <c r="Y41" i="32"/>
  <c r="Y34" i="32"/>
  <c r="U153" i="32"/>
  <c r="S152" i="32"/>
  <c r="X125" i="32"/>
  <c r="X84" i="32"/>
  <c r="U64" i="32"/>
  <c r="Y39" i="32"/>
  <c r="S100" i="32"/>
  <c r="X6" i="32"/>
  <c r="X8" i="32"/>
  <c r="V145" i="32"/>
  <c r="T109" i="32"/>
  <c r="U58" i="32"/>
  <c r="S76" i="32"/>
  <c r="Y47" i="32"/>
  <c r="W47" i="32"/>
  <c r="U68" i="32"/>
  <c r="U43" i="32"/>
  <c r="T43" i="32"/>
  <c r="X77" i="32"/>
  <c r="AM38" i="32"/>
  <c r="AM40" i="32"/>
  <c r="AU40" i="32"/>
  <c r="AM39" i="32"/>
  <c r="AU38" i="32"/>
  <c r="AU39" i="32"/>
  <c r="X3" i="32"/>
  <c r="B22" i="26"/>
  <c r="M43" i="23"/>
  <c r="H43" i="23"/>
  <c r="F43" i="23"/>
  <c r="E43" i="23"/>
  <c r="D43" i="23"/>
  <c r="N43" i="23"/>
  <c r="J43" i="23"/>
  <c r="L43" i="23"/>
  <c r="I43" i="23"/>
  <c r="S137" i="32"/>
  <c r="W101" i="32"/>
  <c r="Y101" i="32"/>
  <c r="U154" i="32"/>
  <c r="X154" i="32"/>
  <c r="S151" i="32"/>
  <c r="T104" i="32"/>
  <c r="U104" i="32"/>
  <c r="S114" i="32"/>
  <c r="X54" i="32"/>
  <c r="Y87" i="32"/>
  <c r="S122" i="32"/>
  <c r="U56" i="32"/>
  <c r="T56" i="32"/>
  <c r="Y69" i="32"/>
  <c r="T67" i="32"/>
  <c r="Y67" i="32"/>
  <c r="S30" i="32"/>
  <c r="AS25" i="28"/>
  <c r="AQ26" i="28"/>
  <c r="AQ27" i="28" s="1"/>
  <c r="AQ28" i="28" s="1"/>
  <c r="BJ32" i="28"/>
  <c r="BJ33" i="28" s="1"/>
  <c r="BJ34" i="28" s="1"/>
  <c r="BL31" i="28"/>
  <c r="W157" i="32"/>
  <c r="E32" i="40"/>
  <c r="E33" i="40" s="1"/>
  <c r="E34" i="40" s="1"/>
  <c r="G31" i="40"/>
  <c r="W142" i="32"/>
  <c r="X31" i="32"/>
  <c r="U129" i="32"/>
  <c r="T93" i="32"/>
  <c r="S79" i="32"/>
  <c r="U52" i="32"/>
  <c r="Y60" i="32"/>
  <c r="T85" i="32"/>
  <c r="Y61" i="32"/>
  <c r="X25" i="32"/>
  <c r="X20" i="32"/>
  <c r="X156" i="32"/>
  <c r="Y156" i="32"/>
  <c r="W121" i="32"/>
  <c r="Y124" i="32"/>
  <c r="U142" i="32"/>
  <c r="U91" i="32"/>
  <c r="S91" i="32"/>
  <c r="X46" i="32"/>
  <c r="W94" i="32"/>
  <c r="X94" i="32"/>
  <c r="Y103" i="32"/>
  <c r="W53" i="32"/>
  <c r="X38" i="32"/>
  <c r="W22" i="32"/>
  <c r="U18" i="32"/>
  <c r="B22" i="17"/>
  <c r="N31" i="6"/>
  <c r="L32" i="6"/>
  <c r="L33" i="6" s="1"/>
  <c r="L34" i="6" s="1"/>
  <c r="V149" i="32"/>
  <c r="W140" i="32"/>
  <c r="X134" i="32"/>
  <c r="U118" i="32"/>
  <c r="Y81" i="32"/>
  <c r="W132" i="32"/>
  <c r="Y132" i="32"/>
  <c r="W82" i="32"/>
  <c r="Y88" i="32"/>
  <c r="X119" i="32"/>
  <c r="T110" i="32"/>
  <c r="W102" i="32"/>
  <c r="X102" i="32"/>
  <c r="W17" i="32"/>
  <c r="W7" i="32"/>
  <c r="E32" i="1"/>
  <c r="E33" i="1" s="1"/>
  <c r="E34" i="1" s="1"/>
  <c r="G31" i="1"/>
  <c r="B22" i="36"/>
  <c r="M56" i="23"/>
  <c r="H56" i="23"/>
  <c r="F56" i="23"/>
  <c r="I56" i="23"/>
  <c r="E56" i="23"/>
  <c r="D56" i="23"/>
  <c r="L56" i="23"/>
  <c r="N56" i="23"/>
  <c r="J56" i="23"/>
  <c r="U141" i="32"/>
  <c r="U135" i="32"/>
  <c r="S148" i="32"/>
  <c r="U131" i="32"/>
  <c r="T105" i="32"/>
  <c r="Y92" i="32"/>
  <c r="X116" i="32"/>
  <c r="W59" i="32"/>
  <c r="X80" i="32"/>
  <c r="S45" i="32"/>
  <c r="X45" i="32"/>
  <c r="Y48" i="32"/>
  <c r="S28" i="32"/>
  <c r="AI29" i="32"/>
  <c r="CZ3" i="32"/>
  <c r="CH3" i="32"/>
  <c r="BP3" i="32"/>
  <c r="AX3" i="32"/>
  <c r="AG3" i="32"/>
  <c r="DR3" i="32"/>
  <c r="EJ3" i="32"/>
  <c r="E32" i="6"/>
  <c r="E33" i="6" s="1"/>
  <c r="E34" i="6" s="1"/>
  <c r="G31" i="6"/>
  <c r="T133" i="32"/>
  <c r="S127" i="32"/>
  <c r="U55" i="32"/>
  <c r="E35" i="35"/>
  <c r="E36" i="35" s="1"/>
  <c r="E37" i="35" s="1"/>
  <c r="G34" i="35"/>
  <c r="Y153" i="32"/>
  <c r="W152" i="32"/>
  <c r="Y97" i="32"/>
  <c r="Y125" i="32"/>
  <c r="T84" i="32"/>
  <c r="U51" i="32"/>
  <c r="X64" i="32"/>
  <c r="X32" i="32"/>
  <c r="U19" i="32"/>
  <c r="Q29" i="28"/>
  <c r="Q30" i="28" s="1"/>
  <c r="Q31" i="28" s="1"/>
  <c r="S28" i="28"/>
  <c r="X109" i="32"/>
  <c r="T111" i="32"/>
  <c r="W138" i="32"/>
  <c r="AI40" i="32"/>
  <c r="AI38" i="32"/>
  <c r="AI39" i="32"/>
  <c r="S3" i="32"/>
  <c r="B22" i="38"/>
  <c r="Y154" i="32"/>
  <c r="W151" i="32"/>
  <c r="T114" i="32"/>
  <c r="Y54" i="32"/>
  <c r="T122" i="32"/>
  <c r="V128" i="32"/>
  <c r="W128" i="32"/>
  <c r="W56" i="32"/>
  <c r="W26" i="32"/>
  <c r="S13" i="32"/>
  <c r="S5" i="32"/>
  <c r="T34" i="36"/>
  <c r="R35" i="36"/>
  <c r="R36" i="36" s="1"/>
  <c r="R37" i="36" s="1"/>
  <c r="AW32" i="28"/>
  <c r="AW33" i="28" s="1"/>
  <c r="AW34" i="28" s="1"/>
  <c r="AY31" i="28"/>
  <c r="S20" i="32"/>
  <c r="L31" i="28"/>
  <c r="J32" i="28"/>
  <c r="J33" i="28" s="1"/>
  <c r="J34" i="28" s="1"/>
  <c r="Y22" i="32"/>
  <c r="R32" i="27"/>
  <c r="R33" i="27" s="1"/>
  <c r="R34" i="27" s="1"/>
  <c r="T31" i="27"/>
  <c r="Y63" i="32"/>
  <c r="G31" i="38"/>
  <c r="E32" i="38"/>
  <c r="E33" i="38" s="1"/>
  <c r="E34" i="38" s="1"/>
  <c r="AD26" i="28"/>
  <c r="AD27" i="28" s="1"/>
  <c r="AD28" i="28" s="1"/>
  <c r="AF25" i="28"/>
  <c r="T91" i="32"/>
  <c r="U134" i="32"/>
  <c r="U113" i="32"/>
  <c r="X118" i="32"/>
  <c r="T81" i="32"/>
  <c r="T132" i="32"/>
  <c r="U82" i="32"/>
  <c r="S119" i="32"/>
  <c r="W110" i="32"/>
  <c r="T83" i="32"/>
  <c r="Y83" i="32"/>
  <c r="E32" i="36"/>
  <c r="E33" i="36" s="1"/>
  <c r="E34" i="36" s="1"/>
  <c r="G31" i="36"/>
  <c r="F31" i="36"/>
  <c r="T31" i="2"/>
  <c r="R32" i="2"/>
  <c r="R33" i="2" s="1"/>
  <c r="R34" i="2" s="1"/>
  <c r="Y141" i="32"/>
  <c r="Y135" i="32"/>
  <c r="S131" i="32"/>
  <c r="Y105" i="32"/>
  <c r="T92" i="32"/>
  <c r="W90" i="32"/>
  <c r="S116" i="32"/>
  <c r="S80" i="32"/>
  <c r="X98" i="32"/>
  <c r="S40" i="32"/>
  <c r="X48" i="32"/>
  <c r="U28" i="32"/>
  <c r="U24" i="32"/>
  <c r="E35" i="27"/>
  <c r="E36" i="27" s="1"/>
  <c r="E37" i="27" s="1"/>
  <c r="G34" i="27"/>
  <c r="T31" i="6"/>
  <c r="R32" i="6"/>
  <c r="R33" i="6" s="1"/>
  <c r="R34" i="6" s="1"/>
  <c r="X108" i="32"/>
  <c r="U65" i="32"/>
  <c r="S107" i="32"/>
  <c r="X55" i="32"/>
  <c r="S66" i="32"/>
  <c r="X72" i="32"/>
  <c r="U75" i="32"/>
  <c r="T41" i="32"/>
  <c r="S36" i="32"/>
  <c r="W34" i="32"/>
  <c r="S21" i="32"/>
  <c r="B22" i="39"/>
  <c r="AY58" i="17"/>
  <c r="AX58" i="17"/>
  <c r="AW59" i="17"/>
  <c r="AW60" i="17" s="1"/>
  <c r="AW61" i="17" s="1"/>
  <c r="N31" i="1"/>
  <c r="L32" i="1"/>
  <c r="L33" i="1" s="1"/>
  <c r="L34" i="1" s="1"/>
  <c r="S153" i="32"/>
  <c r="W84" i="32"/>
  <c r="E38" i="26"/>
  <c r="E39" i="26" s="1"/>
  <c r="E40" i="26" s="1"/>
  <c r="G37" i="26"/>
  <c r="Z52" i="29"/>
  <c r="X53" i="29"/>
  <c r="X54" i="29" s="1"/>
  <c r="X55" i="29" s="1"/>
  <c r="Y109" i="32"/>
  <c r="W111" i="32"/>
  <c r="T70" i="32"/>
  <c r="T76" i="32"/>
  <c r="S47" i="32"/>
  <c r="T138" i="32"/>
  <c r="U138" i="32"/>
  <c r="Y77" i="32"/>
  <c r="X29" i="32"/>
  <c r="S16" i="32"/>
  <c r="AL31" i="17"/>
  <c r="AJ32" i="17"/>
  <c r="AJ33" i="17" s="1"/>
  <c r="AJ34" i="17" s="1"/>
  <c r="B24" i="12"/>
  <c r="CA34" i="17"/>
  <c r="BZ34" i="17"/>
  <c r="BY35" i="17"/>
  <c r="BY36" i="17" s="1"/>
  <c r="BY37" i="17" s="1"/>
  <c r="W150" i="32"/>
  <c r="X150" i="32"/>
  <c r="W154" i="32"/>
  <c r="V151" i="32"/>
  <c r="U151" i="32"/>
  <c r="T87" i="32"/>
  <c r="S96" i="32"/>
  <c r="W67" i="32"/>
  <c r="BQ32" i="28"/>
  <c r="BQ33" i="28" s="1"/>
  <c r="BQ34" i="28" s="1"/>
  <c r="BS31" i="28"/>
  <c r="AI25" i="32"/>
  <c r="BF28" i="28" l="1"/>
  <c r="BD29" i="28"/>
  <c r="BD30" i="28" s="1"/>
  <c r="BD31" i="28" s="1"/>
  <c r="J12" i="31"/>
  <c r="J32" i="31" s="1"/>
  <c r="J13" i="31"/>
  <c r="J33" i="31" s="1"/>
  <c r="AE17" i="32"/>
  <c r="AJ25" i="32"/>
  <c r="G34" i="38"/>
  <c r="E35" i="38"/>
  <c r="E36" i="38" s="1"/>
  <c r="E37" i="38" s="1"/>
  <c r="CQ3" i="32"/>
  <c r="CI3" i="32"/>
  <c r="CX3" i="32"/>
  <c r="CP3" i="32"/>
  <c r="CW3" i="32"/>
  <c r="CO3" i="32"/>
  <c r="CH4" i="32"/>
  <c r="CV3" i="32"/>
  <c r="CN3" i="32"/>
  <c r="CU3" i="32"/>
  <c r="CM3" i="32"/>
  <c r="CT3" i="32"/>
  <c r="CL3" i="32"/>
  <c r="CR3" i="32"/>
  <c r="CK3" i="32"/>
  <c r="CJ3" i="32"/>
  <c r="CS3" i="32"/>
  <c r="G34" i="40"/>
  <c r="E35" i="40"/>
  <c r="E36" i="40" s="1"/>
  <c r="E37" i="40" s="1"/>
  <c r="W32" i="41"/>
  <c r="U33" i="41"/>
  <c r="U34" i="41" s="1"/>
  <c r="U35" i="41" s="1"/>
  <c r="L38" i="36"/>
  <c r="L39" i="36" s="1"/>
  <c r="L40" i="36" s="1"/>
  <c r="N37" i="36"/>
  <c r="B23" i="36"/>
  <c r="B24" i="35"/>
  <c r="BF31" i="17"/>
  <c r="BD32" i="17"/>
  <c r="BD33" i="17" s="1"/>
  <c r="BD34" i="17" s="1"/>
  <c r="J5" i="23"/>
  <c r="I5" i="23"/>
  <c r="H5" i="23"/>
  <c r="F5" i="23"/>
  <c r="E5" i="23"/>
  <c r="M5" i="23"/>
  <c r="D5" i="23"/>
  <c r="N5" i="23"/>
  <c r="L5" i="23"/>
  <c r="B22" i="28"/>
  <c r="AQ29" i="17"/>
  <c r="AQ30" i="17" s="1"/>
  <c r="AQ31" i="17" s="1"/>
  <c r="AS28" i="17"/>
  <c r="AL34" i="28"/>
  <c r="AJ35" i="28"/>
  <c r="AJ36" i="28" s="1"/>
  <c r="AJ37" i="28" s="1"/>
  <c r="AK34" i="28"/>
  <c r="G34" i="25"/>
  <c r="E35" i="25"/>
  <c r="E36" i="25" s="1"/>
  <c r="E37" i="25" s="1"/>
  <c r="G34" i="21"/>
  <c r="E35" i="21"/>
  <c r="E36" i="21" s="1"/>
  <c r="E37" i="21" s="1"/>
  <c r="A70" i="10"/>
  <c r="AD17" i="32"/>
  <c r="B24" i="27"/>
  <c r="J8" i="31"/>
  <c r="J7" i="31"/>
  <c r="B23" i="37"/>
  <c r="G34" i="12"/>
  <c r="E35" i="12"/>
  <c r="E36" i="12" s="1"/>
  <c r="E37" i="12" s="1"/>
  <c r="B7" i="23"/>
  <c r="C6" i="23"/>
  <c r="N35" i="40"/>
  <c r="N36" i="40" s="1"/>
  <c r="N37" i="40" s="1"/>
  <c r="P34" i="40"/>
  <c r="L32" i="27"/>
  <c r="L33" i="27" s="1"/>
  <c r="L34" i="27" s="1"/>
  <c r="N31" i="27"/>
  <c r="B25" i="6"/>
  <c r="BF31" i="28"/>
  <c r="BD32" i="28"/>
  <c r="BD33" i="28" s="1"/>
  <c r="BD34" i="28" s="1"/>
  <c r="Q32" i="17"/>
  <c r="Q33" i="17" s="1"/>
  <c r="Q34" i="17" s="1"/>
  <c r="S31" i="17"/>
  <c r="AD29" i="17"/>
  <c r="AD30" i="17" s="1"/>
  <c r="AD31" i="17" s="1"/>
  <c r="AF28" i="17"/>
  <c r="F3" i="30"/>
  <c r="G8" i="31"/>
  <c r="F4" i="30" s="1"/>
  <c r="AC17" i="32"/>
  <c r="B23" i="25"/>
  <c r="AG34" i="29"/>
  <c r="AE35" i="29"/>
  <c r="AE36" i="29" s="1"/>
  <c r="AE37" i="29" s="1"/>
  <c r="B23" i="38"/>
  <c r="EG3" i="32"/>
  <c r="DY3" i="32"/>
  <c r="DR4" i="32"/>
  <c r="EF3" i="32"/>
  <c r="DX3" i="32"/>
  <c r="EE3" i="32"/>
  <c r="DW3" i="32"/>
  <c r="ED3" i="32"/>
  <c r="DV3" i="32"/>
  <c r="EC3" i="32"/>
  <c r="DU3" i="32"/>
  <c r="EB3" i="32"/>
  <c r="DT3" i="32"/>
  <c r="DZ3" i="32"/>
  <c r="DS3" i="32"/>
  <c r="EH3" i="32"/>
  <c r="EA3" i="32"/>
  <c r="BJ35" i="28"/>
  <c r="BJ36" i="28" s="1"/>
  <c r="BJ37" i="28" s="1"/>
  <c r="BK34" i="28"/>
  <c r="BL34" i="28"/>
  <c r="AQ29" i="28"/>
  <c r="AQ30" i="28" s="1"/>
  <c r="AQ31" i="28" s="1"/>
  <c r="AS28" i="28"/>
  <c r="B25" i="2"/>
  <c r="T31" i="25"/>
  <c r="R32" i="25"/>
  <c r="R33" i="25" s="1"/>
  <c r="R34" i="25" s="1"/>
  <c r="G38" i="41"/>
  <c r="E39" i="41"/>
  <c r="E40" i="41" s="1"/>
  <c r="E41" i="41" s="1"/>
  <c r="AA33" i="41"/>
  <c r="AA34" i="41" s="1"/>
  <c r="AA35" i="41" s="1"/>
  <c r="AC32" i="41"/>
  <c r="P35" i="41"/>
  <c r="N36" i="41"/>
  <c r="N37" i="41" s="1"/>
  <c r="N38" i="41" s="1"/>
  <c r="CF35" i="28"/>
  <c r="CF36" i="28" s="1"/>
  <c r="CF37" i="28" s="1"/>
  <c r="CH34" i="28"/>
  <c r="CG34" i="28"/>
  <c r="V34" i="21"/>
  <c r="T35" i="21"/>
  <c r="T36" i="21" s="1"/>
  <c r="T37" i="21" s="1"/>
  <c r="E35" i="2"/>
  <c r="E36" i="2" s="1"/>
  <c r="E37" i="2" s="1"/>
  <c r="G34" i="2"/>
  <c r="B23" i="39"/>
  <c r="N34" i="6"/>
  <c r="L35" i="6"/>
  <c r="L36" i="6" s="1"/>
  <c r="L37" i="6" s="1"/>
  <c r="B23" i="17"/>
  <c r="B23" i="26"/>
  <c r="CF35" i="17"/>
  <c r="CF36" i="17" s="1"/>
  <c r="CF37" i="17" s="1"/>
  <c r="CH34" i="17"/>
  <c r="CG34" i="17"/>
  <c r="B24" i="21"/>
  <c r="E41" i="26"/>
  <c r="E42" i="26" s="1"/>
  <c r="E43" i="26" s="1"/>
  <c r="G40" i="26"/>
  <c r="F40" i="26"/>
  <c r="E38" i="35"/>
  <c r="E39" i="35" s="1"/>
  <c r="E40" i="35" s="1"/>
  <c r="G37" i="35"/>
  <c r="EJ4" i="32"/>
  <c r="EX3" i="32"/>
  <c r="EP3" i="32"/>
  <c r="EW3" i="32"/>
  <c r="EO3" i="32"/>
  <c r="EV3" i="32"/>
  <c r="EN3" i="32"/>
  <c r="EU3" i="32"/>
  <c r="EM3" i="32"/>
  <c r="ET3" i="32"/>
  <c r="EL3" i="32"/>
  <c r="ES3" i="32"/>
  <c r="EK3" i="32"/>
  <c r="EZ3" i="32"/>
  <c r="EY3" i="32"/>
  <c r="ER3" i="32"/>
  <c r="EQ3" i="32"/>
  <c r="BQ35" i="28"/>
  <c r="BQ36" i="28" s="1"/>
  <c r="BQ37" i="28" s="1"/>
  <c r="BS34" i="28"/>
  <c r="BR34" i="28"/>
  <c r="T37" i="36"/>
  <c r="R38" i="36"/>
  <c r="R39" i="36" s="1"/>
  <c r="R40" i="36" s="1"/>
  <c r="R35" i="6"/>
  <c r="R36" i="6" s="1"/>
  <c r="R37" i="6" s="1"/>
  <c r="T34" i="6"/>
  <c r="R35" i="27"/>
  <c r="R36" i="27" s="1"/>
  <c r="R37" i="27" s="1"/>
  <c r="T34" i="27"/>
  <c r="AS3" i="32"/>
  <c r="AK3" i="32"/>
  <c r="AR3" i="32"/>
  <c r="AJ3" i="32"/>
  <c r="AQ3" i="32"/>
  <c r="AI3" i="32"/>
  <c r="AP3" i="32"/>
  <c r="AH3" i="32"/>
  <c r="AW3" i="32"/>
  <c r="AO3" i="32"/>
  <c r="AV3" i="32"/>
  <c r="AN3" i="32"/>
  <c r="AG4" i="32"/>
  <c r="AU3" i="32"/>
  <c r="AT3" i="32"/>
  <c r="AL3" i="32"/>
  <c r="AM3" i="32"/>
  <c r="R35" i="37"/>
  <c r="R36" i="37" s="1"/>
  <c r="R37" i="37" s="1"/>
  <c r="T34" i="37"/>
  <c r="CA37" i="28"/>
  <c r="BY38" i="28"/>
  <c r="BY39" i="28" s="1"/>
  <c r="BY40" i="28" s="1"/>
  <c r="G3" i="30"/>
  <c r="H7" i="31"/>
  <c r="G5" i="30" s="1"/>
  <c r="H8" i="31"/>
  <c r="G4" i="30" s="1"/>
  <c r="J35" i="17"/>
  <c r="J36" i="17" s="1"/>
  <c r="J37" i="17" s="1"/>
  <c r="K34" i="17"/>
  <c r="L34" i="17"/>
  <c r="N37" i="35"/>
  <c r="L38" i="35"/>
  <c r="L39" i="35" s="1"/>
  <c r="L40" i="35" s="1"/>
  <c r="T37" i="35"/>
  <c r="R38" i="35"/>
  <c r="R39" i="35" s="1"/>
  <c r="R40" i="35" s="1"/>
  <c r="H44" i="23"/>
  <c r="M44" i="23"/>
  <c r="E44" i="23"/>
  <c r="D44" i="23"/>
  <c r="N44" i="23"/>
  <c r="L44" i="23"/>
  <c r="I44" i="23"/>
  <c r="J44" i="23"/>
  <c r="F44" i="23"/>
  <c r="B25" i="12"/>
  <c r="AJ35" i="17"/>
  <c r="AJ36" i="17" s="1"/>
  <c r="AJ37" i="17" s="1"/>
  <c r="AL34" i="17"/>
  <c r="AK34" i="17"/>
  <c r="G37" i="27"/>
  <c r="E38" i="27"/>
  <c r="E39" i="27" s="1"/>
  <c r="E40" i="27" s="1"/>
  <c r="BI3" i="32"/>
  <c r="BA3" i="32"/>
  <c r="BH3" i="32"/>
  <c r="AZ3" i="32"/>
  <c r="BG3" i="32"/>
  <c r="AY3" i="32"/>
  <c r="BN3" i="32"/>
  <c r="BF3" i="32"/>
  <c r="BM3" i="32"/>
  <c r="BE3" i="32"/>
  <c r="BL3" i="32"/>
  <c r="BD3" i="32"/>
  <c r="BJ3" i="32"/>
  <c r="BC3" i="32"/>
  <c r="BB3" i="32"/>
  <c r="BK3" i="32"/>
  <c r="R35" i="1"/>
  <c r="R36" i="1" s="1"/>
  <c r="R37" i="1" s="1"/>
  <c r="T34" i="1"/>
  <c r="J30" i="31"/>
  <c r="C71" i="23"/>
  <c r="R72" i="23"/>
  <c r="U35" i="40"/>
  <c r="U36" i="40" s="1"/>
  <c r="U37" i="40" s="1"/>
  <c r="W34" i="40"/>
  <c r="N34" i="37"/>
  <c r="L35" i="37"/>
  <c r="L36" i="37" s="1"/>
  <c r="L37" i="37" s="1"/>
  <c r="L35" i="26"/>
  <c r="L36" i="26" s="1"/>
  <c r="L37" i="26" s="1"/>
  <c r="N34" i="26"/>
  <c r="Q32" i="28"/>
  <c r="Q33" i="28" s="1"/>
  <c r="Q34" i="28" s="1"/>
  <c r="S31" i="28"/>
  <c r="E35" i="6"/>
  <c r="E36" i="6" s="1"/>
  <c r="E37" i="6" s="1"/>
  <c r="G34" i="6"/>
  <c r="DP3" i="32"/>
  <c r="DH3" i="32"/>
  <c r="DO3" i="32"/>
  <c r="DG3" i="32"/>
  <c r="CZ4" i="32"/>
  <c r="DN3" i="32"/>
  <c r="DF3" i="32"/>
  <c r="DM3" i="32"/>
  <c r="DE3" i="32"/>
  <c r="DL3" i="32"/>
  <c r="DD3" i="32"/>
  <c r="DK3" i="32"/>
  <c r="DC3" i="32"/>
  <c r="DJ3" i="32"/>
  <c r="DI3" i="32"/>
  <c r="DA3" i="32"/>
  <c r="DB3" i="32"/>
  <c r="N37" i="2"/>
  <c r="L38" i="2"/>
  <c r="L39" i="2" s="1"/>
  <c r="L40" i="2" s="1"/>
  <c r="H3" i="30"/>
  <c r="I8" i="31"/>
  <c r="H4" i="30" s="1"/>
  <c r="I7" i="31"/>
  <c r="H5" i="30" s="1"/>
  <c r="T34" i="39"/>
  <c r="R35" i="39"/>
  <c r="R36" i="39" s="1"/>
  <c r="R37" i="39" s="1"/>
  <c r="BY38" i="17"/>
  <c r="BY39" i="17" s="1"/>
  <c r="BY40" i="17" s="1"/>
  <c r="CA37" i="17"/>
  <c r="AB17" i="32"/>
  <c r="R35" i="2"/>
  <c r="R36" i="2" s="1"/>
  <c r="R37" i="2" s="1"/>
  <c r="T34" i="2"/>
  <c r="AY34" i="28"/>
  <c r="AX34" i="28"/>
  <c r="AW35" i="28"/>
  <c r="AW36" i="28" s="1"/>
  <c r="AW37" i="28" s="1"/>
  <c r="L35" i="1"/>
  <c r="L36" i="1" s="1"/>
  <c r="L37" i="1" s="1"/>
  <c r="N34" i="1"/>
  <c r="Z55" i="29"/>
  <c r="Y55" i="29"/>
  <c r="X56" i="29"/>
  <c r="AW62" i="17"/>
  <c r="AW63" i="17" s="1"/>
  <c r="AW64" i="17" s="1"/>
  <c r="AY61" i="17"/>
  <c r="E35" i="36"/>
  <c r="E36" i="36" s="1"/>
  <c r="E37" i="36" s="1"/>
  <c r="G34" i="36"/>
  <c r="AF28" i="28"/>
  <c r="AD29" i="28"/>
  <c r="AD30" i="28" s="1"/>
  <c r="AD31" i="28" s="1"/>
  <c r="L34" i="28"/>
  <c r="J35" i="28"/>
  <c r="J36" i="28" s="1"/>
  <c r="J37" i="28" s="1"/>
  <c r="K34" i="28"/>
  <c r="BZ3" i="32"/>
  <c r="BR3" i="32"/>
  <c r="BY3" i="32"/>
  <c r="BQ3" i="32"/>
  <c r="CF3" i="32"/>
  <c r="BX3" i="32"/>
  <c r="CE3" i="32"/>
  <c r="BW3" i="32"/>
  <c r="BP4" i="32"/>
  <c r="CD3" i="32"/>
  <c r="BV3" i="32"/>
  <c r="CC3" i="32"/>
  <c r="BU3" i="32"/>
  <c r="CB3" i="32"/>
  <c r="CA3" i="32"/>
  <c r="BS3" i="32"/>
  <c r="BT3" i="32"/>
  <c r="E35" i="1"/>
  <c r="E36" i="1" s="1"/>
  <c r="E37" i="1" s="1"/>
  <c r="G34" i="1"/>
  <c r="B23" i="29"/>
  <c r="C45" i="23"/>
  <c r="R46" i="23"/>
  <c r="C84" i="23"/>
  <c r="R85" i="23"/>
  <c r="L32" i="38"/>
  <c r="L33" i="38" s="1"/>
  <c r="L34" i="38" s="1"/>
  <c r="N31" i="38"/>
  <c r="H70" i="23"/>
  <c r="M70" i="23"/>
  <c r="L70" i="23"/>
  <c r="D70" i="23"/>
  <c r="N70" i="23"/>
  <c r="J70" i="23"/>
  <c r="F70" i="23"/>
  <c r="I70" i="23"/>
  <c r="E70" i="23"/>
  <c r="Z220" i="25"/>
  <c r="Y221" i="25"/>
  <c r="Y222" i="25" s="1"/>
  <c r="Y223" i="25" s="1"/>
  <c r="Y224" i="25" s="1"/>
  <c r="Y225" i="25" s="1"/>
  <c r="Y226" i="25" s="1"/>
  <c r="Y227" i="25" s="1"/>
  <c r="Y228" i="25" s="1"/>
  <c r="Y229" i="25" s="1"/>
  <c r="Y230" i="25" s="1"/>
  <c r="Y231" i="25" s="1"/>
  <c r="Y232" i="25" s="1"/>
  <c r="Y233" i="25" s="1"/>
  <c r="Y234" i="25" s="1"/>
  <c r="Y235" i="25" s="1"/>
  <c r="Y236" i="25" s="1"/>
  <c r="Y237" i="25" s="1"/>
  <c r="Y238" i="25" s="1"/>
  <c r="Y239" i="25" s="1"/>
  <c r="Y240" i="25" s="1"/>
  <c r="Y241" i="25" s="1"/>
  <c r="Y242" i="25" s="1"/>
  <c r="Y243" i="25" s="1"/>
  <c r="Y244" i="25" s="1"/>
  <c r="Y245" i="25" s="1"/>
  <c r="Y246" i="25" s="1"/>
  <c r="Y247" i="25" s="1"/>
  <c r="Y248" i="25" s="1"/>
  <c r="Y249" i="25" s="1"/>
  <c r="Y250" i="25" s="1"/>
  <c r="Y251" i="25" s="1"/>
  <c r="Y252" i="25" s="1"/>
  <c r="Y253" i="25" s="1"/>
  <c r="Y254" i="25" s="1"/>
  <c r="Y255" i="25" s="1"/>
  <c r="Y256" i="25" s="1"/>
  <c r="Y257" i="25" s="1"/>
  <c r="Y258" i="25" s="1"/>
  <c r="Y259" i="25" s="1"/>
  <c r="Y260" i="25" s="1"/>
  <c r="Y261" i="25" s="1"/>
  <c r="Y262" i="25" s="1"/>
  <c r="Y263" i="25" s="1"/>
  <c r="Y264" i="25" s="1"/>
  <c r="Y265" i="25" s="1"/>
  <c r="Y266" i="25" s="1"/>
  <c r="Y267" i="25" s="1"/>
  <c r="Y268" i="25" s="1"/>
  <c r="Y269" i="25" s="1"/>
  <c r="Y270" i="25" s="1"/>
  <c r="Y271" i="25" s="1"/>
  <c r="Y272" i="25" s="1"/>
  <c r="Y273" i="25" s="1"/>
  <c r="Y274" i="25" s="1"/>
  <c r="Y275" i="25" s="1"/>
  <c r="Y276" i="25" s="1"/>
  <c r="Y277" i="25" s="1"/>
  <c r="Y278" i="25" s="1"/>
  <c r="Y279" i="25" s="1"/>
  <c r="Y280" i="25" s="1"/>
  <c r="Y281" i="25" s="1"/>
  <c r="Y282" i="25" s="1"/>
  <c r="Y283" i="25" s="1"/>
  <c r="Y284" i="25" s="1"/>
  <c r="Y285" i="25" s="1"/>
  <c r="Y286" i="25" s="1"/>
  <c r="Y287" i="25" s="1"/>
  <c r="Y288" i="25" s="1"/>
  <c r="Y289" i="25" s="1"/>
  <c r="Y290" i="25" s="1"/>
  <c r="Y291" i="25" s="1"/>
  <c r="Y292" i="25" s="1"/>
  <c r="Y34" i="17"/>
  <c r="X34" i="17"/>
  <c r="W35" i="17"/>
  <c r="W36" i="17" s="1"/>
  <c r="W37" i="17" s="1"/>
  <c r="J44" i="29"/>
  <c r="J45" i="29" s="1"/>
  <c r="J46" i="29" s="1"/>
  <c r="L43" i="29"/>
  <c r="E35" i="39"/>
  <c r="E36" i="39" s="1"/>
  <c r="E37" i="39" s="1"/>
  <c r="G34" i="39"/>
  <c r="S43" i="29"/>
  <c r="Q44" i="29"/>
  <c r="Q45" i="29" s="1"/>
  <c r="Q46" i="29" s="1"/>
  <c r="C58" i="23"/>
  <c r="R59" i="23"/>
  <c r="BJ62" i="17"/>
  <c r="BJ63" i="17" s="1"/>
  <c r="BJ64" i="17" s="1"/>
  <c r="BL61" i="17"/>
  <c r="L35" i="39"/>
  <c r="L36" i="39" s="1"/>
  <c r="L37" i="39" s="1"/>
  <c r="N34" i="39"/>
  <c r="BQ38" i="17"/>
  <c r="BQ39" i="17" s="1"/>
  <c r="BQ40" i="17" s="1"/>
  <c r="BS37" i="17"/>
  <c r="H57" i="23"/>
  <c r="M57" i="23"/>
  <c r="L57" i="23"/>
  <c r="I57" i="23"/>
  <c r="F57" i="23"/>
  <c r="E57" i="23"/>
  <c r="D57" i="23"/>
  <c r="N57" i="23"/>
  <c r="J57" i="23"/>
  <c r="H83" i="23"/>
  <c r="N83" i="23"/>
  <c r="D83" i="23"/>
  <c r="M83" i="23"/>
  <c r="L83" i="23"/>
  <c r="J83" i="23"/>
  <c r="I83" i="23"/>
  <c r="F83" i="23"/>
  <c r="E83" i="23"/>
  <c r="Y35" i="1"/>
  <c r="Y36" i="1" s="1"/>
  <c r="Y37" i="1" s="1"/>
  <c r="AA34" i="1"/>
  <c r="M35" i="21"/>
  <c r="M36" i="21" s="1"/>
  <c r="M37" i="21" s="1"/>
  <c r="O34" i="21"/>
  <c r="T34" i="26"/>
  <c r="R35" i="26"/>
  <c r="R36" i="26" s="1"/>
  <c r="R37" i="26" s="1"/>
  <c r="Y34" i="28"/>
  <c r="X34" i="28"/>
  <c r="W35" i="28"/>
  <c r="W36" i="28" s="1"/>
  <c r="W37" i="28" s="1"/>
  <c r="N34" i="25"/>
  <c r="L35" i="25"/>
  <c r="L36" i="25" s="1"/>
  <c r="L37" i="25" s="1"/>
  <c r="E35" i="37"/>
  <c r="E36" i="37" s="1"/>
  <c r="E37" i="37" s="1"/>
  <c r="G34" i="37"/>
  <c r="N34" i="12"/>
  <c r="L35" i="12"/>
  <c r="L36" i="12" s="1"/>
  <c r="L37" i="12" s="1"/>
  <c r="AI37" i="32"/>
  <c r="AI35" i="32"/>
  <c r="AI26" i="32"/>
  <c r="T37" i="39" l="1"/>
  <c r="R38" i="39"/>
  <c r="R39" i="39" s="1"/>
  <c r="R40" i="39" s="1"/>
  <c r="G37" i="38"/>
  <c r="E38" i="38"/>
  <c r="E39" i="38" s="1"/>
  <c r="E40" i="38" s="1"/>
  <c r="G37" i="37"/>
  <c r="E38" i="37"/>
  <c r="E39" i="37" s="1"/>
  <c r="E40" i="37" s="1"/>
  <c r="L38" i="25"/>
  <c r="L39" i="25" s="1"/>
  <c r="L40" i="25" s="1"/>
  <c r="N37" i="25"/>
  <c r="M38" i="21"/>
  <c r="M39" i="21" s="1"/>
  <c r="M40" i="21" s="1"/>
  <c r="O37" i="21"/>
  <c r="Y37" i="17"/>
  <c r="W38" i="17"/>
  <c r="W39" i="17" s="1"/>
  <c r="W40" i="17" s="1"/>
  <c r="C46" i="23"/>
  <c r="R47" i="23"/>
  <c r="E38" i="1"/>
  <c r="E39" i="1" s="1"/>
  <c r="E40" i="1" s="1"/>
  <c r="G37" i="1"/>
  <c r="C72" i="23"/>
  <c r="R73" i="23"/>
  <c r="EZ4" i="32"/>
  <c r="ER4" i="32"/>
  <c r="EY4" i="32"/>
  <c r="EQ4" i="32"/>
  <c r="EX4" i="32"/>
  <c r="EP4" i="32"/>
  <c r="EJ5" i="32"/>
  <c r="EW4" i="32"/>
  <c r="EO4" i="32"/>
  <c r="EV4" i="32"/>
  <c r="EN4" i="32"/>
  <c r="EU4" i="32"/>
  <c r="EM4" i="32"/>
  <c r="EL4" i="32"/>
  <c r="EK4" i="32"/>
  <c r="ET4" i="32"/>
  <c r="ES4" i="32"/>
  <c r="F6" i="23"/>
  <c r="E6" i="23"/>
  <c r="N6" i="23"/>
  <c r="D6" i="23"/>
  <c r="M6" i="23"/>
  <c r="L6" i="23"/>
  <c r="I6" i="23"/>
  <c r="J6" i="23"/>
  <c r="H6" i="23"/>
  <c r="AJ38" i="28"/>
  <c r="AJ39" i="28" s="1"/>
  <c r="AJ40" i="28" s="1"/>
  <c r="AL37" i="28"/>
  <c r="L41" i="36"/>
  <c r="L42" i="36" s="1"/>
  <c r="L43" i="36" s="1"/>
  <c r="N40" i="36"/>
  <c r="CS4" i="32"/>
  <c r="CK4" i="32"/>
  <c r="CR4" i="32"/>
  <c r="CJ4" i="32"/>
  <c r="CQ4" i="32"/>
  <c r="CI4" i="32"/>
  <c r="CX4" i="32"/>
  <c r="CP4" i="32"/>
  <c r="CW4" i="32"/>
  <c r="CO4" i="32"/>
  <c r="CV4" i="32"/>
  <c r="CN4" i="32"/>
  <c r="CH5" i="32"/>
  <c r="CU4" i="32"/>
  <c r="CT4" i="32"/>
  <c r="CM4" i="32"/>
  <c r="CL4" i="32"/>
  <c r="AK25" i="32"/>
  <c r="B25" i="21"/>
  <c r="N39" i="41"/>
  <c r="N40" i="41" s="1"/>
  <c r="N41" i="41" s="1"/>
  <c r="P38" i="41"/>
  <c r="E38" i="39"/>
  <c r="E39" i="39" s="1"/>
  <c r="E40" i="39" s="1"/>
  <c r="G37" i="39"/>
  <c r="L38" i="37"/>
  <c r="L39" i="37" s="1"/>
  <c r="L40" i="37" s="1"/>
  <c r="N37" i="37"/>
  <c r="M71" i="23"/>
  <c r="H71" i="23"/>
  <c r="F71" i="23"/>
  <c r="D71" i="23"/>
  <c r="N71" i="23"/>
  <c r="L71" i="23"/>
  <c r="I71" i="23"/>
  <c r="E71" i="23"/>
  <c r="J71" i="23"/>
  <c r="T37" i="1"/>
  <c r="R38" i="1"/>
  <c r="R39" i="1" s="1"/>
  <c r="R40" i="1" s="1"/>
  <c r="CA40" i="28"/>
  <c r="BY41" i="28"/>
  <c r="BY42" i="28" s="1"/>
  <c r="BY43" i="28" s="1"/>
  <c r="R38" i="37"/>
  <c r="R39" i="37" s="1"/>
  <c r="R40" i="37" s="1"/>
  <c r="T37" i="37"/>
  <c r="B24" i="39"/>
  <c r="V37" i="21"/>
  <c r="T38" i="21"/>
  <c r="T39" i="21" s="1"/>
  <c r="T40" i="21" s="1"/>
  <c r="BJ38" i="28"/>
  <c r="BJ39" i="28" s="1"/>
  <c r="BJ40" i="28" s="1"/>
  <c r="BL37" i="28"/>
  <c r="C7" i="23"/>
  <c r="B8" i="23"/>
  <c r="E38" i="6"/>
  <c r="E39" i="6" s="1"/>
  <c r="E40" i="6" s="1"/>
  <c r="G37" i="6"/>
  <c r="Y37" i="28"/>
  <c r="W38" i="28"/>
  <c r="W39" i="28" s="1"/>
  <c r="W40" i="28" s="1"/>
  <c r="BQ41" i="17"/>
  <c r="BQ42" i="17" s="1"/>
  <c r="BQ43" i="17" s="1"/>
  <c r="BS40" i="17"/>
  <c r="L37" i="28"/>
  <c r="J38" i="28"/>
  <c r="J39" i="28" s="1"/>
  <c r="J40" i="28" s="1"/>
  <c r="AL37" i="17"/>
  <c r="AJ38" i="17"/>
  <c r="AJ39" i="17" s="1"/>
  <c r="AJ40" i="17" s="1"/>
  <c r="T40" i="36"/>
  <c r="R41" i="36"/>
  <c r="R42" i="36" s="1"/>
  <c r="R43" i="36" s="1"/>
  <c r="BQ38" i="28"/>
  <c r="BQ39" i="28" s="1"/>
  <c r="BQ40" i="28" s="1"/>
  <c r="BS37" i="28"/>
  <c r="E41" i="35"/>
  <c r="E42" i="35" s="1"/>
  <c r="E43" i="35" s="1"/>
  <c r="G40" i="35"/>
  <c r="CH37" i="17"/>
  <c r="CF38" i="17"/>
  <c r="CF39" i="17" s="1"/>
  <c r="CF40" i="17" s="1"/>
  <c r="B24" i="26"/>
  <c r="B24" i="17"/>
  <c r="AC35" i="41"/>
  <c r="AA36" i="41"/>
  <c r="AA37" i="41" s="1"/>
  <c r="AA38" i="41" s="1"/>
  <c r="EA4" i="32"/>
  <c r="DS4" i="32"/>
  <c r="EH4" i="32"/>
  <c r="DZ4" i="32"/>
  <c r="EG4" i="32"/>
  <c r="DY4" i="32"/>
  <c r="EF4" i="32"/>
  <c r="DX4" i="32"/>
  <c r="DR5" i="32"/>
  <c r="EE4" i="32"/>
  <c r="DW4" i="32"/>
  <c r="ED4" i="32"/>
  <c r="DV4" i="32"/>
  <c r="EC4" i="32"/>
  <c r="EB4" i="32"/>
  <c r="DU4" i="32"/>
  <c r="DT4" i="32"/>
  <c r="B24" i="38"/>
  <c r="B24" i="25"/>
  <c r="G37" i="12"/>
  <c r="E38" i="12"/>
  <c r="E39" i="12" s="1"/>
  <c r="E40" i="12" s="1"/>
  <c r="B25" i="27"/>
  <c r="A69" i="10"/>
  <c r="G37" i="21"/>
  <c r="E38" i="21"/>
  <c r="E39" i="21" s="1"/>
  <c r="E40" i="21" s="1"/>
  <c r="U36" i="41"/>
  <c r="U37" i="41" s="1"/>
  <c r="U38" i="41" s="1"/>
  <c r="W35" i="41"/>
  <c r="E38" i="36"/>
  <c r="E39" i="36" s="1"/>
  <c r="E40" i="36" s="1"/>
  <c r="G37" i="36"/>
  <c r="L35" i="38"/>
  <c r="L36" i="38" s="1"/>
  <c r="L37" i="38" s="1"/>
  <c r="N34" i="38"/>
  <c r="CB4" i="32"/>
  <c r="BT4" i="32"/>
  <c r="CA4" i="32"/>
  <c r="BS4" i="32"/>
  <c r="BZ4" i="32"/>
  <c r="BR4" i="32"/>
  <c r="BY4" i="32"/>
  <c r="BQ4" i="32"/>
  <c r="CF4" i="32"/>
  <c r="BX4" i="32"/>
  <c r="CE4" i="32"/>
  <c r="BW4" i="32"/>
  <c r="BV4" i="32"/>
  <c r="BU4" i="32"/>
  <c r="CD4" i="32"/>
  <c r="BP5" i="32"/>
  <c r="CC4" i="32"/>
  <c r="AY64" i="17"/>
  <c r="AW65" i="17"/>
  <c r="AW66" i="17" s="1"/>
  <c r="AW67" i="17" s="1"/>
  <c r="AW38" i="28"/>
  <c r="AW39" i="28" s="1"/>
  <c r="AW40" i="28" s="1"/>
  <c r="AY37" i="28"/>
  <c r="DJ4" i="32"/>
  <c r="DB4" i="32"/>
  <c r="DI4" i="32"/>
  <c r="DA4" i="32"/>
  <c r="DP4" i="32"/>
  <c r="DH4" i="32"/>
  <c r="DO4" i="32"/>
  <c r="DG4" i="32"/>
  <c r="DN4" i="32"/>
  <c r="DF4" i="32"/>
  <c r="CZ5" i="32"/>
  <c r="DM4" i="32"/>
  <c r="DE4" i="32"/>
  <c r="DD4" i="32"/>
  <c r="DC4" i="32"/>
  <c r="DL4" i="32"/>
  <c r="DK4" i="32"/>
  <c r="Q35" i="28"/>
  <c r="Q36" i="28" s="1"/>
  <c r="Q37" i="28" s="1"/>
  <c r="R34" i="28"/>
  <c r="S34" i="28"/>
  <c r="N40" i="35"/>
  <c r="L41" i="35"/>
  <c r="L42" i="35" s="1"/>
  <c r="L43" i="35" s="1"/>
  <c r="G43" i="26"/>
  <c r="E44" i="26"/>
  <c r="E45" i="26" s="1"/>
  <c r="E46" i="26" s="1"/>
  <c r="N37" i="6"/>
  <c r="L38" i="6"/>
  <c r="L39" i="6" s="1"/>
  <c r="L40" i="6" s="1"/>
  <c r="E38" i="2"/>
  <c r="E39" i="2" s="1"/>
  <c r="E40" i="2" s="1"/>
  <c r="G37" i="2"/>
  <c r="R35" i="25"/>
  <c r="R36" i="25" s="1"/>
  <c r="R37" i="25" s="1"/>
  <c r="T34" i="25"/>
  <c r="AD32" i="17"/>
  <c r="AD33" i="17" s="1"/>
  <c r="AD34" i="17" s="1"/>
  <c r="AF31" i="17"/>
  <c r="B26" i="6"/>
  <c r="AQ32" i="17"/>
  <c r="AQ33" i="17" s="1"/>
  <c r="AQ34" i="17" s="1"/>
  <c r="AS31" i="17"/>
  <c r="B23" i="28"/>
  <c r="B25" i="35"/>
  <c r="T37" i="2"/>
  <c r="R38" i="2"/>
  <c r="R39" i="2" s="1"/>
  <c r="R40" i="2" s="1"/>
  <c r="J38" i="17"/>
  <c r="J39" i="17" s="1"/>
  <c r="J40" i="17" s="1"/>
  <c r="L37" i="17"/>
  <c r="T37" i="6"/>
  <c r="R38" i="6"/>
  <c r="R39" i="6" s="1"/>
  <c r="R40" i="6" s="1"/>
  <c r="BL64" i="17"/>
  <c r="BJ65" i="17"/>
  <c r="BJ66" i="17" s="1"/>
  <c r="BJ67" i="17" s="1"/>
  <c r="M45" i="23"/>
  <c r="H45" i="23"/>
  <c r="D45" i="23"/>
  <c r="N45" i="23"/>
  <c r="L45" i="23"/>
  <c r="J45" i="23"/>
  <c r="F45" i="23"/>
  <c r="E45" i="23"/>
  <c r="I45" i="23"/>
  <c r="B24" i="29"/>
  <c r="R46" i="29"/>
  <c r="Q47" i="29"/>
  <c r="Q48" i="29" s="1"/>
  <c r="Q49" i="29" s="1"/>
  <c r="S46" i="29"/>
  <c r="C85" i="23"/>
  <c r="R86" i="23"/>
  <c r="AD32" i="28"/>
  <c r="AD33" i="28" s="1"/>
  <c r="AD34" i="28" s="1"/>
  <c r="AF31" i="28"/>
  <c r="N37" i="1"/>
  <c r="L38" i="1"/>
  <c r="L39" i="1" s="1"/>
  <c r="L40" i="1" s="1"/>
  <c r="W37" i="40"/>
  <c r="U38" i="40"/>
  <c r="U39" i="40" s="1"/>
  <c r="U40" i="40" s="1"/>
  <c r="B26" i="12"/>
  <c r="E42" i="41"/>
  <c r="E43" i="41" s="1"/>
  <c r="E44" i="41" s="1"/>
  <c r="G41" i="41"/>
  <c r="F41" i="41"/>
  <c r="E38" i="40"/>
  <c r="E39" i="40" s="1"/>
  <c r="E40" i="40" s="1"/>
  <c r="G37" i="40"/>
  <c r="BF34" i="28"/>
  <c r="BE34" i="28"/>
  <c r="BD35" i="28"/>
  <c r="BD36" i="28" s="1"/>
  <c r="BD37" i="28" s="1"/>
  <c r="N38" i="40"/>
  <c r="N39" i="40" s="1"/>
  <c r="N40" i="40" s="1"/>
  <c r="P37" i="40"/>
  <c r="Y38" i="1"/>
  <c r="Y39" i="1" s="1"/>
  <c r="Y40" i="1" s="1"/>
  <c r="AA37" i="1"/>
  <c r="R38" i="26"/>
  <c r="R39" i="26" s="1"/>
  <c r="R40" i="26" s="1"/>
  <c r="T37" i="26"/>
  <c r="C59" i="23"/>
  <c r="R60" i="23"/>
  <c r="J47" i="29"/>
  <c r="J48" i="29" s="1"/>
  <c r="J49" i="29" s="1"/>
  <c r="L46" i="29"/>
  <c r="K46" i="29"/>
  <c r="AA292" i="25"/>
  <c r="Z292" i="25"/>
  <c r="Y293" i="25"/>
  <c r="Y294" i="25" s="1"/>
  <c r="Y295" i="25" s="1"/>
  <c r="M84" i="23"/>
  <c r="I84" i="23"/>
  <c r="H84" i="23"/>
  <c r="F84" i="23"/>
  <c r="N84" i="23"/>
  <c r="L84" i="23"/>
  <c r="E84" i="23"/>
  <c r="D84" i="23"/>
  <c r="J84" i="23"/>
  <c r="M40" i="2"/>
  <c r="L41" i="2"/>
  <c r="L42" i="2" s="1"/>
  <c r="L43" i="2" s="1"/>
  <c r="N40" i="2"/>
  <c r="N37" i="26"/>
  <c r="L38" i="26"/>
  <c r="L39" i="26" s="1"/>
  <c r="L40" i="26" s="1"/>
  <c r="T40" i="35"/>
  <c r="R41" i="35"/>
  <c r="R42" i="35" s="1"/>
  <c r="R43" i="35" s="1"/>
  <c r="R38" i="27"/>
  <c r="R39" i="27" s="1"/>
  <c r="R40" i="27" s="1"/>
  <c r="T37" i="27"/>
  <c r="CF38" i="28"/>
  <c r="CF39" i="28" s="1"/>
  <c r="CF40" i="28" s="1"/>
  <c r="CH37" i="28"/>
  <c r="AE38" i="29"/>
  <c r="AE39" i="29" s="1"/>
  <c r="AE40" i="29" s="1"/>
  <c r="AG37" i="29"/>
  <c r="R34" i="17"/>
  <c r="Q35" i="17"/>
  <c r="Q36" i="17" s="1"/>
  <c r="Q37" i="17" s="1"/>
  <c r="S34" i="17"/>
  <c r="L35" i="27"/>
  <c r="L36" i="27" s="1"/>
  <c r="L37" i="27" s="1"/>
  <c r="N34" i="27"/>
  <c r="G37" i="25"/>
  <c r="E38" i="25"/>
  <c r="E39" i="25" s="1"/>
  <c r="E40" i="25" s="1"/>
  <c r="BD35" i="17"/>
  <c r="BD36" i="17" s="1"/>
  <c r="BD37" i="17" s="1"/>
  <c r="BE34" i="17"/>
  <c r="BF34" i="17"/>
  <c r="E41" i="27"/>
  <c r="E42" i="27" s="1"/>
  <c r="E43" i="27" s="1"/>
  <c r="G40" i="27"/>
  <c r="F40" i="27"/>
  <c r="B26" i="2"/>
  <c r="N37" i="12"/>
  <c r="L38" i="12"/>
  <c r="L39" i="12" s="1"/>
  <c r="L40" i="12" s="1"/>
  <c r="L38" i="39"/>
  <c r="L39" i="39" s="1"/>
  <c r="L40" i="39" s="1"/>
  <c r="N37" i="39"/>
  <c r="M58" i="23"/>
  <c r="H58" i="23"/>
  <c r="F58" i="23"/>
  <c r="J58" i="23"/>
  <c r="I58" i="23"/>
  <c r="E58" i="23"/>
  <c r="D58" i="23"/>
  <c r="N58" i="23"/>
  <c r="L58" i="23"/>
  <c r="CA40" i="17"/>
  <c r="BY41" i="17"/>
  <c r="BY42" i="17" s="1"/>
  <c r="BY43" i="17" s="1"/>
  <c r="AU4" i="32"/>
  <c r="AM4" i="32"/>
  <c r="AG5" i="32"/>
  <c r="AT4" i="32"/>
  <c r="AL4" i="32"/>
  <c r="AS4" i="32"/>
  <c r="AK4" i="32"/>
  <c r="AR4" i="32"/>
  <c r="AJ4" i="32"/>
  <c r="AQ4" i="32"/>
  <c r="AI4" i="32"/>
  <c r="AP4" i="32"/>
  <c r="AH4" i="32"/>
  <c r="AO4" i="32"/>
  <c r="AN4" i="32"/>
  <c r="AW4" i="32"/>
  <c r="AV4" i="32"/>
  <c r="AS31" i="28"/>
  <c r="AQ32" i="28"/>
  <c r="AQ33" i="28" s="1"/>
  <c r="AQ34" i="28" s="1"/>
  <c r="B24" i="37"/>
  <c r="B24" i="36"/>
  <c r="AI21" i="32" a="1"/>
  <c r="AK35" i="32"/>
  <c r="AJ26" i="32"/>
  <c r="AJ35" i="32"/>
  <c r="AI21" i="32" l="1"/>
  <c r="AI34" i="32" s="1"/>
  <c r="AI36" i="32" s="1"/>
  <c r="G43" i="27"/>
  <c r="E44" i="27"/>
  <c r="E45" i="27" s="1"/>
  <c r="E46" i="27" s="1"/>
  <c r="AG40" i="29"/>
  <c r="AE41" i="29"/>
  <c r="AE42" i="29" s="1"/>
  <c r="AE43" i="29" s="1"/>
  <c r="N40" i="26"/>
  <c r="M40" i="26"/>
  <c r="L41" i="26"/>
  <c r="L42" i="26" s="1"/>
  <c r="L43" i="26" s="1"/>
  <c r="G40" i="40"/>
  <c r="F40" i="40"/>
  <c r="Q4" i="33" s="1"/>
  <c r="E41" i="40"/>
  <c r="E42" i="40" s="1"/>
  <c r="E43" i="40" s="1"/>
  <c r="E44" i="40" s="1"/>
  <c r="E45" i="40" s="1"/>
  <c r="E46" i="40" s="1"/>
  <c r="S49" i="29"/>
  <c r="Q50" i="29"/>
  <c r="Q51" i="29" s="1"/>
  <c r="Q52" i="29" s="1"/>
  <c r="AR34" i="17"/>
  <c r="AQ35" i="17"/>
  <c r="AQ36" i="17" s="1"/>
  <c r="AQ37" i="17" s="1"/>
  <c r="AS34" i="17"/>
  <c r="T37" i="25"/>
  <c r="R38" i="25"/>
  <c r="R39" i="25" s="1"/>
  <c r="R40" i="25" s="1"/>
  <c r="Q38" i="28"/>
  <c r="Q39" i="28" s="1"/>
  <c r="Q40" i="28" s="1"/>
  <c r="S37" i="28"/>
  <c r="CE5" i="32"/>
  <c r="BW5" i="32"/>
  <c r="CD5" i="32"/>
  <c r="BV5" i="32"/>
  <c r="BP6" i="32"/>
  <c r="CC5" i="32"/>
  <c r="BU5" i="32"/>
  <c r="CB5" i="32"/>
  <c r="BT5" i="32"/>
  <c r="CA5" i="32"/>
  <c r="BS5" i="32"/>
  <c r="BZ5" i="32"/>
  <c r="BR5" i="32"/>
  <c r="CF5" i="32"/>
  <c r="BY5" i="32"/>
  <c r="BQ5" i="32"/>
  <c r="BX5" i="32"/>
  <c r="B26" i="27"/>
  <c r="M7" i="23"/>
  <c r="L7" i="23"/>
  <c r="J7" i="23"/>
  <c r="I7" i="23"/>
  <c r="H7" i="23"/>
  <c r="E7" i="23"/>
  <c r="N7" i="23"/>
  <c r="F7" i="23"/>
  <c r="D7" i="23"/>
  <c r="E41" i="39"/>
  <c r="E42" i="39" s="1"/>
  <c r="E43" i="39" s="1"/>
  <c r="E44" i="39" s="1"/>
  <c r="E45" i="39" s="1"/>
  <c r="E46" i="39" s="1"/>
  <c r="G40" i="39"/>
  <c r="F40" i="39"/>
  <c r="AL25" i="32"/>
  <c r="CA43" i="17"/>
  <c r="BY44" i="17"/>
  <c r="BY45" i="17" s="1"/>
  <c r="BY46" i="17" s="1"/>
  <c r="BD38" i="17"/>
  <c r="BD39" i="17" s="1"/>
  <c r="BD40" i="17" s="1"/>
  <c r="BF37" i="17"/>
  <c r="J50" i="29"/>
  <c r="J51" i="29" s="1"/>
  <c r="J52" i="29" s="1"/>
  <c r="L49" i="29"/>
  <c r="N41" i="40"/>
  <c r="P40" i="40"/>
  <c r="G44" i="41"/>
  <c r="E45" i="41"/>
  <c r="E46" i="41" s="1"/>
  <c r="E47" i="41" s="1"/>
  <c r="W40" i="40"/>
  <c r="V40" i="40"/>
  <c r="U41" i="40"/>
  <c r="U42" i="40" s="1"/>
  <c r="U43" i="40" s="1"/>
  <c r="U44" i="40" s="1"/>
  <c r="U45" i="40" s="1"/>
  <c r="U46" i="40" s="1"/>
  <c r="U47" i="40" s="1"/>
  <c r="U48" i="40" s="1"/>
  <c r="U49" i="40" s="1"/>
  <c r="U50" i="40" s="1"/>
  <c r="U51" i="40" s="1"/>
  <c r="U52" i="40" s="1"/>
  <c r="U53" i="40" s="1"/>
  <c r="U54" i="40" s="1"/>
  <c r="U55" i="40" s="1"/>
  <c r="U56" i="40" s="1"/>
  <c r="U57" i="40" s="1"/>
  <c r="U58" i="40" s="1"/>
  <c r="U59" i="40" s="1"/>
  <c r="U60" i="40" s="1"/>
  <c r="U61" i="40" s="1"/>
  <c r="J41" i="17"/>
  <c r="J42" i="17" s="1"/>
  <c r="J43" i="17" s="1"/>
  <c r="L40" i="17"/>
  <c r="B27" i="6"/>
  <c r="M40" i="6"/>
  <c r="L41" i="6"/>
  <c r="L42" i="6" s="1"/>
  <c r="L43" i="6" s="1"/>
  <c r="N40" i="6"/>
  <c r="E41" i="36"/>
  <c r="E42" i="36" s="1"/>
  <c r="E43" i="36" s="1"/>
  <c r="G40" i="36"/>
  <c r="B25" i="38"/>
  <c r="BQ44" i="17"/>
  <c r="BQ45" i="17" s="1"/>
  <c r="BQ46" i="17" s="1"/>
  <c r="BS43" i="17"/>
  <c r="B25" i="39"/>
  <c r="R41" i="1"/>
  <c r="R42" i="1" s="1"/>
  <c r="R43" i="1" s="1"/>
  <c r="T40" i="1"/>
  <c r="S40" i="1"/>
  <c r="C47" i="23"/>
  <c r="R48" i="23"/>
  <c r="L41" i="25"/>
  <c r="L42" i="25" s="1"/>
  <c r="L43" i="25" s="1"/>
  <c r="N40" i="25"/>
  <c r="M40" i="25"/>
  <c r="R41" i="27"/>
  <c r="R42" i="27" s="1"/>
  <c r="R43" i="27" s="1"/>
  <c r="T40" i="27"/>
  <c r="S40" i="27"/>
  <c r="C60" i="23"/>
  <c r="R61" i="23"/>
  <c r="BF37" i="28"/>
  <c r="BD38" i="28"/>
  <c r="BD39" i="28" s="1"/>
  <c r="BD40" i="28" s="1"/>
  <c r="BJ68" i="17"/>
  <c r="BJ69" i="17" s="1"/>
  <c r="BJ70" i="17" s="1"/>
  <c r="BL67" i="17"/>
  <c r="T40" i="2"/>
  <c r="S40" i="2"/>
  <c r="R41" i="2"/>
  <c r="R42" i="2" s="1"/>
  <c r="R43" i="2" s="1"/>
  <c r="G40" i="2"/>
  <c r="F40" i="2"/>
  <c r="E41" i="2"/>
  <c r="E42" i="2" s="1"/>
  <c r="E43" i="2" s="1"/>
  <c r="M43" i="35"/>
  <c r="L44" i="35"/>
  <c r="L45" i="35" s="1"/>
  <c r="L46" i="35" s="1"/>
  <c r="N43" i="35"/>
  <c r="ED5" i="32"/>
  <c r="DV5" i="32"/>
  <c r="EC5" i="32"/>
  <c r="DU5" i="32"/>
  <c r="EB5" i="32"/>
  <c r="DT5" i="32"/>
  <c r="EA5" i="32"/>
  <c r="DS5" i="32"/>
  <c r="EH5" i="32"/>
  <c r="DZ5" i="32"/>
  <c r="EG5" i="32"/>
  <c r="DY5" i="32"/>
  <c r="DX5" i="32"/>
  <c r="DW5" i="32"/>
  <c r="DR6" i="32"/>
  <c r="EF5" i="32"/>
  <c r="EE5" i="32"/>
  <c r="E44" i="35"/>
  <c r="E45" i="35" s="1"/>
  <c r="E46" i="35" s="1"/>
  <c r="G43" i="35"/>
  <c r="F43" i="35"/>
  <c r="W41" i="28"/>
  <c r="W42" i="28" s="1"/>
  <c r="W43" i="28" s="1"/>
  <c r="Y40" i="28"/>
  <c r="BJ41" i="28"/>
  <c r="BJ42" i="28" s="1"/>
  <c r="BJ43" i="28" s="1"/>
  <c r="BL40" i="28"/>
  <c r="P41" i="41"/>
  <c r="N42" i="41"/>
  <c r="N43" i="41" s="1"/>
  <c r="N44" i="41" s="1"/>
  <c r="O41" i="41"/>
  <c r="F40" i="1"/>
  <c r="E41" i="1"/>
  <c r="E42" i="1" s="1"/>
  <c r="E43" i="1" s="1"/>
  <c r="G40" i="1"/>
  <c r="H46" i="23"/>
  <c r="M46" i="23"/>
  <c r="N46" i="23"/>
  <c r="L46" i="23"/>
  <c r="J46" i="23"/>
  <c r="I46" i="23"/>
  <c r="E46" i="23"/>
  <c r="D46" i="23"/>
  <c r="F46" i="23"/>
  <c r="G40" i="37"/>
  <c r="F40" i="37"/>
  <c r="E41" i="37"/>
  <c r="E42" i="37" s="1"/>
  <c r="E43" i="37" s="1"/>
  <c r="G40" i="25"/>
  <c r="E41" i="25"/>
  <c r="E42" i="25" s="1"/>
  <c r="E43" i="25" s="1"/>
  <c r="F40" i="25"/>
  <c r="L38" i="27"/>
  <c r="L39" i="27" s="1"/>
  <c r="L40" i="27" s="1"/>
  <c r="N37" i="27"/>
  <c r="CH40" i="28"/>
  <c r="CF41" i="28"/>
  <c r="CF42" i="28" s="1"/>
  <c r="CF43" i="28" s="1"/>
  <c r="L44" i="2"/>
  <c r="L45" i="2" s="1"/>
  <c r="L46" i="2" s="1"/>
  <c r="N43" i="2"/>
  <c r="H59" i="23"/>
  <c r="M59" i="23"/>
  <c r="L59" i="23"/>
  <c r="J59" i="23"/>
  <c r="I59" i="23"/>
  <c r="F59" i="23"/>
  <c r="E59" i="23"/>
  <c r="D59" i="23"/>
  <c r="N59" i="23"/>
  <c r="L41" i="1"/>
  <c r="L42" i="1" s="1"/>
  <c r="L43" i="1" s="1"/>
  <c r="N40" i="1"/>
  <c r="M40" i="1"/>
  <c r="AD35" i="17"/>
  <c r="AD36" i="17" s="1"/>
  <c r="AD37" i="17" s="1"/>
  <c r="AF34" i="17"/>
  <c r="AE34" i="17"/>
  <c r="AW41" i="28"/>
  <c r="AW42" i="28" s="1"/>
  <c r="AW43" i="28" s="1"/>
  <c r="AY40" i="28"/>
  <c r="W38" i="41"/>
  <c r="U39" i="41"/>
  <c r="U40" i="41" s="1"/>
  <c r="U41" i="41" s="1"/>
  <c r="F40" i="12"/>
  <c r="E41" i="12"/>
  <c r="E42" i="12" s="1"/>
  <c r="E43" i="12" s="1"/>
  <c r="G40" i="12"/>
  <c r="B25" i="26"/>
  <c r="AL40" i="17"/>
  <c r="AJ41" i="17"/>
  <c r="AJ42" i="17" s="1"/>
  <c r="AJ43" i="17" s="1"/>
  <c r="M43" i="36"/>
  <c r="L44" i="36"/>
  <c r="L45" i="36" s="1"/>
  <c r="L46" i="36" s="1"/>
  <c r="N43" i="36"/>
  <c r="AP5" i="32"/>
  <c r="AW5" i="32"/>
  <c r="AO5" i="32"/>
  <c r="AV5" i="32"/>
  <c r="AN5" i="32"/>
  <c r="AU5" i="32"/>
  <c r="AM5" i="32"/>
  <c r="AT5" i="32"/>
  <c r="AL5" i="32"/>
  <c r="AS5" i="32"/>
  <c r="AK5" i="32"/>
  <c r="AR5" i="32"/>
  <c r="AJ5" i="32"/>
  <c r="AQ5" i="32"/>
  <c r="AI5" i="32"/>
  <c r="AH5" i="32"/>
  <c r="AX4" i="32"/>
  <c r="L41" i="39"/>
  <c r="L42" i="39" s="1"/>
  <c r="L43" i="39" s="1"/>
  <c r="L44" i="39" s="1"/>
  <c r="L45" i="39" s="1"/>
  <c r="L46" i="39" s="1"/>
  <c r="L47" i="39" s="1"/>
  <c r="L48" i="39" s="1"/>
  <c r="L49" i="39" s="1"/>
  <c r="L50" i="39" s="1"/>
  <c r="L51" i="39" s="1"/>
  <c r="L52" i="39" s="1"/>
  <c r="L53" i="39" s="1"/>
  <c r="L54" i="39" s="1"/>
  <c r="L55" i="39" s="1"/>
  <c r="L56" i="39" s="1"/>
  <c r="L57" i="39" s="1"/>
  <c r="L58" i="39" s="1"/>
  <c r="L59" i="39" s="1"/>
  <c r="L60" i="39" s="1"/>
  <c r="L61" i="39" s="1"/>
  <c r="L62" i="39" s="1"/>
  <c r="L63" i="39" s="1"/>
  <c r="L64" i="39" s="1"/>
  <c r="N40" i="39"/>
  <c r="M40" i="39"/>
  <c r="T43" i="35"/>
  <c r="S43" i="35"/>
  <c r="R44" i="35"/>
  <c r="R45" i="35" s="1"/>
  <c r="R46" i="35" s="1"/>
  <c r="AA295" i="25"/>
  <c r="Y296" i="25"/>
  <c r="Y297" i="25" s="1"/>
  <c r="Y298" i="25" s="1"/>
  <c r="AW68" i="17"/>
  <c r="AW69" i="17" s="1"/>
  <c r="AW70" i="17" s="1"/>
  <c r="AY67" i="17"/>
  <c r="AA39" i="41"/>
  <c r="AA40" i="41" s="1"/>
  <c r="AA41" i="41" s="1"/>
  <c r="AC38" i="41"/>
  <c r="CH40" i="17"/>
  <c r="CF41" i="17"/>
  <c r="CF42" i="17" s="1"/>
  <c r="CF43" i="17" s="1"/>
  <c r="BQ41" i="28"/>
  <c r="BQ42" i="28" s="1"/>
  <c r="BQ43" i="28" s="1"/>
  <c r="BS40" i="28"/>
  <c r="T41" i="21"/>
  <c r="T42" i="21" s="1"/>
  <c r="T43" i="21" s="1"/>
  <c r="U40" i="21"/>
  <c r="V40" i="21"/>
  <c r="Y40" i="17"/>
  <c r="W41" i="17"/>
  <c r="W42" i="17" s="1"/>
  <c r="W43" i="17" s="1"/>
  <c r="E41" i="38"/>
  <c r="E42" i="38" s="1"/>
  <c r="E43" i="38" s="1"/>
  <c r="F40" i="38"/>
  <c r="G40" i="38"/>
  <c r="AS34" i="28"/>
  <c r="AR34" i="28"/>
  <c r="AQ35" i="28"/>
  <c r="AQ36" i="28" s="1"/>
  <c r="AQ37" i="28" s="1"/>
  <c r="B25" i="37"/>
  <c r="B25" i="36"/>
  <c r="L41" i="12"/>
  <c r="L42" i="12" s="1"/>
  <c r="L43" i="12" s="1"/>
  <c r="N40" i="12"/>
  <c r="M40" i="12"/>
  <c r="B27" i="2"/>
  <c r="S37" i="17"/>
  <c r="Q38" i="17"/>
  <c r="Q39" i="17" s="1"/>
  <c r="Q40" i="17" s="1"/>
  <c r="T40" i="26"/>
  <c r="S40" i="26"/>
  <c r="R41" i="26"/>
  <c r="R42" i="26" s="1"/>
  <c r="R43" i="26" s="1"/>
  <c r="C86" i="23"/>
  <c r="R87" i="23"/>
  <c r="B26" i="35"/>
  <c r="T43" i="36"/>
  <c r="R44" i="36"/>
  <c r="R45" i="36" s="1"/>
  <c r="R46" i="36" s="1"/>
  <c r="S43" i="36"/>
  <c r="L41" i="37"/>
  <c r="L42" i="37" s="1"/>
  <c r="L43" i="37" s="1"/>
  <c r="N40" i="37"/>
  <c r="M40" i="37"/>
  <c r="CV5" i="32"/>
  <c r="CN5" i="32"/>
  <c r="CH6" i="32"/>
  <c r="CU5" i="32"/>
  <c r="CM5" i="32"/>
  <c r="CT5" i="32"/>
  <c r="CL5" i="32"/>
  <c r="CS5" i="32"/>
  <c r="CK5" i="32"/>
  <c r="CR5" i="32"/>
  <c r="CJ5" i="32"/>
  <c r="CQ5" i="32"/>
  <c r="CI5" i="32"/>
  <c r="CP5" i="32"/>
  <c r="CO5" i="32"/>
  <c r="CX5" i="32"/>
  <c r="CW5" i="32"/>
  <c r="AJ41" i="28"/>
  <c r="AJ42" i="28" s="1"/>
  <c r="AJ43" i="28" s="1"/>
  <c r="AL40" i="28"/>
  <c r="EU5" i="32"/>
  <c r="EM5" i="32"/>
  <c r="ET5" i="32"/>
  <c r="EL5" i="32"/>
  <c r="ES5" i="32"/>
  <c r="EK5" i="32"/>
  <c r="EZ5" i="32"/>
  <c r="ER5" i="32"/>
  <c r="EY5" i="32"/>
  <c r="EQ5" i="32"/>
  <c r="EX5" i="32"/>
  <c r="EP5" i="32"/>
  <c r="EW5" i="32"/>
  <c r="EV5" i="32"/>
  <c r="EO5" i="32"/>
  <c r="EJ6" i="32"/>
  <c r="EN5" i="32"/>
  <c r="C73" i="23"/>
  <c r="R74" i="23"/>
  <c r="B27" i="12"/>
  <c r="AD35" i="28"/>
  <c r="AD36" i="28" s="1"/>
  <c r="AD37" i="28" s="1"/>
  <c r="AF34" i="28"/>
  <c r="AE34" i="28"/>
  <c r="H85" i="23"/>
  <c r="N85" i="23"/>
  <c r="D85" i="23"/>
  <c r="M85" i="23"/>
  <c r="L85" i="23"/>
  <c r="F85" i="23"/>
  <c r="E85" i="23"/>
  <c r="J85" i="23"/>
  <c r="I85" i="23"/>
  <c r="B25" i="29"/>
  <c r="T40" i="6"/>
  <c r="S40" i="6"/>
  <c r="R41" i="6"/>
  <c r="R42" i="6" s="1"/>
  <c r="R43" i="6" s="1"/>
  <c r="B24" i="28"/>
  <c r="A68" i="10"/>
  <c r="B25" i="17"/>
  <c r="G40" i="6"/>
  <c r="F40" i="6"/>
  <c r="E41" i="6"/>
  <c r="E42" i="6" s="1"/>
  <c r="E43" i="6" s="1"/>
  <c r="R41" i="37"/>
  <c r="R42" i="37" s="1"/>
  <c r="R43" i="37" s="1"/>
  <c r="T40" i="37"/>
  <c r="S40" i="37"/>
  <c r="H72" i="23"/>
  <c r="M72" i="23"/>
  <c r="L72" i="23"/>
  <c r="E72" i="23"/>
  <c r="D72" i="23"/>
  <c r="N72" i="23"/>
  <c r="I72" i="23"/>
  <c r="F72" i="23"/>
  <c r="J72" i="23"/>
  <c r="R41" i="39"/>
  <c r="R42" i="39" s="1"/>
  <c r="R43" i="39" s="1"/>
  <c r="R44" i="39" s="1"/>
  <c r="R45" i="39" s="1"/>
  <c r="R46" i="39" s="1"/>
  <c r="R47" i="39" s="1"/>
  <c r="R48" i="39" s="1"/>
  <c r="R49" i="39" s="1"/>
  <c r="R50" i="39" s="1"/>
  <c r="R51" i="39" s="1"/>
  <c r="R52" i="39" s="1"/>
  <c r="R53" i="39" s="1"/>
  <c r="R54" i="39" s="1"/>
  <c r="R55" i="39" s="1"/>
  <c r="R56" i="39" s="1"/>
  <c r="R57" i="39" s="1"/>
  <c r="R58" i="39" s="1"/>
  <c r="R59" i="39" s="1"/>
  <c r="R60" i="39" s="1"/>
  <c r="R61" i="39" s="1"/>
  <c r="R62" i="39" s="1"/>
  <c r="R63" i="39" s="1"/>
  <c r="R64" i="39" s="1"/>
  <c r="S40" i="39"/>
  <c r="T40" i="39"/>
  <c r="Y41" i="1"/>
  <c r="Y42" i="1" s="1"/>
  <c r="Y43" i="1" s="1"/>
  <c r="AA40" i="1"/>
  <c r="G46" i="26"/>
  <c r="E47" i="26"/>
  <c r="E48" i="26" s="1"/>
  <c r="E49" i="26" s="1"/>
  <c r="CZ6" i="32"/>
  <c r="DM5" i="32"/>
  <c r="DE5" i="32"/>
  <c r="DL5" i="32"/>
  <c r="DD5" i="32"/>
  <c r="DK5" i="32"/>
  <c r="DC5" i="32"/>
  <c r="DJ5" i="32"/>
  <c r="DB5" i="32"/>
  <c r="DI5" i="32"/>
  <c r="DA5" i="32"/>
  <c r="DP5" i="32"/>
  <c r="DH5" i="32"/>
  <c r="DO5" i="32"/>
  <c r="DN5" i="32"/>
  <c r="DG5" i="32"/>
  <c r="DF5" i="32"/>
  <c r="L38" i="38"/>
  <c r="L39" i="38" s="1"/>
  <c r="L40" i="38" s="1"/>
  <c r="N37" i="38"/>
  <c r="E41" i="21"/>
  <c r="E42" i="21" s="1"/>
  <c r="E43" i="21" s="1"/>
  <c r="F40" i="21"/>
  <c r="G40" i="21"/>
  <c r="B25" i="25"/>
  <c r="L40" i="28"/>
  <c r="J41" i="28"/>
  <c r="J42" i="28" s="1"/>
  <c r="J43" i="28" s="1"/>
  <c r="B9" i="23"/>
  <c r="C8" i="23"/>
  <c r="BY44" i="28"/>
  <c r="BY45" i="28" s="1"/>
  <c r="BY46" i="28" s="1"/>
  <c r="CA43" i="28"/>
  <c r="B26" i="21"/>
  <c r="M41" i="21"/>
  <c r="M42" i="21" s="1"/>
  <c r="M43" i="21" s="1"/>
  <c r="O40" i="21"/>
  <c r="N40" i="21"/>
  <c r="AK37" i="32"/>
  <c r="AK26" i="32"/>
  <c r="AJ21" i="32" a="1"/>
  <c r="AL35" i="32"/>
  <c r="AJ21" i="32" l="1"/>
  <c r="AJ34" i="32" s="1"/>
  <c r="AJ36" i="32" s="1"/>
  <c r="T64" i="39"/>
  <c r="S64" i="39"/>
  <c r="M64" i="39"/>
  <c r="N64" i="39"/>
  <c r="W61" i="40"/>
  <c r="V61" i="40"/>
  <c r="S61" i="39"/>
  <c r="T61" i="39"/>
  <c r="N61" i="39"/>
  <c r="M61" i="39"/>
  <c r="G46" i="39"/>
  <c r="E47" i="39"/>
  <c r="E48" i="39" s="1"/>
  <c r="E49" i="39" s="1"/>
  <c r="W58" i="40"/>
  <c r="V58" i="40"/>
  <c r="T58" i="39"/>
  <c r="S58" i="39"/>
  <c r="M58" i="39"/>
  <c r="N58" i="39"/>
  <c r="W55" i="40"/>
  <c r="T55" i="39"/>
  <c r="S55" i="39"/>
  <c r="N55" i="39"/>
  <c r="M55" i="39"/>
  <c r="W52" i="40"/>
  <c r="V52" i="40"/>
  <c r="E47" i="40"/>
  <c r="E48" i="40" s="1"/>
  <c r="E49" i="40" s="1"/>
  <c r="G46" i="40"/>
  <c r="S52" i="39"/>
  <c r="T52" i="39"/>
  <c r="N52" i="39"/>
  <c r="M52" i="39"/>
  <c r="W49" i="40"/>
  <c r="T49" i="39"/>
  <c r="N49" i="39"/>
  <c r="N46" i="39"/>
  <c r="W46" i="40"/>
  <c r="T46" i="39"/>
  <c r="V8" i="21"/>
  <c r="DP6" i="32"/>
  <c r="DH6" i="32"/>
  <c r="DO6" i="32"/>
  <c r="DG6" i="32"/>
  <c r="DN6" i="32"/>
  <c r="DF6" i="32"/>
  <c r="CZ7" i="32"/>
  <c r="DM6" i="32"/>
  <c r="DE6" i="32"/>
  <c r="DL6" i="32"/>
  <c r="DD6" i="32"/>
  <c r="DK6" i="32"/>
  <c r="DC6" i="32"/>
  <c r="DJ6" i="32"/>
  <c r="DI6" i="32"/>
  <c r="DA6" i="32"/>
  <c r="DB6" i="32"/>
  <c r="A67" i="10"/>
  <c r="AD38" i="28"/>
  <c r="AD39" i="28" s="1"/>
  <c r="AD40" i="28" s="1"/>
  <c r="AF37" i="28"/>
  <c r="B28" i="12"/>
  <c r="CQ6" i="32"/>
  <c r="CI6" i="32"/>
  <c r="CX6" i="32"/>
  <c r="CP6" i="32"/>
  <c r="CW6" i="32"/>
  <c r="CO6" i="32"/>
  <c r="CV6" i="32"/>
  <c r="CN6" i="32"/>
  <c r="CH7" i="32"/>
  <c r="CU6" i="32"/>
  <c r="CM6" i="32"/>
  <c r="CT6" i="32"/>
  <c r="CL6" i="32"/>
  <c r="CR6" i="32"/>
  <c r="CK6" i="32"/>
  <c r="CJ6" i="32"/>
  <c r="CS6" i="32"/>
  <c r="L44" i="12"/>
  <c r="L45" i="12" s="1"/>
  <c r="L46" i="12" s="1"/>
  <c r="N43" i="12"/>
  <c r="B26" i="36"/>
  <c r="T44" i="21"/>
  <c r="T45" i="21" s="1"/>
  <c r="T46" i="21" s="1"/>
  <c r="V43" i="21"/>
  <c r="AA42" i="41"/>
  <c r="AA43" i="41" s="1"/>
  <c r="AA44" i="41" s="1"/>
  <c r="AC41" i="41"/>
  <c r="AB41" i="41"/>
  <c r="R47" i="35"/>
  <c r="R48" i="35" s="1"/>
  <c r="R49" i="35" s="1"/>
  <c r="T46" i="35"/>
  <c r="B26" i="26"/>
  <c r="AD38" i="17"/>
  <c r="AD39" i="17" s="1"/>
  <c r="AD40" i="17" s="1"/>
  <c r="AF37" i="17"/>
  <c r="N46" i="2"/>
  <c r="L47" i="2"/>
  <c r="L48" i="2" s="1"/>
  <c r="L49" i="2" s="1"/>
  <c r="F43" i="37"/>
  <c r="G43" i="37"/>
  <c r="BF40" i="28"/>
  <c r="BD41" i="28"/>
  <c r="BD42" i="28" s="1"/>
  <c r="BD43" i="28" s="1"/>
  <c r="G43" i="39"/>
  <c r="BZ6" i="32"/>
  <c r="BR6" i="32"/>
  <c r="BY6" i="32"/>
  <c r="BQ6" i="32"/>
  <c r="CF6" i="32"/>
  <c r="BX6" i="32"/>
  <c r="CE6" i="32"/>
  <c r="BW6" i="32"/>
  <c r="CD6" i="32"/>
  <c r="BV6" i="32"/>
  <c r="BP7" i="32"/>
  <c r="CC6" i="32"/>
  <c r="BU6" i="32"/>
  <c r="CB6" i="32"/>
  <c r="CA6" i="32"/>
  <c r="BS6" i="32"/>
  <c r="BT6" i="32"/>
  <c r="E50" i="26"/>
  <c r="E51" i="26" s="1"/>
  <c r="E52" i="26" s="1"/>
  <c r="G49" i="26"/>
  <c r="B10" i="23"/>
  <c r="C9" i="23"/>
  <c r="Z6" i="25"/>
  <c r="L43" i="28"/>
  <c r="J44" i="28"/>
  <c r="J45" i="28" s="1"/>
  <c r="J46" i="28" s="1"/>
  <c r="AJ44" i="28"/>
  <c r="AJ45" i="28" s="1"/>
  <c r="AJ46" i="28" s="1"/>
  <c r="AL43" i="28"/>
  <c r="Q41" i="17"/>
  <c r="Q42" i="17" s="1"/>
  <c r="Q43" i="17" s="1"/>
  <c r="S40" i="17"/>
  <c r="G43" i="38"/>
  <c r="F43" i="38"/>
  <c r="W41" i="41"/>
  <c r="V41" i="41"/>
  <c r="U42" i="41"/>
  <c r="U43" i="41" s="1"/>
  <c r="U44" i="41" s="1"/>
  <c r="CH43" i="28"/>
  <c r="CF44" i="28"/>
  <c r="CF45" i="28" s="1"/>
  <c r="CF46" i="28" s="1"/>
  <c r="N45" i="41"/>
  <c r="N46" i="41" s="1"/>
  <c r="N47" i="41" s="1"/>
  <c r="P44" i="41"/>
  <c r="N43" i="25"/>
  <c r="L44" i="25"/>
  <c r="L45" i="25" s="1"/>
  <c r="L46" i="25" s="1"/>
  <c r="BF40" i="17"/>
  <c r="BD41" i="17"/>
  <c r="BD42" i="17" s="1"/>
  <c r="BD43" i="17" s="1"/>
  <c r="N43" i="26"/>
  <c r="L44" i="26"/>
  <c r="L45" i="26" s="1"/>
  <c r="L46" i="26" s="1"/>
  <c r="Y44" i="1"/>
  <c r="Y45" i="1" s="1"/>
  <c r="Y46" i="1" s="1"/>
  <c r="AA43" i="1"/>
  <c r="E47" i="35"/>
  <c r="E48" i="35" s="1"/>
  <c r="E49" i="35" s="1"/>
  <c r="G46" i="35"/>
  <c r="B28" i="6"/>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B57" i="6" s="1"/>
  <c r="B58" i="6" s="1"/>
  <c r="B59" i="6" s="1"/>
  <c r="B60" i="6" s="1"/>
  <c r="B61" i="6" s="1"/>
  <c r="B62" i="6" s="1"/>
  <c r="B63" i="6" s="1"/>
  <c r="B64" i="6" s="1"/>
  <c r="B65" i="6" s="1"/>
  <c r="B66" i="6" s="1"/>
  <c r="B67" i="6" s="1"/>
  <c r="B68" i="6" s="1"/>
  <c r="B69" i="6" s="1"/>
  <c r="B70" i="6" s="1"/>
  <c r="B71" i="6" s="1"/>
  <c r="B72" i="6" s="1"/>
  <c r="B73" i="6" s="1"/>
  <c r="B74" i="6" s="1"/>
  <c r="B75" i="6" s="1"/>
  <c r="B76" i="6" s="1"/>
  <c r="B77" i="6" s="1"/>
  <c r="B78" i="6" s="1"/>
  <c r="B79" i="6" s="1"/>
  <c r="B80" i="6" s="1"/>
  <c r="B81" i="6" s="1"/>
  <c r="B82" i="6" s="1"/>
  <c r="B83" i="6" s="1"/>
  <c r="B84" i="6" s="1"/>
  <c r="B85" i="6" s="1"/>
  <c r="B86" i="6" s="1"/>
  <c r="B87" i="6" s="1"/>
  <c r="B88" i="6" s="1"/>
  <c r="B89" i="6" s="1"/>
  <c r="B90" i="6" s="1"/>
  <c r="B91" i="6" s="1"/>
  <c r="B92" i="6" s="1"/>
  <c r="B93" i="6" s="1"/>
  <c r="B94" i="6" s="1"/>
  <c r="B95" i="6" s="1"/>
  <c r="B96" i="6" s="1"/>
  <c r="B97" i="6" s="1"/>
  <c r="B98" i="6" s="1"/>
  <c r="B99" i="6" s="1"/>
  <c r="B100" i="6" s="1"/>
  <c r="B101" i="6" s="1"/>
  <c r="B102" i="6" s="1"/>
  <c r="B103" i="6" s="1"/>
  <c r="B104" i="6" s="1"/>
  <c r="B105" i="6" s="1"/>
  <c r="B106" i="6" s="1"/>
  <c r="B107" i="6" s="1"/>
  <c r="B108" i="6" s="1"/>
  <c r="B109" i="6" s="1"/>
  <c r="B110" i="6" s="1"/>
  <c r="B111" i="6" s="1"/>
  <c r="B112" i="6" s="1"/>
  <c r="B113" i="6" s="1"/>
  <c r="B114" i="6" s="1"/>
  <c r="B115" i="6" s="1"/>
  <c r="B116" i="6" s="1"/>
  <c r="B117" i="6" s="1"/>
  <c r="B118" i="6" s="1"/>
  <c r="B119" i="6" s="1"/>
  <c r="B120" i="6" s="1"/>
  <c r="B121" i="6" s="1"/>
  <c r="B122" i="6" s="1"/>
  <c r="B123" i="6" s="1"/>
  <c r="B124" i="6" s="1"/>
  <c r="B125" i="6" s="1"/>
  <c r="B126" i="6" s="1"/>
  <c r="B127" i="6" s="1"/>
  <c r="B128" i="6" s="1"/>
  <c r="B129" i="6" s="1"/>
  <c r="B130" i="6" s="1"/>
  <c r="B131" i="6" s="1"/>
  <c r="B132" i="6" s="1"/>
  <c r="B133" i="6" s="1"/>
  <c r="B134" i="6" s="1"/>
  <c r="B135" i="6" s="1"/>
  <c r="B136" i="6" s="1"/>
  <c r="B137" i="6" s="1"/>
  <c r="B138" i="6" s="1"/>
  <c r="B139" i="6" s="1"/>
  <c r="B140" i="6" s="1"/>
  <c r="B141" i="6" s="1"/>
  <c r="B142" i="6" s="1"/>
  <c r="B143" i="6" s="1"/>
  <c r="B144" i="6" s="1"/>
  <c r="B145" i="6" s="1"/>
  <c r="B146" i="6" s="1"/>
  <c r="B147" i="6" s="1"/>
  <c r="B148" i="6" s="1"/>
  <c r="B149" i="6" s="1"/>
  <c r="B150" i="6" s="1"/>
  <c r="B151" i="6" s="1"/>
  <c r="B152" i="6" s="1"/>
  <c r="B153" i="6" s="1"/>
  <c r="B154" i="6" s="1"/>
  <c r="B155" i="6" s="1"/>
  <c r="B156" i="6" s="1"/>
  <c r="B157" i="6" s="1"/>
  <c r="B158" i="6" s="1"/>
  <c r="B159" i="6" s="1"/>
  <c r="B160" i="6" s="1"/>
  <c r="B161" i="6" s="1"/>
  <c r="B162" i="6" s="1"/>
  <c r="B163" i="6" s="1"/>
  <c r="B164" i="6" s="1"/>
  <c r="B165" i="6" s="1"/>
  <c r="B166" i="6" s="1"/>
  <c r="B167" i="6" s="1"/>
  <c r="B168" i="6" s="1"/>
  <c r="B169" i="6" s="1"/>
  <c r="B170" i="6" s="1"/>
  <c r="B171" i="6" s="1"/>
  <c r="B172" i="6" s="1"/>
  <c r="B173" i="6" s="1"/>
  <c r="B174" i="6" s="1"/>
  <c r="B175" i="6" s="1"/>
  <c r="B176" i="6" s="1"/>
  <c r="B177" i="6" s="1"/>
  <c r="B178" i="6" s="1"/>
  <c r="B179" i="6" s="1"/>
  <c r="B180" i="6" s="1"/>
  <c r="B181" i="6" s="1"/>
  <c r="B182" i="6" s="1"/>
  <c r="B183" i="6" s="1"/>
  <c r="B184" i="6" s="1"/>
  <c r="B185" i="6" s="1"/>
  <c r="B186" i="6" s="1"/>
  <c r="B187" i="6" s="1"/>
  <c r="B188" i="6" s="1"/>
  <c r="B189" i="6" s="1"/>
  <c r="B190" i="6" s="1"/>
  <c r="B191" i="6" s="1"/>
  <c r="B192" i="6" s="1"/>
  <c r="B193" i="6" s="1"/>
  <c r="B194" i="6" s="1"/>
  <c r="B195" i="6" s="1"/>
  <c r="B196" i="6" s="1"/>
  <c r="B197" i="6" s="1"/>
  <c r="B198" i="6" s="1"/>
  <c r="B199" i="6" s="1"/>
  <c r="B200" i="6" s="1"/>
  <c r="B201" i="6" s="1"/>
  <c r="B202" i="6" s="1"/>
  <c r="B203" i="6" s="1"/>
  <c r="B204" i="6" s="1"/>
  <c r="B205" i="6" s="1"/>
  <c r="B206" i="6" s="1"/>
  <c r="B207" i="6" s="1"/>
  <c r="B208" i="6" s="1"/>
  <c r="B209" i="6" s="1"/>
  <c r="B210" i="6" s="1"/>
  <c r="B211" i="6" s="1"/>
  <c r="B212" i="6" s="1"/>
  <c r="B213" i="6" s="1"/>
  <c r="B214" i="6" s="1"/>
  <c r="B215" i="6" s="1"/>
  <c r="B216" i="6" s="1"/>
  <c r="B217" i="6" s="1"/>
  <c r="B218" i="6" s="1"/>
  <c r="B219" i="6" s="1"/>
  <c r="B220" i="6" s="1"/>
  <c r="B221" i="6" s="1"/>
  <c r="B222" i="6" s="1"/>
  <c r="B223" i="6" s="1"/>
  <c r="B224" i="6" s="1"/>
  <c r="B225" i="6" s="1"/>
  <c r="B226" i="6" s="1"/>
  <c r="B227" i="6" s="1"/>
  <c r="B228" i="6" s="1"/>
  <c r="B229" i="6" s="1"/>
  <c r="B230" i="6" s="1"/>
  <c r="B231" i="6" s="1"/>
  <c r="B232" i="6" s="1"/>
  <c r="B233" i="6" s="1"/>
  <c r="B234" i="6" s="1"/>
  <c r="B235" i="6" s="1"/>
  <c r="B236" i="6" s="1"/>
  <c r="B237" i="6" s="1"/>
  <c r="B238" i="6" s="1"/>
  <c r="B239" i="6" s="1"/>
  <c r="B240" i="6" s="1"/>
  <c r="B241" i="6" s="1"/>
  <c r="B242" i="6" s="1"/>
  <c r="B243" i="6" s="1"/>
  <c r="B244" i="6" s="1"/>
  <c r="G12" i="6" s="1"/>
  <c r="B26" i="17"/>
  <c r="B25" i="28"/>
  <c r="M73" i="23"/>
  <c r="H73" i="23"/>
  <c r="F73" i="23"/>
  <c r="E73" i="23"/>
  <c r="D73" i="23"/>
  <c r="N73" i="23"/>
  <c r="J73" i="23"/>
  <c r="L73" i="23"/>
  <c r="I73" i="23"/>
  <c r="B27" i="35"/>
  <c r="B26" i="37"/>
  <c r="AW71" i="17"/>
  <c r="AW72" i="17" s="1"/>
  <c r="AW73" i="17" s="1"/>
  <c r="AY70" i="17"/>
  <c r="AX70" i="17"/>
  <c r="T43" i="2"/>
  <c r="R44" i="2"/>
  <c r="R45" i="2" s="1"/>
  <c r="R46" i="2" s="1"/>
  <c r="M60" i="23"/>
  <c r="H60" i="23"/>
  <c r="F60" i="23"/>
  <c r="L60" i="23"/>
  <c r="J60" i="23"/>
  <c r="I60" i="23"/>
  <c r="E60" i="23"/>
  <c r="D60" i="23"/>
  <c r="N60" i="23"/>
  <c r="M47" i="23"/>
  <c r="H47" i="23"/>
  <c r="N47" i="23"/>
  <c r="L47" i="23"/>
  <c r="J47" i="23"/>
  <c r="I47" i="23"/>
  <c r="F47" i="23"/>
  <c r="D47" i="23"/>
  <c r="E47" i="23"/>
  <c r="L44" i="6"/>
  <c r="L45" i="6" s="1"/>
  <c r="L46" i="6" s="1"/>
  <c r="N43" i="6"/>
  <c r="E48" i="41"/>
  <c r="E49" i="41" s="1"/>
  <c r="E50" i="41" s="1"/>
  <c r="G47" i="41"/>
  <c r="AQ38" i="17"/>
  <c r="AQ39" i="17" s="1"/>
  <c r="AQ40" i="17" s="1"/>
  <c r="AS37" i="17"/>
  <c r="B26" i="29"/>
  <c r="T46" i="36"/>
  <c r="R47" i="36"/>
  <c r="R48" i="36" s="1"/>
  <c r="R49" i="36" s="1"/>
  <c r="R88" i="23"/>
  <c r="C87" i="23"/>
  <c r="AS37" i="28"/>
  <c r="AQ38" i="28"/>
  <c r="AQ39" i="28" s="1"/>
  <c r="AQ40" i="28" s="1"/>
  <c r="BQ44" i="28"/>
  <c r="BQ45" i="28" s="1"/>
  <c r="BQ46" i="28" s="1"/>
  <c r="BS43" i="28"/>
  <c r="L47" i="36"/>
  <c r="L48" i="36" s="1"/>
  <c r="L49" i="36" s="1"/>
  <c r="N46" i="36"/>
  <c r="M40" i="27"/>
  <c r="L41" i="27"/>
  <c r="L42" i="27" s="1"/>
  <c r="L43" i="27" s="1"/>
  <c r="N40" i="27"/>
  <c r="BL43" i="28"/>
  <c r="BJ44" i="28"/>
  <c r="BJ45" i="28" s="1"/>
  <c r="BJ46" i="28" s="1"/>
  <c r="BQ47" i="17"/>
  <c r="BQ48" i="17" s="1"/>
  <c r="BQ49" i="17" s="1"/>
  <c r="BS46" i="17"/>
  <c r="BR46" i="17"/>
  <c r="Q53" i="29"/>
  <c r="Q54" i="29" s="1"/>
  <c r="Q55" i="29" s="1"/>
  <c r="S52" i="29"/>
  <c r="AE44" i="29"/>
  <c r="AE45" i="29" s="1"/>
  <c r="AE46" i="29" s="1"/>
  <c r="AF43" i="29"/>
  <c r="AG43" i="29"/>
  <c r="B26" i="25"/>
  <c r="B27" i="25" s="1"/>
  <c r="B28" i="25" s="1"/>
  <c r="B29" i="25" s="1"/>
  <c r="B30" i="25" s="1"/>
  <c r="B31" i="25" s="1"/>
  <c r="B32" i="25" s="1"/>
  <c r="B33" i="25" s="1"/>
  <c r="B34" i="25" s="1"/>
  <c r="B35" i="25" s="1"/>
  <c r="B36" i="25" s="1"/>
  <c r="B37" i="25" s="1"/>
  <c r="B38" i="25" s="1"/>
  <c r="B39" i="25" s="1"/>
  <c r="B40" i="25" s="1"/>
  <c r="B41" i="25" s="1"/>
  <c r="B42" i="25" s="1"/>
  <c r="B43" i="25" s="1"/>
  <c r="B44" i="25" s="1"/>
  <c r="B45" i="25" s="1"/>
  <c r="B46" i="25" s="1"/>
  <c r="B47" i="25" s="1"/>
  <c r="B48" i="25" s="1"/>
  <c r="B49" i="25" s="1"/>
  <c r="B50" i="25" s="1"/>
  <c r="B51" i="25" s="1"/>
  <c r="B52" i="25" s="1"/>
  <c r="B53" i="25" s="1"/>
  <c r="B54" i="25" s="1"/>
  <c r="B55" i="25" s="1"/>
  <c r="B56" i="25" s="1"/>
  <c r="B57" i="25" s="1"/>
  <c r="B58" i="25" s="1"/>
  <c r="B59" i="25" s="1"/>
  <c r="B60" i="25" s="1"/>
  <c r="B61" i="25" s="1"/>
  <c r="B62" i="25" s="1"/>
  <c r="B63" i="25" s="1"/>
  <c r="B64" i="25" s="1"/>
  <c r="B65" i="25" s="1"/>
  <c r="B66" i="25" s="1"/>
  <c r="B67" i="25" s="1"/>
  <c r="B68" i="25" s="1"/>
  <c r="B69" i="25" s="1"/>
  <c r="B70" i="25" s="1"/>
  <c r="B71" i="25" s="1"/>
  <c r="B72" i="25" s="1"/>
  <c r="B73" i="25" s="1"/>
  <c r="B74" i="25" s="1"/>
  <c r="B75" i="25" s="1"/>
  <c r="B76" i="25" s="1"/>
  <c r="B77" i="25" s="1"/>
  <c r="B78" i="25" s="1"/>
  <c r="B79" i="25" s="1"/>
  <c r="B80" i="25" s="1"/>
  <c r="B81" i="25" s="1"/>
  <c r="B82" i="25" s="1"/>
  <c r="B83" i="25" s="1"/>
  <c r="B84" i="25" s="1"/>
  <c r="B85" i="25" s="1"/>
  <c r="B86" i="25" s="1"/>
  <c r="B87" i="25" s="1"/>
  <c r="B88" i="25" s="1"/>
  <c r="B89" i="25" s="1"/>
  <c r="B90" i="25" s="1"/>
  <c r="B91" i="25" s="1"/>
  <c r="B92" i="25" s="1"/>
  <c r="B93" i="25" s="1"/>
  <c r="B94" i="25" s="1"/>
  <c r="B95" i="25" s="1"/>
  <c r="B96" i="25" s="1"/>
  <c r="B97" i="25" s="1"/>
  <c r="B98" i="25" s="1"/>
  <c r="B99" i="25" s="1"/>
  <c r="B100" i="25" s="1"/>
  <c r="B101" i="25" s="1"/>
  <c r="B102" i="25" s="1"/>
  <c r="B103" i="25" s="1"/>
  <c r="B104" i="25" s="1"/>
  <c r="B105" i="25" s="1"/>
  <c r="B106" i="25" s="1"/>
  <c r="B107" i="25" s="1"/>
  <c r="B108" i="25" s="1"/>
  <c r="B109" i="25" s="1"/>
  <c r="B110" i="25" s="1"/>
  <c r="B111" i="25" s="1"/>
  <c r="B112" i="25" s="1"/>
  <c r="B113" i="25" s="1"/>
  <c r="B114" i="25" s="1"/>
  <c r="B115" i="25" s="1"/>
  <c r="B116" i="25" s="1"/>
  <c r="B117" i="25" s="1"/>
  <c r="B118" i="25" s="1"/>
  <c r="B119" i="25" s="1"/>
  <c r="B120" i="25" s="1"/>
  <c r="B121" i="25" s="1"/>
  <c r="B122" i="25" s="1"/>
  <c r="B123" i="25" s="1"/>
  <c r="B124" i="25" s="1"/>
  <c r="B125" i="25" s="1"/>
  <c r="B126" i="25" s="1"/>
  <c r="B127" i="25" s="1"/>
  <c r="B128" i="25" s="1"/>
  <c r="B129" i="25" s="1"/>
  <c r="B130" i="25" s="1"/>
  <c r="B131" i="25" s="1"/>
  <c r="B132" i="25" s="1"/>
  <c r="B133" i="25" s="1"/>
  <c r="B134" i="25" s="1"/>
  <c r="B135" i="25" s="1"/>
  <c r="B136" i="25" s="1"/>
  <c r="B137" i="25" s="1"/>
  <c r="B138" i="25" s="1"/>
  <c r="B139" i="25" s="1"/>
  <c r="B140" i="25" s="1"/>
  <c r="B141" i="25" s="1"/>
  <c r="B142" i="25" s="1"/>
  <c r="B143" i="25" s="1"/>
  <c r="B144" i="25" s="1"/>
  <c r="B145" i="25" s="1"/>
  <c r="B146" i="25" s="1"/>
  <c r="B147" i="25" s="1"/>
  <c r="B148" i="25" s="1"/>
  <c r="B149" i="25" s="1"/>
  <c r="B150" i="25" s="1"/>
  <c r="B151" i="25" s="1"/>
  <c r="B152" i="25" s="1"/>
  <c r="B153" i="25" s="1"/>
  <c r="B154" i="25" s="1"/>
  <c r="B155" i="25" s="1"/>
  <c r="B156" i="25" s="1"/>
  <c r="B157" i="25" s="1"/>
  <c r="B158" i="25" s="1"/>
  <c r="B159" i="25" s="1"/>
  <c r="B160" i="25" s="1"/>
  <c r="B161" i="25" s="1"/>
  <c r="B162" i="25" s="1"/>
  <c r="B163" i="25" s="1"/>
  <c r="B164" i="25" s="1"/>
  <c r="B165" i="25" s="1"/>
  <c r="B166" i="25" s="1"/>
  <c r="B167" i="25" s="1"/>
  <c r="B168" i="25" s="1"/>
  <c r="B169" i="25" s="1"/>
  <c r="B170" i="25" s="1"/>
  <c r="B171" i="25" s="1"/>
  <c r="B172" i="25" s="1"/>
  <c r="B173" i="25" s="1"/>
  <c r="B174" i="25" s="1"/>
  <c r="B175" i="25" s="1"/>
  <c r="B176" i="25" s="1"/>
  <c r="B177" i="25" s="1"/>
  <c r="B178" i="25" s="1"/>
  <c r="B179" i="25" s="1"/>
  <c r="B180" i="25" s="1"/>
  <c r="B181" i="25" s="1"/>
  <c r="B182" i="25" s="1"/>
  <c r="B183" i="25" s="1"/>
  <c r="B184" i="25" s="1"/>
  <c r="B185" i="25" s="1"/>
  <c r="B186" i="25" s="1"/>
  <c r="B187" i="25" s="1"/>
  <c r="B188" i="25" s="1"/>
  <c r="B189" i="25" s="1"/>
  <c r="B190" i="25" s="1"/>
  <c r="B191" i="25" s="1"/>
  <c r="B192" i="25" s="1"/>
  <c r="B193" i="25" s="1"/>
  <c r="B194" i="25" s="1"/>
  <c r="B195" i="25" s="1"/>
  <c r="B196" i="25" s="1"/>
  <c r="B197" i="25" s="1"/>
  <c r="B198" i="25" s="1"/>
  <c r="B199" i="25" s="1"/>
  <c r="B200" i="25" s="1"/>
  <c r="B201" i="25" s="1"/>
  <c r="B202" i="25" s="1"/>
  <c r="B203" i="25" s="1"/>
  <c r="B204" i="25" s="1"/>
  <c r="B205" i="25" s="1"/>
  <c r="B206" i="25" s="1"/>
  <c r="B207" i="25" s="1"/>
  <c r="B208" i="25" s="1"/>
  <c r="B209" i="25" s="1"/>
  <c r="B210" i="25" s="1"/>
  <c r="B211" i="25" s="1"/>
  <c r="B212" i="25" s="1"/>
  <c r="B213" i="25" s="1"/>
  <c r="B214" i="25" s="1"/>
  <c r="B215" i="25" s="1"/>
  <c r="B216" i="25" s="1"/>
  <c r="B217" i="25" s="1"/>
  <c r="B218" i="25" s="1"/>
  <c r="B219" i="25" s="1"/>
  <c r="B220" i="25" s="1"/>
  <c r="B221" i="25" s="1"/>
  <c r="B222" i="25" s="1"/>
  <c r="B223" i="25" s="1"/>
  <c r="B224" i="25" s="1"/>
  <c r="B225" i="25" s="1"/>
  <c r="B226" i="25" s="1"/>
  <c r="B227" i="25" s="1"/>
  <c r="B228" i="25" s="1"/>
  <c r="B229" i="25" s="1"/>
  <c r="B230" i="25" s="1"/>
  <c r="B231" i="25" s="1"/>
  <c r="B232" i="25" s="1"/>
  <c r="B233" i="25" s="1"/>
  <c r="B234" i="25" s="1"/>
  <c r="B235" i="25" s="1"/>
  <c r="B236" i="25" s="1"/>
  <c r="B237" i="25" s="1"/>
  <c r="B238" i="25" s="1"/>
  <c r="B239" i="25" s="1"/>
  <c r="B240" i="25" s="1"/>
  <c r="B241" i="25" s="1"/>
  <c r="B242" i="25" s="1"/>
  <c r="B243" i="25" s="1"/>
  <c r="B244" i="25" s="1"/>
  <c r="B245" i="25" s="1"/>
  <c r="B246" i="25" s="1"/>
  <c r="B247" i="25" s="1"/>
  <c r="B248" i="25" s="1"/>
  <c r="B249" i="25" s="1"/>
  <c r="B250" i="25" s="1"/>
  <c r="B251" i="25" s="1"/>
  <c r="B252" i="25" s="1"/>
  <c r="B253" i="25" s="1"/>
  <c r="B254" i="25" s="1"/>
  <c r="B255" i="25" s="1"/>
  <c r="B256" i="25" s="1"/>
  <c r="B257" i="25" s="1"/>
  <c r="B258" i="25" s="1"/>
  <c r="B259" i="25" s="1"/>
  <c r="B260" i="25" s="1"/>
  <c r="B261" i="25" s="1"/>
  <c r="B262" i="25" s="1"/>
  <c r="B263" i="25" s="1"/>
  <c r="B264" i="25" s="1"/>
  <c r="B265" i="25" s="1"/>
  <c r="B266" i="25" s="1"/>
  <c r="B267" i="25" s="1"/>
  <c r="B268" i="25" s="1"/>
  <c r="B269" i="25" s="1"/>
  <c r="B270" i="25" s="1"/>
  <c r="B271" i="25" s="1"/>
  <c r="B272" i="25" s="1"/>
  <c r="B273" i="25" s="1"/>
  <c r="B274" i="25" s="1"/>
  <c r="B275" i="25" s="1"/>
  <c r="B276" i="25" s="1"/>
  <c r="B277" i="25" s="1"/>
  <c r="B278" i="25" s="1"/>
  <c r="B279" i="25" s="1"/>
  <c r="B280" i="25" s="1"/>
  <c r="B281" i="25" s="1"/>
  <c r="B282" i="25" s="1"/>
  <c r="B283" i="25" s="1"/>
  <c r="B284" i="25" s="1"/>
  <c r="B285" i="25" s="1"/>
  <c r="B286" i="25" s="1"/>
  <c r="B287" i="25" s="1"/>
  <c r="B288" i="25" s="1"/>
  <c r="B289" i="25" s="1"/>
  <c r="B290" i="25" s="1"/>
  <c r="B291" i="25" s="1"/>
  <c r="B292" i="25" s="1"/>
  <c r="B293" i="25" s="1"/>
  <c r="B294" i="25" s="1"/>
  <c r="B295" i="25" s="1"/>
  <c r="B296" i="25" s="1"/>
  <c r="B297" i="25" s="1"/>
  <c r="B298" i="25" s="1"/>
  <c r="B299" i="25" s="1"/>
  <c r="B300" i="25" s="1"/>
  <c r="B301" i="25" s="1"/>
  <c r="B302" i="25" s="1"/>
  <c r="B303" i="25" s="1"/>
  <c r="B304" i="25" s="1"/>
  <c r="B305" i="25" s="1"/>
  <c r="B306" i="25" s="1"/>
  <c r="B307" i="25" s="1"/>
  <c r="T10" i="25" s="1"/>
  <c r="D10" i="25" a="1"/>
  <c r="D10" i="25" s="1"/>
  <c r="L6" i="25"/>
  <c r="D9" i="25" a="1"/>
  <c r="D9" i="25" s="1"/>
  <c r="Z10" i="25"/>
  <c r="F10" i="25"/>
  <c r="G6" i="25"/>
  <c r="U10" i="25"/>
  <c r="Q12" i="25" a="1"/>
  <c r="Q12" i="25" s="1"/>
  <c r="M9" i="25"/>
  <c r="G10" i="25"/>
  <c r="AA10" i="25"/>
  <c r="X8" i="25" a="1"/>
  <c r="X8" i="25" s="1"/>
  <c r="M7" i="25"/>
  <c r="U11" i="25"/>
  <c r="R75" i="23"/>
  <c r="C74" i="23"/>
  <c r="Y43" i="17"/>
  <c r="W44" i="17"/>
  <c r="W45" i="17" s="1"/>
  <c r="W46" i="17" s="1"/>
  <c r="E44" i="12"/>
  <c r="E45" i="12" s="1"/>
  <c r="E46" i="12" s="1"/>
  <c r="G43" i="12"/>
  <c r="R62" i="23"/>
  <c r="C61" i="23"/>
  <c r="E44" i="21"/>
  <c r="E45" i="21" s="1"/>
  <c r="E46" i="21" s="1"/>
  <c r="G43" i="21"/>
  <c r="T43" i="39"/>
  <c r="T43" i="37"/>
  <c r="S43" i="37"/>
  <c r="EX6" i="32"/>
  <c r="EP6" i="32"/>
  <c r="EJ7" i="32"/>
  <c r="EW6" i="32"/>
  <c r="EO6" i="32"/>
  <c r="EV6" i="32"/>
  <c r="EN6" i="32"/>
  <c r="EU6" i="32"/>
  <c r="EM6" i="32"/>
  <c r="ET6" i="32"/>
  <c r="EL6" i="32"/>
  <c r="ES6" i="32"/>
  <c r="EK6" i="32"/>
  <c r="EZ6" i="32"/>
  <c r="EY6" i="32"/>
  <c r="ER6" i="32"/>
  <c r="EQ6" i="32"/>
  <c r="N43" i="37"/>
  <c r="M43" i="37"/>
  <c r="M86" i="23"/>
  <c r="I86" i="23"/>
  <c r="H86" i="23"/>
  <c r="F86" i="23"/>
  <c r="L86" i="23"/>
  <c r="J86" i="23"/>
  <c r="E86" i="23"/>
  <c r="D86" i="23"/>
  <c r="N86" i="23"/>
  <c r="B28" i="2"/>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M12" i="2"/>
  <c r="F6" i="2"/>
  <c r="G9" i="2"/>
  <c r="D11" i="2" a="1"/>
  <c r="D11" i="2" s="1"/>
  <c r="M6" i="2"/>
  <c r="T11" i="2"/>
  <c r="S8" i="2"/>
  <c r="Q13" i="2" a="1"/>
  <c r="Q13" i="2" s="1"/>
  <c r="K7" i="2" a="1"/>
  <c r="K7" i="2" s="1"/>
  <c r="T6" i="2"/>
  <c r="H1" i="31"/>
  <c r="H2" i="31" s="1"/>
  <c r="CF44" i="17"/>
  <c r="CF45" i="17" s="1"/>
  <c r="CF46" i="17" s="1"/>
  <c r="CH43" i="17"/>
  <c r="N43" i="39"/>
  <c r="AW44" i="28"/>
  <c r="AW45" i="28" s="1"/>
  <c r="AW46" i="28" s="1"/>
  <c r="AY43" i="28"/>
  <c r="N43" i="1"/>
  <c r="L44" i="1"/>
  <c r="L45" i="1" s="1"/>
  <c r="L46" i="1" s="1"/>
  <c r="E44" i="1"/>
  <c r="E45" i="1" s="1"/>
  <c r="E46" i="1" s="1"/>
  <c r="G43" i="1"/>
  <c r="EG6" i="32"/>
  <c r="DY6" i="32"/>
  <c r="EF6" i="32"/>
  <c r="DX6" i="32"/>
  <c r="DR7" i="32"/>
  <c r="EE6" i="32"/>
  <c r="DW6" i="32"/>
  <c r="ED6" i="32"/>
  <c r="DV6" i="32"/>
  <c r="EC6" i="32"/>
  <c r="DU6" i="32"/>
  <c r="EB6" i="32"/>
  <c r="DT6" i="32"/>
  <c r="DZ6" i="32"/>
  <c r="DS6" i="32"/>
  <c r="EH6" i="32"/>
  <c r="EA6" i="32"/>
  <c r="N46" i="35"/>
  <c r="L47" i="35"/>
  <c r="L48" i="35" s="1"/>
  <c r="L49" i="35" s="1"/>
  <c r="N42" i="40"/>
  <c r="AM25" i="32"/>
  <c r="Q12" i="41"/>
  <c r="H12" i="41"/>
  <c r="R49" i="23"/>
  <c r="C48" i="23"/>
  <c r="BZ46" i="17"/>
  <c r="CA46" i="17"/>
  <c r="BY47" i="17"/>
  <c r="BY48" i="17" s="1"/>
  <c r="BY49" i="17" s="1"/>
  <c r="B27" i="21"/>
  <c r="B28" i="21" s="1"/>
  <c r="B29" i="21" s="1"/>
  <c r="B30" i="21" s="1"/>
  <c r="B31" i="21" s="1"/>
  <c r="B32" i="21" s="1"/>
  <c r="B33" i="21" s="1"/>
  <c r="B34" i="21" s="1"/>
  <c r="B35" i="21" s="1"/>
  <c r="B36" i="21" s="1"/>
  <c r="B37" i="21" s="1"/>
  <c r="B38" i="21" s="1"/>
  <c r="B39" i="21" s="1"/>
  <c r="B40" i="21" s="1"/>
  <c r="B41" i="21" s="1"/>
  <c r="B42" i="21" s="1"/>
  <c r="B43" i="21" s="1"/>
  <c r="B44" i="21" s="1"/>
  <c r="B45" i="21" s="1"/>
  <c r="B46" i="21" s="1"/>
  <c r="B47" i="21" s="1"/>
  <c r="B48" i="21" s="1"/>
  <c r="B49" i="21" s="1"/>
  <c r="B50" i="21" s="1"/>
  <c r="B51" i="21" s="1"/>
  <c r="B52" i="21" s="1"/>
  <c r="B53" i="21" s="1"/>
  <c r="B54" i="21" s="1"/>
  <c r="B55" i="21" s="1"/>
  <c r="B56" i="21" s="1"/>
  <c r="B57" i="21" s="1"/>
  <c r="B58" i="21" s="1"/>
  <c r="B59" i="21" s="1"/>
  <c r="B60" i="21" s="1"/>
  <c r="B61" i="21" s="1"/>
  <c r="B62" i="21" s="1"/>
  <c r="B63" i="21" s="1"/>
  <c r="B64" i="21" s="1"/>
  <c r="B65" i="21" s="1"/>
  <c r="B66" i="21" s="1"/>
  <c r="B67" i="21" s="1"/>
  <c r="B68" i="21" s="1"/>
  <c r="B69" i="21" s="1"/>
  <c r="B70" i="21" s="1"/>
  <c r="B71" i="21" s="1"/>
  <c r="B72" i="21" s="1"/>
  <c r="B73" i="21" s="1"/>
  <c r="B74" i="21" s="1"/>
  <c r="B75" i="21" s="1"/>
  <c r="B76" i="21" s="1"/>
  <c r="B77" i="21" s="1"/>
  <c r="B78" i="21" s="1"/>
  <c r="B79" i="21" s="1"/>
  <c r="B80" i="21" s="1"/>
  <c r="B81" i="21" s="1"/>
  <c r="B82" i="21" s="1"/>
  <c r="B83" i="21" s="1"/>
  <c r="B84" i="21" s="1"/>
  <c r="B85" i="21" s="1"/>
  <c r="B86" i="21" s="1"/>
  <c r="B87" i="21" s="1"/>
  <c r="B88" i="21" s="1"/>
  <c r="B89" i="21" s="1"/>
  <c r="B90" i="21" s="1"/>
  <c r="B91" i="21" s="1"/>
  <c r="B92" i="21" s="1"/>
  <c r="B93" i="21" s="1"/>
  <c r="B94" i="21" s="1"/>
  <c r="B95" i="21" s="1"/>
  <c r="B96" i="21" s="1"/>
  <c r="B97" i="21" s="1"/>
  <c r="B98" i="21" s="1"/>
  <c r="B99" i="21" s="1"/>
  <c r="B100" i="21" s="1"/>
  <c r="B101" i="21" s="1"/>
  <c r="B102" i="21" s="1"/>
  <c r="B103" i="21" s="1"/>
  <c r="B104" i="21" s="1"/>
  <c r="B105" i="21" s="1"/>
  <c r="B106" i="21" s="1"/>
  <c r="B107" i="21" s="1"/>
  <c r="B108" i="21" s="1"/>
  <c r="B109" i="21" s="1"/>
  <c r="B110" i="21" s="1"/>
  <c r="B111" i="21" s="1"/>
  <c r="B112" i="21" s="1"/>
  <c r="B113" i="21" s="1"/>
  <c r="B114" i="21" s="1"/>
  <c r="B115" i="21" s="1"/>
  <c r="B116" i="21" s="1"/>
  <c r="B117" i="21" s="1"/>
  <c r="B118" i="21" s="1"/>
  <c r="B119" i="21" s="1"/>
  <c r="B120" i="21" s="1"/>
  <c r="B121" i="21" s="1"/>
  <c r="B122" i="21" s="1"/>
  <c r="B123" i="21" s="1"/>
  <c r="B124" i="21" s="1"/>
  <c r="B125" i="21" s="1"/>
  <c r="B126" i="21" s="1"/>
  <c r="B127" i="21" s="1"/>
  <c r="B128" i="21" s="1"/>
  <c r="B129" i="21" s="1"/>
  <c r="B130" i="21" s="1"/>
  <c r="B131" i="21" s="1"/>
  <c r="B132" i="21" s="1"/>
  <c r="B133" i="21" s="1"/>
  <c r="B134" i="21" s="1"/>
  <c r="B135" i="21" s="1"/>
  <c r="B136" i="21" s="1"/>
  <c r="B137" i="21" s="1"/>
  <c r="B138" i="21" s="1"/>
  <c r="B139" i="21" s="1"/>
  <c r="B140" i="21" s="1"/>
  <c r="B141" i="21" s="1"/>
  <c r="B142" i="21" s="1"/>
  <c r="B143" i="21" s="1"/>
  <c r="B144" i="21" s="1"/>
  <c r="B145" i="21" s="1"/>
  <c r="B146" i="21" s="1"/>
  <c r="B147" i="21" s="1"/>
  <c r="B148" i="21" s="1"/>
  <c r="B149" i="21" s="1"/>
  <c r="B150" i="21" s="1"/>
  <c r="B151" i="21" s="1"/>
  <c r="B152" i="21" s="1"/>
  <c r="B153" i="21" s="1"/>
  <c r="B154" i="21" s="1"/>
  <c r="B155" i="21" s="1"/>
  <c r="B156" i="21" s="1"/>
  <c r="B157" i="21" s="1"/>
  <c r="B158" i="21" s="1"/>
  <c r="B159" i="21" s="1"/>
  <c r="B160" i="21" s="1"/>
  <c r="B161" i="21" s="1"/>
  <c r="B162" i="21" s="1"/>
  <c r="G9" i="21" s="1"/>
  <c r="N12" i="21"/>
  <c r="V7" i="21"/>
  <c r="L13" i="21" a="1"/>
  <c r="L13" i="21" s="1"/>
  <c r="M13" i="21" s="1"/>
  <c r="V10" i="21"/>
  <c r="H6" i="21"/>
  <c r="F13" i="21"/>
  <c r="W6" i="21"/>
  <c r="F11" i="21"/>
  <c r="N13" i="21"/>
  <c r="D8" i="21" a="1"/>
  <c r="D8" i="21" s="1"/>
  <c r="S8" i="21" a="1"/>
  <c r="S8" i="21" s="1"/>
  <c r="H7" i="21"/>
  <c r="N8" i="21"/>
  <c r="O7" i="21"/>
  <c r="L8" i="21" a="1"/>
  <c r="L8" i="21" s="1"/>
  <c r="M8" i="21" s="1"/>
  <c r="U13" i="21"/>
  <c r="H12" i="21"/>
  <c r="L7" i="21" a="1"/>
  <c r="L7" i="21" s="1"/>
  <c r="M7" i="21" s="1"/>
  <c r="BZ46" i="28"/>
  <c r="BY47" i="28"/>
  <c r="BY48" i="28" s="1"/>
  <c r="BY49" i="28" s="1"/>
  <c r="CA46" i="28"/>
  <c r="G11" i="25"/>
  <c r="X6" i="25" a="1"/>
  <c r="X6" i="25" s="1"/>
  <c r="E44" i="6"/>
  <c r="E45" i="6" s="1"/>
  <c r="E46" i="6" s="1"/>
  <c r="G43" i="6"/>
  <c r="T43" i="6"/>
  <c r="R44" i="6"/>
  <c r="R45" i="6" s="1"/>
  <c r="R46" i="6" s="1"/>
  <c r="R44" i="26"/>
  <c r="R45" i="26" s="1"/>
  <c r="R46" i="26" s="1"/>
  <c r="T43" i="26"/>
  <c r="AA298" i="25"/>
  <c r="Y299" i="25"/>
  <c r="Y300" i="25" s="1"/>
  <c r="Y301" i="25" s="1"/>
  <c r="AX5" i="32"/>
  <c r="BK4" i="32"/>
  <c r="BC4" i="32"/>
  <c r="BJ4" i="32"/>
  <c r="BB4" i="32"/>
  <c r="BI4" i="32"/>
  <c r="BA4" i="32"/>
  <c r="BH4" i="32"/>
  <c r="AZ4" i="32"/>
  <c r="BG4" i="32"/>
  <c r="AY4" i="32"/>
  <c r="BN4" i="32"/>
  <c r="BF4" i="32"/>
  <c r="BM4" i="32"/>
  <c r="BL4" i="32"/>
  <c r="BE4" i="32"/>
  <c r="BD4" i="32"/>
  <c r="E44" i="25"/>
  <c r="E45" i="25" s="1"/>
  <c r="E46" i="25" s="1"/>
  <c r="G43" i="25"/>
  <c r="W44" i="28"/>
  <c r="W45" i="28" s="1"/>
  <c r="W46" i="28" s="1"/>
  <c r="Y43" i="28"/>
  <c r="T43" i="27"/>
  <c r="R44" i="27"/>
  <c r="R45" i="27" s="1"/>
  <c r="R46" i="27" s="1"/>
  <c r="B26" i="38"/>
  <c r="Q7" i="6" a="1"/>
  <c r="Q7" i="6" s="1"/>
  <c r="J44" i="17"/>
  <c r="J45" i="17" s="1"/>
  <c r="J46" i="17" s="1"/>
  <c r="L43" i="17"/>
  <c r="Q41" i="28"/>
  <c r="Q42" i="28" s="1"/>
  <c r="Q43" i="28" s="1"/>
  <c r="S40" i="28"/>
  <c r="G43" i="40"/>
  <c r="E47" i="27"/>
  <c r="E48" i="27" s="1"/>
  <c r="E49" i="27" s="1"/>
  <c r="G46" i="27"/>
  <c r="T43" i="1"/>
  <c r="R44" i="1"/>
  <c r="R45" i="1" s="1"/>
  <c r="R46" i="1" s="1"/>
  <c r="B26" i="39"/>
  <c r="B27" i="27"/>
  <c r="B28" i="27" s="1"/>
  <c r="B29" i="27" s="1"/>
  <c r="B30" i="27" s="1"/>
  <c r="B31" i="27" s="1"/>
  <c r="B32" i="27" s="1"/>
  <c r="B33" i="27" s="1"/>
  <c r="B34" i="27" s="1"/>
  <c r="B35" i="27" s="1"/>
  <c r="B36" i="27" s="1"/>
  <c r="B37" i="27" s="1"/>
  <c r="B38" i="27" s="1"/>
  <c r="B39" i="27" s="1"/>
  <c r="B40" i="27" s="1"/>
  <c r="B41" i="27" s="1"/>
  <c r="B42" i="27" s="1"/>
  <c r="B43" i="27" s="1"/>
  <c r="B44" i="27" s="1"/>
  <c r="B45" i="27" s="1"/>
  <c r="B46" i="27" s="1"/>
  <c r="B47" i="27" s="1"/>
  <c r="B48" i="27" s="1"/>
  <c r="B49" i="27" s="1"/>
  <c r="B50" i="27" s="1"/>
  <c r="B51" i="27" s="1"/>
  <c r="B52" i="27" s="1"/>
  <c r="B53" i="27" s="1"/>
  <c r="B54" i="27" s="1"/>
  <c r="B55" i="27" s="1"/>
  <c r="B56" i="27" s="1"/>
  <c r="B57" i="27" s="1"/>
  <c r="B58" i="27" s="1"/>
  <c r="B59" i="27" s="1"/>
  <c r="B60" i="27" s="1"/>
  <c r="B61" i="27" s="1"/>
  <c r="B62" i="27" s="1"/>
  <c r="B63" i="27" s="1"/>
  <c r="B64" i="27" s="1"/>
  <c r="B65" i="27" s="1"/>
  <c r="B66" i="27" s="1"/>
  <c r="B67" i="27" s="1"/>
  <c r="B68" i="27" s="1"/>
  <c r="B69" i="27" s="1"/>
  <c r="B70" i="27" s="1"/>
  <c r="B71" i="27" s="1"/>
  <c r="B72" i="27" s="1"/>
  <c r="B73" i="27" s="1"/>
  <c r="B74" i="27" s="1"/>
  <c r="B75" i="27" s="1"/>
  <c r="B76" i="27" s="1"/>
  <c r="B77" i="27" s="1"/>
  <c r="B78" i="27" s="1"/>
  <c r="B79" i="27" s="1"/>
  <c r="B80" i="27" s="1"/>
  <c r="B81" i="27" s="1"/>
  <c r="B82" i="27" s="1"/>
  <c r="B83" i="27" s="1"/>
  <c r="B84" i="27" s="1"/>
  <c r="B85" i="27" s="1"/>
  <c r="B86" i="27" s="1"/>
  <c r="B87" i="27" s="1"/>
  <c r="B88" i="27" s="1"/>
  <c r="B89" i="27" s="1"/>
  <c r="B90" i="27" s="1"/>
  <c r="B91" i="27" s="1"/>
  <c r="B92" i="27" s="1"/>
  <c r="B93" i="27" s="1"/>
  <c r="B94" i="27" s="1"/>
  <c r="B95" i="27" s="1"/>
  <c r="B96" i="27" s="1"/>
  <c r="B97" i="27" s="1"/>
  <c r="B98" i="27" s="1"/>
  <c r="B99" i="27" s="1"/>
  <c r="B100" i="27" s="1"/>
  <c r="B101" i="27" s="1"/>
  <c r="B102" i="27" s="1"/>
  <c r="B103" i="27" s="1"/>
  <c r="B104" i="27" s="1"/>
  <c r="B105" i="27" s="1"/>
  <c r="B106" i="27" s="1"/>
  <c r="B107" i="27" s="1"/>
  <c r="B108" i="27" s="1"/>
  <c r="B109" i="27" s="1"/>
  <c r="B110" i="27" s="1"/>
  <c r="B111" i="27" s="1"/>
  <c r="B112" i="27" s="1"/>
  <c r="B113" i="27" s="1"/>
  <c r="B114" i="27" s="1"/>
  <c r="B115" i="27" s="1"/>
  <c r="B116" i="27" s="1"/>
  <c r="B117" i="27" s="1"/>
  <c r="B118" i="27" s="1"/>
  <c r="B119" i="27" s="1"/>
  <c r="B120" i="27" s="1"/>
  <c r="B121" i="27" s="1"/>
  <c r="B122" i="27" s="1"/>
  <c r="B123" i="27" s="1"/>
  <c r="B124" i="27" s="1"/>
  <c r="B125" i="27" s="1"/>
  <c r="B126" i="27" s="1"/>
  <c r="B127" i="27" s="1"/>
  <c r="B128" i="27" s="1"/>
  <c r="B129" i="27" s="1"/>
  <c r="B130" i="27" s="1"/>
  <c r="B131" i="27" s="1"/>
  <c r="B132" i="27" s="1"/>
  <c r="B133" i="27" s="1"/>
  <c r="B134" i="27" s="1"/>
  <c r="B135" i="27" s="1"/>
  <c r="B136" i="27" s="1"/>
  <c r="B137" i="27" s="1"/>
  <c r="B138" i="27" s="1"/>
  <c r="B139" i="27" s="1"/>
  <c r="B140" i="27" s="1"/>
  <c r="B141" i="27" s="1"/>
  <c r="B142" i="27" s="1"/>
  <c r="B143" i="27" s="1"/>
  <c r="B144" i="27" s="1"/>
  <c r="B145" i="27" s="1"/>
  <c r="B146" i="27" s="1"/>
  <c r="B147" i="27" s="1"/>
  <c r="B148" i="27" s="1"/>
  <c r="B149" i="27" s="1"/>
  <c r="B150" i="27" s="1"/>
  <c r="B151" i="27" s="1"/>
  <c r="B152" i="27" s="1"/>
  <c r="B153" i="27" s="1"/>
  <c r="B154" i="27" s="1"/>
  <c r="B155" i="27" s="1"/>
  <c r="B156" i="27" s="1"/>
  <c r="B157" i="27" s="1"/>
  <c r="B158" i="27" s="1"/>
  <c r="B159" i="27" s="1"/>
  <c r="B160" i="27" s="1"/>
  <c r="B161" i="27" s="1"/>
  <c r="B162" i="27" s="1"/>
  <c r="B163" i="27" s="1"/>
  <c r="B164" i="27" s="1"/>
  <c r="B165" i="27" s="1"/>
  <c r="B166" i="27" s="1"/>
  <c r="B167" i="27" s="1"/>
  <c r="B168" i="27" s="1"/>
  <c r="B169" i="27" s="1"/>
  <c r="B170" i="27" s="1"/>
  <c r="B171" i="27" s="1"/>
  <c r="B172" i="27" s="1"/>
  <c r="B173" i="27" s="1"/>
  <c r="B174" i="27" s="1"/>
  <c r="B175" i="27" s="1"/>
  <c r="B176" i="27" s="1"/>
  <c r="B177" i="27" s="1"/>
  <c r="B178" i="27" s="1"/>
  <c r="B179" i="27" s="1"/>
  <c r="B180" i="27" s="1"/>
  <c r="B181" i="27" s="1"/>
  <c r="B182" i="27" s="1"/>
  <c r="B183" i="27" s="1"/>
  <c r="B184" i="27" s="1"/>
  <c r="B185" i="27" s="1"/>
  <c r="B186" i="27" s="1"/>
  <c r="B187" i="27" s="1"/>
  <c r="B188" i="27" s="1"/>
  <c r="B189" i="27" s="1"/>
  <c r="B190" i="27" s="1"/>
  <c r="B191" i="27" s="1"/>
  <c r="B192" i="27" s="1"/>
  <c r="B193" i="27" s="1"/>
  <c r="B194" i="27" s="1"/>
  <c r="B195" i="27" s="1"/>
  <c r="B196" i="27" s="1"/>
  <c r="B197" i="27" s="1"/>
  <c r="B198" i="27" s="1"/>
  <c r="B199" i="27" s="1"/>
  <c r="B200" i="27" s="1"/>
  <c r="B201" i="27" s="1"/>
  <c r="B202" i="27" s="1"/>
  <c r="B203" i="27" s="1"/>
  <c r="B204" i="27" s="1"/>
  <c r="B205" i="27" s="1"/>
  <c r="B206" i="27" s="1"/>
  <c r="B207" i="27" s="1"/>
  <c r="B208" i="27" s="1"/>
  <c r="B209" i="27" s="1"/>
  <c r="B210" i="27" s="1"/>
  <c r="B211" i="27" s="1"/>
  <c r="B212" i="27" s="1"/>
  <c r="B213" i="27" s="1"/>
  <c r="B214" i="27" s="1"/>
  <c r="B215" i="27" s="1"/>
  <c r="B216" i="27" s="1"/>
  <c r="B217" i="27" s="1"/>
  <c r="B218" i="27" s="1"/>
  <c r="B219" i="27" s="1"/>
  <c r="B220" i="27" s="1"/>
  <c r="B221" i="27" s="1"/>
  <c r="B222" i="27" s="1"/>
  <c r="B223" i="27" s="1"/>
  <c r="B224" i="27" s="1"/>
  <c r="B225" i="27" s="1"/>
  <c r="B226" i="27" s="1"/>
  <c r="B227" i="27" s="1"/>
  <c r="B228" i="27" s="1"/>
  <c r="B229" i="27" s="1"/>
  <c r="B230" i="27" s="1"/>
  <c r="B231" i="27" s="1"/>
  <c r="B232" i="27" s="1"/>
  <c r="B233" i="27" s="1"/>
  <c r="B234" i="27" s="1"/>
  <c r="B235" i="27" s="1"/>
  <c r="B236" i="27" s="1"/>
  <c r="B237" i="27" s="1"/>
  <c r="B238" i="27" s="1"/>
  <c r="B239" i="27" s="1"/>
  <c r="B240" i="27" s="1"/>
  <c r="B241" i="27" s="1"/>
  <c r="B242" i="27" s="1"/>
  <c r="B243" i="27" s="1"/>
  <c r="B244" i="27" s="1"/>
  <c r="B245" i="27" s="1"/>
  <c r="B246" i="27" s="1"/>
  <c r="B247" i="27" s="1"/>
  <c r="S7" i="27" s="1"/>
  <c r="D8" i="27" a="1"/>
  <c r="D8" i="27" s="1"/>
  <c r="Q11" i="27" a="1"/>
  <c r="Q11" i="27" s="1"/>
  <c r="L12" i="27"/>
  <c r="D7" i="25" a="1"/>
  <c r="D7" i="25" s="1"/>
  <c r="M44" i="21"/>
  <c r="M45" i="21" s="1"/>
  <c r="M46" i="21" s="1"/>
  <c r="O43" i="21"/>
  <c r="I8" i="23"/>
  <c r="H8" i="23"/>
  <c r="F8" i="23"/>
  <c r="E8" i="23"/>
  <c r="N8" i="23"/>
  <c r="D8" i="23"/>
  <c r="L8" i="23"/>
  <c r="M8" i="23"/>
  <c r="J8" i="23"/>
  <c r="Z11" i="25"/>
  <c r="N40" i="38"/>
  <c r="M40" i="38"/>
  <c r="L41" i="38"/>
  <c r="L42" i="38" s="1"/>
  <c r="L43" i="38" s="1"/>
  <c r="AW14" i="32" a="1"/>
  <c r="AW14" i="32" s="1"/>
  <c r="AS14" i="32" a="1"/>
  <c r="AS14" i="32" s="1"/>
  <c r="AO14" i="32" a="1"/>
  <c r="AO14" i="32" s="1"/>
  <c r="AK14" i="32" a="1"/>
  <c r="AK14" i="32" s="1"/>
  <c r="AU14" i="32" a="1"/>
  <c r="AU14" i="32" s="1"/>
  <c r="AQ14" i="32" a="1"/>
  <c r="AQ14" i="32" s="1"/>
  <c r="AM14" i="32" a="1"/>
  <c r="AM14" i="32" s="1"/>
  <c r="AI14" i="32" a="1"/>
  <c r="AI14" i="32" s="1"/>
  <c r="AJ14" i="32" a="1"/>
  <c r="AJ14" i="32" s="1"/>
  <c r="AT14" i="32" a="1"/>
  <c r="AT14" i="32" s="1"/>
  <c r="AR14" i="32" a="1"/>
  <c r="AR14" i="32" s="1"/>
  <c r="AP14" i="32" a="1"/>
  <c r="AP14" i="32" s="1"/>
  <c r="AN14" i="32" a="1"/>
  <c r="AN14" i="32" s="1"/>
  <c r="AV14" i="32" a="1"/>
  <c r="AV14" i="32" s="1"/>
  <c r="AL14" i="32" a="1"/>
  <c r="AL14" i="32" s="1"/>
  <c r="AJ44" i="17"/>
  <c r="AJ45" i="17" s="1"/>
  <c r="AJ46" i="17" s="1"/>
  <c r="AL43" i="17"/>
  <c r="E44" i="2"/>
  <c r="E45" i="2" s="1"/>
  <c r="E46" i="2" s="1"/>
  <c r="G43" i="2"/>
  <c r="BJ71" i="17"/>
  <c r="BJ72" i="17" s="1"/>
  <c r="BJ73" i="17" s="1"/>
  <c r="BK70" i="17"/>
  <c r="BL70" i="17"/>
  <c r="E44" i="36"/>
  <c r="E45" i="36" s="1"/>
  <c r="E46" i="36" s="1"/>
  <c r="G43" i="36"/>
  <c r="F43" i="36"/>
  <c r="W43" i="40"/>
  <c r="E105" i="31" s="1"/>
  <c r="J53" i="29"/>
  <c r="J54" i="29" s="1"/>
  <c r="J55" i="29" s="1"/>
  <c r="L52" i="29"/>
  <c r="T40" i="25"/>
  <c r="S40" i="25"/>
  <c r="R41" i="25"/>
  <c r="R42" i="25" s="1"/>
  <c r="R43" i="25" s="1"/>
  <c r="AL26" i="32"/>
  <c r="AK21" i="32" a="1"/>
  <c r="AM37" i="32"/>
  <c r="G49" i="39" l="1"/>
  <c r="E50" i="39"/>
  <c r="E51" i="39" s="1"/>
  <c r="E52" i="39" s="1"/>
  <c r="B27" i="39"/>
  <c r="E50" i="40"/>
  <c r="E51" i="40" s="1"/>
  <c r="E52" i="40" s="1"/>
  <c r="G49" i="40"/>
  <c r="AK21" i="32"/>
  <c r="AK34" i="32" s="1"/>
  <c r="AK36" i="32" s="1"/>
  <c r="T8" i="21"/>
  <c r="E8" i="21"/>
  <c r="CA49" i="28"/>
  <c r="BY50" i="28"/>
  <c r="BY51" i="28" s="1"/>
  <c r="BY52" i="28" s="1"/>
  <c r="Q56" i="29"/>
  <c r="R56" i="29" s="1"/>
  <c r="S55" i="29"/>
  <c r="H87" i="23"/>
  <c r="N87" i="23"/>
  <c r="D87" i="23"/>
  <c r="M87" i="23"/>
  <c r="L87" i="23"/>
  <c r="J87" i="23"/>
  <c r="I87" i="23"/>
  <c r="F87" i="23"/>
  <c r="E87" i="23"/>
  <c r="BN5" i="32"/>
  <c r="BF5" i="32"/>
  <c r="BM5" i="32"/>
  <c r="BE5" i="32"/>
  <c r="BL5" i="32"/>
  <c r="BD5" i="32"/>
  <c r="AX6" i="32"/>
  <c r="BK5" i="32"/>
  <c r="BC5" i="32"/>
  <c r="BJ5" i="32"/>
  <c r="BB5" i="32"/>
  <c r="BI5" i="32"/>
  <c r="BA5" i="32"/>
  <c r="BH5" i="32"/>
  <c r="BG5" i="32"/>
  <c r="AZ5" i="32"/>
  <c r="AY5" i="32"/>
  <c r="AD41" i="17"/>
  <c r="AD42" i="17" s="1"/>
  <c r="AD43" i="17" s="1"/>
  <c r="AF40" i="17"/>
  <c r="B27" i="36"/>
  <c r="B28" i="36" s="1"/>
  <c r="B29" i="36" s="1"/>
  <c r="B30" i="36" s="1"/>
  <c r="B31" i="36" s="1"/>
  <c r="B32" i="36" s="1"/>
  <c r="B33" i="36" s="1"/>
  <c r="B34" i="36" s="1"/>
  <c r="B35" i="36" s="1"/>
  <c r="B36" i="36" s="1"/>
  <c r="B37" i="36" s="1"/>
  <c r="B38" i="36" s="1"/>
  <c r="B39" i="36" s="1"/>
  <c r="B40" i="36" s="1"/>
  <c r="B41" i="36" s="1"/>
  <c r="B42" i="36" s="1"/>
  <c r="B43" i="36" s="1"/>
  <c r="B44" i="36" s="1"/>
  <c r="B45" i="36" s="1"/>
  <c r="B46" i="36" s="1"/>
  <c r="B47" i="36" s="1"/>
  <c r="B48" i="36" s="1"/>
  <c r="B49" i="36" s="1"/>
  <c r="B50" i="36" s="1"/>
  <c r="B51" i="36" s="1"/>
  <c r="B52" i="36" s="1"/>
  <c r="B53" i="36" s="1"/>
  <c r="B54" i="36" s="1"/>
  <c r="B55" i="36" s="1"/>
  <c r="B56" i="36" s="1"/>
  <c r="B57" i="36" s="1"/>
  <c r="B58" i="36" s="1"/>
  <c r="B59" i="36" s="1"/>
  <c r="B60" i="36" s="1"/>
  <c r="B61" i="36" s="1"/>
  <c r="B62" i="36" s="1"/>
  <c r="B63" i="36" s="1"/>
  <c r="B64" i="36" s="1"/>
  <c r="B65" i="36" s="1"/>
  <c r="B66" i="36" s="1"/>
  <c r="B67" i="36" s="1"/>
  <c r="B68" i="36" s="1"/>
  <c r="B69" i="36" s="1"/>
  <c r="B70" i="36" s="1"/>
  <c r="B71" i="36" s="1"/>
  <c r="B72" i="36" s="1"/>
  <c r="B73" i="36" s="1"/>
  <c r="B74" i="36" s="1"/>
  <c r="B75" i="36" s="1"/>
  <c r="B76" i="36" s="1"/>
  <c r="B77" i="36" s="1"/>
  <c r="B78" i="36" s="1"/>
  <c r="B79" i="36" s="1"/>
  <c r="B80" i="36" s="1"/>
  <c r="B81" i="36" s="1"/>
  <c r="B82" i="36" s="1"/>
  <c r="B83" i="36" s="1"/>
  <c r="B84" i="36" s="1"/>
  <c r="B85" i="36" s="1"/>
  <c r="B86" i="36" s="1"/>
  <c r="B87" i="36" s="1"/>
  <c r="B88" i="36" s="1"/>
  <c r="B89" i="36" s="1"/>
  <c r="B90" i="36" s="1"/>
  <c r="B91" i="36" s="1"/>
  <c r="B92" i="36" s="1"/>
  <c r="B93" i="36" s="1"/>
  <c r="B94" i="36" s="1"/>
  <c r="B95" i="36" s="1"/>
  <c r="B96" i="36" s="1"/>
  <c r="B97" i="36" s="1"/>
  <c r="B98" i="36" s="1"/>
  <c r="B99" i="36" s="1"/>
  <c r="B100" i="36" s="1"/>
  <c r="B101" i="36" s="1"/>
  <c r="B102" i="36" s="1"/>
  <c r="B103" i="36" s="1"/>
  <c r="B104" i="36" s="1"/>
  <c r="B105" i="36" s="1"/>
  <c r="B106" i="36" s="1"/>
  <c r="B107" i="36" s="1"/>
  <c r="B108" i="36" s="1"/>
  <c r="B109" i="36" s="1"/>
  <c r="B110" i="36" s="1"/>
  <c r="B111" i="36" s="1"/>
  <c r="B112" i="36" s="1"/>
  <c r="B113" i="36" s="1"/>
  <c r="B114" i="36" s="1"/>
  <c r="B115" i="36" s="1"/>
  <c r="B116" i="36" s="1"/>
  <c r="B117" i="36" s="1"/>
  <c r="B118" i="36" s="1"/>
  <c r="B119" i="36" s="1"/>
  <c r="B120" i="36" s="1"/>
  <c r="B121" i="36" s="1"/>
  <c r="B122" i="36" s="1"/>
  <c r="B123" i="36" s="1"/>
  <c r="B124" i="36" s="1"/>
  <c r="B125" i="36" s="1"/>
  <c r="B126" i="36" s="1"/>
  <c r="B127" i="36" s="1"/>
  <c r="B128" i="36" s="1"/>
  <c r="B129" i="36" s="1"/>
  <c r="B130" i="36" s="1"/>
  <c r="B131" i="36" s="1"/>
  <c r="B132" i="36" s="1"/>
  <c r="B133" i="36" s="1"/>
  <c r="B134" i="36" s="1"/>
  <c r="B135" i="36" s="1"/>
  <c r="B136" i="36" s="1"/>
  <c r="B137" i="36" s="1"/>
  <c r="B138" i="36" s="1"/>
  <c r="B139" i="36" s="1"/>
  <c r="B140" i="36" s="1"/>
  <c r="B141" i="36" s="1"/>
  <c r="B142" i="36" s="1"/>
  <c r="B143" i="36" s="1"/>
  <c r="B144" i="36" s="1"/>
  <c r="B145" i="36" s="1"/>
  <c r="B146" i="36" s="1"/>
  <c r="B147" i="36" s="1"/>
  <c r="B148" i="36" s="1"/>
  <c r="B149" i="36" s="1"/>
  <c r="B150" i="36" s="1"/>
  <c r="B151" i="36" s="1"/>
  <c r="B152" i="36" s="1"/>
  <c r="B153" i="36" s="1"/>
  <c r="B154" i="36" s="1"/>
  <c r="B155" i="36" s="1"/>
  <c r="B156" i="36" s="1"/>
  <c r="B157" i="36" s="1"/>
  <c r="B158" i="36" s="1"/>
  <c r="B159" i="36" s="1"/>
  <c r="B160" i="36" s="1"/>
  <c r="B161" i="36" s="1"/>
  <c r="B162" i="36" s="1"/>
  <c r="B163" i="36" s="1"/>
  <c r="B164" i="36" s="1"/>
  <c r="B165" i="36" s="1"/>
  <c r="B166" i="36" s="1"/>
  <c r="B167" i="36" s="1"/>
  <c r="B168" i="36" s="1"/>
  <c r="B169" i="36" s="1"/>
  <c r="B170" i="36" s="1"/>
  <c r="B171" i="36" s="1"/>
  <c r="B172" i="36" s="1"/>
  <c r="B173" i="36" s="1"/>
  <c r="B174" i="36" s="1"/>
  <c r="B175" i="36" s="1"/>
  <c r="B176" i="36" s="1"/>
  <c r="B177" i="36" s="1"/>
  <c r="B178" i="36" s="1"/>
  <c r="B179" i="36" s="1"/>
  <c r="B180" i="36" s="1"/>
  <c r="B181" i="36" s="1"/>
  <c r="B182" i="36" s="1"/>
  <c r="B183" i="36" s="1"/>
  <c r="B184" i="36" s="1"/>
  <c r="B185" i="36" s="1"/>
  <c r="B186" i="36" s="1"/>
  <c r="B187" i="36" s="1"/>
  <c r="B188" i="36" s="1"/>
  <c r="B189" i="36" s="1"/>
  <c r="B190" i="36" s="1"/>
  <c r="B191" i="36" s="1"/>
  <c r="B192" i="36" s="1"/>
  <c r="B193" i="36" s="1"/>
  <c r="B194" i="36" s="1"/>
  <c r="B195" i="36" s="1"/>
  <c r="B196" i="36" s="1"/>
  <c r="B197" i="36" s="1"/>
  <c r="B198" i="36" s="1"/>
  <c r="B199" i="36" s="1"/>
  <c r="B200" i="36" s="1"/>
  <c r="B201" i="36" s="1"/>
  <c r="B202" i="36" s="1"/>
  <c r="B203" i="36" s="1"/>
  <c r="B204" i="36" s="1"/>
  <c r="B205" i="36" s="1"/>
  <c r="B206" i="36" s="1"/>
  <c r="B207" i="36" s="1"/>
  <c r="B208" i="36" s="1"/>
  <c r="B209" i="36" s="1"/>
  <c r="B210" i="36" s="1"/>
  <c r="B211" i="36" s="1"/>
  <c r="B212" i="36" s="1"/>
  <c r="B213" i="36" s="1"/>
  <c r="B214" i="36" s="1"/>
  <c r="B215" i="36" s="1"/>
  <c r="B216" i="36" s="1"/>
  <c r="B217" i="36" s="1"/>
  <c r="B218" i="36" s="1"/>
  <c r="B219" i="36" s="1"/>
  <c r="B220" i="36" s="1"/>
  <c r="B221" i="36" s="1"/>
  <c r="B222" i="36" s="1"/>
  <c r="B223" i="36" s="1"/>
  <c r="B224" i="36" s="1"/>
  <c r="B225" i="36" s="1"/>
  <c r="B226" i="36" s="1"/>
  <c r="B227" i="36" s="1"/>
  <c r="B228" i="36" s="1"/>
  <c r="B229" i="36" s="1"/>
  <c r="B230" i="36" s="1"/>
  <c r="B231" i="36" s="1"/>
  <c r="B232" i="36" s="1"/>
  <c r="B233" i="36" s="1"/>
  <c r="B234" i="36" s="1"/>
  <c r="B235" i="36" s="1"/>
  <c r="B236" i="36" s="1"/>
  <c r="B237" i="36" s="1"/>
  <c r="B238" i="36" s="1"/>
  <c r="B239" i="36" s="1"/>
  <c r="B240" i="36" s="1"/>
  <c r="B241" i="36" s="1"/>
  <c r="B242" i="36" s="1"/>
  <c r="B243" i="36" s="1"/>
  <c r="B244" i="36" s="1"/>
  <c r="B245" i="36" s="1"/>
  <c r="B246" i="36" s="1"/>
  <c r="B247" i="36" s="1"/>
  <c r="B248" i="36" s="1"/>
  <c r="B249" i="36" s="1"/>
  <c r="B250" i="36" s="1"/>
  <c r="B251" i="36" s="1"/>
  <c r="B252" i="36" s="1"/>
  <c r="B253" i="36" s="1"/>
  <c r="B254" i="36" s="1"/>
  <c r="B255" i="36" s="1"/>
  <c r="B256" i="36" s="1"/>
  <c r="B257" i="36" s="1"/>
  <c r="B258" i="36" s="1"/>
  <c r="B259" i="36" s="1"/>
  <c r="B260" i="36" s="1"/>
  <c r="B261" i="36" s="1"/>
  <c r="B262" i="36" s="1"/>
  <c r="B263" i="36" s="1"/>
  <c r="B264" i="36" s="1"/>
  <c r="B265" i="36" s="1"/>
  <c r="B266" i="36" s="1"/>
  <c r="B267" i="36" s="1"/>
  <c r="B268" i="36" s="1"/>
  <c r="B269" i="36" s="1"/>
  <c r="B270" i="36" s="1"/>
  <c r="B271" i="36" s="1"/>
  <c r="B272" i="36" s="1"/>
  <c r="B273" i="36" s="1"/>
  <c r="B274" i="36" s="1"/>
  <c r="B275" i="36" s="1"/>
  <c r="B276" i="36" s="1"/>
  <c r="B277" i="36" s="1"/>
  <c r="B278" i="36" s="1"/>
  <c r="B279" i="36" s="1"/>
  <c r="B280" i="36" s="1"/>
  <c r="B281" i="36" s="1"/>
  <c r="B282" i="36" s="1"/>
  <c r="B283" i="36" s="1"/>
  <c r="B284" i="36" s="1"/>
  <c r="B285" i="36" s="1"/>
  <c r="B286" i="36" s="1"/>
  <c r="B287" i="36" s="1"/>
  <c r="B288" i="36" s="1"/>
  <c r="B289" i="36" s="1"/>
  <c r="B290" i="36" s="1"/>
  <c r="B291" i="36" s="1"/>
  <c r="B292" i="36" s="1"/>
  <c r="B293" i="36" s="1"/>
  <c r="B294" i="36" s="1"/>
  <c r="B295" i="36" s="1"/>
  <c r="B296" i="36" s="1"/>
  <c r="B297" i="36" s="1"/>
  <c r="B298" i="36" s="1"/>
  <c r="B299" i="36" s="1"/>
  <c r="B300" i="36" s="1"/>
  <c r="B301" i="36" s="1"/>
  <c r="B302" i="36" s="1"/>
  <c r="B303" i="36" s="1"/>
  <c r="B304" i="36" s="1"/>
  <c r="B305" i="36" s="1"/>
  <c r="B306" i="36" s="1"/>
  <c r="B307" i="36" s="1"/>
  <c r="B308" i="36" s="1"/>
  <c r="B309" i="36" s="1"/>
  <c r="B310" i="36" s="1"/>
  <c r="B29" i="12"/>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109" i="12" s="1"/>
  <c r="B110" i="12" s="1"/>
  <c r="B111" i="12" s="1"/>
  <c r="B112" i="12" s="1"/>
  <c r="B113" i="12" s="1"/>
  <c r="B114" i="12" s="1"/>
  <c r="B115" i="12" s="1"/>
  <c r="B116" i="12" s="1"/>
  <c r="B117" i="12" s="1"/>
  <c r="B118" i="12" s="1"/>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2" i="12" s="1"/>
  <c r="B153" i="12" s="1"/>
  <c r="B154" i="12" s="1"/>
  <c r="B155" i="12" s="1"/>
  <c r="B156" i="12" s="1"/>
  <c r="B157" i="12" s="1"/>
  <c r="B158" i="12" s="1"/>
  <c r="B159" i="12" s="1"/>
  <c r="B160" i="12" s="1"/>
  <c r="B161" i="12" s="1"/>
  <c r="B162" i="12" s="1"/>
  <c r="B163" i="12" s="1"/>
  <c r="B164" i="12" s="1"/>
  <c r="B165" i="12" s="1"/>
  <c r="B166" i="12" s="1"/>
  <c r="B167" i="12" s="1"/>
  <c r="B168" i="12" s="1"/>
  <c r="B169" i="12" s="1"/>
  <c r="B170" i="12" s="1"/>
  <c r="B171" i="12" s="1"/>
  <c r="B172" i="12" s="1"/>
  <c r="B173" i="12" s="1"/>
  <c r="B174" i="12" s="1"/>
  <c r="B175" i="12" s="1"/>
  <c r="B176" i="12" s="1"/>
  <c r="B177" i="12" s="1"/>
  <c r="B178" i="12" s="1"/>
  <c r="B179" i="12" s="1"/>
  <c r="B180" i="12" s="1"/>
  <c r="B181" i="12" s="1"/>
  <c r="B182" i="12" s="1"/>
  <c r="B183" i="12" s="1"/>
  <c r="B184" i="12" s="1"/>
  <c r="B185" i="12" s="1"/>
  <c r="B186" i="12" s="1"/>
  <c r="B187" i="12" s="1"/>
  <c r="B188" i="12" s="1"/>
  <c r="B189" i="12" s="1"/>
  <c r="B190" i="12" s="1"/>
  <c r="B191" i="12" s="1"/>
  <c r="B192" i="12" s="1"/>
  <c r="B193" i="12" s="1"/>
  <c r="B194" i="12" s="1"/>
  <c r="B195" i="12" s="1"/>
  <c r="B196" i="12" s="1"/>
  <c r="B197" i="12" s="1"/>
  <c r="B198" i="12" s="1"/>
  <c r="B199" i="12" s="1"/>
  <c r="B200" i="12" s="1"/>
  <c r="B201" i="12" s="1"/>
  <c r="B202" i="12" s="1"/>
  <c r="B203" i="12" s="1"/>
  <c r="B204" i="12" s="1"/>
  <c r="B205" i="12" s="1"/>
  <c r="B206" i="12" s="1"/>
  <c r="B207" i="12" s="1"/>
  <c r="B208" i="12" s="1"/>
  <c r="B209" i="12" s="1"/>
  <c r="B210" i="12" s="1"/>
  <c r="B211" i="12" s="1"/>
  <c r="B212" i="12" s="1"/>
  <c r="B213" i="12" s="1"/>
  <c r="B214" i="12" s="1"/>
  <c r="B215" i="12" s="1"/>
  <c r="B216" i="12" s="1"/>
  <c r="B217" i="12" s="1"/>
  <c r="B218" i="12" s="1"/>
  <c r="B219" i="12" s="1"/>
  <c r="B220" i="12" s="1"/>
  <c r="B221" i="12" s="1"/>
  <c r="L10" i="27"/>
  <c r="K8" i="27" a="1"/>
  <c r="K8" i="27" s="1"/>
  <c r="E8" i="27" s="1"/>
  <c r="L9" i="27"/>
  <c r="Q44" i="28"/>
  <c r="Q45" i="28" s="1"/>
  <c r="Q46" i="28" s="1"/>
  <c r="S43" i="28"/>
  <c r="G46" i="25"/>
  <c r="E47" i="25"/>
  <c r="E48" i="25" s="1"/>
  <c r="E49" i="25" s="1"/>
  <c r="AA301" i="25"/>
  <c r="Y302" i="25"/>
  <c r="Y303" i="25" s="1"/>
  <c r="Y304" i="25" s="1"/>
  <c r="G7" i="21"/>
  <c r="U10" i="21"/>
  <c r="O11" i="21"/>
  <c r="W12" i="21"/>
  <c r="N9" i="21"/>
  <c r="U8" i="41"/>
  <c r="AN25" i="32"/>
  <c r="N46" i="1"/>
  <c r="L47" i="1"/>
  <c r="L48" i="1" s="1"/>
  <c r="L49" i="1" s="1"/>
  <c r="F8" i="2"/>
  <c r="F9" i="2"/>
  <c r="D13" i="2" a="1"/>
  <c r="D13" i="2" s="1"/>
  <c r="Y46" i="17"/>
  <c r="X46" i="17"/>
  <c r="W47" i="17"/>
  <c r="W48" i="17" s="1"/>
  <c r="W49" i="17" s="1"/>
  <c r="X13" i="25" a="1"/>
  <c r="X13" i="25" s="1"/>
  <c r="Y13" i="25" s="1"/>
  <c r="H11" i="25"/>
  <c r="F6" i="25"/>
  <c r="T49" i="36"/>
  <c r="R50" i="36"/>
  <c r="R51" i="36" s="1"/>
  <c r="R52" i="36" s="1"/>
  <c r="B26" i="28"/>
  <c r="Y47" i="1"/>
  <c r="Y48" i="1" s="1"/>
  <c r="Y49" i="1" s="1"/>
  <c r="AA46" i="1"/>
  <c r="L47" i="25"/>
  <c r="L48" i="25" s="1"/>
  <c r="L49" i="25" s="1"/>
  <c r="N46" i="25"/>
  <c r="E9" i="23"/>
  <c r="N9" i="23"/>
  <c r="D9" i="23"/>
  <c r="M9" i="23"/>
  <c r="L9" i="23"/>
  <c r="J9" i="23"/>
  <c r="H9" i="23"/>
  <c r="I9" i="23"/>
  <c r="F9" i="23"/>
  <c r="BF43" i="28"/>
  <c r="BD44" i="28"/>
  <c r="BD45" i="28" s="1"/>
  <c r="BD46" i="28" s="1"/>
  <c r="T47" i="21"/>
  <c r="T48" i="21" s="1"/>
  <c r="T49" i="21" s="1"/>
  <c r="V46" i="21"/>
  <c r="AA45" i="41"/>
  <c r="AA46" i="41" s="1"/>
  <c r="AA47" i="41" s="1"/>
  <c r="AC44" i="41"/>
  <c r="E47" i="36"/>
  <c r="E48" i="36" s="1"/>
  <c r="E49" i="36" s="1"/>
  <c r="G46" i="36"/>
  <c r="G14" i="24"/>
  <c r="H21" i="31"/>
  <c r="M5" i="41" a="1"/>
  <c r="M5" i="41" s="1"/>
  <c r="S6" i="27"/>
  <c r="R89" i="23"/>
  <c r="C89" i="23" s="1"/>
  <c r="B88" i="23"/>
  <c r="C88" i="23"/>
  <c r="D10" i="27" a="1"/>
  <c r="D10" i="27" s="1"/>
  <c r="R47" i="1"/>
  <c r="R48" i="1" s="1"/>
  <c r="R49" i="1" s="1"/>
  <c r="T46" i="1"/>
  <c r="D9" i="21" a="1"/>
  <c r="D9" i="21" s="1"/>
  <c r="S9" i="21" a="1"/>
  <c r="S9" i="21" s="1"/>
  <c r="D13" i="21" a="1"/>
  <c r="D13" i="21" s="1"/>
  <c r="E13" i="21" s="1"/>
  <c r="P6" i="21"/>
  <c r="F7" i="21"/>
  <c r="S13" i="21" a="1"/>
  <c r="S13" i="21" s="1"/>
  <c r="T13" i="21" s="1"/>
  <c r="N11" i="21"/>
  <c r="G11" i="21"/>
  <c r="U9" i="21"/>
  <c r="O13" i="21"/>
  <c r="V13" i="21"/>
  <c r="V9" i="21"/>
  <c r="F12" i="21"/>
  <c r="S3" i="21" s="1"/>
  <c r="H10" i="21"/>
  <c r="D10" i="21" a="1"/>
  <c r="D10" i="21" s="1"/>
  <c r="G13" i="21"/>
  <c r="L10" i="21" a="1"/>
  <c r="L10" i="21" s="1"/>
  <c r="M10" i="21" s="1"/>
  <c r="O12" i="21"/>
  <c r="G6" i="21"/>
  <c r="L9" i="21" a="1"/>
  <c r="L9" i="21" s="1"/>
  <c r="M9" i="21" s="1"/>
  <c r="S7" i="21" a="1"/>
  <c r="S7" i="21" s="1"/>
  <c r="T7" i="21" s="1"/>
  <c r="N6" i="21"/>
  <c r="G10" i="21"/>
  <c r="U6" i="21"/>
  <c r="V11" i="21"/>
  <c r="H8" i="21"/>
  <c r="G8" i="21"/>
  <c r="O8" i="21"/>
  <c r="O6" i="21"/>
  <c r="G12" i="21"/>
  <c r="W8" i="21"/>
  <c r="S12" i="21" a="1"/>
  <c r="S12" i="21" s="1"/>
  <c r="V6" i="21"/>
  <c r="L11" i="21" a="1"/>
  <c r="L11" i="21" s="1"/>
  <c r="M11" i="21" s="1"/>
  <c r="W9" i="21"/>
  <c r="V12" i="21"/>
  <c r="O9" i="21"/>
  <c r="P12" i="21"/>
  <c r="N7" i="21"/>
  <c r="L12" i="21" a="1"/>
  <c r="L12" i="21" s="1"/>
  <c r="M12" i="21" s="1"/>
  <c r="S6" i="21" a="1"/>
  <c r="S6" i="21" s="1"/>
  <c r="W13" i="21"/>
  <c r="D12" i="21" a="1"/>
  <c r="D12" i="21" s="1"/>
  <c r="F6" i="21"/>
  <c r="V6" i="41"/>
  <c r="EB7" i="32"/>
  <c r="DT7" i="32"/>
  <c r="EA7" i="32"/>
  <c r="DS7" i="32"/>
  <c r="EH7" i="32"/>
  <c r="DZ7" i="32"/>
  <c r="EG7" i="32"/>
  <c r="DY7" i="32"/>
  <c r="EF7" i="32"/>
  <c r="DX7" i="32"/>
  <c r="DR8" i="32"/>
  <c r="EE7" i="32"/>
  <c r="DW7" i="32"/>
  <c r="DV7" i="32"/>
  <c r="DU7" i="32"/>
  <c r="ED7" i="32"/>
  <c r="EC7" i="32"/>
  <c r="S11" i="2"/>
  <c r="G11" i="2"/>
  <c r="F11" i="2"/>
  <c r="L11" i="2"/>
  <c r="J20" i="31"/>
  <c r="K10" i="2" a="1"/>
  <c r="K10" i="2" s="1"/>
  <c r="T12" i="2"/>
  <c r="M5" i="2"/>
  <c r="F7" i="2"/>
  <c r="G8" i="2"/>
  <c r="G10" i="2"/>
  <c r="L6" i="2"/>
  <c r="L10" i="2"/>
  <c r="E6" i="10" s="1"/>
  <c r="B3" i="10"/>
  <c r="K8" i="2" a="1"/>
  <c r="K8" i="2" s="1"/>
  <c r="C39" i="22" s="1"/>
  <c r="M12" i="22" s="1"/>
  <c r="M11" i="2"/>
  <c r="F12" i="2"/>
  <c r="G12" i="2"/>
  <c r="L8" i="2"/>
  <c r="Q10" i="2" a="1"/>
  <c r="Q10" i="2" s="1"/>
  <c r="K12" i="2" a="1"/>
  <c r="K12" i="2" s="1"/>
  <c r="D7" i="2" a="1"/>
  <c r="D7" i="2" s="1"/>
  <c r="E7" i="2" s="1"/>
  <c r="E13" i="24"/>
  <c r="K6" i="2" a="1"/>
  <c r="K6" i="2" s="1"/>
  <c r="C31" i="22" s="1"/>
  <c r="L12" i="22" s="1"/>
  <c r="S10" i="2"/>
  <c r="Q11" i="2" a="1"/>
  <c r="Q11" i="2" s="1"/>
  <c r="F13" i="2"/>
  <c r="K13" i="2" a="1"/>
  <c r="K13" i="2" s="1"/>
  <c r="R13" i="2" s="1"/>
  <c r="H11" i="2"/>
  <c r="D8" i="2" a="1"/>
  <c r="D8" i="2" s="1"/>
  <c r="T8" i="2"/>
  <c r="S9" i="2"/>
  <c r="F10" i="2"/>
  <c r="E3" i="10" s="1"/>
  <c r="K9" i="2" a="1"/>
  <c r="K9" i="2" s="1"/>
  <c r="Q8" i="2" a="1"/>
  <c r="Q8" i="2" s="1"/>
  <c r="H12" i="2"/>
  <c r="H9" i="2"/>
  <c r="K11" i="2" a="1"/>
  <c r="K11" i="2" s="1"/>
  <c r="E11" i="2" s="1"/>
  <c r="D9" i="2" a="1"/>
  <c r="D9" i="2" s="1"/>
  <c r="T10" i="2"/>
  <c r="M13" i="2"/>
  <c r="Q12" i="2" a="1"/>
  <c r="Q12" i="2" s="1"/>
  <c r="E15" i="24"/>
  <c r="G1" i="24"/>
  <c r="G2" i="24" s="1"/>
  <c r="L7" i="2"/>
  <c r="L12" i="2"/>
  <c r="B6" i="10"/>
  <c r="D6" i="2" a="1"/>
  <c r="D6" i="2" s="1"/>
  <c r="D12" i="2" a="1"/>
  <c r="D12" i="2" s="1"/>
  <c r="S7" i="2"/>
  <c r="G7" i="2"/>
  <c r="T13" i="2"/>
  <c r="S12" i="2"/>
  <c r="D10" i="2" a="1"/>
  <c r="D10" i="2" s="1"/>
  <c r="G6" i="2"/>
  <c r="Q9" i="2" a="1"/>
  <c r="Q9" i="2" s="1"/>
  <c r="Q6" i="2" a="1"/>
  <c r="Q6" i="2" s="1"/>
  <c r="Q7" i="2" a="1"/>
  <c r="Q7" i="2" s="1"/>
  <c r="R7" i="2" s="1"/>
  <c r="H6" i="2"/>
  <c r="D8" i="25" a="1"/>
  <c r="D8" i="25" s="1"/>
  <c r="U13" i="25"/>
  <c r="Z9" i="25"/>
  <c r="H6" i="25"/>
  <c r="M6" i="25"/>
  <c r="G9" i="25"/>
  <c r="F13" i="25"/>
  <c r="AA13" i="25"/>
  <c r="F7" i="25"/>
  <c r="D12" i="25" a="1"/>
  <c r="D12" i="25" s="1"/>
  <c r="G13" i="25"/>
  <c r="U7" i="25"/>
  <c r="H12" i="25"/>
  <c r="M10" i="25"/>
  <c r="Q5" i="25" a="1"/>
  <c r="Q5" i="25" s="1"/>
  <c r="AA12" i="25"/>
  <c r="F12" i="25"/>
  <c r="X9" i="25" a="1"/>
  <c r="X9" i="25" s="1"/>
  <c r="Q10" i="25" a="1"/>
  <c r="Q10" i="25" s="1"/>
  <c r="AA11" i="25"/>
  <c r="AA6" i="25"/>
  <c r="H9" i="25"/>
  <c r="K7" i="25" a="1"/>
  <c r="K7" i="25" s="1"/>
  <c r="E7" i="25" s="1"/>
  <c r="T7" i="25"/>
  <c r="F8" i="25"/>
  <c r="Z12" i="25"/>
  <c r="Z13" i="25"/>
  <c r="T12" i="25"/>
  <c r="H7" i="25"/>
  <c r="H10" i="25"/>
  <c r="Q8" i="25" a="1"/>
  <c r="Q8" i="25" s="1"/>
  <c r="AA7" i="25"/>
  <c r="F11" i="25"/>
  <c r="AA9" i="25"/>
  <c r="Q9" i="25" a="1"/>
  <c r="Q9" i="25" s="1"/>
  <c r="S12" i="25"/>
  <c r="X12" i="25" a="1"/>
  <c r="X12" i="25" s="1"/>
  <c r="T8" i="25"/>
  <c r="D11" i="25" a="1"/>
  <c r="D11" i="25" s="1"/>
  <c r="M11" i="25"/>
  <c r="H8" i="25"/>
  <c r="Z7" i="25"/>
  <c r="S11" i="25"/>
  <c r="F9" i="25"/>
  <c r="T11" i="25"/>
  <c r="AA8" i="25"/>
  <c r="T9" i="25"/>
  <c r="L12" i="25"/>
  <c r="D13" i="25" a="1"/>
  <c r="D13" i="25" s="1"/>
  <c r="U8" i="25"/>
  <c r="G8" i="25"/>
  <c r="X11" i="25" a="1"/>
  <c r="X11" i="25" s="1"/>
  <c r="K8" i="25" a="1"/>
  <c r="K8" i="25" s="1"/>
  <c r="D6" i="25" a="1"/>
  <c r="D6" i="25" s="1"/>
  <c r="M8" i="25"/>
  <c r="S9" i="25"/>
  <c r="L8" i="25"/>
  <c r="G12" i="25"/>
  <c r="Q6" i="25" a="1"/>
  <c r="Q6" i="25" s="1"/>
  <c r="L9" i="25"/>
  <c r="M13" i="25"/>
  <c r="T13" i="25"/>
  <c r="G7" i="25"/>
  <c r="Q11" i="25" a="1"/>
  <c r="Q11" i="25" s="1"/>
  <c r="S8" i="25"/>
  <c r="L11" i="25"/>
  <c r="K10" i="25" a="1"/>
  <c r="K10" i="25" s="1"/>
  <c r="E10" i="25" s="1"/>
  <c r="L7" i="25"/>
  <c r="T6" i="25"/>
  <c r="K12" i="25" a="1"/>
  <c r="K12" i="25" s="1"/>
  <c r="R12" i="25" s="1"/>
  <c r="E6" i="24"/>
  <c r="K13" i="25" a="1"/>
  <c r="K13" i="25" s="1"/>
  <c r="U9" i="25"/>
  <c r="K9" i="25" a="1"/>
  <c r="K9" i="25" s="1"/>
  <c r="Y8" i="25" s="1"/>
  <c r="L13" i="25"/>
  <c r="Z8" i="25"/>
  <c r="S7" i="25"/>
  <c r="S6" i="25"/>
  <c r="M12" i="25"/>
  <c r="S10" i="25"/>
  <c r="Q13" i="25" a="1"/>
  <c r="Q13" i="25" s="1"/>
  <c r="X7" i="25" a="1"/>
  <c r="X7" i="25" s="1"/>
  <c r="L10" i="25"/>
  <c r="S13" i="25"/>
  <c r="K11" i="25" a="1"/>
  <c r="K11" i="25" s="1"/>
  <c r="L50" i="36"/>
  <c r="L51" i="36" s="1"/>
  <c r="L52" i="36" s="1"/>
  <c r="N49" i="36"/>
  <c r="G50" i="41"/>
  <c r="E51" i="41"/>
  <c r="E52" i="41" s="1"/>
  <c r="E53" i="41" s="1"/>
  <c r="B27" i="17"/>
  <c r="B28" i="17" s="1"/>
  <c r="B29" i="17" s="1"/>
  <c r="B30" i="17" s="1"/>
  <c r="B31" i="17" s="1"/>
  <c r="B32" i="17" s="1"/>
  <c r="B33" i="17" s="1"/>
  <c r="B34" i="17" s="1"/>
  <c r="B35" i="17" s="1"/>
  <c r="B36" i="17" s="1"/>
  <c r="B37" i="17" s="1"/>
  <c r="B38" i="17" s="1"/>
  <c r="B39" i="17" s="1"/>
  <c r="B40" i="17" s="1"/>
  <c r="B41" i="17" s="1"/>
  <c r="B42" i="17" s="1"/>
  <c r="B43" i="17" s="1"/>
  <c r="L47" i="26"/>
  <c r="L48" i="26" s="1"/>
  <c r="L49" i="26" s="1"/>
  <c r="N46" i="26"/>
  <c r="B11" i="23"/>
  <c r="C10" i="23"/>
  <c r="B27" i="26"/>
  <c r="B28" i="26" s="1"/>
  <c r="B29" i="26" s="1"/>
  <c r="B30" i="26" s="1"/>
  <c r="B31" i="26" s="1"/>
  <c r="B32" i="26" s="1"/>
  <c r="B33" i="26" s="1"/>
  <c r="B34" i="26" s="1"/>
  <c r="B35" i="26" s="1"/>
  <c r="B36" i="26" s="1"/>
  <c r="B37" i="26" s="1"/>
  <c r="B38" i="26" s="1"/>
  <c r="B39" i="26" s="1"/>
  <c r="B40" i="26" s="1"/>
  <c r="B41" i="26" s="1"/>
  <c r="B42" i="26" s="1"/>
  <c r="B43" i="26" s="1"/>
  <c r="B44" i="26" s="1"/>
  <c r="B45" i="26" s="1"/>
  <c r="B46" i="26" s="1"/>
  <c r="B47" i="26" s="1"/>
  <c r="B48" i="26" s="1"/>
  <c r="B49" i="26" s="1"/>
  <c r="B50" i="26" s="1"/>
  <c r="B51" i="26" s="1"/>
  <c r="B52" i="26" s="1"/>
  <c r="B53" i="26" s="1"/>
  <c r="B54" i="26" s="1"/>
  <c r="B55" i="26" s="1"/>
  <c r="B56" i="26" s="1"/>
  <c r="B57" i="26" s="1"/>
  <c r="B58" i="26" s="1"/>
  <c r="B59" i="26" s="1"/>
  <c r="B60" i="26" s="1"/>
  <c r="B61" i="26" s="1"/>
  <c r="B62" i="26" s="1"/>
  <c r="B63" i="26" s="1"/>
  <c r="B64" i="26" s="1"/>
  <c r="B65" i="26" s="1"/>
  <c r="B66" i="26" s="1"/>
  <c r="B67" i="26" s="1"/>
  <c r="B68" i="26" s="1"/>
  <c r="B69" i="26" s="1"/>
  <c r="B70" i="26" s="1"/>
  <c r="B71" i="26" s="1"/>
  <c r="B72" i="26" s="1"/>
  <c r="B73" i="26" s="1"/>
  <c r="B74" i="26" s="1"/>
  <c r="B75" i="26" s="1"/>
  <c r="B76" i="26" s="1"/>
  <c r="B77" i="26" s="1"/>
  <c r="B78" i="26" s="1"/>
  <c r="B79" i="26" s="1"/>
  <c r="B80" i="26" s="1"/>
  <c r="B81" i="26" s="1"/>
  <c r="B82" i="26" s="1"/>
  <c r="B83" i="26" s="1"/>
  <c r="B84" i="26" s="1"/>
  <c r="B85" i="26" s="1"/>
  <c r="B86" i="26" s="1"/>
  <c r="B87" i="26" s="1"/>
  <c r="B88" i="26" s="1"/>
  <c r="B89" i="26" s="1"/>
  <c r="B90" i="26" s="1"/>
  <c r="B91" i="26" s="1"/>
  <c r="B92" i="26" s="1"/>
  <c r="B93" i="26" s="1"/>
  <c r="B94" i="26" s="1"/>
  <c r="B95" i="26" s="1"/>
  <c r="B96" i="26" s="1"/>
  <c r="B97" i="26" s="1"/>
  <c r="B98" i="26" s="1"/>
  <c r="B99" i="26" s="1"/>
  <c r="B100" i="26" s="1"/>
  <c r="B101" i="26" s="1"/>
  <c r="B102" i="26" s="1"/>
  <c r="B103" i="26" s="1"/>
  <c r="B104" i="26" s="1"/>
  <c r="B105" i="26" s="1"/>
  <c r="B106" i="26" s="1"/>
  <c r="B107" i="26" s="1"/>
  <c r="B108" i="26" s="1"/>
  <c r="B109" i="26" s="1"/>
  <c r="B110" i="26" s="1"/>
  <c r="B111" i="26" s="1"/>
  <c r="B112" i="26" s="1"/>
  <c r="B113" i="26" s="1"/>
  <c r="B114" i="26" s="1"/>
  <c r="B115" i="26" s="1"/>
  <c r="B116" i="26" s="1"/>
  <c r="B117" i="26" s="1"/>
  <c r="B118" i="26" s="1"/>
  <c r="B119" i="26" s="1"/>
  <c r="B120" i="26" s="1"/>
  <c r="B121" i="26" s="1"/>
  <c r="B122" i="26" s="1"/>
  <c r="B123" i="26" s="1"/>
  <c r="B124" i="26" s="1"/>
  <c r="B125" i="26" s="1"/>
  <c r="B126" i="26" s="1"/>
  <c r="B127" i="26" s="1"/>
  <c r="B128" i="26" s="1"/>
  <c r="B129" i="26" s="1"/>
  <c r="B130" i="26" s="1"/>
  <c r="B131" i="26" s="1"/>
  <c r="B132" i="26" s="1"/>
  <c r="B133" i="26" s="1"/>
  <c r="B134" i="26" s="1"/>
  <c r="B135" i="26" s="1"/>
  <c r="B136" i="26" s="1"/>
  <c r="B137" i="26" s="1"/>
  <c r="B138" i="26" s="1"/>
  <c r="B139" i="26" s="1"/>
  <c r="B140" i="26" s="1"/>
  <c r="B141" i="26" s="1"/>
  <c r="B142" i="26" s="1"/>
  <c r="B143" i="26" s="1"/>
  <c r="B144" i="26" s="1"/>
  <c r="B145" i="26" s="1"/>
  <c r="B146" i="26" s="1"/>
  <c r="B147" i="26" s="1"/>
  <c r="B148" i="26" s="1"/>
  <c r="B149" i="26" s="1"/>
  <c r="B150" i="26" s="1"/>
  <c r="B151" i="26" s="1"/>
  <c r="B152" i="26" s="1"/>
  <c r="B153" i="26" s="1"/>
  <c r="B154" i="26" s="1"/>
  <c r="B155" i="26" s="1"/>
  <c r="B156" i="26" s="1"/>
  <c r="B157" i="26" s="1"/>
  <c r="B158" i="26" s="1"/>
  <c r="B159" i="26" s="1"/>
  <c r="B160" i="26" s="1"/>
  <c r="B161" i="26" s="1"/>
  <c r="B162" i="26" s="1"/>
  <c r="B163" i="26" s="1"/>
  <c r="B164" i="26" s="1"/>
  <c r="B165" i="26" s="1"/>
  <c r="B166" i="26" s="1"/>
  <c r="B167" i="26" s="1"/>
  <c r="B168" i="26" s="1"/>
  <c r="B169" i="26" s="1"/>
  <c r="B170" i="26" s="1"/>
  <c r="B171" i="26" s="1"/>
  <c r="B172" i="26" s="1"/>
  <c r="B173" i="26" s="1"/>
  <c r="B174" i="26" s="1"/>
  <c r="B175" i="26" s="1"/>
  <c r="B176" i="26" s="1"/>
  <c r="B177" i="26" s="1"/>
  <c r="B178" i="26" s="1"/>
  <c r="B179" i="26" s="1"/>
  <c r="B180" i="26" s="1"/>
  <c r="B181" i="26" s="1"/>
  <c r="B182" i="26" s="1"/>
  <c r="B183" i="26" s="1"/>
  <c r="B184" i="26" s="1"/>
  <c r="B185" i="26" s="1"/>
  <c r="B186" i="26" s="1"/>
  <c r="B187" i="26" s="1"/>
  <c r="B188" i="26" s="1"/>
  <c r="B189" i="26" s="1"/>
  <c r="B190" i="26" s="1"/>
  <c r="B191" i="26" s="1"/>
  <c r="B192" i="26" s="1"/>
  <c r="B193" i="26" s="1"/>
  <c r="B194" i="26" s="1"/>
  <c r="B195" i="26" s="1"/>
  <c r="B196" i="26" s="1"/>
  <c r="B197" i="26" s="1"/>
  <c r="B198" i="26" s="1"/>
  <c r="B199" i="26" s="1"/>
  <c r="B200" i="26" s="1"/>
  <c r="B201" i="26" s="1"/>
  <c r="B202" i="26" s="1"/>
  <c r="B203" i="26" s="1"/>
  <c r="B204" i="26" s="1"/>
  <c r="B205" i="26" s="1"/>
  <c r="B206" i="26" s="1"/>
  <c r="B207" i="26" s="1"/>
  <c r="B208" i="26" s="1"/>
  <c r="B209" i="26" s="1"/>
  <c r="B210" i="26" s="1"/>
  <c r="B211" i="26" s="1"/>
  <c r="B212" i="26" s="1"/>
  <c r="B213" i="26" s="1"/>
  <c r="B214" i="26" s="1"/>
  <c r="B215" i="26" s="1"/>
  <c r="B216" i="26" s="1"/>
  <c r="B217" i="26" s="1"/>
  <c r="B218" i="26" s="1"/>
  <c r="B219" i="26" s="1"/>
  <c r="B220" i="26" s="1"/>
  <c r="B221" i="26" s="1"/>
  <c r="B222" i="26" s="1"/>
  <c r="B223" i="26" s="1"/>
  <c r="B224" i="26" s="1"/>
  <c r="B225" i="26" s="1"/>
  <c r="B226" i="26" s="1"/>
  <c r="B227" i="26" s="1"/>
  <c r="B228" i="26" s="1"/>
  <c r="B229" i="26" s="1"/>
  <c r="B230" i="26" s="1"/>
  <c r="B231" i="26" s="1"/>
  <c r="B232" i="26" s="1"/>
  <c r="B233" i="26" s="1"/>
  <c r="B234" i="26" s="1"/>
  <c r="B235" i="26" s="1"/>
  <c r="B236" i="26" s="1"/>
  <c r="B237" i="26" s="1"/>
  <c r="B238" i="26" s="1"/>
  <c r="B239" i="26" s="1"/>
  <c r="B240" i="26" s="1"/>
  <c r="B241" i="26" s="1"/>
  <c r="B242" i="26" s="1"/>
  <c r="B243" i="26" s="1"/>
  <c r="B244" i="26" s="1"/>
  <c r="K12" i="26" s="1" a="1"/>
  <c r="K12" i="26" s="1"/>
  <c r="T8" i="26"/>
  <c r="D12" i="26" a="1"/>
  <c r="D12" i="26" s="1"/>
  <c r="H12" i="26"/>
  <c r="L8" i="26"/>
  <c r="K5" i="26" a="1"/>
  <c r="K5" i="26" s="1"/>
  <c r="D10" i="26" a="1"/>
  <c r="D10" i="26" s="1"/>
  <c r="I11" i="31" s="1"/>
  <c r="G10" i="26"/>
  <c r="D5" i="26" a="1"/>
  <c r="D5" i="26" s="1"/>
  <c r="F11" i="31" s="1"/>
  <c r="Q12" i="26" a="1"/>
  <c r="Q12" i="26" s="1"/>
  <c r="T7" i="26"/>
  <c r="F8" i="26"/>
  <c r="H13" i="26"/>
  <c r="M9" i="26"/>
  <c r="L6" i="26"/>
  <c r="L47" i="12"/>
  <c r="L48" i="12" s="1"/>
  <c r="L49" i="12" s="1"/>
  <c r="N46" i="12"/>
  <c r="AF40" i="28"/>
  <c r="AD41" i="28"/>
  <c r="AD42" i="28" s="1"/>
  <c r="AD43" i="28" s="1"/>
  <c r="H6" i="24"/>
  <c r="I6" i="31"/>
  <c r="H6" i="30" s="1"/>
  <c r="L44" i="27"/>
  <c r="L45" i="27" s="1"/>
  <c r="L46" i="27" s="1"/>
  <c r="N43" i="27"/>
  <c r="AL46" i="17"/>
  <c r="AK46" i="17"/>
  <c r="AJ47" i="17"/>
  <c r="AJ48" i="17" s="1"/>
  <c r="AJ49" i="17" s="1"/>
  <c r="O7" i="41"/>
  <c r="H8" i="41"/>
  <c r="Q7" i="41"/>
  <c r="M8" i="41" a="1"/>
  <c r="M8" i="41" s="1"/>
  <c r="F8" i="41"/>
  <c r="F6" i="41"/>
  <c r="F12" i="41"/>
  <c r="M11" i="41" a="1"/>
  <c r="M11" i="41" s="1"/>
  <c r="O6" i="41"/>
  <c r="Z6" i="41" a="1"/>
  <c r="Z6" i="41" s="1"/>
  <c r="AB7" i="41"/>
  <c r="T12" i="41" a="1"/>
  <c r="T12" i="41" s="1"/>
  <c r="D7" i="41" a="1"/>
  <c r="D7" i="41" s="1"/>
  <c r="H7" i="41"/>
  <c r="U6" i="41"/>
  <c r="T8" i="41" a="1"/>
  <c r="T8" i="41" s="1"/>
  <c r="M12" i="41" a="1"/>
  <c r="M12" i="41" s="1"/>
  <c r="G6" i="41"/>
  <c r="M7" i="41" a="1"/>
  <c r="M7" i="41" s="1"/>
  <c r="U11" i="41"/>
  <c r="AA6" i="41"/>
  <c r="AB6" i="41"/>
  <c r="Z7" i="41" a="1"/>
  <c r="Z7" i="41" s="1"/>
  <c r="V8" i="41"/>
  <c r="Q8" i="41"/>
  <c r="D11" i="41" a="1"/>
  <c r="D11" i="41" s="1"/>
  <c r="U12" i="41"/>
  <c r="V11" i="41"/>
  <c r="H6" i="41"/>
  <c r="O11" i="41"/>
  <c r="D6" i="41" a="1"/>
  <c r="D6" i="41" s="1"/>
  <c r="G7" i="41"/>
  <c r="F7" i="41"/>
  <c r="AB12" i="41"/>
  <c r="P7" i="41"/>
  <c r="M6" i="41" a="1"/>
  <c r="M6" i="41" s="1"/>
  <c r="P11" i="41"/>
  <c r="AB11" i="41"/>
  <c r="AA7" i="41"/>
  <c r="T6" i="41" a="1"/>
  <c r="T6" i="41" s="1"/>
  <c r="G11" i="41"/>
  <c r="O8" i="41"/>
  <c r="D8" i="41" a="1"/>
  <c r="D8" i="41" s="1"/>
  <c r="Q6" i="41"/>
  <c r="T11" i="41" a="1"/>
  <c r="T11" i="41" s="1"/>
  <c r="G12" i="41"/>
  <c r="H11" i="41"/>
  <c r="P6" i="41"/>
  <c r="U7" i="41"/>
  <c r="T7" i="41" a="1"/>
  <c r="T7" i="41" s="1"/>
  <c r="P12" i="41"/>
  <c r="D12" i="41" a="1"/>
  <c r="D12" i="41" s="1"/>
  <c r="AA11" i="41"/>
  <c r="AA8" i="41"/>
  <c r="V12" i="41"/>
  <c r="O12" i="41"/>
  <c r="F11" i="41"/>
  <c r="AB8" i="41"/>
  <c r="P8" i="41"/>
  <c r="V7" i="41"/>
  <c r="E47" i="1"/>
  <c r="E48" i="1" s="1"/>
  <c r="E49" i="1" s="1"/>
  <c r="G46" i="1"/>
  <c r="E47" i="12"/>
  <c r="E48" i="12" s="1"/>
  <c r="E49" i="12" s="1"/>
  <c r="G46" i="12"/>
  <c r="L55" i="29"/>
  <c r="J56" i="29"/>
  <c r="K56" i="29" s="1"/>
  <c r="L46" i="17"/>
  <c r="K46" i="17"/>
  <c r="J47" i="17"/>
  <c r="J48" i="17" s="1"/>
  <c r="J49" i="17" s="1"/>
  <c r="B27" i="38"/>
  <c r="B28" i="38" s="1"/>
  <c r="B29" i="38" s="1"/>
  <c r="B30" i="38" s="1"/>
  <c r="B31" i="38" s="1"/>
  <c r="B32" i="38" s="1"/>
  <c r="B33" i="38" s="1"/>
  <c r="B34" i="38" s="1"/>
  <c r="B35" i="38" s="1"/>
  <c r="B36" i="38" s="1"/>
  <c r="B37" i="38" s="1"/>
  <c r="B38" i="38" s="1"/>
  <c r="B39" i="38" s="1"/>
  <c r="B40" i="38" s="1"/>
  <c r="B41" i="38" s="1"/>
  <c r="B42" i="38" s="1"/>
  <c r="B43" i="38" s="1"/>
  <c r="F12" i="38" s="1"/>
  <c r="E47" i="6"/>
  <c r="E48" i="6" s="1"/>
  <c r="E49" i="6" s="1"/>
  <c r="G46" i="6"/>
  <c r="P8" i="21"/>
  <c r="U7" i="21"/>
  <c r="W7" i="21"/>
  <c r="H13" i="21"/>
  <c r="B5" i="21"/>
  <c r="L5" i="21" s="1" a="1"/>
  <c r="L5" i="21" s="1"/>
  <c r="M5" i="21" s="1"/>
  <c r="S11" i="21" a="1"/>
  <c r="S11" i="21" s="1"/>
  <c r="P9" i="21"/>
  <c r="BY50" i="17"/>
  <c r="BY51" i="17" s="1"/>
  <c r="BY52" i="17" s="1"/>
  <c r="CA49" i="17"/>
  <c r="G8" i="41"/>
  <c r="Z12" i="41" a="1"/>
  <c r="Z12" i="41" s="1"/>
  <c r="N43" i="40"/>
  <c r="M8" i="2"/>
  <c r="M10" i="2"/>
  <c r="D6" i="10" s="1"/>
  <c r="S6" i="2"/>
  <c r="H13" i="2"/>
  <c r="E47" i="21"/>
  <c r="E48" i="21" s="1"/>
  <c r="E49" i="21" s="1"/>
  <c r="G46" i="21"/>
  <c r="H74" i="23"/>
  <c r="M74" i="23"/>
  <c r="L74" i="23"/>
  <c r="F74" i="23"/>
  <c r="E74" i="23"/>
  <c r="D74" i="23"/>
  <c r="J74" i="23"/>
  <c r="N74" i="23"/>
  <c r="I74" i="23"/>
  <c r="H13" i="25"/>
  <c r="X10" i="25" a="1"/>
  <c r="X10" i="25" s="1"/>
  <c r="BQ50" i="17"/>
  <c r="BQ51" i="17" s="1"/>
  <c r="BQ52" i="17" s="1"/>
  <c r="BS49" i="17"/>
  <c r="AY73" i="17"/>
  <c r="AW74" i="17"/>
  <c r="AW75" i="17" s="1"/>
  <c r="AW76" i="17" s="1"/>
  <c r="T5" i="6"/>
  <c r="Q44" i="17"/>
  <c r="Q45" i="17" s="1"/>
  <c r="Q46" i="17" s="1"/>
  <c r="S43" i="17"/>
  <c r="BP8" i="32"/>
  <c r="CC7" i="32"/>
  <c r="BU7" i="32"/>
  <c r="CB7" i="32"/>
  <c r="BT7" i="32"/>
  <c r="CA7" i="32"/>
  <c r="BS7" i="32"/>
  <c r="BZ7" i="32"/>
  <c r="BR7" i="32"/>
  <c r="BY7" i="32"/>
  <c r="BQ7" i="32"/>
  <c r="CF7" i="32"/>
  <c r="BX7" i="32"/>
  <c r="CE7" i="32"/>
  <c r="CD7" i="32"/>
  <c r="BW7" i="32"/>
  <c r="BV7" i="32"/>
  <c r="Q7" i="25" a="1"/>
  <c r="Q7" i="25" s="1"/>
  <c r="Y46" i="28"/>
  <c r="X46" i="28"/>
  <c r="W47" i="28"/>
  <c r="W48" i="28" s="1"/>
  <c r="W49" i="28" s="1"/>
  <c r="B27" i="37"/>
  <c r="B28" i="37" s="1"/>
  <c r="B29" i="37" s="1"/>
  <c r="B30" i="37" s="1"/>
  <c r="B31" i="37" s="1"/>
  <c r="B32" i="37" s="1"/>
  <c r="B33" i="37" s="1"/>
  <c r="B34" i="37" s="1"/>
  <c r="B35" i="37" s="1"/>
  <c r="B36" i="37" s="1"/>
  <c r="B37" i="37" s="1"/>
  <c r="B38" i="37" s="1"/>
  <c r="B39" i="37" s="1"/>
  <c r="B40" i="37" s="1"/>
  <c r="B41" i="37" s="1"/>
  <c r="B42" i="37" s="1"/>
  <c r="B43" i="37" s="1"/>
  <c r="F12" i="37"/>
  <c r="Q9" i="37" a="1"/>
  <c r="Q9" i="37" s="1"/>
  <c r="E50" i="35"/>
  <c r="E51" i="35" s="1"/>
  <c r="E52" i="35" s="1"/>
  <c r="G49" i="35"/>
  <c r="Q11" i="41"/>
  <c r="CF47" i="17"/>
  <c r="CF48" i="17" s="1"/>
  <c r="CF49" i="17" s="1"/>
  <c r="CH46" i="17"/>
  <c r="CG46" i="17"/>
  <c r="M10" i="27"/>
  <c r="K6" i="27" a="1"/>
  <c r="K6" i="27" s="1"/>
  <c r="H8" i="27"/>
  <c r="M8" i="27"/>
  <c r="L8" i="27"/>
  <c r="T10" i="27"/>
  <c r="K7" i="27" a="1"/>
  <c r="K7" i="27" s="1"/>
  <c r="T7" i="27"/>
  <c r="H6" i="27"/>
  <c r="T12" i="27"/>
  <c r="F7" i="27"/>
  <c r="Q12" i="27" a="1"/>
  <c r="Q12" i="27" s="1"/>
  <c r="T6" i="27"/>
  <c r="M9" i="27"/>
  <c r="M12" i="27"/>
  <c r="Q9" i="27" a="1"/>
  <c r="Q9" i="27" s="1"/>
  <c r="F6" i="27"/>
  <c r="L7" i="27"/>
  <c r="H11" i="27"/>
  <c r="K11" i="27" a="1"/>
  <c r="K11" i="27" s="1"/>
  <c r="R11" i="27" s="1"/>
  <c r="T8" i="27"/>
  <c r="K12" i="27" a="1"/>
  <c r="K12" i="27" s="1"/>
  <c r="D11" i="27" a="1"/>
  <c r="D11" i="27" s="1"/>
  <c r="G12" i="27"/>
  <c r="D9" i="27" a="1"/>
  <c r="D9" i="27" s="1"/>
  <c r="H9" i="27"/>
  <c r="M6" i="27"/>
  <c r="D7" i="27" a="1"/>
  <c r="D7" i="27" s="1"/>
  <c r="L6" i="27"/>
  <c r="D6" i="27" a="1"/>
  <c r="D6" i="27" s="1"/>
  <c r="G13" i="27"/>
  <c r="K13" i="27" a="1"/>
  <c r="K13" i="27" s="1"/>
  <c r="D12" i="27" a="1"/>
  <c r="D12" i="27" s="1"/>
  <c r="T9" i="27"/>
  <c r="H7" i="27"/>
  <c r="M13" i="27"/>
  <c r="F8" i="27"/>
  <c r="G10" i="27"/>
  <c r="S12" i="27"/>
  <c r="S9" i="27"/>
  <c r="G8" i="27"/>
  <c r="K9" i="27" a="1"/>
  <c r="K9" i="27" s="1"/>
  <c r="S8" i="27"/>
  <c r="F12" i="27"/>
  <c r="E14" i="24"/>
  <c r="Q13" i="27" a="1"/>
  <c r="Q13" i="27" s="1"/>
  <c r="Q10" i="27" a="1"/>
  <c r="Q10" i="27" s="1"/>
  <c r="L13" i="27"/>
  <c r="D13" i="27" a="1"/>
  <c r="D13" i="27" s="1"/>
  <c r="Q7" i="27" a="1"/>
  <c r="Q7" i="27" s="1"/>
  <c r="H13" i="27"/>
  <c r="F5" i="27"/>
  <c r="S10" i="27"/>
  <c r="G7" i="27"/>
  <c r="G9" i="27"/>
  <c r="G6" i="27"/>
  <c r="F13" i="27"/>
  <c r="H12" i="27"/>
  <c r="T11" i="27"/>
  <c r="K10" i="27" a="1"/>
  <c r="K10" i="27" s="1"/>
  <c r="Q6" i="27" a="1"/>
  <c r="Q6" i="27" s="1"/>
  <c r="Q8" i="27" a="1"/>
  <c r="Q8" i="27" s="1"/>
  <c r="F9" i="27"/>
  <c r="F10" i="27"/>
  <c r="S13" i="27"/>
  <c r="BL73" i="17"/>
  <c r="BJ74" i="17"/>
  <c r="BJ75" i="17" s="1"/>
  <c r="BJ76" i="17" s="1"/>
  <c r="M7" i="27"/>
  <c r="P7" i="21"/>
  <c r="D6" i="21" a="1"/>
  <c r="D6" i="21" s="1"/>
  <c r="W11" i="21"/>
  <c r="U12" i="21"/>
  <c r="O10" i="21"/>
  <c r="F10" i="21"/>
  <c r="H11" i="21"/>
  <c r="AA12" i="41"/>
  <c r="N49" i="35"/>
  <c r="L50" i="35"/>
  <c r="L51" i="35" s="1"/>
  <c r="L52" i="35" s="1"/>
  <c r="AY46" i="28"/>
  <c r="AW47" i="28"/>
  <c r="AW48" i="28" s="1"/>
  <c r="AW49" i="28" s="1"/>
  <c r="AX46" i="28"/>
  <c r="H7" i="2"/>
  <c r="G13" i="2"/>
  <c r="T9" i="2"/>
  <c r="ES7" i="32"/>
  <c r="EK7" i="32"/>
  <c r="EZ7" i="32"/>
  <c r="ER7" i="32"/>
  <c r="EY7" i="32"/>
  <c r="EQ7" i="32"/>
  <c r="EX7" i="32"/>
  <c r="EP7" i="32"/>
  <c r="EJ8" i="32"/>
  <c r="EW7" i="32"/>
  <c r="EO7" i="32"/>
  <c r="EV7" i="32"/>
  <c r="EN7" i="32"/>
  <c r="EU7" i="32"/>
  <c r="ET7" i="32"/>
  <c r="EM7" i="32"/>
  <c r="EL7" i="32"/>
  <c r="R76" i="23"/>
  <c r="C76" i="23" s="1"/>
  <c r="B75" i="23"/>
  <c r="C75" i="23"/>
  <c r="BJ47" i="28"/>
  <c r="BJ48" i="28" s="1"/>
  <c r="BJ49" i="28" s="1"/>
  <c r="BK46" i="28"/>
  <c r="BL46" i="28"/>
  <c r="BQ47" i="28"/>
  <c r="BQ48" i="28" s="1"/>
  <c r="BQ49" i="28" s="1"/>
  <c r="BS46" i="28"/>
  <c r="BR46" i="28"/>
  <c r="N46" i="6"/>
  <c r="L47" i="6"/>
  <c r="L48" i="6" s="1"/>
  <c r="L49" i="6" s="1"/>
  <c r="M11" i="27"/>
  <c r="P47" i="41"/>
  <c r="N48" i="41"/>
  <c r="N49" i="41" s="1"/>
  <c r="N50" i="41" s="1"/>
  <c r="F52" i="26"/>
  <c r="G52" i="26"/>
  <c r="E53" i="26"/>
  <c r="E54" i="26" s="1"/>
  <c r="E55" i="26" s="1"/>
  <c r="T49" i="35"/>
  <c r="R50" i="35"/>
  <c r="R51" i="35" s="1"/>
  <c r="R52" i="35" s="1"/>
  <c r="CT7" i="32"/>
  <c r="CL7" i="32"/>
  <c r="CS7" i="32"/>
  <c r="CK7" i="32"/>
  <c r="CR7" i="32"/>
  <c r="CJ7" i="32"/>
  <c r="CQ7" i="32"/>
  <c r="CI7" i="32"/>
  <c r="CX7" i="32"/>
  <c r="CP7" i="32"/>
  <c r="CW7" i="32"/>
  <c r="CO7" i="32"/>
  <c r="CN7" i="32"/>
  <c r="CM7" i="32"/>
  <c r="CH8" i="32"/>
  <c r="CV7" i="32"/>
  <c r="CU7" i="32"/>
  <c r="R50" i="23"/>
  <c r="C50" i="23" s="1"/>
  <c r="B49" i="23"/>
  <c r="C49" i="23"/>
  <c r="R47" i="2"/>
  <c r="R48" i="2" s="1"/>
  <c r="R49" i="2" s="1"/>
  <c r="T46" i="2"/>
  <c r="W44" i="41"/>
  <c r="U45" i="41"/>
  <c r="U46" i="41" s="1"/>
  <c r="U47" i="41" s="1"/>
  <c r="R47" i="6"/>
  <c r="R48" i="6" s="1"/>
  <c r="R49" i="6" s="1"/>
  <c r="T46" i="6"/>
  <c r="AQ41" i="17"/>
  <c r="AQ42" i="17" s="1"/>
  <c r="AQ43" i="17" s="1"/>
  <c r="AS40" i="17"/>
  <c r="R47" i="27"/>
  <c r="R48" i="27" s="1"/>
  <c r="R49" i="27" s="1"/>
  <c r="T46" i="27"/>
  <c r="G49" i="27"/>
  <c r="E50" i="27"/>
  <c r="E51" i="27" s="1"/>
  <c r="E52" i="27" s="1"/>
  <c r="F9" i="21"/>
  <c r="F8" i="21"/>
  <c r="S10" i="21" a="1"/>
  <c r="S10" i="21" s="1"/>
  <c r="D7" i="21" a="1"/>
  <c r="D7" i="21" s="1"/>
  <c r="E7" i="21" s="1"/>
  <c r="D11" i="21" a="1"/>
  <c r="D11" i="21" s="1"/>
  <c r="W10" i="21"/>
  <c r="P11" i="21"/>
  <c r="Z11" i="41" a="1"/>
  <c r="Z11" i="41" s="1"/>
  <c r="M9" i="2"/>
  <c r="H10" i="2"/>
  <c r="D3" i="10" s="1"/>
  <c r="T7" i="2"/>
  <c r="H8" i="2"/>
  <c r="H61" i="23"/>
  <c r="M61" i="23"/>
  <c r="L61" i="23"/>
  <c r="N61" i="23"/>
  <c r="J61" i="23"/>
  <c r="I61" i="23"/>
  <c r="F61" i="23"/>
  <c r="E61" i="23"/>
  <c r="D61" i="23"/>
  <c r="AE47" i="29"/>
  <c r="AE48" i="29" s="1"/>
  <c r="AE49" i="29" s="1"/>
  <c r="AG46" i="29"/>
  <c r="AF46" i="29"/>
  <c r="AQ41" i="28"/>
  <c r="AQ42" i="28" s="1"/>
  <c r="AQ43" i="28" s="1"/>
  <c r="AS40" i="28"/>
  <c r="B27" i="29"/>
  <c r="L5" i="6"/>
  <c r="M9" i="6"/>
  <c r="T7" i="6"/>
  <c r="M13" i="6"/>
  <c r="T13" i="6"/>
  <c r="L12" i="6"/>
  <c r="G13" i="6"/>
  <c r="E11" i="24"/>
  <c r="H13" i="6"/>
  <c r="L9" i="6"/>
  <c r="K9" i="6" a="1"/>
  <c r="K9" i="6" s="1"/>
  <c r="S8" i="6"/>
  <c r="Q10" i="6" a="1"/>
  <c r="Q10" i="6" s="1"/>
  <c r="F8" i="6"/>
  <c r="K6" i="6" a="1"/>
  <c r="K6" i="6" s="1"/>
  <c r="C32" i="22" s="1"/>
  <c r="L18" i="22" s="1"/>
  <c r="S13" i="6"/>
  <c r="G6" i="6"/>
  <c r="S5" i="6"/>
  <c r="T12" i="6"/>
  <c r="Q8" i="6" a="1"/>
  <c r="Q8" i="6" s="1"/>
  <c r="G5" i="6" a="1"/>
  <c r="G5" i="6" s="1"/>
  <c r="Q13" i="6" a="1"/>
  <c r="Q13" i="6" s="1"/>
  <c r="K12" i="31" s="1"/>
  <c r="F9" i="6"/>
  <c r="Q12" i="6" a="1"/>
  <c r="Q12" i="6" s="1"/>
  <c r="K10" i="6" a="1"/>
  <c r="K10" i="6" s="1"/>
  <c r="H5" i="6"/>
  <c r="D8" i="6" a="1"/>
  <c r="D8" i="6" s="1"/>
  <c r="H10" i="31" s="1"/>
  <c r="F13" i="6"/>
  <c r="G9" i="6"/>
  <c r="T8" i="6"/>
  <c r="D6" i="6" a="1"/>
  <c r="D6" i="6" s="1"/>
  <c r="G10" i="31" s="1"/>
  <c r="K5" i="6" a="1"/>
  <c r="K5" i="6" s="1"/>
  <c r="H6" i="6"/>
  <c r="Q6" i="6" a="1"/>
  <c r="Q6" i="6" s="1"/>
  <c r="M12" i="6"/>
  <c r="F6" i="6"/>
  <c r="M8" i="6"/>
  <c r="B8" i="10"/>
  <c r="L10" i="6"/>
  <c r="E7" i="10" s="1"/>
  <c r="M10" i="6"/>
  <c r="D7" i="10" s="1"/>
  <c r="T6" i="6"/>
  <c r="D12" i="6" a="1"/>
  <c r="D12" i="6" s="1"/>
  <c r="F7" i="6"/>
  <c r="D5" i="6" a="1"/>
  <c r="D5" i="6" s="1"/>
  <c r="F10" i="31" s="1"/>
  <c r="G7" i="6"/>
  <c r="F12" i="6"/>
  <c r="G8" i="6"/>
  <c r="Q5" i="6" a="1"/>
  <c r="Q5" i="6" s="1"/>
  <c r="K7" i="6" a="1"/>
  <c r="K7" i="6" s="1"/>
  <c r="R7" i="6" s="1"/>
  <c r="M6" i="6"/>
  <c r="L6" i="6"/>
  <c r="H10" i="6"/>
  <c r="D8" i="10" s="1"/>
  <c r="H9" i="6"/>
  <c r="K12" i="6" a="1"/>
  <c r="K12" i="6" s="1"/>
  <c r="K8" i="6" a="1"/>
  <c r="K8" i="6" s="1"/>
  <c r="C40" i="22" s="1"/>
  <c r="M18" i="22" s="1"/>
  <c r="G1" i="31"/>
  <c r="G2" i="31" s="1"/>
  <c r="I2" i="31" s="1"/>
  <c r="K2" i="31" s="1"/>
  <c r="F5" i="6"/>
  <c r="M5" i="6"/>
  <c r="B7" i="10"/>
  <c r="F10" i="6"/>
  <c r="E8" i="10" s="1"/>
  <c r="D10" i="6" a="1"/>
  <c r="D10" i="6" s="1"/>
  <c r="I10" i="31" s="1"/>
  <c r="S12" i="6"/>
  <c r="S10" i="6"/>
  <c r="L8" i="6"/>
  <c r="L13" i="6"/>
  <c r="D9" i="6" a="1"/>
  <c r="D9" i="6" s="1"/>
  <c r="E9" i="24"/>
  <c r="S7" i="6"/>
  <c r="S6" i="6"/>
  <c r="H12" i="6"/>
  <c r="D13" i="6" a="1"/>
  <c r="D13" i="6" s="1"/>
  <c r="K10" i="31" s="1"/>
  <c r="K13" i="6" a="1"/>
  <c r="K13" i="6" s="1"/>
  <c r="K13" i="31" s="1"/>
  <c r="F1" i="24"/>
  <c r="F2" i="24" s="1"/>
  <c r="H7" i="6"/>
  <c r="S9" i="6"/>
  <c r="Q9" i="6" a="1"/>
  <c r="Q9" i="6" s="1"/>
  <c r="D7" i="6" a="1"/>
  <c r="D7" i="6" s="1"/>
  <c r="H8" i="6"/>
  <c r="T9" i="6"/>
  <c r="G10" i="6"/>
  <c r="M7" i="6"/>
  <c r="T10" i="6"/>
  <c r="L7" i="6"/>
  <c r="CF47" i="28"/>
  <c r="CF48" i="28" s="1"/>
  <c r="CF49" i="28" s="1"/>
  <c r="CH46" i="28"/>
  <c r="CG46" i="28"/>
  <c r="AL46" i="28"/>
  <c r="AJ47" i="28"/>
  <c r="AJ48" i="28" s="1"/>
  <c r="AJ49" i="28" s="1"/>
  <c r="AK46" i="28"/>
  <c r="L50" i="2"/>
  <c r="L51" i="2" s="1"/>
  <c r="L52" i="2" s="1"/>
  <c r="N49" i="2"/>
  <c r="M43" i="38"/>
  <c r="N43" i="38"/>
  <c r="K22" i="31"/>
  <c r="K41" i="31" s="1"/>
  <c r="T13" i="27"/>
  <c r="R44" i="25"/>
  <c r="R45" i="25" s="1"/>
  <c r="R46" i="25" s="1"/>
  <c r="T43" i="25"/>
  <c r="E47" i="2"/>
  <c r="E48" i="2" s="1"/>
  <c r="E49" i="2" s="1"/>
  <c r="G46" i="2"/>
  <c r="M47" i="21"/>
  <c r="M48" i="21" s="1"/>
  <c r="M49" i="21" s="1"/>
  <c r="O46" i="21"/>
  <c r="H10" i="27"/>
  <c r="R47" i="26"/>
  <c r="R48" i="26" s="1"/>
  <c r="R49" i="26" s="1"/>
  <c r="T46" i="26"/>
  <c r="N10" i="21"/>
  <c r="P13" i="21"/>
  <c r="U11" i="21"/>
  <c r="U8" i="21"/>
  <c r="L6" i="21" a="1"/>
  <c r="L6" i="21" s="1"/>
  <c r="M6" i="21" s="1"/>
  <c r="P10" i="21"/>
  <c r="H9" i="21"/>
  <c r="H48" i="23"/>
  <c r="M48" i="23"/>
  <c r="L48" i="23"/>
  <c r="J48" i="23"/>
  <c r="I48" i="23"/>
  <c r="F48" i="23"/>
  <c r="E48" i="23"/>
  <c r="N48" i="23"/>
  <c r="D48" i="23"/>
  <c r="Z8" i="41" a="1"/>
  <c r="Z8" i="41" s="1"/>
  <c r="L13" i="2"/>
  <c r="S13" i="2"/>
  <c r="L9" i="2"/>
  <c r="M7" i="2"/>
  <c r="R63" i="23"/>
  <c r="C63" i="23" s="1"/>
  <c r="B62" i="23"/>
  <c r="C62" i="23"/>
  <c r="U6" i="25"/>
  <c r="K6" i="25" a="1"/>
  <c r="K6" i="25" s="1"/>
  <c r="U12" i="25"/>
  <c r="B28" i="35"/>
  <c r="B29" i="35" s="1"/>
  <c r="B30" i="35" s="1"/>
  <c r="B31" i="35" s="1"/>
  <c r="B32" i="35" s="1"/>
  <c r="B33" i="35" s="1"/>
  <c r="B34" i="35" s="1"/>
  <c r="B35" i="35" s="1"/>
  <c r="B36" i="35" s="1"/>
  <c r="B37" i="35" s="1"/>
  <c r="B38" i="35" s="1"/>
  <c r="B39" i="35" s="1"/>
  <c r="B40" i="35" s="1"/>
  <c r="B41" i="35" s="1"/>
  <c r="B42" i="35" s="1"/>
  <c r="B43" i="35" s="1"/>
  <c r="B44" i="35" s="1"/>
  <c r="B45" i="35" s="1"/>
  <c r="B46" i="35" s="1"/>
  <c r="B47" i="35" s="1"/>
  <c r="B48" i="35" s="1"/>
  <c r="B49" i="35" s="1"/>
  <c r="B50" i="35" s="1"/>
  <c r="B51" i="35" s="1"/>
  <c r="B52" i="35" s="1"/>
  <c r="B53" i="35" s="1"/>
  <c r="B54" i="35" s="1"/>
  <c r="B55" i="35" s="1"/>
  <c r="B56" i="35" s="1"/>
  <c r="B57" i="35" s="1"/>
  <c r="B58" i="35" s="1"/>
  <c r="B59" i="35" s="1"/>
  <c r="B60" i="35" s="1"/>
  <c r="B61" i="35" s="1"/>
  <c r="B62" i="35" s="1"/>
  <c r="B63" i="35" s="1"/>
  <c r="B64" i="35" s="1"/>
  <c r="B65" i="35" s="1"/>
  <c r="B66" i="35" s="1"/>
  <c r="B67" i="35" s="1"/>
  <c r="B68" i="35" s="1"/>
  <c r="B69" i="35" s="1"/>
  <c r="B70" i="35" s="1"/>
  <c r="B71" i="35" s="1"/>
  <c r="B72" i="35" s="1"/>
  <c r="B73" i="35" s="1"/>
  <c r="B74" i="35" s="1"/>
  <c r="B75" i="35" s="1"/>
  <c r="B76" i="35" s="1"/>
  <c r="B77" i="35" s="1"/>
  <c r="B78" i="35" s="1"/>
  <c r="B79" i="35" s="1"/>
  <c r="B80" i="35" s="1"/>
  <c r="B81" i="35" s="1"/>
  <c r="B82" i="35" s="1"/>
  <c r="B83" i="35" s="1"/>
  <c r="B84" i="35" s="1"/>
  <c r="B85" i="35" s="1"/>
  <c r="B86" i="35" s="1"/>
  <c r="B87" i="35" s="1"/>
  <c r="B88" i="35" s="1"/>
  <c r="B89" i="35" s="1"/>
  <c r="B90" i="35" s="1"/>
  <c r="B91" i="35" s="1"/>
  <c r="B92" i="35" s="1"/>
  <c r="B93" i="35" s="1"/>
  <c r="B94" i="35" s="1"/>
  <c r="B95" i="35" s="1"/>
  <c r="B96" i="35" s="1"/>
  <c r="B97" i="35" s="1"/>
  <c r="B98" i="35" s="1"/>
  <c r="B99" i="35" s="1"/>
  <c r="B100" i="35" s="1"/>
  <c r="B101" i="35" s="1"/>
  <c r="B102" i="35" s="1"/>
  <c r="B103" i="35" s="1"/>
  <c r="B104" i="35" s="1"/>
  <c r="B105" i="35" s="1"/>
  <c r="B106" i="35" s="1"/>
  <c r="B107" i="35" s="1"/>
  <c r="B108" i="35" s="1"/>
  <c r="B109" i="35" s="1"/>
  <c r="B110" i="35" s="1"/>
  <c r="B111" i="35" s="1"/>
  <c r="B112" i="35" s="1"/>
  <c r="B113" i="35" s="1"/>
  <c r="B114" i="35" s="1"/>
  <c r="B115" i="35" s="1"/>
  <c r="B116" i="35" s="1"/>
  <c r="B117" i="35" s="1"/>
  <c r="B118" i="35" s="1"/>
  <c r="B119" i="35" s="1"/>
  <c r="B120" i="35" s="1"/>
  <c r="B121" i="35" s="1"/>
  <c r="B122" i="35" s="1"/>
  <c r="B123" i="35" s="1"/>
  <c r="B124" i="35" s="1"/>
  <c r="B125" i="35" s="1"/>
  <c r="B126" i="35" s="1"/>
  <c r="B127" i="35" s="1"/>
  <c r="B128" i="35" s="1"/>
  <c r="B129" i="35" s="1"/>
  <c r="B130" i="35" s="1"/>
  <c r="B131" i="35" s="1"/>
  <c r="B132" i="35" s="1"/>
  <c r="B133" i="35" s="1"/>
  <c r="B134" i="35" s="1"/>
  <c r="B135" i="35" s="1"/>
  <c r="B136" i="35" s="1"/>
  <c r="B137" i="35" s="1"/>
  <c r="B138" i="35" s="1"/>
  <c r="B139" i="35" s="1"/>
  <c r="B140" i="35" s="1"/>
  <c r="B141" i="35" s="1"/>
  <c r="B142" i="35" s="1"/>
  <c r="B143" i="35" s="1"/>
  <c r="B144" i="35" s="1"/>
  <c r="B145" i="35" s="1"/>
  <c r="B146" i="35" s="1"/>
  <c r="B147" i="35" s="1"/>
  <c r="B148" i="35" s="1"/>
  <c r="B149" i="35" s="1"/>
  <c r="B150" i="35" s="1"/>
  <c r="B151" i="35" s="1"/>
  <c r="B152" i="35" s="1"/>
  <c r="B153" i="35" s="1"/>
  <c r="B154" i="35" s="1"/>
  <c r="B155" i="35" s="1"/>
  <c r="B156" i="35" s="1"/>
  <c r="B157" i="35" s="1"/>
  <c r="B158" i="35" s="1"/>
  <c r="B159" i="35" s="1"/>
  <c r="B160" i="35" s="1"/>
  <c r="B161" i="35" s="1"/>
  <c r="B162" i="35" s="1"/>
  <c r="B163" i="35" s="1"/>
  <c r="B164" i="35" s="1"/>
  <c r="B165" i="35" s="1"/>
  <c r="B166" i="35" s="1"/>
  <c r="B167" i="35" s="1"/>
  <c r="B168" i="35" s="1"/>
  <c r="B169" i="35" s="1"/>
  <c r="B170" i="35" s="1"/>
  <c r="B171" i="35" s="1"/>
  <c r="B172" i="35" s="1"/>
  <c r="B173" i="35" s="1"/>
  <c r="B174" i="35" s="1"/>
  <c r="B175" i="35" s="1"/>
  <c r="B176" i="35" s="1"/>
  <c r="B177" i="35" s="1"/>
  <c r="B178" i="35" s="1"/>
  <c r="B179" i="35" s="1"/>
  <c r="B180" i="35" s="1"/>
  <c r="B181" i="35" s="1"/>
  <c r="B182" i="35" s="1"/>
  <c r="B183" i="35" s="1"/>
  <c r="B184" i="35" s="1"/>
  <c r="B185" i="35" s="1"/>
  <c r="B186" i="35" s="1"/>
  <c r="B187" i="35" s="1"/>
  <c r="B188" i="35" s="1"/>
  <c r="B189" i="35" s="1"/>
  <c r="B190" i="35" s="1"/>
  <c r="B191" i="35" s="1"/>
  <c r="B192" i="35" s="1"/>
  <c r="B193" i="35" s="1"/>
  <c r="B194" i="35" s="1"/>
  <c r="B195" i="35" s="1"/>
  <c r="B196" i="35" s="1"/>
  <c r="B197" i="35" s="1"/>
  <c r="B198" i="35" s="1"/>
  <c r="B199" i="35" s="1"/>
  <c r="B200" i="35" s="1"/>
  <c r="B201" i="35" s="1"/>
  <c r="B202" i="35" s="1"/>
  <c r="B203" i="35" s="1"/>
  <c r="B204" i="35" s="1"/>
  <c r="B205" i="35" s="1"/>
  <c r="B206" i="35" s="1"/>
  <c r="B207" i="35" s="1"/>
  <c r="B208" i="35" s="1"/>
  <c r="B209" i="35" s="1"/>
  <c r="B210" i="35" s="1"/>
  <c r="B211" i="35" s="1"/>
  <c r="B212" i="35" s="1"/>
  <c r="B213" i="35" s="1"/>
  <c r="B214" i="35" s="1"/>
  <c r="B215" i="35" s="1"/>
  <c r="B216" i="35" s="1"/>
  <c r="B217" i="35" s="1"/>
  <c r="B218" i="35" s="1"/>
  <c r="B219" i="35" s="1"/>
  <c r="B220" i="35" s="1"/>
  <c r="B221" i="35" s="1"/>
  <c r="B222" i="35" s="1"/>
  <c r="B223" i="35" s="1"/>
  <c r="B224" i="35" s="1"/>
  <c r="B225" i="35" s="1"/>
  <c r="B226" i="35" s="1"/>
  <c r="B227" i="35" s="1"/>
  <c r="B228" i="35" s="1"/>
  <c r="B229" i="35" s="1"/>
  <c r="B230" i="35" s="1"/>
  <c r="B231" i="35" s="1"/>
  <c r="B232" i="35" s="1"/>
  <c r="B233" i="35" s="1"/>
  <c r="B234" i="35" s="1"/>
  <c r="B235" i="35" s="1"/>
  <c r="B236" i="35" s="1"/>
  <c r="B237" i="35" s="1"/>
  <c r="B238" i="35" s="1"/>
  <c r="B239" i="35" s="1"/>
  <c r="B240" i="35" s="1"/>
  <c r="B241" i="35" s="1"/>
  <c r="B242" i="35" s="1"/>
  <c r="B243" i="35" s="1"/>
  <c r="B244" i="35" s="1"/>
  <c r="B245" i="35" s="1"/>
  <c r="B246" i="35" s="1"/>
  <c r="B247" i="35" s="1"/>
  <c r="B248" i="35" s="1"/>
  <c r="B249" i="35" s="1"/>
  <c r="B250" i="35" s="1"/>
  <c r="B251" i="35" s="1"/>
  <c r="B252" i="35" s="1"/>
  <c r="B253" i="35" s="1"/>
  <c r="B254" i="35" s="1"/>
  <c r="B255" i="35" s="1"/>
  <c r="B256" i="35" s="1"/>
  <c r="B257" i="35" s="1"/>
  <c r="B258" i="35" s="1"/>
  <c r="B259" i="35" s="1"/>
  <c r="B260" i="35" s="1"/>
  <c r="B261" i="35" s="1"/>
  <c r="B262" i="35" s="1"/>
  <c r="B263" i="35" s="1"/>
  <c r="B264" i="35" s="1"/>
  <c r="B265" i="35" s="1"/>
  <c r="B266" i="35" s="1"/>
  <c r="B267" i="35" s="1"/>
  <c r="B268" i="35" s="1"/>
  <c r="B269" i="35" s="1"/>
  <c r="B270" i="35" s="1"/>
  <c r="B271" i="35" s="1"/>
  <c r="B272" i="35" s="1"/>
  <c r="B273" i="35" s="1"/>
  <c r="B274" i="35" s="1"/>
  <c r="B275" i="35" s="1"/>
  <c r="B276" i="35" s="1"/>
  <c r="B277" i="35" s="1"/>
  <c r="B278" i="35" s="1"/>
  <c r="B279" i="35" s="1"/>
  <c r="B280" i="35" s="1"/>
  <c r="B281" i="35" s="1"/>
  <c r="B282" i="35" s="1"/>
  <c r="B283" i="35" s="1"/>
  <c r="B284" i="35" s="1"/>
  <c r="B285" i="35" s="1"/>
  <c r="B286" i="35" s="1"/>
  <c r="B287" i="35" s="1"/>
  <c r="B288" i="35" s="1"/>
  <c r="B289" i="35" s="1"/>
  <c r="B290" i="35" s="1"/>
  <c r="B291" i="35" s="1"/>
  <c r="B292" i="35" s="1"/>
  <c r="B293" i="35" s="1"/>
  <c r="B294" i="35" s="1"/>
  <c r="B295" i="35" s="1"/>
  <c r="B296" i="35" s="1"/>
  <c r="B297" i="35" s="1"/>
  <c r="B298" i="35" s="1"/>
  <c r="B299" i="35" s="1"/>
  <c r="B300" i="35" s="1"/>
  <c r="B301" i="35" s="1"/>
  <c r="B302" i="35" s="1"/>
  <c r="B303" i="35" s="1"/>
  <c r="B304" i="35" s="1"/>
  <c r="B305" i="35" s="1"/>
  <c r="B306" i="35" s="1"/>
  <c r="B307" i="35" s="1"/>
  <c r="B308" i="35" s="1"/>
  <c r="B309" i="35" s="1"/>
  <c r="B310" i="35" s="1"/>
  <c r="D12" i="35" s="1" a="1"/>
  <c r="D12" i="35" s="1"/>
  <c r="BF43" i="17"/>
  <c r="BD44" i="17"/>
  <c r="BD45" i="17" s="1"/>
  <c r="BD46" i="17" s="1"/>
  <c r="L46" i="28"/>
  <c r="J47" i="28"/>
  <c r="J48" i="28" s="1"/>
  <c r="J49" i="28" s="1"/>
  <c r="K46" i="28"/>
  <c r="A66" i="10"/>
  <c r="DK7" i="32"/>
  <c r="DC7" i="32"/>
  <c r="DJ7" i="32"/>
  <c r="DB7" i="32"/>
  <c r="DI7" i="32"/>
  <c r="DA7" i="32"/>
  <c r="DP7" i="32"/>
  <c r="DH7" i="32"/>
  <c r="DO7" i="32"/>
  <c r="DG7" i="32"/>
  <c r="DN7" i="32"/>
  <c r="DF7" i="32"/>
  <c r="DM7" i="32"/>
  <c r="DL7" i="32"/>
  <c r="DE7" i="32"/>
  <c r="CZ8" i="32"/>
  <c r="DD7" i="32"/>
  <c r="AM35" i="32"/>
  <c r="AN26" i="32"/>
  <c r="AL21" i="32" a="1"/>
  <c r="AM26" i="32"/>
  <c r="F30" i="31" l="1"/>
  <c r="B311" i="36"/>
  <c r="F52" i="39"/>
  <c r="G52" i="39"/>
  <c r="E53" i="39"/>
  <c r="E54" i="39" s="1"/>
  <c r="E55" i="39" s="1"/>
  <c r="B28" i="39"/>
  <c r="B29" i="39" s="1"/>
  <c r="B30" i="39" s="1"/>
  <c r="H2" i="24"/>
  <c r="I2" i="24" s="1"/>
  <c r="G52" i="40"/>
  <c r="E103" i="31" s="1"/>
  <c r="F52" i="40"/>
  <c r="AL21" i="32"/>
  <c r="AL34" i="32" s="1"/>
  <c r="AL36" i="32" s="1"/>
  <c r="G12" i="31"/>
  <c r="G13" i="31"/>
  <c r="I13" i="31"/>
  <c r="I12" i="31"/>
  <c r="F13" i="31"/>
  <c r="F12" i="31"/>
  <c r="H13" i="31"/>
  <c r="H12" i="31"/>
  <c r="U5" i="41"/>
  <c r="T11" i="21"/>
  <c r="H5" i="41"/>
  <c r="D5" i="41" a="1"/>
  <c r="D5" i="41" s="1"/>
  <c r="Y6" i="25"/>
  <c r="E11" i="21"/>
  <c r="U5" i="25"/>
  <c r="Y11" i="25"/>
  <c r="Y10" i="25"/>
  <c r="Y7" i="25"/>
  <c r="T5" i="2"/>
  <c r="G5" i="2" a="1"/>
  <c r="G5" i="2" s="1"/>
  <c r="S5" i="2"/>
  <c r="K5" i="2" a="1"/>
  <c r="K5" i="2" s="1"/>
  <c r="E27" i="24" s="1"/>
  <c r="E8" i="41"/>
  <c r="N8" i="41"/>
  <c r="N12" i="41"/>
  <c r="R8" i="2"/>
  <c r="R7" i="25"/>
  <c r="R13" i="25"/>
  <c r="T5" i="41" a="1"/>
  <c r="T5" i="41" s="1"/>
  <c r="P5" i="41" a="1"/>
  <c r="P5" i="41" s="1"/>
  <c r="R6" i="27"/>
  <c r="Q5" i="41"/>
  <c r="G5" i="21" a="1"/>
  <c r="G5" i="21" s="1"/>
  <c r="R12" i="27"/>
  <c r="E9" i="25"/>
  <c r="V5" i="41"/>
  <c r="E12" i="6"/>
  <c r="O5" i="41"/>
  <c r="H5" i="27"/>
  <c r="F5" i="41"/>
  <c r="AB5" i="41"/>
  <c r="T10" i="21"/>
  <c r="R10" i="27"/>
  <c r="Z5" i="41" a="1"/>
  <c r="Z5" i="41" s="1"/>
  <c r="AA5" i="41"/>
  <c r="Y12" i="25"/>
  <c r="R8" i="27"/>
  <c r="R10" i="2"/>
  <c r="E12" i="21"/>
  <c r="E6" i="41"/>
  <c r="T9" i="21"/>
  <c r="R9" i="6"/>
  <c r="Q5" i="27" a="1"/>
  <c r="Q5" i="27" s="1"/>
  <c r="E12" i="2"/>
  <c r="R12" i="2"/>
  <c r="K16" i="31"/>
  <c r="K49" i="31" s="1"/>
  <c r="U48" i="41"/>
  <c r="U49" i="41" s="1"/>
  <c r="U50" i="41" s="1"/>
  <c r="W47" i="41"/>
  <c r="AD44" i="28"/>
  <c r="AD45" i="28" s="1"/>
  <c r="AD46" i="28" s="1"/>
  <c r="AF43" i="28"/>
  <c r="CF50" i="28"/>
  <c r="CF51" i="28" s="1"/>
  <c r="CF52" i="28" s="1"/>
  <c r="CH49" i="28"/>
  <c r="C8" i="10"/>
  <c r="E10" i="6"/>
  <c r="B48" i="22"/>
  <c r="H9" i="24"/>
  <c r="H11" i="24" s="1"/>
  <c r="E23" i="24"/>
  <c r="C24" i="22"/>
  <c r="K18" i="22" s="1"/>
  <c r="R12" i="6"/>
  <c r="AG49" i="29"/>
  <c r="AE50" i="29"/>
  <c r="AE51" i="29" s="1"/>
  <c r="AE52" i="29" s="1"/>
  <c r="E53" i="27"/>
  <c r="E54" i="27" s="1"/>
  <c r="E55" i="27" s="1"/>
  <c r="F52" i="27"/>
  <c r="G52" i="27"/>
  <c r="T49" i="6"/>
  <c r="R50" i="6"/>
  <c r="R51" i="6" s="1"/>
  <c r="R52" i="6" s="1"/>
  <c r="F50" i="23"/>
  <c r="L50" i="23"/>
  <c r="H50" i="23"/>
  <c r="E50" i="23"/>
  <c r="D50" i="23"/>
  <c r="N50" i="23"/>
  <c r="J50" i="23"/>
  <c r="M50" i="23"/>
  <c r="I50" i="23"/>
  <c r="N51" i="41"/>
  <c r="N52" i="41" s="1"/>
  <c r="N53" i="41" s="1"/>
  <c r="P50" i="41"/>
  <c r="ES8" i="32"/>
  <c r="EW8" i="32"/>
  <c r="EN8" i="32"/>
  <c r="EV8" i="32"/>
  <c r="EM8" i="32"/>
  <c r="EU8" i="32"/>
  <c r="EL8" i="32"/>
  <c r="ET8" i="32"/>
  <c r="EK8" i="32"/>
  <c r="ER8" i="32"/>
  <c r="EZ8" i="32"/>
  <c r="EQ8" i="32"/>
  <c r="EJ9" i="32"/>
  <c r="EY8" i="32"/>
  <c r="EX8" i="32"/>
  <c r="EO8" i="32"/>
  <c r="EP8" i="32"/>
  <c r="E6" i="21"/>
  <c r="K21" i="31"/>
  <c r="K40" i="31" s="1"/>
  <c r="I14" i="24"/>
  <c r="E13" i="27"/>
  <c r="G5" i="27" a="1"/>
  <c r="G5" i="27" s="1"/>
  <c r="R9" i="27"/>
  <c r="E53" i="35"/>
  <c r="E54" i="35" s="1"/>
  <c r="E55" i="35" s="1"/>
  <c r="G52" i="35"/>
  <c r="BP9" i="32"/>
  <c r="CF8" i="32"/>
  <c r="BX8" i="32"/>
  <c r="CE8" i="32"/>
  <c r="BW8" i="32"/>
  <c r="CD8" i="32"/>
  <c r="BV8" i="32"/>
  <c r="CC8" i="32"/>
  <c r="BU8" i="32"/>
  <c r="CB8" i="32"/>
  <c r="BT8" i="32"/>
  <c r="CA8" i="32"/>
  <c r="BS8" i="32"/>
  <c r="BQ8" i="32"/>
  <c r="BY8" i="32"/>
  <c r="BZ8" i="32"/>
  <c r="BR8" i="32"/>
  <c r="BQ53" i="17"/>
  <c r="BQ54" i="17" s="1"/>
  <c r="BQ55" i="17" s="1"/>
  <c r="BS52" i="17"/>
  <c r="CA52" i="17"/>
  <c r="BY53" i="17"/>
  <c r="BY54" i="17" s="1"/>
  <c r="BY55" i="17" s="1"/>
  <c r="E50" i="1"/>
  <c r="E51" i="1" s="1"/>
  <c r="E52" i="1" s="1"/>
  <c r="G49" i="1"/>
  <c r="M13" i="26"/>
  <c r="L10" i="23"/>
  <c r="J10" i="23"/>
  <c r="I10" i="23"/>
  <c r="H10" i="23"/>
  <c r="F10" i="23"/>
  <c r="N10" i="23"/>
  <c r="D10" i="23"/>
  <c r="M10" i="23"/>
  <c r="E10" i="23"/>
  <c r="M5" i="25"/>
  <c r="G5" i="25" a="1"/>
  <c r="G5" i="25" s="1"/>
  <c r="E6" i="25"/>
  <c r="F6" i="24"/>
  <c r="G6" i="31"/>
  <c r="F6" i="30" s="1"/>
  <c r="E11" i="25"/>
  <c r="J6" i="31"/>
  <c r="E8" i="25"/>
  <c r="G6" i="24"/>
  <c r="H6" i="31"/>
  <c r="G6" i="30" s="1"/>
  <c r="E9" i="2"/>
  <c r="R11" i="2"/>
  <c r="C6" i="10"/>
  <c r="C47" i="22"/>
  <c r="N12" i="22" s="1"/>
  <c r="E10" i="27"/>
  <c r="H14" i="24"/>
  <c r="I21" i="31"/>
  <c r="T50" i="21"/>
  <c r="T51" i="21" s="1"/>
  <c r="T52" i="21" s="1"/>
  <c r="V49" i="21"/>
  <c r="Y305" i="25"/>
  <c r="Y306" i="25" s="1"/>
  <c r="Y307" i="25" s="1"/>
  <c r="Y308" i="25" s="1"/>
  <c r="Y309" i="25" s="1"/>
  <c r="Y310" i="25" s="1"/>
  <c r="Y311" i="25" s="1"/>
  <c r="Y312" i="25" s="1"/>
  <c r="Y313" i="25" s="1"/>
  <c r="Y314" i="25" s="1"/>
  <c r="Y315" i="25" s="1"/>
  <c r="Y316" i="25" s="1"/>
  <c r="Y317" i="25" s="1"/>
  <c r="Y318" i="25" s="1"/>
  <c r="Y319" i="25" s="1"/>
  <c r="Y320" i="25" s="1"/>
  <c r="Y321" i="25" s="1"/>
  <c r="Y322" i="25" s="1"/>
  <c r="Y323" i="25" s="1"/>
  <c r="Y324" i="25" s="1"/>
  <c r="Y325" i="25" s="1"/>
  <c r="AA304" i="25"/>
  <c r="Z304" i="25"/>
  <c r="L62" i="23"/>
  <c r="F62" i="23"/>
  <c r="E62" i="23"/>
  <c r="M62" i="23"/>
  <c r="J62" i="23"/>
  <c r="I62" i="23"/>
  <c r="H62" i="23"/>
  <c r="D62" i="23"/>
  <c r="N62" i="23"/>
  <c r="M50" i="21"/>
  <c r="M51" i="21" s="1"/>
  <c r="M52" i="21" s="1"/>
  <c r="O49" i="21"/>
  <c r="E6" i="6"/>
  <c r="B32" i="22"/>
  <c r="F9" i="24"/>
  <c r="F11" i="24" s="1"/>
  <c r="E7" i="27"/>
  <c r="E50" i="6"/>
  <c r="E51" i="6" s="1"/>
  <c r="E52" i="6" s="1"/>
  <c r="G49" i="6"/>
  <c r="B12" i="23"/>
  <c r="C11" i="23"/>
  <c r="R8" i="25"/>
  <c r="E8" i="2"/>
  <c r="B39" i="22"/>
  <c r="G13" i="24"/>
  <c r="G15" i="24" s="1"/>
  <c r="H20" i="31"/>
  <c r="J39" i="31"/>
  <c r="J22" i="31"/>
  <c r="J41" i="31" s="1"/>
  <c r="J23" i="31"/>
  <c r="J42" i="31" s="1"/>
  <c r="L88" i="23"/>
  <c r="H88" i="23"/>
  <c r="F88" i="23"/>
  <c r="E88" i="23"/>
  <c r="N88" i="23"/>
  <c r="M88" i="23"/>
  <c r="J88" i="23"/>
  <c r="D88" i="23"/>
  <c r="I88" i="23"/>
  <c r="BF46" i="28"/>
  <c r="BE46" i="28"/>
  <c r="BD47" i="28"/>
  <c r="BD48" i="28" s="1"/>
  <c r="BD49" i="28" s="1"/>
  <c r="T52" i="36"/>
  <c r="R53" i="36"/>
  <c r="R54" i="36" s="1"/>
  <c r="R55" i="36" s="1"/>
  <c r="K20" i="31"/>
  <c r="K39" i="31" s="1"/>
  <c r="I13" i="24"/>
  <c r="E13" i="2"/>
  <c r="B55" i="22"/>
  <c r="H13" i="12"/>
  <c r="L7" i="12"/>
  <c r="L13" i="12"/>
  <c r="K10" i="12" a="1"/>
  <c r="K10" i="12" s="1"/>
  <c r="F8" i="12"/>
  <c r="K11" i="12" a="1"/>
  <c r="K11" i="12" s="1"/>
  <c r="T6" i="12"/>
  <c r="H6" i="12"/>
  <c r="H12" i="12"/>
  <c r="D9" i="12" a="1"/>
  <c r="D9" i="12" s="1"/>
  <c r="B9" i="10"/>
  <c r="H11" i="12"/>
  <c r="H10" i="12"/>
  <c r="D10" i="10" s="1"/>
  <c r="H7" i="12"/>
  <c r="D12" i="12" a="1"/>
  <c r="D12" i="12" s="1"/>
  <c r="D10" i="12" a="1"/>
  <c r="D10" i="12" s="1"/>
  <c r="M7" i="12"/>
  <c r="G9" i="12"/>
  <c r="F13" i="12"/>
  <c r="F6" i="12"/>
  <c r="D7" i="12" a="1"/>
  <c r="D7" i="12" s="1"/>
  <c r="K9" i="12" a="1"/>
  <c r="K9" i="12" s="1"/>
  <c r="M6" i="12"/>
  <c r="K7" i="12" a="1"/>
  <c r="K7" i="12" s="1"/>
  <c r="M13" i="12"/>
  <c r="G7" i="12"/>
  <c r="H9" i="12"/>
  <c r="H8" i="12"/>
  <c r="G10" i="12"/>
  <c r="G8" i="12"/>
  <c r="B10" i="10"/>
  <c r="F7" i="12"/>
  <c r="G12" i="12"/>
  <c r="M12" i="12"/>
  <c r="M8" i="12"/>
  <c r="M10" i="12"/>
  <c r="D9" i="10" s="1"/>
  <c r="F12" i="12"/>
  <c r="Q3" i="12" s="1"/>
  <c r="D8" i="12" a="1"/>
  <c r="D8" i="12" s="1"/>
  <c r="K8" i="12" a="1"/>
  <c r="K8" i="12" s="1"/>
  <c r="C41" i="22" s="1"/>
  <c r="M24" i="22" s="1"/>
  <c r="B5" i="12"/>
  <c r="F5" i="12" s="1"/>
  <c r="L12" i="12"/>
  <c r="F10" i="12"/>
  <c r="E10" i="10" s="1"/>
  <c r="Q6" i="12" a="1"/>
  <c r="Q6" i="12" s="1"/>
  <c r="M9" i="12"/>
  <c r="D6" i="12" a="1"/>
  <c r="D6" i="12" s="1"/>
  <c r="L10" i="12"/>
  <c r="E9" i="10" s="1"/>
  <c r="K6" i="12" a="1"/>
  <c r="K6" i="12" s="1"/>
  <c r="C33" i="22" s="1"/>
  <c r="L24" i="22" s="1"/>
  <c r="D11" i="12" a="1"/>
  <c r="D11" i="12" s="1"/>
  <c r="G13" i="12"/>
  <c r="M11" i="12"/>
  <c r="F9" i="12"/>
  <c r="K12" i="12" a="1"/>
  <c r="K12" i="12" s="1"/>
  <c r="K13" i="12" a="1"/>
  <c r="K13" i="12" s="1"/>
  <c r="C57" i="22" s="1"/>
  <c r="O24" i="22" s="1"/>
  <c r="S6" i="12"/>
  <c r="L6" i="12"/>
  <c r="L9" i="12"/>
  <c r="L8" i="12"/>
  <c r="G6" i="12"/>
  <c r="D13" i="12" a="1"/>
  <c r="D13" i="12" s="1"/>
  <c r="BI6" i="32"/>
  <c r="BA6" i="32"/>
  <c r="BH6" i="32"/>
  <c r="AZ6" i="32"/>
  <c r="BG6" i="32"/>
  <c r="AY6" i="32"/>
  <c r="BN6" i="32"/>
  <c r="BF6" i="32"/>
  <c r="BM6" i="32"/>
  <c r="BE6" i="32"/>
  <c r="BL6" i="32"/>
  <c r="BD6" i="32"/>
  <c r="BJ6" i="32"/>
  <c r="BC6" i="32"/>
  <c r="AX7" i="32"/>
  <c r="BB6" i="32"/>
  <c r="BK6" i="32"/>
  <c r="Q5" i="2" a="1"/>
  <c r="Q5" i="2" s="1"/>
  <c r="BJ50" i="28"/>
  <c r="BJ51" i="28" s="1"/>
  <c r="BJ52" i="28" s="1"/>
  <c r="BL49" i="28"/>
  <c r="CZ9" i="32"/>
  <c r="DN8" i="32"/>
  <c r="DF8" i="32"/>
  <c r="DM8" i="32"/>
  <c r="DE8" i="32"/>
  <c r="DL8" i="32"/>
  <c r="DD8" i="32"/>
  <c r="DK8" i="32"/>
  <c r="DC8" i="32"/>
  <c r="DJ8" i="32"/>
  <c r="DB8" i="32"/>
  <c r="DI8" i="32"/>
  <c r="DA8" i="32"/>
  <c r="DP8" i="32"/>
  <c r="DO8" i="32"/>
  <c r="DG8" i="32"/>
  <c r="DH8" i="32"/>
  <c r="F63" i="23"/>
  <c r="L63" i="23"/>
  <c r="J63" i="23"/>
  <c r="N63" i="23"/>
  <c r="M63" i="23"/>
  <c r="I63" i="23"/>
  <c r="H63" i="23"/>
  <c r="E63" i="23"/>
  <c r="D63" i="23"/>
  <c r="T49" i="26"/>
  <c r="R50" i="26"/>
  <c r="R51" i="26" s="1"/>
  <c r="R52" i="26" s="1"/>
  <c r="E9" i="6"/>
  <c r="R10" i="6"/>
  <c r="B28" i="29"/>
  <c r="R50" i="27"/>
  <c r="R51" i="27" s="1"/>
  <c r="R52" i="27" s="1"/>
  <c r="T49" i="27"/>
  <c r="T52" i="35"/>
  <c r="R53" i="35"/>
  <c r="R54" i="35" s="1"/>
  <c r="R55" i="35" s="1"/>
  <c r="L50" i="6"/>
  <c r="L51" i="6" s="1"/>
  <c r="L52" i="6" s="1"/>
  <c r="N49" i="6"/>
  <c r="R13" i="27"/>
  <c r="E12" i="27"/>
  <c r="S5" i="27"/>
  <c r="CH49" i="17"/>
  <c r="CF50" i="17"/>
  <c r="CF51" i="17" s="1"/>
  <c r="CF52" i="17" s="1"/>
  <c r="K12" i="37" a="1"/>
  <c r="K12" i="37" s="1"/>
  <c r="R9" i="37"/>
  <c r="Q11" i="37" a="1"/>
  <c r="Q11" i="37" s="1"/>
  <c r="S6" i="37"/>
  <c r="S10" i="37"/>
  <c r="R7" i="37"/>
  <c r="G11" i="37"/>
  <c r="S11" i="37"/>
  <c r="Q10" i="37" a="1"/>
  <c r="Q10" i="37" s="1"/>
  <c r="L10" i="37"/>
  <c r="Q12" i="37" a="1"/>
  <c r="Q12" i="37" s="1"/>
  <c r="Q7" i="37" a="1"/>
  <c r="Q7" i="37" s="1"/>
  <c r="M9" i="37"/>
  <c r="D10" i="37" a="1"/>
  <c r="D10" i="37" s="1"/>
  <c r="K11" i="37" a="1"/>
  <c r="K11" i="37" s="1"/>
  <c r="F9" i="37"/>
  <c r="F10" i="37"/>
  <c r="R11" i="37"/>
  <c r="F11" i="37"/>
  <c r="S12" i="37"/>
  <c r="H11" i="37"/>
  <c r="G12" i="37"/>
  <c r="R6" i="37"/>
  <c r="S7" i="37"/>
  <c r="D6" i="37" a="1"/>
  <c r="D6" i="37" s="1"/>
  <c r="D12" i="37" a="1"/>
  <c r="D12" i="37" s="1"/>
  <c r="D11" i="37" a="1"/>
  <c r="D11" i="37" s="1"/>
  <c r="L12" i="37"/>
  <c r="L6" i="37"/>
  <c r="G7" i="37"/>
  <c r="M7" i="37"/>
  <c r="K9" i="37" a="1"/>
  <c r="K9" i="37" s="1"/>
  <c r="H7" i="37"/>
  <c r="M6" i="37"/>
  <c r="R12" i="37"/>
  <c r="L11" i="37"/>
  <c r="K7" i="37" a="1"/>
  <c r="K7" i="37" s="1"/>
  <c r="D9" i="37" a="1"/>
  <c r="D9" i="37" s="1"/>
  <c r="K10" i="37" a="1"/>
  <c r="K10" i="37" s="1"/>
  <c r="Q6" i="37" a="1"/>
  <c r="Q6" i="37" s="1"/>
  <c r="H6" i="37"/>
  <c r="G9" i="37"/>
  <c r="H9" i="37"/>
  <c r="D7" i="37" a="1"/>
  <c r="D7" i="37" s="1"/>
  <c r="M11" i="37"/>
  <c r="L7" i="37"/>
  <c r="G10" i="37"/>
  <c r="M12" i="37"/>
  <c r="S9" i="37"/>
  <c r="M10" i="37"/>
  <c r="L9" i="37"/>
  <c r="G6" i="37"/>
  <c r="B5" i="37"/>
  <c r="Q5" i="37" s="1" a="1"/>
  <c r="Q5" i="37" s="1"/>
  <c r="H12" i="37"/>
  <c r="R10" i="37"/>
  <c r="H10" i="37"/>
  <c r="F7" i="37"/>
  <c r="K6" i="37" a="1"/>
  <c r="K6" i="37" s="1"/>
  <c r="F6" i="37"/>
  <c r="P43" i="40"/>
  <c r="E104" i="31" s="1"/>
  <c r="N5" i="21"/>
  <c r="P5" i="21"/>
  <c r="O5" i="21" a="1"/>
  <c r="O5" i="21" s="1"/>
  <c r="N6" i="41"/>
  <c r="E11" i="41"/>
  <c r="K10" i="26" a="1"/>
  <c r="K10" i="26" s="1"/>
  <c r="E10" i="26" s="1"/>
  <c r="L50" i="26"/>
  <c r="L51" i="26" s="1"/>
  <c r="L52" i="26" s="1"/>
  <c r="N49" i="26"/>
  <c r="L53" i="36"/>
  <c r="L54" i="36" s="1"/>
  <c r="L55" i="36" s="1"/>
  <c r="N52" i="36"/>
  <c r="R6" i="25"/>
  <c r="H5" i="25"/>
  <c r="R6" i="2"/>
  <c r="D5" i="2" a="1"/>
  <c r="D5" i="2" s="1"/>
  <c r="S5" i="21" a="1"/>
  <c r="S5" i="21" s="1"/>
  <c r="T5" i="21" s="1"/>
  <c r="W5" i="21"/>
  <c r="E10" i="21"/>
  <c r="E9" i="21"/>
  <c r="F89" i="23"/>
  <c r="M89" i="23"/>
  <c r="L89" i="23"/>
  <c r="J89" i="23"/>
  <c r="E89" i="23"/>
  <c r="D89" i="23"/>
  <c r="I89" i="23"/>
  <c r="H89" i="23"/>
  <c r="N89" i="23"/>
  <c r="E50" i="36"/>
  <c r="E51" i="36" s="1"/>
  <c r="E52" i="36" s="1"/>
  <c r="G49" i="36"/>
  <c r="E50" i="25"/>
  <c r="E51" i="25" s="1"/>
  <c r="E52" i="25" s="1"/>
  <c r="G49" i="25"/>
  <c r="L12" i="35"/>
  <c r="G12" i="35"/>
  <c r="T12" i="35"/>
  <c r="F9" i="35"/>
  <c r="T8" i="35"/>
  <c r="S11" i="35"/>
  <c r="K11" i="35" a="1"/>
  <c r="K11" i="35" s="1"/>
  <c r="H11" i="35"/>
  <c r="H12" i="35"/>
  <c r="T5" i="35" a="1"/>
  <c r="T5" i="35" s="1"/>
  <c r="G10" i="35"/>
  <c r="H9" i="35"/>
  <c r="L8" i="35"/>
  <c r="M11" i="35"/>
  <c r="K7" i="35" a="1"/>
  <c r="K7" i="35" s="1"/>
  <c r="M12" i="35"/>
  <c r="H7" i="35"/>
  <c r="T11" i="35"/>
  <c r="Q9" i="35" a="1"/>
  <c r="Q9" i="35" s="1"/>
  <c r="S8" i="35"/>
  <c r="Q10" i="35" a="1"/>
  <c r="Q10" i="35" s="1"/>
  <c r="K8" i="35" a="1"/>
  <c r="K8" i="35" s="1"/>
  <c r="K10" i="35" a="1"/>
  <c r="K10" i="35" s="1"/>
  <c r="S7" i="35"/>
  <c r="T10" i="35"/>
  <c r="Q8" i="35" a="1"/>
  <c r="Q8" i="35" s="1"/>
  <c r="H10" i="35"/>
  <c r="Q11" i="35" a="1"/>
  <c r="Q11" i="35" s="1"/>
  <c r="M7" i="35"/>
  <c r="G11" i="35"/>
  <c r="S9" i="35"/>
  <c r="F10" i="35"/>
  <c r="D10" i="35" a="1"/>
  <c r="D10" i="35" s="1"/>
  <c r="M8" i="35"/>
  <c r="U11" i="35"/>
  <c r="M10" i="35"/>
  <c r="K6" i="35" a="1"/>
  <c r="K6" i="35" s="1"/>
  <c r="Q7" i="35" a="1"/>
  <c r="Q7" i="35" s="1"/>
  <c r="S10" i="35"/>
  <c r="G8" i="35"/>
  <c r="G9" i="35"/>
  <c r="T7" i="35"/>
  <c r="T9" i="35"/>
  <c r="F11" i="35"/>
  <c r="L6" i="35"/>
  <c r="H6" i="35"/>
  <c r="M6" i="35"/>
  <c r="D7" i="35" a="1"/>
  <c r="D7" i="35" s="1"/>
  <c r="H8" i="35"/>
  <c r="D11" i="35" a="1"/>
  <c r="D11" i="35" s="1"/>
  <c r="G6" i="35"/>
  <c r="L11" i="35"/>
  <c r="F7" i="35"/>
  <c r="T6" i="35"/>
  <c r="Q12" i="35" a="1"/>
  <c r="Q12" i="35" s="1"/>
  <c r="S6" i="35"/>
  <c r="L10" i="35"/>
  <c r="S12" i="35"/>
  <c r="K12" i="35" a="1"/>
  <c r="K12" i="35" s="1"/>
  <c r="E12" i="35" s="1"/>
  <c r="Q6" i="35" a="1"/>
  <c r="Q6" i="35" s="1"/>
  <c r="F8" i="35"/>
  <c r="U6" i="35"/>
  <c r="D6" i="35" a="1"/>
  <c r="D6" i="35" s="1"/>
  <c r="K9" i="35" a="1"/>
  <c r="K9" i="35" s="1"/>
  <c r="G7" i="35"/>
  <c r="U12" i="35"/>
  <c r="F6" i="35"/>
  <c r="U10" i="35"/>
  <c r="L9" i="35"/>
  <c r="L7" i="35"/>
  <c r="F12" i="35"/>
  <c r="D9" i="35" a="1"/>
  <c r="D9" i="35" s="1"/>
  <c r="M9" i="35"/>
  <c r="D8" i="35" a="1"/>
  <c r="D8" i="35" s="1"/>
  <c r="U9" i="35"/>
  <c r="U8" i="35"/>
  <c r="U7" i="35"/>
  <c r="A65" i="10"/>
  <c r="AJ50" i="28"/>
  <c r="AJ51" i="28" s="1"/>
  <c r="AJ52" i="28" s="1"/>
  <c r="AL49" i="28"/>
  <c r="I11" i="24"/>
  <c r="K33" i="31"/>
  <c r="C56" i="22"/>
  <c r="O18" i="22" s="1"/>
  <c r="E21" i="24"/>
  <c r="E5" i="6"/>
  <c r="B24" i="22"/>
  <c r="R8" i="6"/>
  <c r="CW8" i="32"/>
  <c r="CO8" i="32"/>
  <c r="CV8" i="32"/>
  <c r="CN8" i="32"/>
  <c r="CU8" i="32"/>
  <c r="CM8" i="32"/>
  <c r="CT8" i="32"/>
  <c r="CL8" i="32"/>
  <c r="CH9" i="32"/>
  <c r="CS8" i="32"/>
  <c r="CK8" i="32"/>
  <c r="CR8" i="32"/>
  <c r="CJ8" i="32"/>
  <c r="CX8" i="32"/>
  <c r="CQ8" i="32"/>
  <c r="CP8" i="32"/>
  <c r="CI8" i="32"/>
  <c r="BJ77" i="17"/>
  <c r="BJ78" i="17" s="1"/>
  <c r="BJ79" i="17" s="1"/>
  <c r="BL76" i="17"/>
  <c r="Y49" i="28"/>
  <c r="W50" i="28"/>
  <c r="W51" i="28" s="1"/>
  <c r="W52" i="28" s="1"/>
  <c r="AW77" i="17"/>
  <c r="AW78" i="17" s="1"/>
  <c r="AW79" i="17" s="1"/>
  <c r="AY76" i="17"/>
  <c r="R12" i="26"/>
  <c r="R11" i="25"/>
  <c r="R9" i="25"/>
  <c r="R9" i="2"/>
  <c r="V5" i="21" a="1"/>
  <c r="V5" i="21" s="1"/>
  <c r="N49" i="1"/>
  <c r="L50" i="1"/>
  <c r="L51" i="1" s="1"/>
  <c r="L52" i="1" s="1"/>
  <c r="CA52" i="28"/>
  <c r="BY53" i="28"/>
  <c r="BY54" i="28" s="1"/>
  <c r="BY55" i="28" s="1"/>
  <c r="Q47" i="17"/>
  <c r="Q48" i="17" s="1"/>
  <c r="Q49" i="17" s="1"/>
  <c r="R46" i="17"/>
  <c r="S46" i="17"/>
  <c r="AJ50" i="17"/>
  <c r="AJ51" i="17" s="1"/>
  <c r="AJ52" i="17" s="1"/>
  <c r="AL49" i="17"/>
  <c r="L49" i="28"/>
  <c r="J50" i="28"/>
  <c r="J51" i="28" s="1"/>
  <c r="J52" i="28" s="1"/>
  <c r="I9" i="24"/>
  <c r="K30" i="31"/>
  <c r="E13" i="6"/>
  <c r="B56" i="22"/>
  <c r="E8" i="6"/>
  <c r="B40" i="22"/>
  <c r="G9" i="24"/>
  <c r="G11" i="24" s="1"/>
  <c r="AS43" i="28"/>
  <c r="AQ44" i="28"/>
  <c r="AQ45" i="28" s="1"/>
  <c r="AQ46" i="28" s="1"/>
  <c r="T49" i="2"/>
  <c r="R50" i="2"/>
  <c r="R51" i="2" s="1"/>
  <c r="R52" i="2" s="1"/>
  <c r="E56" i="26"/>
  <c r="E57" i="26" s="1"/>
  <c r="E58" i="26" s="1"/>
  <c r="G55" i="26"/>
  <c r="L75" i="23"/>
  <c r="F75" i="23"/>
  <c r="E75" i="23"/>
  <c r="H75" i="23"/>
  <c r="D75" i="23"/>
  <c r="N75" i="23"/>
  <c r="J75" i="23"/>
  <c r="I75" i="23"/>
  <c r="M75" i="23"/>
  <c r="AW50" i="28"/>
  <c r="AW51" i="28" s="1"/>
  <c r="AW52" i="28" s="1"/>
  <c r="AY49" i="28"/>
  <c r="E9" i="27"/>
  <c r="G6" i="38"/>
  <c r="H10" i="38"/>
  <c r="K11" i="38" a="1"/>
  <c r="K11" i="38" s="1"/>
  <c r="H11" i="38"/>
  <c r="H12" i="38"/>
  <c r="L10" i="38"/>
  <c r="D7" i="38" a="1"/>
  <c r="D7" i="38" s="1"/>
  <c r="F11" i="38"/>
  <c r="G7" i="38"/>
  <c r="H7" i="38"/>
  <c r="K9" i="38" a="1"/>
  <c r="K9" i="38" s="1"/>
  <c r="L6" i="38"/>
  <c r="M11" i="38"/>
  <c r="M7" i="38"/>
  <c r="F7" i="38"/>
  <c r="M6" i="38"/>
  <c r="M10" i="38"/>
  <c r="L12" i="38"/>
  <c r="F10" i="38"/>
  <c r="M9" i="38"/>
  <c r="F6" i="38"/>
  <c r="D12" i="38" a="1"/>
  <c r="D12" i="38" s="1"/>
  <c r="K7" i="38" a="1"/>
  <c r="K7" i="38" s="1"/>
  <c r="D6" i="38" a="1"/>
  <c r="D6" i="38" s="1"/>
  <c r="B5" i="38"/>
  <c r="H5" i="38" s="1"/>
  <c r="L11" i="38"/>
  <c r="G10" i="38"/>
  <c r="H9" i="38"/>
  <c r="G11" i="38"/>
  <c r="M12" i="38"/>
  <c r="L9" i="38"/>
  <c r="K10" i="38" a="1"/>
  <c r="K10" i="38" s="1"/>
  <c r="L7" i="38"/>
  <c r="D11" i="38" a="1"/>
  <c r="D11" i="38" s="1"/>
  <c r="D9" i="38" a="1"/>
  <c r="D9" i="38" s="1"/>
  <c r="D10" i="38" a="1"/>
  <c r="D10" i="38" s="1"/>
  <c r="G9" i="38"/>
  <c r="G12" i="38"/>
  <c r="K12" i="38" a="1"/>
  <c r="K12" i="38" s="1"/>
  <c r="H6" i="38"/>
  <c r="F9" i="38"/>
  <c r="K6" i="38" a="1"/>
  <c r="K6" i="38" s="1"/>
  <c r="L50" i="12"/>
  <c r="L51" i="12" s="1"/>
  <c r="L52" i="12" s="1"/>
  <c r="N49" i="12"/>
  <c r="E22" i="24"/>
  <c r="E5" i="26"/>
  <c r="E12" i="26"/>
  <c r="K6" i="31"/>
  <c r="I6" i="24"/>
  <c r="E13" i="25"/>
  <c r="K19" i="31"/>
  <c r="K23" i="31"/>
  <c r="K42" i="31" s="1"/>
  <c r="I15" i="24"/>
  <c r="C55" i="22"/>
  <c r="O12" i="22" s="1"/>
  <c r="H5" i="2"/>
  <c r="F5" i="2"/>
  <c r="EE8" i="32"/>
  <c r="DW8" i="32"/>
  <c r="ED8" i="32"/>
  <c r="DV8" i="32"/>
  <c r="EC8" i="32"/>
  <c r="DU8" i="32"/>
  <c r="EB8" i="32"/>
  <c r="DT8" i="32"/>
  <c r="EA8" i="32"/>
  <c r="DS8" i="32"/>
  <c r="EH8" i="32"/>
  <c r="DZ8" i="32"/>
  <c r="EF8" i="32"/>
  <c r="DY8" i="32"/>
  <c r="DX8" i="32"/>
  <c r="DR9" i="32"/>
  <c r="EG8" i="32"/>
  <c r="D5" i="21" a="1"/>
  <c r="D5" i="21" s="1"/>
  <c r="E5" i="21" s="1"/>
  <c r="AC47" i="41"/>
  <c r="AA48" i="41"/>
  <c r="AA49" i="41" s="1"/>
  <c r="AA50" i="41" s="1"/>
  <c r="N49" i="25"/>
  <c r="L50" i="25"/>
  <c r="L51" i="25" s="1"/>
  <c r="L52" i="25" s="1"/>
  <c r="R6" i="6"/>
  <c r="AS43" i="17"/>
  <c r="AQ44" i="17"/>
  <c r="AQ45" i="17" s="1"/>
  <c r="AQ46" i="17" s="1"/>
  <c r="L49" i="23"/>
  <c r="F49" i="23"/>
  <c r="I49" i="23"/>
  <c r="H49" i="23"/>
  <c r="E49" i="23"/>
  <c r="D49" i="23"/>
  <c r="M49" i="23"/>
  <c r="J49" i="23"/>
  <c r="N49" i="23"/>
  <c r="M5" i="27"/>
  <c r="D5" i="27" a="1"/>
  <c r="D5" i="27" s="1"/>
  <c r="L5" i="27"/>
  <c r="E50" i="21"/>
  <c r="E51" i="21" s="1"/>
  <c r="E52" i="21" s="1"/>
  <c r="G49" i="21"/>
  <c r="J50" i="17"/>
  <c r="J51" i="17" s="1"/>
  <c r="J52" i="17" s="1"/>
  <c r="L49" i="17"/>
  <c r="E50" i="12"/>
  <c r="E51" i="12" s="1"/>
  <c r="E52" i="12" s="1"/>
  <c r="G49" i="12"/>
  <c r="E12" i="41"/>
  <c r="N46" i="27"/>
  <c r="L47" i="27"/>
  <c r="L48" i="27" s="1"/>
  <c r="L49" i="27" s="1"/>
  <c r="B44" i="17"/>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R10" i="25"/>
  <c r="E6" i="2"/>
  <c r="B31" i="22"/>
  <c r="F13" i="24"/>
  <c r="F15" i="24" s="1"/>
  <c r="G20" i="31"/>
  <c r="T6" i="21"/>
  <c r="F5" i="21"/>
  <c r="W50" i="17"/>
  <c r="W51" i="17" s="1"/>
  <c r="W52" i="17" s="1"/>
  <c r="Y49" i="17"/>
  <c r="AO25" i="32"/>
  <c r="Q47" i="28"/>
  <c r="Q48" i="28" s="1"/>
  <c r="Q49" i="28" s="1"/>
  <c r="R46" i="28"/>
  <c r="S46" i="28"/>
  <c r="AF43" i="17"/>
  <c r="AD44" i="17"/>
  <c r="AD45" i="17" s="1"/>
  <c r="AD46" i="17" s="1"/>
  <c r="L53" i="2"/>
  <c r="L54" i="2" s="1"/>
  <c r="L55" i="2" s="1"/>
  <c r="N52" i="2"/>
  <c r="M52" i="2"/>
  <c r="K32" i="31"/>
  <c r="R13" i="6"/>
  <c r="F5" i="25"/>
  <c r="AA5" i="25"/>
  <c r="Z5" i="25"/>
  <c r="X5" i="25" a="1"/>
  <c r="X5" i="25" s="1"/>
  <c r="Y5" i="25" s="1"/>
  <c r="L5" i="25"/>
  <c r="E50" i="2"/>
  <c r="E51" i="2" s="1"/>
  <c r="E52" i="2" s="1"/>
  <c r="G49" i="2"/>
  <c r="S5" i="25"/>
  <c r="BF46" i="17"/>
  <c r="BE46" i="17"/>
  <c r="BD47" i="17"/>
  <c r="BD48" i="17" s="1"/>
  <c r="BD49" i="17" s="1"/>
  <c r="T46" i="25"/>
  <c r="R47" i="25"/>
  <c r="R48" i="25" s="1"/>
  <c r="R49" i="25" s="1"/>
  <c r="E7" i="6"/>
  <c r="R5" i="6"/>
  <c r="C7" i="10"/>
  <c r="C48" i="22"/>
  <c r="N18" i="22" s="1"/>
  <c r="BQ50" i="28"/>
  <c r="BQ51" i="28" s="1"/>
  <c r="BQ52" i="28" s="1"/>
  <c r="BS49" i="28"/>
  <c r="F76" i="23"/>
  <c r="M76" i="23"/>
  <c r="L76" i="23"/>
  <c r="J76" i="23"/>
  <c r="H76" i="23"/>
  <c r="E76" i="23"/>
  <c r="D76" i="23"/>
  <c r="N76" i="23"/>
  <c r="I76" i="23"/>
  <c r="L53" i="35"/>
  <c r="L54" i="35" s="1"/>
  <c r="L55" i="35" s="1"/>
  <c r="N52" i="35"/>
  <c r="K5" i="27" a="1"/>
  <c r="K5" i="27" s="1"/>
  <c r="R7" i="27"/>
  <c r="E6" i="27"/>
  <c r="F14" i="24"/>
  <c r="G21" i="31"/>
  <c r="G11" i="27"/>
  <c r="F11" i="27"/>
  <c r="L11" i="27"/>
  <c r="E11" i="27"/>
  <c r="S11" i="27"/>
  <c r="J21" i="31"/>
  <c r="J40" i="31" s="1"/>
  <c r="T5" i="27"/>
  <c r="N7" i="41"/>
  <c r="E7" i="41"/>
  <c r="N11" i="41"/>
  <c r="H10" i="24"/>
  <c r="Q9" i="26" a="1"/>
  <c r="Q9" i="26" s="1"/>
  <c r="L13" i="26"/>
  <c r="K11" i="26" a="1"/>
  <c r="K11" i="26" s="1"/>
  <c r="E11" i="26" s="1"/>
  <c r="Q11" i="26" a="1"/>
  <c r="Q11" i="26" s="1"/>
  <c r="L7" i="26"/>
  <c r="T9" i="26"/>
  <c r="L5" i="26"/>
  <c r="S10" i="26"/>
  <c r="M12" i="26"/>
  <c r="S5" i="26"/>
  <c r="F5" i="26"/>
  <c r="D13" i="26" a="1"/>
  <c r="D13" i="26" s="1"/>
  <c r="K11" i="31" s="1"/>
  <c r="F10" i="26"/>
  <c r="S7" i="26"/>
  <c r="M8" i="26"/>
  <c r="S8" i="26"/>
  <c r="K8" i="26" a="1"/>
  <c r="K8" i="26" s="1"/>
  <c r="K6" i="26" a="1"/>
  <c r="K6" i="26" s="1"/>
  <c r="G7" i="26"/>
  <c r="F6" i="26"/>
  <c r="K9" i="26" a="1"/>
  <c r="K9" i="26" s="1"/>
  <c r="H8" i="26"/>
  <c r="T5" i="26"/>
  <c r="Q5" i="26" a="1"/>
  <c r="Q5" i="26" s="1"/>
  <c r="R5" i="26" s="1"/>
  <c r="K7" i="26" a="1"/>
  <c r="K7" i="26" s="1"/>
  <c r="G5" i="26" a="1"/>
  <c r="G5" i="26" s="1"/>
  <c r="Q8" i="26" a="1"/>
  <c r="Q8" i="26" s="1"/>
  <c r="M6" i="26"/>
  <c r="G13" i="26"/>
  <c r="H10" i="26"/>
  <c r="F12" i="26"/>
  <c r="D7" i="26" a="1"/>
  <c r="D7" i="26" s="1"/>
  <c r="E10" i="24"/>
  <c r="T11" i="26"/>
  <c r="Q10" i="26" a="1"/>
  <c r="Q10" i="26" s="1"/>
  <c r="Q7" i="26" a="1"/>
  <c r="Q7" i="26" s="1"/>
  <c r="K13" i="26" a="1"/>
  <c r="K13" i="26" s="1"/>
  <c r="H7" i="26"/>
  <c r="M11" i="26"/>
  <c r="D8" i="26" a="1"/>
  <c r="D8" i="26" s="1"/>
  <c r="H11" i="31" s="1"/>
  <c r="T12" i="26"/>
  <c r="H11" i="26"/>
  <c r="S13" i="26"/>
  <c r="S6" i="26"/>
  <c r="D9" i="26" a="1"/>
  <c r="D9" i="26" s="1"/>
  <c r="L12" i="26"/>
  <c r="M10" i="26"/>
  <c r="G12" i="26"/>
  <c r="F9" i="26"/>
  <c r="S11" i="26"/>
  <c r="G6" i="26"/>
  <c r="F13" i="26"/>
  <c r="M7" i="26"/>
  <c r="S12" i="26"/>
  <c r="F7" i="26"/>
  <c r="H6" i="26"/>
  <c r="G9" i="26"/>
  <c r="L10" i="26"/>
  <c r="G8" i="26"/>
  <c r="D6" i="26" a="1"/>
  <c r="D6" i="26" s="1"/>
  <c r="G11" i="31" s="1"/>
  <c r="M5" i="26"/>
  <c r="H9" i="26"/>
  <c r="T6" i="26"/>
  <c r="Q6" i="26" a="1"/>
  <c r="Q6" i="26" s="1"/>
  <c r="H5" i="26"/>
  <c r="T10" i="26"/>
  <c r="Q13" i="26" a="1"/>
  <c r="Q13" i="26" s="1"/>
  <c r="T13" i="26"/>
  <c r="S9" i="26"/>
  <c r="L9" i="26"/>
  <c r="E54" i="41"/>
  <c r="E55" i="41" s="1"/>
  <c r="E56" i="41" s="1"/>
  <c r="E57" i="41" s="1"/>
  <c r="E58" i="41" s="1"/>
  <c r="E59" i="41" s="1"/>
  <c r="G53" i="41"/>
  <c r="F53" i="41"/>
  <c r="D5" i="25" a="1"/>
  <c r="D5" i="25" s="1"/>
  <c r="K5" i="25" a="1"/>
  <c r="K5" i="25" s="1"/>
  <c r="R5" i="25" s="1"/>
  <c r="T5" i="25" a="1"/>
  <c r="T5" i="25" s="1"/>
  <c r="Y9" i="25"/>
  <c r="E12" i="25"/>
  <c r="C3" i="10"/>
  <c r="E10" i="2"/>
  <c r="B47" i="22"/>
  <c r="H13" i="24"/>
  <c r="H15" i="24" s="1"/>
  <c r="I20" i="31"/>
  <c r="L5" i="2"/>
  <c r="T12" i="21"/>
  <c r="U5" i="21"/>
  <c r="R50" i="1"/>
  <c r="R51" i="1" s="1"/>
  <c r="R52" i="1" s="1"/>
  <c r="T49" i="1"/>
  <c r="G27" i="30"/>
  <c r="H40" i="31"/>
  <c r="Y50" i="1"/>
  <c r="Y51" i="1" s="1"/>
  <c r="Y52" i="1" s="1"/>
  <c r="AA49" i="1"/>
  <c r="B27" i="28"/>
  <c r="B28" i="28" s="1"/>
  <c r="B29" i="28" s="1"/>
  <c r="B30" i="28" s="1"/>
  <c r="B31" i="28" s="1"/>
  <c r="B32" i="28" s="1"/>
  <c r="B33" i="28" s="1"/>
  <c r="B34" i="28" s="1"/>
  <c r="B35" i="28" s="1"/>
  <c r="B36" i="28" s="1"/>
  <c r="B37" i="28" s="1"/>
  <c r="B38" i="28" s="1"/>
  <c r="B39" i="28" s="1"/>
  <c r="B40" i="28" s="1"/>
  <c r="B41" i="28" s="1"/>
  <c r="B42" i="28" s="1"/>
  <c r="B43" i="28" s="1"/>
  <c r="G5" i="41" a="1"/>
  <c r="G5" i="41" s="1"/>
  <c r="H5" i="21"/>
  <c r="AN21" i="32" a="1"/>
  <c r="AO37" i="32"/>
  <c r="AM21" i="32" a="1"/>
  <c r="AN35" i="32"/>
  <c r="B312" i="36" l="1"/>
  <c r="B313" i="36" s="1"/>
  <c r="B314" i="36" s="1"/>
  <c r="B315" i="36" s="1"/>
  <c r="B316" i="36" s="1"/>
  <c r="B317" i="36" s="1"/>
  <c r="B318" i="36" s="1"/>
  <c r="B319" i="36" s="1"/>
  <c r="B320" i="36" s="1"/>
  <c r="B321" i="36" s="1"/>
  <c r="B322" i="36" s="1"/>
  <c r="B323" i="36" s="1"/>
  <c r="B324" i="36" s="1"/>
  <c r="B325" i="36" s="1"/>
  <c r="B326" i="36" s="1"/>
  <c r="B327" i="36" s="1"/>
  <c r="B328" i="36" s="1"/>
  <c r="B329" i="36" s="1"/>
  <c r="AA325" i="25"/>
  <c r="E56" i="39"/>
  <c r="E57" i="39" s="1"/>
  <c r="E58" i="39" s="1"/>
  <c r="F55" i="39"/>
  <c r="G55" i="39"/>
  <c r="B31" i="39"/>
  <c r="B32" i="39" s="1"/>
  <c r="B33" i="39" s="1"/>
  <c r="Z322" i="25"/>
  <c r="AA322" i="25"/>
  <c r="AA319" i="25"/>
  <c r="AA316" i="25"/>
  <c r="Z316" i="25"/>
  <c r="E60" i="41"/>
  <c r="E61" i="41" s="1"/>
  <c r="E62" i="41" s="1"/>
  <c r="G59" i="41"/>
  <c r="G17" i="24" a="1"/>
  <c r="G17" i="24" s="1"/>
  <c r="G19" i="24" s="1" a="1"/>
  <c r="G19" i="24" s="1"/>
  <c r="AA313" i="25"/>
  <c r="N5" i="41"/>
  <c r="I18" i="24" a="1"/>
  <c r="I18" i="24" s="1"/>
  <c r="I17" i="24" a="1"/>
  <c r="I17" i="24" s="1"/>
  <c r="I19" i="24" s="1" a="1"/>
  <c r="I19" i="24" s="1"/>
  <c r="AA310" i="25"/>
  <c r="G25" i="24" a="1"/>
  <c r="G25" i="24" s="1"/>
  <c r="G27" i="24" s="1" a="1"/>
  <c r="G27" i="24" s="1"/>
  <c r="H25" i="24" a="1"/>
  <c r="H25" i="24" s="1"/>
  <c r="H27" i="24" s="1" a="1"/>
  <c r="H27" i="24" s="1"/>
  <c r="G18" i="24" a="1"/>
  <c r="G18" i="24" s="1"/>
  <c r="G22" i="24" a="1"/>
  <c r="G22" i="24" s="1"/>
  <c r="H17" i="24" a="1"/>
  <c r="H17" i="24" s="1"/>
  <c r="H19" i="24" s="1" a="1"/>
  <c r="H19" i="24" s="1"/>
  <c r="AM21" i="32"/>
  <c r="AM34" i="32" s="1"/>
  <c r="AM36" i="32" s="1"/>
  <c r="H21" i="24" a="1"/>
  <c r="H21" i="24" s="1"/>
  <c r="H23" i="24" s="1" a="1"/>
  <c r="H23" i="24" s="1"/>
  <c r="H22" i="24" a="1"/>
  <c r="H22" i="24" s="1"/>
  <c r="AN21" i="32"/>
  <c r="AN34" i="32" s="1"/>
  <c r="AN36" i="32" s="1"/>
  <c r="G26" i="24" a="1"/>
  <c r="G26" i="24" s="1"/>
  <c r="I26" i="24" a="1"/>
  <c r="I26" i="24" s="1"/>
  <c r="H26" i="24" a="1"/>
  <c r="H26" i="24" s="1"/>
  <c r="I25" i="24" a="1"/>
  <c r="I25" i="24" s="1"/>
  <c r="I27" i="24" s="1" a="1"/>
  <c r="I27" i="24" s="1"/>
  <c r="E9" i="26"/>
  <c r="R8" i="26"/>
  <c r="R5" i="27"/>
  <c r="E9" i="35"/>
  <c r="R13" i="26"/>
  <c r="R6" i="35"/>
  <c r="R11" i="35"/>
  <c r="R5" i="2"/>
  <c r="C23" i="22"/>
  <c r="K12" i="22" s="1"/>
  <c r="E5" i="41"/>
  <c r="E9" i="37"/>
  <c r="E9" i="12"/>
  <c r="E7" i="37"/>
  <c r="H5" i="37"/>
  <c r="L5" i="35"/>
  <c r="U5" i="35"/>
  <c r="G5" i="35" a="1"/>
  <c r="G5" i="35" s="1"/>
  <c r="F5" i="35"/>
  <c r="H5" i="35"/>
  <c r="D5" i="35" a="1"/>
  <c r="D5" i="35" s="1"/>
  <c r="F16" i="31" s="1"/>
  <c r="K5" i="35" a="1"/>
  <c r="K5" i="35" s="1"/>
  <c r="E12" i="38"/>
  <c r="M5" i="35"/>
  <c r="S5" i="35"/>
  <c r="R12" i="35"/>
  <c r="R10" i="35"/>
  <c r="M5" i="38"/>
  <c r="Q5" i="35" a="1"/>
  <c r="Q5" i="35" s="1"/>
  <c r="E7" i="35"/>
  <c r="E11" i="38"/>
  <c r="E12" i="37"/>
  <c r="R6" i="12"/>
  <c r="T5" i="12"/>
  <c r="S5" i="12"/>
  <c r="E7" i="38"/>
  <c r="G52" i="21"/>
  <c r="F52" i="21"/>
  <c r="E53" i="21"/>
  <c r="E54" i="21" s="1"/>
  <c r="E55" i="21" s="1"/>
  <c r="E55" i="22"/>
  <c r="D55" i="22"/>
  <c r="O11" i="22"/>
  <c r="O13" i="22" s="1"/>
  <c r="F14" i="30"/>
  <c r="G30" i="31"/>
  <c r="E56" i="35"/>
  <c r="E57" i="35" s="1"/>
  <c r="E58" i="35" s="1"/>
  <c r="G55" i="35"/>
  <c r="F55" i="35"/>
  <c r="F21" i="24" a="1"/>
  <c r="F21" i="24" s="1"/>
  <c r="F23" i="24" s="1" a="1"/>
  <c r="F23" i="24" s="1"/>
  <c r="AG52" i="29"/>
  <c r="AE53" i="29"/>
  <c r="AE54" i="29" s="1"/>
  <c r="AE55" i="29" s="1"/>
  <c r="E25" i="24"/>
  <c r="E5" i="2"/>
  <c r="B23" i="22"/>
  <c r="F20" i="31"/>
  <c r="B44" i="28"/>
  <c r="B45" i="28" s="1"/>
  <c r="B46" i="28" s="1"/>
  <c r="B47" i="28" s="1"/>
  <c r="B48" i="28" s="1"/>
  <c r="B49" i="28" s="1"/>
  <c r="B50" i="28" s="1"/>
  <c r="B51" i="28" s="1"/>
  <c r="B52" i="28" s="1"/>
  <c r="B53" i="28" s="1"/>
  <c r="B54" i="28" s="1"/>
  <c r="B55" i="28" s="1"/>
  <c r="B56" i="28" s="1"/>
  <c r="B57" i="28" s="1"/>
  <c r="B58" i="28" s="1"/>
  <c r="B59" i="28" s="1"/>
  <c r="B60" i="28" s="1"/>
  <c r="B61" i="28" s="1"/>
  <c r="B62" i="28" s="1"/>
  <c r="B63" i="28" s="1"/>
  <c r="B64" i="28" s="1"/>
  <c r="B65" i="28" s="1"/>
  <c r="B66" i="28" s="1"/>
  <c r="B67" i="28" s="1"/>
  <c r="B68" i="28" s="1"/>
  <c r="B69" i="28" s="1"/>
  <c r="B70" i="28" s="1"/>
  <c r="B71" i="28" s="1"/>
  <c r="B72" i="28" s="1"/>
  <c r="B73" i="28" s="1"/>
  <c r="B74" i="28" s="1"/>
  <c r="B75" i="28" s="1"/>
  <c r="B76" i="28" s="1"/>
  <c r="B77" i="28" s="1"/>
  <c r="B78" i="28" s="1"/>
  <c r="B79" i="28" s="1"/>
  <c r="B80" i="28" s="1"/>
  <c r="B81" i="28" s="1"/>
  <c r="B82" i="28" s="1"/>
  <c r="B83" i="28" s="1"/>
  <c r="B84" i="28" s="1"/>
  <c r="B85" i="28" s="1"/>
  <c r="B86" i="28" s="1"/>
  <c r="B87" i="28" s="1"/>
  <c r="B88" i="28" s="1"/>
  <c r="B89" i="28" s="1"/>
  <c r="B90" i="28" s="1"/>
  <c r="B91" i="28" s="1"/>
  <c r="B92" i="28" s="1"/>
  <c r="B93" i="28" s="1"/>
  <c r="B94" i="28" s="1"/>
  <c r="B95" i="28" s="1"/>
  <c r="B96" i="28" s="1"/>
  <c r="B97" i="28" s="1"/>
  <c r="Y52" i="17"/>
  <c r="W53" i="17"/>
  <c r="W54" i="17" s="1"/>
  <c r="W55" i="17" s="1"/>
  <c r="N52" i="25"/>
  <c r="M52" i="25"/>
  <c r="L53" i="25"/>
  <c r="L54" i="25" s="1"/>
  <c r="L55" i="25" s="1"/>
  <c r="E17" i="30"/>
  <c r="F31" i="31"/>
  <c r="G5" i="38" a="1"/>
  <c r="G5" i="38" s="1"/>
  <c r="E10" i="38"/>
  <c r="D5" i="38" a="1"/>
  <c r="D5" i="38" s="1"/>
  <c r="AW53" i="28"/>
  <c r="AW54" i="28" s="1"/>
  <c r="AW55" i="28" s="1"/>
  <c r="AY52" i="28"/>
  <c r="G14" i="30"/>
  <c r="H30" i="31"/>
  <c r="L52" i="28"/>
  <c r="J53" i="28"/>
  <c r="J54" i="28" s="1"/>
  <c r="J55" i="28" s="1"/>
  <c r="CQ9" i="32"/>
  <c r="CI9" i="32"/>
  <c r="CW9" i="32"/>
  <c r="CO9" i="32"/>
  <c r="CH10" i="32"/>
  <c r="CU9" i="32"/>
  <c r="CM9" i="32"/>
  <c r="CN9" i="32"/>
  <c r="CL9" i="32"/>
  <c r="CX9" i="32"/>
  <c r="CK9" i="32"/>
  <c r="CV9" i="32"/>
  <c r="CJ9" i="32"/>
  <c r="CT9" i="32"/>
  <c r="CS9" i="32"/>
  <c r="CP9" i="32"/>
  <c r="CR9" i="32"/>
  <c r="E8" i="35"/>
  <c r="H16" i="31"/>
  <c r="R5" i="37"/>
  <c r="G5" i="37" a="1"/>
  <c r="G5" i="37" s="1"/>
  <c r="E10" i="37"/>
  <c r="R53" i="27"/>
  <c r="R54" i="27" s="1"/>
  <c r="R55" i="27" s="1"/>
  <c r="T52" i="27"/>
  <c r="S52" i="27"/>
  <c r="BL7" i="32"/>
  <c r="BD7" i="32"/>
  <c r="AX8" i="32"/>
  <c r="BK7" i="32"/>
  <c r="BC7" i="32"/>
  <c r="BJ7" i="32"/>
  <c r="BB7" i="32"/>
  <c r="BI7" i="32"/>
  <c r="BA7" i="32"/>
  <c r="BH7" i="32"/>
  <c r="AZ7" i="32"/>
  <c r="BG7" i="32"/>
  <c r="AY7" i="32"/>
  <c r="BF7" i="32"/>
  <c r="BE7" i="32"/>
  <c r="BN7" i="32"/>
  <c r="BM7" i="32"/>
  <c r="M5" i="12"/>
  <c r="G11" i="12"/>
  <c r="F11" i="12"/>
  <c r="E11" i="12"/>
  <c r="L11" i="12"/>
  <c r="E8" i="12"/>
  <c r="B41" i="22"/>
  <c r="C10" i="10"/>
  <c r="E10" i="12"/>
  <c r="B49" i="22"/>
  <c r="C9" i="10"/>
  <c r="C49" i="22"/>
  <c r="N24" i="22" s="1"/>
  <c r="AA307" i="25"/>
  <c r="F52" i="1"/>
  <c r="E53" i="1"/>
  <c r="E54" i="1" s="1"/>
  <c r="E55" i="1" s="1"/>
  <c r="G52" i="1"/>
  <c r="P53" i="41"/>
  <c r="N54" i="41"/>
  <c r="N55" i="41" s="1"/>
  <c r="N56" i="41" s="1"/>
  <c r="O53" i="41"/>
  <c r="F25" i="24" a="1"/>
  <c r="F25" i="24" s="1"/>
  <c r="F27" i="24" s="1" a="1"/>
  <c r="F27" i="24" s="1"/>
  <c r="W50" i="41"/>
  <c r="U51" i="41"/>
  <c r="U52" i="41" s="1"/>
  <c r="U53" i="41" s="1"/>
  <c r="E6" i="26"/>
  <c r="F10" i="24"/>
  <c r="R7" i="26"/>
  <c r="E53" i="2"/>
  <c r="E54" i="2" s="1"/>
  <c r="E55" i="2" s="1"/>
  <c r="G52" i="2"/>
  <c r="F52" i="2"/>
  <c r="E9" i="38"/>
  <c r="F5" i="38"/>
  <c r="R7" i="35"/>
  <c r="E53" i="36"/>
  <c r="E54" i="36" s="1"/>
  <c r="E55" i="36" s="1"/>
  <c r="G52" i="36"/>
  <c r="L5" i="37"/>
  <c r="D5" i="37" a="1"/>
  <c r="D5" i="37" s="1"/>
  <c r="DP9" i="32"/>
  <c r="DH9" i="32"/>
  <c r="DN9" i="32"/>
  <c r="DF9" i="32"/>
  <c r="DL9" i="32"/>
  <c r="DD9" i="32"/>
  <c r="DO9" i="32"/>
  <c r="DB9" i="32"/>
  <c r="DM9" i="32"/>
  <c r="DA9" i="32"/>
  <c r="DK9" i="32"/>
  <c r="CZ10" i="32"/>
  <c r="DJ9" i="32"/>
  <c r="DI9" i="32"/>
  <c r="DG9" i="32"/>
  <c r="DC9" i="32"/>
  <c r="DE9" i="32"/>
  <c r="E13" i="12"/>
  <c r="B57" i="22"/>
  <c r="L5" i="12"/>
  <c r="D5" i="12" a="1"/>
  <c r="D5" i="12" s="1"/>
  <c r="E7" i="12"/>
  <c r="G5" i="12" a="1"/>
  <c r="G5" i="12" s="1"/>
  <c r="E32" i="22"/>
  <c r="D32" i="22"/>
  <c r="L17" i="22"/>
  <c r="L19" i="22" s="1"/>
  <c r="BY56" i="17"/>
  <c r="BY57" i="17" s="1"/>
  <c r="BY58" i="17" s="1"/>
  <c r="CA55" i="17"/>
  <c r="F22" i="24" a="1"/>
  <c r="F22" i="24" s="1"/>
  <c r="G52" i="25"/>
  <c r="E53" i="25"/>
  <c r="E54" i="25" s="1"/>
  <c r="E55" i="25" s="1"/>
  <c r="F52" i="25"/>
  <c r="AA52" i="1"/>
  <c r="Y53" i="1"/>
  <c r="Y54" i="1" s="1"/>
  <c r="Y55" i="1" s="1"/>
  <c r="R10" i="26"/>
  <c r="K31" i="31"/>
  <c r="I10" i="24"/>
  <c r="E13" i="26"/>
  <c r="R11" i="26"/>
  <c r="L56" i="35"/>
  <c r="L57" i="35" s="1"/>
  <c r="L58" i="35" s="1"/>
  <c r="N55" i="35"/>
  <c r="M55" i="35"/>
  <c r="R50" i="25"/>
  <c r="R51" i="25" s="1"/>
  <c r="R52" i="25" s="1"/>
  <c r="T49" i="25"/>
  <c r="E26" i="24"/>
  <c r="E5" i="27"/>
  <c r="F21" i="31"/>
  <c r="AA51" i="41"/>
  <c r="AA52" i="41" s="1"/>
  <c r="AA53" i="41" s="1"/>
  <c r="AC50" i="41"/>
  <c r="K5" i="38" a="1"/>
  <c r="K5" i="38" s="1"/>
  <c r="E40" i="22"/>
  <c r="D40" i="22"/>
  <c r="M17" i="22"/>
  <c r="M19" i="22" s="1"/>
  <c r="E14" i="30"/>
  <c r="AJ53" i="28"/>
  <c r="AJ54" i="28" s="1"/>
  <c r="AJ55" i="28" s="1"/>
  <c r="AL52" i="28"/>
  <c r="S5" i="37"/>
  <c r="F5" i="37"/>
  <c r="G21" i="24" a="1"/>
  <c r="G21" i="24" s="1"/>
  <c r="G23" i="24" s="1" a="1"/>
  <c r="G23" i="24" s="1"/>
  <c r="Q194" i="12"/>
  <c r="Q193" i="12"/>
  <c r="Q191" i="12"/>
  <c r="Q190" i="12"/>
  <c r="Q188" i="12"/>
  <c r="Q187" i="12"/>
  <c r="Q185" i="12"/>
  <c r="Q147" i="12"/>
  <c r="Q144" i="12"/>
  <c r="Q141" i="12"/>
  <c r="Q138" i="12"/>
  <c r="Q136" i="12"/>
  <c r="Q110" i="12"/>
  <c r="Q109" i="12"/>
  <c r="Q107" i="12"/>
  <c r="Q106" i="12"/>
  <c r="Q104" i="12"/>
  <c r="Q103" i="12"/>
  <c r="Q101" i="12"/>
  <c r="Q51" i="12"/>
  <c r="Q48" i="12"/>
  <c r="Q45" i="12"/>
  <c r="Q42" i="12"/>
  <c r="Q40" i="12"/>
  <c r="Q195" i="12"/>
  <c r="Q192" i="12"/>
  <c r="Q189" i="12"/>
  <c r="Q186" i="12"/>
  <c r="Q184" i="12"/>
  <c r="Q170" i="12"/>
  <c r="Q169" i="12"/>
  <c r="Q167" i="12"/>
  <c r="Q166" i="12"/>
  <c r="Q164" i="12"/>
  <c r="Q163" i="12"/>
  <c r="Q161" i="12"/>
  <c r="Q111" i="12"/>
  <c r="Q108" i="12"/>
  <c r="Q105" i="12"/>
  <c r="Q102" i="12"/>
  <c r="Q100" i="12"/>
  <c r="Q74" i="12"/>
  <c r="Q73" i="12"/>
  <c r="Q71" i="12"/>
  <c r="Q70" i="12"/>
  <c r="Q68" i="12"/>
  <c r="Q67" i="12"/>
  <c r="Q65" i="12"/>
  <c r="Q171" i="12"/>
  <c r="Q168" i="12"/>
  <c r="Q165" i="12"/>
  <c r="Q162" i="12"/>
  <c r="Q160" i="12"/>
  <c r="Q134" i="12"/>
  <c r="Q133" i="12"/>
  <c r="Q131" i="12"/>
  <c r="Q130" i="12"/>
  <c r="Q128" i="12"/>
  <c r="Q127" i="12"/>
  <c r="Q125" i="12"/>
  <c r="Q75" i="12"/>
  <c r="Q72" i="12"/>
  <c r="Q69" i="12"/>
  <c r="Q66" i="12"/>
  <c r="Q64" i="12"/>
  <c r="Q38" i="12"/>
  <c r="Q37" i="12"/>
  <c r="Q35" i="12"/>
  <c r="Q34" i="12"/>
  <c r="Q32" i="12"/>
  <c r="Q31" i="12"/>
  <c r="Q29" i="12"/>
  <c r="Q182" i="12"/>
  <c r="Q181" i="12"/>
  <c r="Q135" i="12"/>
  <c r="Q132" i="12"/>
  <c r="Q129" i="12"/>
  <c r="Q126" i="12"/>
  <c r="Q124" i="12"/>
  <c r="Q98" i="12"/>
  <c r="Q97" i="12"/>
  <c r="Q95" i="12"/>
  <c r="Q94" i="12"/>
  <c r="Q92" i="12"/>
  <c r="Q205" i="12"/>
  <c r="Q183" i="12"/>
  <c r="Q158" i="12"/>
  <c r="Q157" i="12"/>
  <c r="Q155" i="12"/>
  <c r="Q154" i="12"/>
  <c r="Q152" i="12"/>
  <c r="Q151" i="12"/>
  <c r="Q149" i="12"/>
  <c r="Q99" i="12"/>
  <c r="Q96" i="12"/>
  <c r="Q93" i="12"/>
  <c r="Q90" i="12"/>
  <c r="Q88" i="12"/>
  <c r="Q204" i="12"/>
  <c r="Q201" i="12"/>
  <c r="Q198" i="12"/>
  <c r="Q196" i="12"/>
  <c r="Q179" i="12"/>
  <c r="Q178" i="12"/>
  <c r="Q176" i="12"/>
  <c r="Q175" i="12"/>
  <c r="Q173" i="12"/>
  <c r="Q123" i="12"/>
  <c r="Q120" i="12"/>
  <c r="Q117" i="12"/>
  <c r="Q114" i="12"/>
  <c r="Q112" i="12"/>
  <c r="Q86" i="12"/>
  <c r="Q85" i="12"/>
  <c r="Q83" i="12"/>
  <c r="Q82" i="12"/>
  <c r="Q80" i="12"/>
  <c r="Q209" i="12"/>
  <c r="Q208" i="12"/>
  <c r="Q207" i="12"/>
  <c r="Q180" i="12"/>
  <c r="Q177" i="12"/>
  <c r="Q174" i="12"/>
  <c r="Q172" i="12"/>
  <c r="Q146" i="12"/>
  <c r="Q145" i="12"/>
  <c r="Q143" i="12"/>
  <c r="Q142" i="12"/>
  <c r="Q140" i="12"/>
  <c r="Q139" i="12"/>
  <c r="Q137" i="12"/>
  <c r="Q87" i="12"/>
  <c r="Q84" i="12"/>
  <c r="Q81" i="12"/>
  <c r="Q78" i="12"/>
  <c r="Q76" i="12"/>
  <c r="Q50" i="12"/>
  <c r="Q49" i="12"/>
  <c r="Q47" i="12"/>
  <c r="Q46" i="12"/>
  <c r="Q44" i="12"/>
  <c r="Q43" i="12"/>
  <c r="Q41" i="12"/>
  <c r="Q206" i="12"/>
  <c r="Q203" i="12"/>
  <c r="Q115" i="12"/>
  <c r="Q79" i="12"/>
  <c r="Q57" i="12"/>
  <c r="Q39" i="12"/>
  <c r="Q27" i="12"/>
  <c r="Q200" i="12"/>
  <c r="Q148" i="12"/>
  <c r="Q60" i="12"/>
  <c r="Q55" i="12"/>
  <c r="Q52" i="12"/>
  <c r="Q23" i="12"/>
  <c r="Q22" i="12"/>
  <c r="Q20" i="12"/>
  <c r="Q19" i="12"/>
  <c r="Q17" i="12"/>
  <c r="Q197" i="12"/>
  <c r="Q63" i="12"/>
  <c r="Q58" i="12"/>
  <c r="Q24" i="12"/>
  <c r="Q21" i="12"/>
  <c r="Q18" i="12"/>
  <c r="Q202" i="12"/>
  <c r="Q122" i="12"/>
  <c r="Q61" i="12"/>
  <c r="Q53" i="12"/>
  <c r="Q25" i="12"/>
  <c r="Q199" i="12"/>
  <c r="Q150" i="12"/>
  <c r="Q119" i="12"/>
  <c r="Q77" i="12"/>
  <c r="Q56" i="12"/>
  <c r="Q156" i="12"/>
  <c r="Q121" i="12"/>
  <c r="Q113" i="12"/>
  <c r="Q91" i="12"/>
  <c r="Q62" i="12"/>
  <c r="Q33" i="12"/>
  <c r="Q159" i="12"/>
  <c r="Q118" i="12"/>
  <c r="Q54" i="12"/>
  <c r="Q36" i="12"/>
  <c r="Q28" i="12"/>
  <c r="Q153" i="12"/>
  <c r="Q26" i="12"/>
  <c r="Q59" i="12"/>
  <c r="Q116" i="12"/>
  <c r="Q30" i="12"/>
  <c r="Q89" i="12"/>
  <c r="H5" i="12"/>
  <c r="E12" i="12"/>
  <c r="H11" i="23"/>
  <c r="F11" i="23"/>
  <c r="E11" i="23"/>
  <c r="N11" i="23"/>
  <c r="D11" i="23"/>
  <c r="M11" i="23"/>
  <c r="J11" i="23"/>
  <c r="L11" i="23"/>
  <c r="I11" i="23"/>
  <c r="EX9" i="32"/>
  <c r="EP9" i="32"/>
  <c r="EV9" i="32"/>
  <c r="EN9" i="32"/>
  <c r="ET9" i="32"/>
  <c r="EL9" i="32"/>
  <c r="ES9" i="32"/>
  <c r="EK9" i="32"/>
  <c r="EW9" i="32"/>
  <c r="EU9" i="32"/>
  <c r="EJ10" i="32"/>
  <c r="ER9" i="32"/>
  <c r="EQ9" i="32"/>
  <c r="EO9" i="32"/>
  <c r="EM9" i="32"/>
  <c r="EY9" i="32"/>
  <c r="EZ9" i="32"/>
  <c r="F26" i="24" a="1"/>
  <c r="F26" i="24" s="1"/>
  <c r="T52" i="6"/>
  <c r="S52" i="6"/>
  <c r="R53" i="6"/>
  <c r="R54" i="6" s="1"/>
  <c r="R55" i="6" s="1"/>
  <c r="CH52" i="28"/>
  <c r="CF53" i="28"/>
  <c r="CF54" i="28" s="1"/>
  <c r="CF55" i="28" s="1"/>
  <c r="CA55" i="28"/>
  <c r="BY56" i="28"/>
  <c r="BY57" i="28" s="1"/>
  <c r="BY58" i="28" s="1"/>
  <c r="H24" i="30"/>
  <c r="I39" i="31"/>
  <c r="I23" i="31"/>
  <c r="I22" i="31"/>
  <c r="E18" i="24"/>
  <c r="E5" i="25"/>
  <c r="F6" i="31"/>
  <c r="E6" i="30" s="1"/>
  <c r="F24" i="30"/>
  <c r="G22" i="31"/>
  <c r="G23" i="31"/>
  <c r="G39" i="31"/>
  <c r="E53" i="12"/>
  <c r="E54" i="12" s="1"/>
  <c r="E55" i="12" s="1"/>
  <c r="G52" i="12"/>
  <c r="F52" i="12"/>
  <c r="L5" i="38"/>
  <c r="G58" i="26"/>
  <c r="E59" i="26"/>
  <c r="E60" i="26" s="1"/>
  <c r="E61" i="26" s="1"/>
  <c r="AL52" i="17"/>
  <c r="AJ53" i="17"/>
  <c r="AJ54" i="17" s="1"/>
  <c r="AJ55" i="17" s="1"/>
  <c r="N52" i="1"/>
  <c r="M52" i="1"/>
  <c r="L53" i="1"/>
  <c r="L54" i="1" s="1"/>
  <c r="L55" i="1" s="1"/>
  <c r="AY79" i="17"/>
  <c r="AW80" i="17"/>
  <c r="AW81" i="17" s="1"/>
  <c r="AW82" i="17" s="1"/>
  <c r="D24" i="22"/>
  <c r="K17" i="22"/>
  <c r="K19" i="22" s="1"/>
  <c r="E24" i="22"/>
  <c r="E11" i="35"/>
  <c r="J16" i="31"/>
  <c r="J49" i="31" s="1"/>
  <c r="E11" i="37"/>
  <c r="B29" i="29"/>
  <c r="BJ53" i="28"/>
  <c r="BJ54" i="28" s="1"/>
  <c r="BJ55" i="28" s="1"/>
  <c r="BL52" i="28"/>
  <c r="T55" i="36"/>
  <c r="R56" i="36"/>
  <c r="R57" i="36" s="1"/>
  <c r="R58" i="36" s="1"/>
  <c r="S55" i="36"/>
  <c r="C12" i="23"/>
  <c r="B13" i="23"/>
  <c r="V52" i="21"/>
  <c r="T53" i="21"/>
  <c r="T54" i="21" s="1"/>
  <c r="T55" i="21" s="1"/>
  <c r="U52" i="21"/>
  <c r="M52" i="12"/>
  <c r="N52" i="12"/>
  <c r="L53" i="12"/>
  <c r="L54" i="12" s="1"/>
  <c r="L55" i="12" s="1"/>
  <c r="T52" i="2"/>
  <c r="S52" i="2"/>
  <c r="R53" i="2"/>
  <c r="R54" i="2" s="1"/>
  <c r="R55" i="2" s="1"/>
  <c r="O17" i="22"/>
  <c r="O19" i="22" s="1"/>
  <c r="D56" i="22"/>
  <c r="E56" i="22"/>
  <c r="W53" i="28"/>
  <c r="W54" i="28" s="1"/>
  <c r="W55" i="28" s="1"/>
  <c r="Y52" i="28"/>
  <c r="E6" i="35"/>
  <c r="G16" i="31"/>
  <c r="L56" i="36"/>
  <c r="L57" i="36" s="1"/>
  <c r="L58" i="36" s="1"/>
  <c r="N55" i="36"/>
  <c r="M55" i="36"/>
  <c r="K5" i="37" a="1"/>
  <c r="K5" i="37" s="1"/>
  <c r="L53" i="6"/>
  <c r="L54" i="6" s="1"/>
  <c r="L55" i="6" s="1"/>
  <c r="N52" i="6"/>
  <c r="M52" i="6"/>
  <c r="E6" i="12"/>
  <c r="B33" i="22"/>
  <c r="K5" i="12" a="1"/>
  <c r="K5" i="12" s="1"/>
  <c r="C25" i="22" s="1"/>
  <c r="K24" i="22" s="1"/>
  <c r="G24" i="30"/>
  <c r="H23" i="31"/>
  <c r="H39" i="31"/>
  <c r="H22" i="31"/>
  <c r="O52" i="21"/>
  <c r="N52" i="21"/>
  <c r="M53" i="21"/>
  <c r="M54" i="21" s="1"/>
  <c r="M55" i="21" s="1"/>
  <c r="H27" i="30"/>
  <c r="I40" i="31"/>
  <c r="BS55" i="17"/>
  <c r="BQ56" i="17"/>
  <c r="BQ57" i="17" s="1"/>
  <c r="BQ58" i="17" s="1"/>
  <c r="H14" i="30"/>
  <c r="I30" i="31"/>
  <c r="N49" i="27"/>
  <c r="L50" i="27"/>
  <c r="L51" i="27" s="1"/>
  <c r="L52" i="27" s="1"/>
  <c r="N11" i="22"/>
  <c r="N13" i="22" s="1"/>
  <c r="D47" i="22"/>
  <c r="E47" i="22"/>
  <c r="F27" i="30"/>
  <c r="G40" i="31"/>
  <c r="BD50" i="17"/>
  <c r="BD51" i="17" s="1"/>
  <c r="BD52" i="17" s="1"/>
  <c r="BF49" i="17"/>
  <c r="R6" i="26"/>
  <c r="E8" i="26"/>
  <c r="G10" i="24"/>
  <c r="E7" i="26"/>
  <c r="R9" i="26"/>
  <c r="BQ53" i="28"/>
  <c r="BQ54" i="28" s="1"/>
  <c r="BQ55" i="28" s="1"/>
  <c r="BS52" i="28"/>
  <c r="N55" i="2"/>
  <c r="L56" i="2"/>
  <c r="L57" i="2" s="1"/>
  <c r="L58" i="2" s="1"/>
  <c r="Q50" i="28"/>
  <c r="Q51" i="28" s="1"/>
  <c r="Q52" i="28" s="1"/>
  <c r="S49" i="28"/>
  <c r="D31" i="22"/>
  <c r="L11" i="22"/>
  <c r="L13" i="22" s="1"/>
  <c r="E31" i="22"/>
  <c r="L52" i="17"/>
  <c r="J53" i="17"/>
  <c r="J54" i="17" s="1"/>
  <c r="J55" i="17" s="1"/>
  <c r="AS46" i="17"/>
  <c r="AQ47" i="17"/>
  <c r="AQ48" i="17" s="1"/>
  <c r="AQ49" i="17" s="1"/>
  <c r="AR46" i="17"/>
  <c r="E6" i="38"/>
  <c r="A64" i="10"/>
  <c r="M5" i="37"/>
  <c r="E6" i="37"/>
  <c r="T55" i="35"/>
  <c r="R56" i="35"/>
  <c r="R57" i="35" s="1"/>
  <c r="R58" i="35" s="1"/>
  <c r="S55" i="35"/>
  <c r="Q5" i="12" a="1"/>
  <c r="Q5" i="12" s="1"/>
  <c r="BF49" i="28"/>
  <c r="BD50" i="28"/>
  <c r="BD51" i="28" s="1"/>
  <c r="BD52" i="28" s="1"/>
  <c r="E53" i="6"/>
  <c r="E54" i="6" s="1"/>
  <c r="E55" i="6" s="1"/>
  <c r="G52" i="6"/>
  <c r="F52" i="6"/>
  <c r="BZ9" i="32"/>
  <c r="BR9" i="32"/>
  <c r="CF9" i="32"/>
  <c r="BX9" i="32"/>
  <c r="CD9" i="32"/>
  <c r="BV9" i="32"/>
  <c r="BP10" i="32"/>
  <c r="CA9" i="32"/>
  <c r="BY9" i="32"/>
  <c r="BW9" i="32"/>
  <c r="BU9" i="32"/>
  <c r="BT9" i="32"/>
  <c r="CE9" i="32"/>
  <c r="BS9" i="32"/>
  <c r="CC9" i="32"/>
  <c r="CB9" i="32"/>
  <c r="BQ9" i="32"/>
  <c r="F17" i="24" a="1"/>
  <c r="F17" i="24" s="1"/>
  <c r="F19" i="24" s="1" a="1"/>
  <c r="F19" i="24" s="1"/>
  <c r="BL79" i="17"/>
  <c r="BJ80" i="17"/>
  <c r="BJ81" i="17" s="1"/>
  <c r="BJ82" i="17" s="1"/>
  <c r="R53" i="1"/>
  <c r="R54" i="1" s="1"/>
  <c r="R55" i="1" s="1"/>
  <c r="S52" i="1"/>
  <c r="T52" i="1"/>
  <c r="G56" i="41"/>
  <c r="H17" i="30"/>
  <c r="I31" i="31"/>
  <c r="H18" i="24" a="1"/>
  <c r="H18" i="24" s="1"/>
  <c r="AD47" i="17"/>
  <c r="AD48" i="17" s="1"/>
  <c r="AD49" i="17" s="1"/>
  <c r="AF46" i="17"/>
  <c r="AE46" i="17"/>
  <c r="AP25" i="32"/>
  <c r="B98" i="17"/>
  <c r="EG9" i="32"/>
  <c r="DY9" i="32"/>
  <c r="DR10" i="32"/>
  <c r="EE9" i="32"/>
  <c r="DW9" i="32"/>
  <c r="EC9" i="32"/>
  <c r="DU9" i="32"/>
  <c r="EB9" i="32"/>
  <c r="DT9" i="32"/>
  <c r="EF9" i="32"/>
  <c r="ED9" i="32"/>
  <c r="EA9" i="32"/>
  <c r="DZ9" i="32"/>
  <c r="DX9" i="32"/>
  <c r="DV9" i="32"/>
  <c r="EH9" i="32"/>
  <c r="DS9" i="32"/>
  <c r="AS46" i="28"/>
  <c r="AR46" i="28"/>
  <c r="AQ47" i="28"/>
  <c r="AQ48" i="28" s="1"/>
  <c r="AQ49" i="28" s="1"/>
  <c r="S49" i="17"/>
  <c r="Q50" i="17"/>
  <c r="Q51" i="17" s="1"/>
  <c r="Q52" i="17" s="1"/>
  <c r="E10" i="35"/>
  <c r="I16" i="31"/>
  <c r="R8" i="35"/>
  <c r="R9" i="35"/>
  <c r="L53" i="26"/>
  <c r="L54" i="26" s="1"/>
  <c r="L55" i="26" s="1"/>
  <c r="N52" i="26"/>
  <c r="M52" i="26"/>
  <c r="CF53" i="17"/>
  <c r="CF54" i="17" s="1"/>
  <c r="CF55" i="17" s="1"/>
  <c r="CH52" i="17"/>
  <c r="S52" i="26"/>
  <c r="T52" i="26"/>
  <c r="R53" i="26"/>
  <c r="R54" i="26" s="1"/>
  <c r="R55" i="26" s="1"/>
  <c r="E39" i="22"/>
  <c r="D39" i="22"/>
  <c r="M11" i="22"/>
  <c r="M13" i="22" s="1"/>
  <c r="F18" i="24" a="1"/>
  <c r="F18" i="24" s="1"/>
  <c r="G55" i="27"/>
  <c r="E56" i="27"/>
  <c r="E57" i="27" s="1"/>
  <c r="E58" i="27" s="1"/>
  <c r="D48" i="22"/>
  <c r="N17" i="22"/>
  <c r="N19" i="22" s="1"/>
  <c r="E48" i="22"/>
  <c r="AD47" i="28"/>
  <c r="AD48" i="28" s="1"/>
  <c r="AD49" i="28" s="1"/>
  <c r="AF46" i="28"/>
  <c r="AE46" i="28"/>
  <c r="AO35" i="32"/>
  <c r="AO26" i="32"/>
  <c r="AP35" i="32"/>
  <c r="B330" i="36" l="1"/>
  <c r="G58" i="39"/>
  <c r="F58" i="39"/>
  <c r="B34" i="39"/>
  <c r="B35" i="39" s="1"/>
  <c r="E63" i="41"/>
  <c r="E64" i="41" s="1"/>
  <c r="E65" i="41" s="1"/>
  <c r="G62" i="41"/>
  <c r="AO20" i="32" a="1"/>
  <c r="AO20" i="32" s="1"/>
  <c r="R5" i="35"/>
  <c r="E5" i="35"/>
  <c r="AS49" i="28"/>
  <c r="AQ50" i="28"/>
  <c r="AQ51" i="28" s="1"/>
  <c r="AQ52" i="28" s="1"/>
  <c r="BF52" i="28"/>
  <c r="BD53" i="28"/>
  <c r="BD54" i="28" s="1"/>
  <c r="BD55" i="28" s="1"/>
  <c r="V55" i="21"/>
  <c r="T56" i="21"/>
  <c r="T57" i="21" s="1"/>
  <c r="T58" i="21" s="1"/>
  <c r="Y56" i="1"/>
  <c r="Y57" i="1" s="1"/>
  <c r="Y58" i="1" s="1"/>
  <c r="AA55" i="1"/>
  <c r="AG55" i="29"/>
  <c r="AE56" i="29"/>
  <c r="AE57" i="29" s="1"/>
  <c r="AF55" i="29"/>
  <c r="EB10" i="32"/>
  <c r="DT10" i="32"/>
  <c r="EH10" i="32"/>
  <c r="DZ10" i="32"/>
  <c r="EF10" i="32"/>
  <c r="DX10" i="32"/>
  <c r="EE10" i="32"/>
  <c r="DW10" i="32"/>
  <c r="DV10" i="32"/>
  <c r="DU10" i="32"/>
  <c r="DS10" i="32"/>
  <c r="EG10" i="32"/>
  <c r="DR11" i="32"/>
  <c r="ED10" i="32"/>
  <c r="EC10" i="32"/>
  <c r="EA10" i="32"/>
  <c r="DY10" i="32"/>
  <c r="BJ83" i="17"/>
  <c r="BJ84" i="17" s="1"/>
  <c r="BJ85" i="17" s="1"/>
  <c r="BK82" i="17"/>
  <c r="BL82" i="17"/>
  <c r="BQ56" i="28"/>
  <c r="BQ57" i="28" s="1"/>
  <c r="BQ58" i="28" s="1"/>
  <c r="BS55" i="28"/>
  <c r="BF52" i="17"/>
  <c r="BD53" i="17"/>
  <c r="BD54" i="17" s="1"/>
  <c r="BD55" i="17" s="1"/>
  <c r="H16" i="30"/>
  <c r="I32" i="31"/>
  <c r="O55" i="21"/>
  <c r="M56" i="21"/>
  <c r="M57" i="21" s="1"/>
  <c r="M58" i="21" s="1"/>
  <c r="L23" i="22"/>
  <c r="L25" i="22" s="1"/>
  <c r="E33" i="22"/>
  <c r="D33" i="22"/>
  <c r="BJ56" i="28"/>
  <c r="BJ57" i="28" s="1"/>
  <c r="BJ58" i="28" s="1"/>
  <c r="BL55" i="28"/>
  <c r="AJ56" i="17"/>
  <c r="AJ57" i="17" s="1"/>
  <c r="AJ58" i="17" s="1"/>
  <c r="AL55" i="17"/>
  <c r="H26" i="30"/>
  <c r="I41" i="31"/>
  <c r="T55" i="6"/>
  <c r="R56" i="6"/>
  <c r="R57" i="6" s="1"/>
  <c r="R58" i="6" s="1"/>
  <c r="AJ56" i="28"/>
  <c r="AJ57" i="28" s="1"/>
  <c r="AJ58" i="28" s="1"/>
  <c r="AL55" i="28"/>
  <c r="AA54" i="41"/>
  <c r="AA55" i="41" s="1"/>
  <c r="AA56" i="41" s="1"/>
  <c r="AA57" i="41" s="1"/>
  <c r="AA58" i="41" s="1"/>
  <c r="AA59" i="41" s="1"/>
  <c r="AA60" i="41" s="1"/>
  <c r="AA61" i="41" s="1"/>
  <c r="AA62" i="41" s="1"/>
  <c r="AA63" i="41" s="1"/>
  <c r="AA64" i="41" s="1"/>
  <c r="AA65" i="41" s="1"/>
  <c r="AA66" i="41" s="1"/>
  <c r="AA67" i="41" s="1"/>
  <c r="AA68" i="41" s="1"/>
  <c r="AA69" i="41" s="1"/>
  <c r="AA70" i="41" s="1"/>
  <c r="AA71" i="41" s="1"/>
  <c r="AA72" i="41" s="1"/>
  <c r="AA73" i="41" s="1"/>
  <c r="AA74" i="41" s="1"/>
  <c r="AC53" i="41"/>
  <c r="AB53" i="41"/>
  <c r="E56" i="2"/>
  <c r="E57" i="2" s="1"/>
  <c r="E58" i="2" s="1"/>
  <c r="G55" i="2"/>
  <c r="L56" i="25"/>
  <c r="L57" i="25" s="1"/>
  <c r="L58" i="25" s="1"/>
  <c r="N55" i="25"/>
  <c r="B98" i="28"/>
  <c r="D57" i="22"/>
  <c r="O23" i="22"/>
  <c r="O25" i="22" s="1"/>
  <c r="E57" i="22"/>
  <c r="DK10" i="32"/>
  <c r="DC10" i="32"/>
  <c r="DI10" i="32"/>
  <c r="DA10" i="32"/>
  <c r="DO10" i="32"/>
  <c r="DG10" i="32"/>
  <c r="DN10" i="32"/>
  <c r="DF10" i="32"/>
  <c r="DE10" i="32"/>
  <c r="DD10" i="32"/>
  <c r="DB10" i="32"/>
  <c r="CZ11" i="32"/>
  <c r="DP10" i="32"/>
  <c r="DM10" i="32"/>
  <c r="DL10" i="32"/>
  <c r="DJ10" i="32"/>
  <c r="DH10" i="32"/>
  <c r="G55" i="36"/>
  <c r="F55" i="36"/>
  <c r="E56" i="36"/>
  <c r="E57" i="36" s="1"/>
  <c r="E58" i="36" s="1"/>
  <c r="AD50" i="28"/>
  <c r="AD51" i="28" s="1"/>
  <c r="AD52" i="28" s="1"/>
  <c r="AF49" i="28"/>
  <c r="H41" i="30"/>
  <c r="I49" i="31"/>
  <c r="R5" i="12"/>
  <c r="H15" i="30"/>
  <c r="I33" i="31"/>
  <c r="N55" i="12"/>
  <c r="L56" i="12"/>
  <c r="L57" i="12" s="1"/>
  <c r="L58" i="12" s="1"/>
  <c r="B14" i="23"/>
  <c r="C13" i="23"/>
  <c r="H25" i="30"/>
  <c r="I42" i="31"/>
  <c r="R17" i="12"/>
  <c r="R18" i="12" s="1"/>
  <c r="R19" i="12" s="1"/>
  <c r="T12" i="12"/>
  <c r="Q12" i="12" a="1"/>
  <c r="Q12" i="12" s="1"/>
  <c r="R12" i="12" s="1"/>
  <c r="S12" i="12"/>
  <c r="T11" i="12"/>
  <c r="Q11" i="12" a="1"/>
  <c r="Q11" i="12" s="1"/>
  <c r="R11" i="12" s="1"/>
  <c r="E16" i="30"/>
  <c r="F32" i="31"/>
  <c r="E27" i="30"/>
  <c r="F40" i="31"/>
  <c r="N58" i="35"/>
  <c r="L59" i="35"/>
  <c r="L60" i="35" s="1"/>
  <c r="L61" i="35" s="1"/>
  <c r="R56" i="27"/>
  <c r="R57" i="27" s="1"/>
  <c r="R58" i="27" s="1"/>
  <c r="T55" i="27"/>
  <c r="E24" i="30"/>
  <c r="F22" i="31"/>
  <c r="F23" i="31"/>
  <c r="F39" i="31"/>
  <c r="E56" i="12"/>
  <c r="E57" i="12" s="1"/>
  <c r="E58" i="12" s="1"/>
  <c r="G55" i="12"/>
  <c r="A63" i="10"/>
  <c r="L59" i="36"/>
  <c r="L60" i="36" s="1"/>
  <c r="L61" i="36" s="1"/>
  <c r="N58" i="36"/>
  <c r="N12" i="23"/>
  <c r="D12" i="23"/>
  <c r="M12" i="23"/>
  <c r="L12" i="23"/>
  <c r="J12" i="23"/>
  <c r="I12" i="23"/>
  <c r="F12" i="23"/>
  <c r="H12" i="23"/>
  <c r="E12" i="23"/>
  <c r="AW83" i="17"/>
  <c r="AW84" i="17" s="1"/>
  <c r="AW85" i="17" s="1"/>
  <c r="AX82" i="17"/>
  <c r="AY82" i="17"/>
  <c r="E62" i="26"/>
  <c r="E63" i="26" s="1"/>
  <c r="E64" i="26" s="1"/>
  <c r="G61" i="26"/>
  <c r="F25" i="30"/>
  <c r="G42" i="31"/>
  <c r="ES10" i="32"/>
  <c r="EK10" i="32"/>
  <c r="EZ10" i="32"/>
  <c r="ER10" i="32"/>
  <c r="EY10" i="32"/>
  <c r="EQ10" i="32"/>
  <c r="EW10" i="32"/>
  <c r="EO10" i="32"/>
  <c r="EJ11" i="32"/>
  <c r="EV10" i="32"/>
  <c r="EN10" i="32"/>
  <c r="EM10" i="32"/>
  <c r="EL10" i="32"/>
  <c r="EX10" i="32"/>
  <c r="EU10" i="32"/>
  <c r="EP10" i="32"/>
  <c r="ET10" i="32"/>
  <c r="E15" i="30"/>
  <c r="F33" i="31"/>
  <c r="G55" i="25"/>
  <c r="E56" i="25"/>
  <c r="E57" i="25" s="1"/>
  <c r="E58" i="25" s="1"/>
  <c r="P56" i="41"/>
  <c r="AW56" i="28"/>
  <c r="AW57" i="28" s="1"/>
  <c r="AW58" i="28" s="1"/>
  <c r="AY55" i="28"/>
  <c r="E23" i="22"/>
  <c r="D23" i="22"/>
  <c r="K11" i="22"/>
  <c r="K13" i="22" s="1"/>
  <c r="B99" i="17"/>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Q13" i="12" a="1"/>
  <c r="Q13" i="12" s="1"/>
  <c r="R13" i="12" s="1"/>
  <c r="S13" i="12"/>
  <c r="T13" i="12"/>
  <c r="CH55" i="17"/>
  <c r="CF56" i="17"/>
  <c r="CF57" i="17" s="1"/>
  <c r="CF58" i="17" s="1"/>
  <c r="AS49" i="17"/>
  <c r="AQ50" i="17"/>
  <c r="AQ51" i="17" s="1"/>
  <c r="AQ52" i="17" s="1"/>
  <c r="G17" i="30"/>
  <c r="H31" i="31"/>
  <c r="G26" i="30"/>
  <c r="H41" i="31"/>
  <c r="F41" i="30"/>
  <c r="G49" i="31"/>
  <c r="B30" i="29"/>
  <c r="F26" i="30"/>
  <c r="G41" i="31"/>
  <c r="F17" i="30"/>
  <c r="G31" i="31"/>
  <c r="E49" i="22"/>
  <c r="N23" i="22"/>
  <c r="N25" i="22" s="1"/>
  <c r="D49" i="22"/>
  <c r="L55" i="28"/>
  <c r="J56" i="28"/>
  <c r="J57" i="28" s="1"/>
  <c r="J58" i="28" s="1"/>
  <c r="E5" i="38"/>
  <c r="AD50" i="17"/>
  <c r="AD51" i="17" s="1"/>
  <c r="AD52" i="17" s="1"/>
  <c r="AF49" i="17"/>
  <c r="AQ25" i="32"/>
  <c r="R59" i="35"/>
  <c r="R60" i="35" s="1"/>
  <c r="R61" i="35" s="1"/>
  <c r="T58" i="35"/>
  <c r="Q53" i="28"/>
  <c r="Q54" i="28" s="1"/>
  <c r="Q55" i="28" s="1"/>
  <c r="S52" i="28"/>
  <c r="BR58" i="17"/>
  <c r="BS58" i="17"/>
  <c r="BQ59" i="17"/>
  <c r="BQ60" i="17" s="1"/>
  <c r="BQ61" i="17" s="1"/>
  <c r="T58" i="36"/>
  <c r="R59" i="36"/>
  <c r="R60" i="36" s="1"/>
  <c r="R61" i="36" s="1"/>
  <c r="L56" i="1"/>
  <c r="L57" i="1" s="1"/>
  <c r="L58" i="1" s="1"/>
  <c r="N55" i="1"/>
  <c r="BZ58" i="28"/>
  <c r="BY59" i="28"/>
  <c r="BY60" i="28" s="1"/>
  <c r="BY61" i="28" s="1"/>
  <c r="CA58" i="28"/>
  <c r="Q7" i="12" a="1"/>
  <c r="Q7" i="12" s="1"/>
  <c r="R7" i="12" s="1"/>
  <c r="S7" i="12"/>
  <c r="T7" i="12"/>
  <c r="E5" i="37"/>
  <c r="S11" i="12"/>
  <c r="BG8" i="32"/>
  <c r="AY8" i="32"/>
  <c r="AX9" i="32"/>
  <c r="BN8" i="32"/>
  <c r="BF8" i="32"/>
  <c r="BM8" i="32"/>
  <c r="BE8" i="32"/>
  <c r="BL8" i="32"/>
  <c r="BD8" i="32"/>
  <c r="BK8" i="32"/>
  <c r="BC8" i="32"/>
  <c r="BJ8" i="32"/>
  <c r="BB8" i="32"/>
  <c r="BI8" i="32"/>
  <c r="BH8" i="32"/>
  <c r="BA8" i="32"/>
  <c r="AZ8" i="32"/>
  <c r="CH11" i="32"/>
  <c r="CT10" i="32"/>
  <c r="CL10" i="32"/>
  <c r="CR10" i="32"/>
  <c r="CJ10" i="32"/>
  <c r="CX10" i="32"/>
  <c r="CP10" i="32"/>
  <c r="CW10" i="32"/>
  <c r="CO10" i="32"/>
  <c r="CN10" i="32"/>
  <c r="CM10" i="32"/>
  <c r="CK10" i="32"/>
  <c r="CI10" i="32"/>
  <c r="CV10" i="32"/>
  <c r="CU10" i="32"/>
  <c r="CQ10" i="32"/>
  <c r="CS10" i="32"/>
  <c r="W56" i="17"/>
  <c r="W57" i="17" s="1"/>
  <c r="W58" i="17" s="1"/>
  <c r="Y55" i="17"/>
  <c r="E59" i="35"/>
  <c r="E60" i="35" s="1"/>
  <c r="E61" i="35" s="1"/>
  <c r="G58" i="35"/>
  <c r="R56" i="1"/>
  <c r="R57" i="1" s="1"/>
  <c r="R58" i="1" s="1"/>
  <c r="T55" i="1"/>
  <c r="Q53" i="17"/>
  <c r="Q54" i="17" s="1"/>
  <c r="Q55" i="17" s="1"/>
  <c r="S52" i="17"/>
  <c r="CC10" i="32"/>
  <c r="BU10" i="32"/>
  <c r="BP11" i="32"/>
  <c r="CA10" i="32"/>
  <c r="BS10" i="32"/>
  <c r="BY10" i="32"/>
  <c r="BQ10" i="32"/>
  <c r="CF10" i="32"/>
  <c r="BX10" i="32"/>
  <c r="BW10" i="32"/>
  <c r="BV10" i="32"/>
  <c r="BT10" i="32"/>
  <c r="BR10" i="32"/>
  <c r="CE10" i="32"/>
  <c r="CD10" i="32"/>
  <c r="BZ10" i="32"/>
  <c r="CB10" i="32"/>
  <c r="J56" i="17"/>
  <c r="J57" i="17" s="1"/>
  <c r="J58" i="17" s="1"/>
  <c r="L55" i="17"/>
  <c r="N58" i="2"/>
  <c r="L59" i="2"/>
  <c r="L60" i="2" s="1"/>
  <c r="L61" i="2" s="1"/>
  <c r="G25" i="30"/>
  <c r="H42" i="31"/>
  <c r="Q10" i="12" a="1"/>
  <c r="Q10" i="12" s="1"/>
  <c r="R10" i="12" s="1"/>
  <c r="T10" i="12"/>
  <c r="S10" i="12"/>
  <c r="T8" i="12"/>
  <c r="S8" i="12"/>
  <c r="Q8" i="12" a="1"/>
  <c r="Q8" i="12" s="1"/>
  <c r="R8" i="12" s="1"/>
  <c r="E41" i="30"/>
  <c r="F49" i="31"/>
  <c r="E5" i="12"/>
  <c r="B25" i="22"/>
  <c r="G55" i="1"/>
  <c r="E56" i="1"/>
  <c r="E57" i="1" s="1"/>
  <c r="E58" i="1" s="1"/>
  <c r="G16" i="30"/>
  <c r="H32" i="31"/>
  <c r="F16" i="30"/>
  <c r="G32" i="31"/>
  <c r="G55" i="21"/>
  <c r="E56" i="21"/>
  <c r="E57" i="21" s="1"/>
  <c r="E58" i="21" s="1"/>
  <c r="E59" i="27"/>
  <c r="E60" i="27" s="1"/>
  <c r="E61" i="27" s="1"/>
  <c r="G58" i="27"/>
  <c r="N55" i="26"/>
  <c r="L56" i="26"/>
  <c r="L57" i="26" s="1"/>
  <c r="L58" i="26" s="1"/>
  <c r="BR12" i="17"/>
  <c r="R56" i="26"/>
  <c r="R57" i="26" s="1"/>
  <c r="R58" i="26" s="1"/>
  <c r="T55" i="26"/>
  <c r="G55" i="6"/>
  <c r="E56" i="6"/>
  <c r="E57" i="6" s="1"/>
  <c r="E58" i="6" s="1"/>
  <c r="N52" i="27"/>
  <c r="M52" i="27"/>
  <c r="L53" i="27"/>
  <c r="L54" i="27" s="1"/>
  <c r="L55" i="27" s="1"/>
  <c r="N55" i="6"/>
  <c r="L56" i="6"/>
  <c r="L57" i="6" s="1"/>
  <c r="L58" i="6" s="1"/>
  <c r="W56" i="28"/>
  <c r="W57" i="28" s="1"/>
  <c r="W58" i="28" s="1"/>
  <c r="Y55" i="28"/>
  <c r="R56" i="2"/>
  <c r="R57" i="2" s="1"/>
  <c r="R58" i="2" s="1"/>
  <c r="T55" i="2"/>
  <c r="CH55" i="28"/>
  <c r="CF56" i="28"/>
  <c r="CF57" i="28" s="1"/>
  <c r="CF58" i="28" s="1"/>
  <c r="S9" i="12"/>
  <c r="Q9" i="12" a="1"/>
  <c r="Q9" i="12" s="1"/>
  <c r="R9" i="12" s="1"/>
  <c r="T9" i="12"/>
  <c r="R53" i="25"/>
  <c r="R54" i="25" s="1"/>
  <c r="R55" i="25" s="1"/>
  <c r="T52" i="25"/>
  <c r="S52" i="25"/>
  <c r="BY59" i="17"/>
  <c r="BY60" i="17" s="1"/>
  <c r="BY61" i="17" s="1"/>
  <c r="CA58" i="17"/>
  <c r="BZ58" i="17"/>
  <c r="W53" i="41"/>
  <c r="V53" i="41"/>
  <c r="U54" i="41"/>
  <c r="U55" i="41" s="1"/>
  <c r="U56" i="41" s="1"/>
  <c r="U57" i="41" s="1"/>
  <c r="U58" i="41" s="1"/>
  <c r="U59" i="41" s="1"/>
  <c r="U60" i="41" s="1"/>
  <c r="U61" i="41" s="1"/>
  <c r="U62" i="41" s="1"/>
  <c r="U63" i="41" s="1"/>
  <c r="U64" i="41" s="1"/>
  <c r="U65" i="41" s="1"/>
  <c r="U66" i="41" s="1"/>
  <c r="U67" i="41" s="1"/>
  <c r="U68" i="41" s="1"/>
  <c r="U69" i="41" s="1"/>
  <c r="U70" i="41" s="1"/>
  <c r="U71" i="41" s="1"/>
  <c r="U72" i="41" s="1"/>
  <c r="U73" i="41" s="1"/>
  <c r="U74" i="41" s="1"/>
  <c r="D41" i="22"/>
  <c r="E41" i="22"/>
  <c r="M23" i="22"/>
  <c r="M25" i="22" s="1"/>
  <c r="G41" i="30"/>
  <c r="H49" i="31"/>
  <c r="G15" i="30"/>
  <c r="H33" i="31"/>
  <c r="F15" i="30"/>
  <c r="G33" i="31"/>
  <c r="AP26" i="32"/>
  <c r="AO21" i="32" a="1"/>
  <c r="B331" i="36" l="1"/>
  <c r="Q11" i="36" a="1"/>
  <c r="Q11" i="36" s="1"/>
  <c r="T7" i="36"/>
  <c r="Q10" i="36" a="1"/>
  <c r="Q10" i="36" s="1"/>
  <c r="M7" i="36"/>
  <c r="M12" i="36"/>
  <c r="F10" i="36"/>
  <c r="Q7" i="36" a="1"/>
  <c r="Q7" i="36" s="1"/>
  <c r="L7" i="36"/>
  <c r="M8" i="36"/>
  <c r="M6" i="36"/>
  <c r="G11" i="36"/>
  <c r="G8" i="36"/>
  <c r="K10" i="36" a="1"/>
  <c r="K10" i="36" s="1"/>
  <c r="K7" i="36" a="1"/>
  <c r="K7" i="36" s="1"/>
  <c r="H11" i="36"/>
  <c r="H6" i="36"/>
  <c r="L10" i="36"/>
  <c r="F6" i="36"/>
  <c r="D8" i="36" a="1"/>
  <c r="D8" i="36" s="1"/>
  <c r="T9" i="36"/>
  <c r="T10" i="36"/>
  <c r="G9" i="36"/>
  <c r="F9" i="36"/>
  <c r="S7" i="36"/>
  <c r="G10" i="36"/>
  <c r="AC74" i="41"/>
  <c r="W74" i="41"/>
  <c r="B36" i="39"/>
  <c r="B37" i="39" s="1"/>
  <c r="AC71" i="41"/>
  <c r="W71" i="41"/>
  <c r="AC68" i="41"/>
  <c r="BD12" i="17"/>
  <c r="W68" i="41"/>
  <c r="AC65" i="41"/>
  <c r="AB65" i="41"/>
  <c r="G65" i="41"/>
  <c r="F65" i="41"/>
  <c r="W65" i="41"/>
  <c r="V65" i="41"/>
  <c r="W62" i="41"/>
  <c r="AC62" i="41"/>
  <c r="AC59" i="41"/>
  <c r="W59" i="41"/>
  <c r="AO21" i="32"/>
  <c r="AO34" i="32" s="1"/>
  <c r="AO36" i="32" s="1"/>
  <c r="L56" i="27"/>
  <c r="L57" i="27" s="1"/>
  <c r="L58" i="27" s="1"/>
  <c r="N55" i="27"/>
  <c r="E25" i="22"/>
  <c r="D25" i="22"/>
  <c r="K23" i="22"/>
  <c r="K25" i="22" s="1"/>
  <c r="AQ12" i="17"/>
  <c r="AK12" i="17"/>
  <c r="BR6" i="17"/>
  <c r="CA12" i="17"/>
  <c r="CH8" i="17"/>
  <c r="AS6" i="17"/>
  <c r="P10" i="17" a="1"/>
  <c r="P10" i="17" s="1"/>
  <c r="I57" i="31" s="1"/>
  <c r="V8" i="17" a="1"/>
  <c r="V8" i="17" s="1"/>
  <c r="AE7" i="17"/>
  <c r="BX9" i="17" a="1"/>
  <c r="BX9" i="17" s="1"/>
  <c r="Z10" i="17"/>
  <c r="BQ7" i="17"/>
  <c r="P12" i="17" a="1"/>
  <c r="P12" i="17" s="1"/>
  <c r="K57" i="31" s="1"/>
  <c r="Q12" i="17"/>
  <c r="CE7" i="17" a="1"/>
  <c r="CE7" i="17" s="1"/>
  <c r="I10" i="17" a="1"/>
  <c r="I10" i="17" s="1"/>
  <c r="D6" i="17" a="1"/>
  <c r="D6" i="17" s="1"/>
  <c r="AP8" i="17" a="1"/>
  <c r="AP8" i="17" s="1"/>
  <c r="S10" i="17"/>
  <c r="CF8" i="17"/>
  <c r="BS8" i="17"/>
  <c r="K7" i="17"/>
  <c r="Z6" i="17"/>
  <c r="BL8" i="17"/>
  <c r="BR7" i="17"/>
  <c r="BF6" i="17"/>
  <c r="Y9" i="17"/>
  <c r="Q10" i="17"/>
  <c r="CB10" i="17"/>
  <c r="BE12" i="17"/>
  <c r="AD6" i="17"/>
  <c r="Y7" i="17"/>
  <c r="R12" i="17"/>
  <c r="AZ8" i="17"/>
  <c r="Q6" i="17"/>
  <c r="V12" i="17" a="1"/>
  <c r="V12" i="17" s="1"/>
  <c r="AP10" i="17" a="1"/>
  <c r="AP10" i="17" s="1"/>
  <c r="I105" i="31" s="1"/>
  <c r="BE8" i="17"/>
  <c r="BF7" i="17"/>
  <c r="AX6" i="17"/>
  <c r="AC12" i="17" a="1"/>
  <c r="AC12" i="17" s="1"/>
  <c r="K11" i="17"/>
  <c r="BZ8" i="17"/>
  <c r="BD8" i="17"/>
  <c r="AL9" i="17"/>
  <c r="AX9" i="17"/>
  <c r="X10" i="17"/>
  <c r="AE8" i="17"/>
  <c r="BP6" i="17" a="1"/>
  <c r="BP6" i="17" s="1"/>
  <c r="G71" i="31" s="1"/>
  <c r="P9" i="17" a="1"/>
  <c r="P9" i="17" s="1"/>
  <c r="Q8" i="17"/>
  <c r="R7" i="17"/>
  <c r="CF7" i="17"/>
  <c r="AX8" i="17"/>
  <c r="K6" i="17"/>
  <c r="Y10" i="17"/>
  <c r="E12" i="17" a="1"/>
  <c r="E12" i="17" s="1"/>
  <c r="AR10" i="17"/>
  <c r="BD9" i="17"/>
  <c r="V11" i="17" a="1"/>
  <c r="V11" i="17" s="1"/>
  <c r="AF9" i="17"/>
  <c r="BI8" i="17" a="1"/>
  <c r="BI8" i="17" s="1"/>
  <c r="CA6" i="17"/>
  <c r="CE6" i="17" a="1"/>
  <c r="CE6" i="17" s="1"/>
  <c r="P7" i="17" a="1"/>
  <c r="P7" i="17" s="1"/>
  <c r="AY7" i="17"/>
  <c r="X12" i="17"/>
  <c r="CF9" i="17"/>
  <c r="F9" i="17" a="1"/>
  <c r="F9" i="17" s="1"/>
  <c r="BP5" i="17" a="1"/>
  <c r="BP5" i="17" s="1"/>
  <c r="F71" i="31" s="1"/>
  <c r="CG9" i="17"/>
  <c r="AV7" i="17" a="1"/>
  <c r="AV7" i="17" s="1"/>
  <c r="L7" i="17"/>
  <c r="AY10" i="17"/>
  <c r="AL6" i="17"/>
  <c r="AV8" i="17" a="1"/>
  <c r="AV8" i="17" s="1"/>
  <c r="G8" i="17"/>
  <c r="AR9" i="17"/>
  <c r="BC9" i="17" a="1"/>
  <c r="BC9" i="17" s="1"/>
  <c r="BE9" i="17"/>
  <c r="AD8" i="17"/>
  <c r="BQ8" i="17"/>
  <c r="BZ7" i="17"/>
  <c r="AX7" i="17"/>
  <c r="BQ6" i="17"/>
  <c r="CG10" i="17"/>
  <c r="AQ10" i="17"/>
  <c r="R8" i="17"/>
  <c r="P11" i="17" a="1"/>
  <c r="P11" i="17" s="1"/>
  <c r="J57" i="31" s="1"/>
  <c r="R11" i="17"/>
  <c r="AX10" i="17"/>
  <c r="AC9" i="17" a="1"/>
  <c r="AC9" i="17" s="1"/>
  <c r="BC10" i="17" a="1"/>
  <c r="BC10" i="17" s="1"/>
  <c r="BX8" i="17" a="1"/>
  <c r="BX8" i="17" s="1"/>
  <c r="AM10" i="17"/>
  <c r="I6" i="17" a="1"/>
  <c r="I6" i="17" s="1"/>
  <c r="AK7" i="17"/>
  <c r="AW10" i="17"/>
  <c r="BF12" i="17"/>
  <c r="AM8" i="17"/>
  <c r="E90" i="31" s="1"/>
  <c r="I12" i="17" a="1"/>
  <c r="I12" i="17" s="1"/>
  <c r="F12" i="17" a="1"/>
  <c r="F12" i="17" s="1"/>
  <c r="D10" i="17" a="1"/>
  <c r="D10" i="17" s="1"/>
  <c r="L8" i="17"/>
  <c r="BL7" i="17"/>
  <c r="V6" i="17" a="1"/>
  <c r="V6" i="17" s="1"/>
  <c r="CH6" i="17"/>
  <c r="AI10" i="17" a="1"/>
  <c r="AI10" i="17" s="1"/>
  <c r="I103" i="31" s="1"/>
  <c r="BM8" i="17"/>
  <c r="AL8" i="17"/>
  <c r="BS7" i="17"/>
  <c r="AS12" i="17"/>
  <c r="V7" i="17" a="1"/>
  <c r="V7" i="17" s="1"/>
  <c r="AE12" i="17"/>
  <c r="BC6" i="17" a="1"/>
  <c r="BC6" i="17" s="1"/>
  <c r="BE6" i="17"/>
  <c r="R9" i="17"/>
  <c r="C10" i="17" a="1"/>
  <c r="C10" i="17" s="1"/>
  <c r="AP7" i="17" a="1"/>
  <c r="AP7" i="17" s="1"/>
  <c r="AZ7" i="17"/>
  <c r="BM7" i="17"/>
  <c r="AI12" i="17" a="1"/>
  <c r="AI12" i="17" s="1"/>
  <c r="BI7" i="17" a="1"/>
  <c r="BI7" i="17" s="1"/>
  <c r="BX7" i="17" a="1"/>
  <c r="BX7" i="17" s="1"/>
  <c r="AS10" i="17"/>
  <c r="C7" i="17" a="1"/>
  <c r="C7" i="17" s="1"/>
  <c r="CG6" i="17"/>
  <c r="AZ9" i="17"/>
  <c r="AD10" i="17"/>
  <c r="CE9" i="17" a="1"/>
  <c r="CE9" i="17" s="1"/>
  <c r="L12" i="17"/>
  <c r="CH7" i="17"/>
  <c r="BX12" i="17" a="1"/>
  <c r="BX12" i="17" s="1"/>
  <c r="S6" i="17"/>
  <c r="BX10" i="17" a="1"/>
  <c r="BX10" i="17" s="1"/>
  <c r="C6" i="17" a="1"/>
  <c r="C6" i="17" s="1"/>
  <c r="V10" i="17" a="1"/>
  <c r="V10" i="17" s="1"/>
  <c r="AY6" i="17"/>
  <c r="C12" i="17" a="1"/>
  <c r="C12" i="17" s="1"/>
  <c r="CH10" i="17"/>
  <c r="AI11" i="17" a="1"/>
  <c r="AI11" i="17" s="1"/>
  <c r="K8" i="17"/>
  <c r="E80" i="31" s="1"/>
  <c r="AI9" i="17" a="1"/>
  <c r="AI9" i="17" s="1"/>
  <c r="AM6" i="17"/>
  <c r="BK6" i="17"/>
  <c r="AC11" i="17" a="1"/>
  <c r="AC11" i="17" s="1"/>
  <c r="S11" i="17"/>
  <c r="D9" i="17" a="1"/>
  <c r="D9" i="17" s="1"/>
  <c r="F6" i="17" a="1"/>
  <c r="F6" i="17" s="1"/>
  <c r="CE8" i="17" a="1"/>
  <c r="CE8" i="17" s="1"/>
  <c r="AC8" i="17" a="1"/>
  <c r="AC8" i="17" s="1"/>
  <c r="AP12" i="17" a="1"/>
  <c r="AP12" i="17" s="1"/>
  <c r="K64" i="31" s="1"/>
  <c r="X6" i="17"/>
  <c r="F7" i="17"/>
  <c r="L11" i="17"/>
  <c r="AK9" i="17"/>
  <c r="CB6" i="17"/>
  <c r="CA9" i="17"/>
  <c r="AL10" i="17"/>
  <c r="AM7" i="17"/>
  <c r="S9" i="17"/>
  <c r="F10" i="17" a="1"/>
  <c r="F10" i="17" s="1"/>
  <c r="K10" i="17"/>
  <c r="Y8" i="17"/>
  <c r="AR7" i="17"/>
  <c r="AK8" i="17"/>
  <c r="E89" i="31" s="1"/>
  <c r="AD7" i="17"/>
  <c r="BD7" i="17"/>
  <c r="BL6" i="17"/>
  <c r="M9" i="17"/>
  <c r="L9" i="17"/>
  <c r="Z12" i="17"/>
  <c r="CF10" i="17"/>
  <c r="K12" i="17"/>
  <c r="S8" i="17"/>
  <c r="G81" i="31" s="1"/>
  <c r="BE7" i="17"/>
  <c r="AE6" i="17"/>
  <c r="AF12" i="17"/>
  <c r="AD12" i="17"/>
  <c r="BZ12" i="17"/>
  <c r="AY9" i="17"/>
  <c r="S7" i="17"/>
  <c r="AE9" i="17"/>
  <c r="CA10" i="17"/>
  <c r="K9" i="17"/>
  <c r="M10" i="17"/>
  <c r="AC10" i="17" a="1"/>
  <c r="AC10" i="17" s="1"/>
  <c r="D12" i="17" a="1"/>
  <c r="D12" i="17" s="1"/>
  <c r="AP11" i="17" a="1"/>
  <c r="AP11" i="17" s="1"/>
  <c r="BD10" i="17"/>
  <c r="BD6" i="17"/>
  <c r="AI8" i="17" a="1"/>
  <c r="AI8" i="17" s="1"/>
  <c r="H103" i="31" s="1"/>
  <c r="L6" i="17"/>
  <c r="BC7" i="17" a="1"/>
  <c r="BC7" i="17" s="1"/>
  <c r="BF10" i="17"/>
  <c r="AS7" i="17"/>
  <c r="AF6" i="17"/>
  <c r="AV9" i="17" a="1"/>
  <c r="AV9" i="17" s="1"/>
  <c r="Z9" i="17"/>
  <c r="CH9" i="17"/>
  <c r="CF6" i="17"/>
  <c r="Q9" i="17"/>
  <c r="M7" i="17"/>
  <c r="CG7" i="17"/>
  <c r="AC7" i="17" a="1"/>
  <c r="AC7" i="17" s="1"/>
  <c r="CH12" i="17"/>
  <c r="BI6" i="17" a="1"/>
  <c r="BI6" i="17" s="1"/>
  <c r="G69" i="31" s="1"/>
  <c r="AR8" i="17"/>
  <c r="AQ9" i="17"/>
  <c r="CB9" i="17"/>
  <c r="P8" i="17" a="1"/>
  <c r="P8" i="17" s="1"/>
  <c r="H57" i="31" s="1"/>
  <c r="M6" i="17"/>
  <c r="AP6" i="17" a="1"/>
  <c r="AP6" i="17" s="1"/>
  <c r="G64" i="31" s="1"/>
  <c r="M12" i="17"/>
  <c r="Y12" i="17"/>
  <c r="S12" i="17"/>
  <c r="Q11" i="17"/>
  <c r="AI7" i="17" a="1"/>
  <c r="AI7" i="17" s="1"/>
  <c r="AR12" i="17"/>
  <c r="X8" i="17"/>
  <c r="AP9" i="17" a="1"/>
  <c r="AP9" i="17" s="1"/>
  <c r="AQ7" i="17"/>
  <c r="I9" i="17" a="1"/>
  <c r="I9" i="17" s="1"/>
  <c r="P6" i="17" a="1"/>
  <c r="P6" i="17" s="1"/>
  <c r="G57" i="31" s="1"/>
  <c r="AM12" i="17"/>
  <c r="CA7" i="17"/>
  <c r="M8" i="17"/>
  <c r="E81" i="31" s="1"/>
  <c r="CA8" i="17"/>
  <c r="AC6" i="17" a="1"/>
  <c r="AC6" i="17" s="1"/>
  <c r="AY8" i="17"/>
  <c r="BF9" i="17"/>
  <c r="CG12" i="17"/>
  <c r="BS6" i="17"/>
  <c r="AS8" i="17"/>
  <c r="G90" i="31" s="1"/>
  <c r="AZ10" i="17"/>
  <c r="AE10" i="17"/>
  <c r="Q7" i="17"/>
  <c r="AZ6" i="17"/>
  <c r="AQ6" i="17"/>
  <c r="M11" i="17"/>
  <c r="L10" i="17"/>
  <c r="AW9" i="17"/>
  <c r="CE12" i="17" a="1"/>
  <c r="CE12" i="17" s="1"/>
  <c r="CB12" i="17"/>
  <c r="AD9" i="17"/>
  <c r="E9" i="17" a="1"/>
  <c r="E9" i="17" s="1"/>
  <c r="E8" i="17"/>
  <c r="AF10" i="17"/>
  <c r="AR6" i="17"/>
  <c r="AF7" i="17"/>
  <c r="I7" i="17" a="1"/>
  <c r="I7" i="17" s="1"/>
  <c r="I11" i="17" a="1"/>
  <c r="I11" i="17" s="1"/>
  <c r="BC8" i="17" a="1"/>
  <c r="BC8" i="17" s="1"/>
  <c r="BP7" i="17" a="1"/>
  <c r="BP7" i="17" s="1"/>
  <c r="X9" i="17"/>
  <c r="AL12" i="17"/>
  <c r="BZ9" i="17"/>
  <c r="BK8" i="17"/>
  <c r="E98" i="31" s="1"/>
  <c r="AV6" i="17" a="1"/>
  <c r="AV6" i="17" s="1"/>
  <c r="BZ6" i="17"/>
  <c r="E10" i="17" a="1"/>
  <c r="E10" i="17" s="1"/>
  <c r="BK7" i="17"/>
  <c r="Y6" i="17"/>
  <c r="AQ8" i="17"/>
  <c r="BF8" i="17"/>
  <c r="CF12" i="17"/>
  <c r="CB7" i="17"/>
  <c r="AV10" i="17" a="1"/>
  <c r="AV10" i="17" s="1"/>
  <c r="AK6" i="17"/>
  <c r="Z7" i="17"/>
  <c r="AI6" i="17" a="1"/>
  <c r="AI6" i="17" s="1"/>
  <c r="R10" i="17"/>
  <c r="E7" i="17"/>
  <c r="AS9" i="17"/>
  <c r="BR8" i="17"/>
  <c r="CE10" i="17" a="1"/>
  <c r="CE10" i="17" s="1"/>
  <c r="AL7" i="17"/>
  <c r="AM9" i="17"/>
  <c r="X7" i="17"/>
  <c r="BX6" i="17" a="1"/>
  <c r="BX6" i="17" s="1"/>
  <c r="CG8" i="17"/>
  <c r="AK10" i="17"/>
  <c r="CB8" i="17"/>
  <c r="C9" i="17" a="1"/>
  <c r="C9" i="17" s="1"/>
  <c r="BM6" i="17"/>
  <c r="E6" i="17" a="1"/>
  <c r="E6" i="17" s="1"/>
  <c r="F8" i="17"/>
  <c r="C8" i="17" a="1"/>
  <c r="C8" i="17" s="1"/>
  <c r="BZ10" i="17"/>
  <c r="BP8" i="17" a="1"/>
  <c r="BP8" i="17" s="1"/>
  <c r="H71" i="31" s="1"/>
  <c r="V9" i="17" a="1"/>
  <c r="V9" i="17" s="1"/>
  <c r="BE10" i="17"/>
  <c r="R6" i="17"/>
  <c r="I8" i="17" a="1"/>
  <c r="I8" i="17" s="1"/>
  <c r="BQ59" i="28"/>
  <c r="BQ60" i="28" s="1"/>
  <c r="BQ61" i="28" s="1"/>
  <c r="BS58" i="28"/>
  <c r="BR58" i="28"/>
  <c r="AV12" i="17" a="1"/>
  <c r="AV12" i="17" s="1"/>
  <c r="S55" i="17"/>
  <c r="Q56" i="17"/>
  <c r="Q57" i="17" s="1"/>
  <c r="Q58" i="17" s="1"/>
  <c r="CA61" i="28"/>
  <c r="BY62" i="28"/>
  <c r="BY63" i="28" s="1"/>
  <c r="BY64" i="28" s="1"/>
  <c r="AR25" i="32"/>
  <c r="BI12" i="17" a="1"/>
  <c r="BI12" i="17" s="1"/>
  <c r="L62" i="36"/>
  <c r="L63" i="36" s="1"/>
  <c r="L64" i="36" s="1"/>
  <c r="N61" i="36"/>
  <c r="A62" i="10"/>
  <c r="BP12" i="17" a="1"/>
  <c r="BP12" i="17" s="1"/>
  <c r="N58" i="25"/>
  <c r="L59" i="25"/>
  <c r="L60" i="25" s="1"/>
  <c r="L61" i="25" s="1"/>
  <c r="AA58" i="1"/>
  <c r="Y59" i="1"/>
  <c r="Y60" i="1" s="1"/>
  <c r="Y61" i="1" s="1"/>
  <c r="CX11" i="32"/>
  <c r="CP11" i="32"/>
  <c r="CW11" i="32"/>
  <c r="CO11" i="32"/>
  <c r="CV11" i="32"/>
  <c r="CN11" i="32"/>
  <c r="CH12" i="32"/>
  <c r="CT11" i="32"/>
  <c r="CL11" i="32"/>
  <c r="CS11" i="32"/>
  <c r="CK11" i="32"/>
  <c r="CJ11" i="32"/>
  <c r="CI11" i="32"/>
  <c r="CU11" i="32"/>
  <c r="CR11" i="32"/>
  <c r="CQ11" i="32"/>
  <c r="CM11" i="32"/>
  <c r="T61" i="35"/>
  <c r="R62" i="35"/>
  <c r="R63" i="35" s="1"/>
  <c r="R64" i="35" s="1"/>
  <c r="T58" i="2"/>
  <c r="R59" i="2"/>
  <c r="R60" i="2" s="1"/>
  <c r="R61" i="2" s="1"/>
  <c r="E59" i="6"/>
  <c r="E60" i="6" s="1"/>
  <c r="E61" i="6" s="1"/>
  <c r="G58" i="6"/>
  <c r="BQ62" i="17"/>
  <c r="BQ63" i="17" s="1"/>
  <c r="BQ64" i="17" s="1"/>
  <c r="BS61" i="17"/>
  <c r="BK12" i="17"/>
  <c r="AQ53" i="17"/>
  <c r="AQ54" i="17" s="1"/>
  <c r="AQ55" i="17" s="1"/>
  <c r="AS52" i="17"/>
  <c r="CF59" i="17"/>
  <c r="CF60" i="17" s="1"/>
  <c r="CF61" i="17" s="1"/>
  <c r="CH58" i="17"/>
  <c r="CG58" i="17"/>
  <c r="E59" i="25"/>
  <c r="E60" i="25" s="1"/>
  <c r="E61" i="25" s="1"/>
  <c r="G58" i="25"/>
  <c r="T58" i="27"/>
  <c r="R59" i="27"/>
  <c r="R60" i="27" s="1"/>
  <c r="R61" i="27" s="1"/>
  <c r="J13" i="23"/>
  <c r="I13" i="23"/>
  <c r="H13" i="23"/>
  <c r="F13" i="23"/>
  <c r="E13" i="23"/>
  <c r="M13" i="23"/>
  <c r="N13" i="23"/>
  <c r="L13" i="23"/>
  <c r="D13" i="23"/>
  <c r="AJ59" i="17"/>
  <c r="AJ60" i="17" s="1"/>
  <c r="AJ61" i="17" s="1"/>
  <c r="AL58" i="17"/>
  <c r="AK58" i="17"/>
  <c r="BL85" i="17"/>
  <c r="BJ86" i="17"/>
  <c r="BJ87" i="17" s="1"/>
  <c r="BJ88" i="17" s="1"/>
  <c r="V58" i="21"/>
  <c r="T59" i="21"/>
  <c r="T60" i="21" s="1"/>
  <c r="T61" i="21" s="1"/>
  <c r="BI9" i="32"/>
  <c r="BA9" i="32"/>
  <c r="BG9" i="32"/>
  <c r="AY9" i="32"/>
  <c r="BM9" i="32"/>
  <c r="BE9" i="32"/>
  <c r="BL9" i="32"/>
  <c r="AZ9" i="32"/>
  <c r="BK9" i="32"/>
  <c r="BJ9" i="32"/>
  <c r="BH9" i="32"/>
  <c r="AX10" i="32"/>
  <c r="BF9" i="32"/>
  <c r="BD9" i="32"/>
  <c r="BN9" i="32"/>
  <c r="BB9" i="32"/>
  <c r="BC9" i="32"/>
  <c r="L58" i="28"/>
  <c r="J59" i="28"/>
  <c r="J60" i="28" s="1"/>
  <c r="J61" i="28" s="1"/>
  <c r="K58" i="28"/>
  <c r="O58" i="21"/>
  <c r="M59" i="21"/>
  <c r="M60" i="21" s="1"/>
  <c r="M61" i="21" s="1"/>
  <c r="W56" i="41"/>
  <c r="T55" i="25"/>
  <c r="R56" i="25"/>
  <c r="R57" i="25" s="1"/>
  <c r="R58" i="25" s="1"/>
  <c r="E62" i="27"/>
  <c r="E63" i="27" s="1"/>
  <c r="E64" i="27" s="1"/>
  <c r="G61" i="27"/>
  <c r="N61" i="2"/>
  <c r="L62" i="2"/>
  <c r="L63" i="2" s="1"/>
  <c r="L64" i="2" s="1"/>
  <c r="R59" i="1"/>
  <c r="R60" i="1" s="1"/>
  <c r="R61" i="1" s="1"/>
  <c r="T58" i="1"/>
  <c r="B31" i="29"/>
  <c r="G64" i="26"/>
  <c r="F64" i="26"/>
  <c r="E65" i="26"/>
  <c r="E66" i="26" s="1"/>
  <c r="E67" i="26" s="1"/>
  <c r="L62" i="35"/>
  <c r="L63" i="35" s="1"/>
  <c r="L64" i="35" s="1"/>
  <c r="N61" i="35"/>
  <c r="B15" i="23"/>
  <c r="C14" i="23"/>
  <c r="E59" i="2"/>
  <c r="E60" i="2" s="1"/>
  <c r="E61" i="2" s="1"/>
  <c r="G58" i="2"/>
  <c r="AL58" i="28"/>
  <c r="AJ59" i="28"/>
  <c r="AJ60" i="28" s="1"/>
  <c r="AJ61" i="28" s="1"/>
  <c r="AK58" i="28"/>
  <c r="BM12" i="17"/>
  <c r="CF59" i="28"/>
  <c r="CF60" i="28" s="1"/>
  <c r="CF61" i="28" s="1"/>
  <c r="CH58" i="28"/>
  <c r="CG58" i="28"/>
  <c r="W59" i="17"/>
  <c r="W60" i="17" s="1"/>
  <c r="W61" i="17" s="1"/>
  <c r="X58" i="17"/>
  <c r="Y58" i="17"/>
  <c r="CA61" i="17"/>
  <c r="BY62" i="17"/>
  <c r="BY63" i="17" s="1"/>
  <c r="BY64" i="17" s="1"/>
  <c r="Y58" i="28"/>
  <c r="X58" i="28"/>
  <c r="W59" i="28"/>
  <c r="W60" i="28" s="1"/>
  <c r="W61" i="28" s="1"/>
  <c r="BS12" i="17"/>
  <c r="E59" i="1"/>
  <c r="E60" i="1" s="1"/>
  <c r="E61" i="1" s="1"/>
  <c r="G58" i="1"/>
  <c r="AZ12" i="17"/>
  <c r="L59" i="1"/>
  <c r="L60" i="1" s="1"/>
  <c r="L61" i="1" s="1"/>
  <c r="N58" i="1"/>
  <c r="AF52" i="17"/>
  <c r="AD53" i="17"/>
  <c r="AD54" i="17" s="1"/>
  <c r="AD55" i="17" s="1"/>
  <c r="BQ12" i="17"/>
  <c r="E59" i="12"/>
  <c r="E60" i="12" s="1"/>
  <c r="E61" i="12" s="1"/>
  <c r="G58" i="12"/>
  <c r="N58" i="12"/>
  <c r="L59" i="12"/>
  <c r="L60" i="12" s="1"/>
  <c r="L61" i="12" s="1"/>
  <c r="T58" i="6"/>
  <c r="R59" i="6"/>
  <c r="R60" i="6" s="1"/>
  <c r="R61" i="6" s="1"/>
  <c r="BJ59" i="28"/>
  <c r="BJ60" i="28" s="1"/>
  <c r="BJ61" i="28" s="1"/>
  <c r="BK58" i="28"/>
  <c r="BL58" i="28"/>
  <c r="BD56" i="17"/>
  <c r="BD57" i="17" s="1"/>
  <c r="BD58" i="17" s="1"/>
  <c r="BF55" i="17"/>
  <c r="BF55" i="28"/>
  <c r="BD56" i="28"/>
  <c r="BD57" i="28" s="1"/>
  <c r="BD58" i="28" s="1"/>
  <c r="AX12" i="17"/>
  <c r="EW11" i="32"/>
  <c r="EO11" i="32"/>
  <c r="EJ12" i="32"/>
  <c r="EV11" i="32"/>
  <c r="EN11" i="32"/>
  <c r="EU11" i="32"/>
  <c r="EM11" i="32"/>
  <c r="ES11" i="32"/>
  <c r="EK11" i="32"/>
  <c r="EZ11" i="32"/>
  <c r="ER11" i="32"/>
  <c r="EY11" i="32"/>
  <c r="EX11" i="32"/>
  <c r="ET11" i="32"/>
  <c r="EQ11" i="32"/>
  <c r="EP11" i="32"/>
  <c r="EL11" i="32"/>
  <c r="E26" i="30"/>
  <c r="F41" i="31"/>
  <c r="B99" i="28"/>
  <c r="B100" i="28" s="1"/>
  <c r="B101" i="28" s="1"/>
  <c r="B102" i="28" s="1"/>
  <c r="B103" i="28" s="1"/>
  <c r="B104" i="28" s="1"/>
  <c r="B105" i="28" s="1"/>
  <c r="B106" i="28" s="1"/>
  <c r="B107" i="28" s="1"/>
  <c r="B108" i="28" s="1"/>
  <c r="B109" i="28" s="1"/>
  <c r="B110" i="28" s="1"/>
  <c r="B111" i="28" s="1"/>
  <c r="B112" i="28" s="1"/>
  <c r="B113" i="28" s="1"/>
  <c r="B114" i="28" s="1"/>
  <c r="B115" i="28" s="1"/>
  <c r="B116" i="28" s="1"/>
  <c r="B117" i="28" s="1"/>
  <c r="B118" i="28" s="1"/>
  <c r="B119" i="28" s="1"/>
  <c r="B120" i="28" s="1"/>
  <c r="B121" i="28" s="1"/>
  <c r="B122" i="28" s="1"/>
  <c r="B123" i="28" s="1"/>
  <c r="B124" i="28" s="1"/>
  <c r="B125" i="28" s="1"/>
  <c r="B126" i="28" s="1"/>
  <c r="B127" i="28" s="1"/>
  <c r="B128" i="28" s="1"/>
  <c r="B129" i="28" s="1"/>
  <c r="B130" i="28" s="1"/>
  <c r="B131" i="28" s="1"/>
  <c r="B132" i="28" s="1"/>
  <c r="B133" i="28" s="1"/>
  <c r="B134" i="28" s="1"/>
  <c r="B135" i="28" s="1"/>
  <c r="B136" i="28" s="1"/>
  <c r="B137" i="28" s="1"/>
  <c r="B138" i="28" s="1"/>
  <c r="B139" i="28" s="1"/>
  <c r="B140" i="28" s="1"/>
  <c r="B141" i="28" s="1"/>
  <c r="B142" i="28" s="1"/>
  <c r="B143" i="28" s="1"/>
  <c r="B144" i="28" s="1"/>
  <c r="B145" i="28" s="1"/>
  <c r="B146" i="28" s="1"/>
  <c r="B147" i="28" s="1"/>
  <c r="B148" i="28" s="1"/>
  <c r="B149" i="28" s="1"/>
  <c r="B150" i="28" s="1"/>
  <c r="B151" i="28" s="1"/>
  <c r="B152" i="28" s="1"/>
  <c r="B153" i="28" s="1"/>
  <c r="B154" i="28" s="1"/>
  <c r="B155" i="28" s="1"/>
  <c r="B156" i="28" s="1"/>
  <c r="B157" i="28" s="1"/>
  <c r="EF11" i="32"/>
  <c r="DX11" i="32"/>
  <c r="EE11" i="32"/>
  <c r="DW11" i="32"/>
  <c r="DR12" i="32"/>
  <c r="ED11" i="32"/>
  <c r="DV11" i="32"/>
  <c r="EB11" i="32"/>
  <c r="DT11" i="32"/>
  <c r="EA11" i="32"/>
  <c r="DS11" i="32"/>
  <c r="EC11" i="32"/>
  <c r="DZ11" i="32"/>
  <c r="DY11" i="32"/>
  <c r="DU11" i="32"/>
  <c r="EH11" i="32"/>
  <c r="EG11" i="32"/>
  <c r="N58" i="6"/>
  <c r="L59" i="6"/>
  <c r="L60" i="6" s="1"/>
  <c r="L61" i="6" s="1"/>
  <c r="BY11" i="32"/>
  <c r="BQ11" i="32"/>
  <c r="CF11" i="32"/>
  <c r="BX11" i="32"/>
  <c r="CE11" i="32"/>
  <c r="BW11" i="32"/>
  <c r="CC11" i="32"/>
  <c r="BU11" i="32"/>
  <c r="BP12" i="32"/>
  <c r="CB11" i="32"/>
  <c r="BT11" i="32"/>
  <c r="CD11" i="32"/>
  <c r="CA11" i="32"/>
  <c r="BZ11" i="32"/>
  <c r="BV11" i="32"/>
  <c r="BS11" i="32"/>
  <c r="BR11" i="32"/>
  <c r="E62" i="35"/>
  <c r="E63" i="35" s="1"/>
  <c r="E64" i="35" s="1"/>
  <c r="G61" i="35"/>
  <c r="T61" i="36"/>
  <c r="R62" i="36"/>
  <c r="R63" i="36" s="1"/>
  <c r="R64" i="36" s="1"/>
  <c r="BC12" i="17" a="1"/>
  <c r="BC12" i="17" s="1"/>
  <c r="BL12" i="17"/>
  <c r="AY58" i="28"/>
  <c r="AX58" i="28"/>
  <c r="AW59" i="28"/>
  <c r="AW60" i="28" s="1"/>
  <c r="AW61" i="28" s="1"/>
  <c r="AF52" i="28"/>
  <c r="AD53" i="28"/>
  <c r="AD54" i="28" s="1"/>
  <c r="AD55" i="28" s="1"/>
  <c r="L59" i="26"/>
  <c r="L60" i="26" s="1"/>
  <c r="L61" i="26" s="1"/>
  <c r="N58" i="26"/>
  <c r="R59" i="26"/>
  <c r="R60" i="26" s="1"/>
  <c r="R61" i="26" s="1"/>
  <c r="T58" i="26"/>
  <c r="G58" i="21"/>
  <c r="E59" i="21"/>
  <c r="E60" i="21" s="1"/>
  <c r="E61" i="21" s="1"/>
  <c r="AY12" i="17"/>
  <c r="J59" i="17"/>
  <c r="J60" i="17" s="1"/>
  <c r="J61" i="17" s="1"/>
  <c r="L58" i="17"/>
  <c r="K58" i="17"/>
  <c r="Q56" i="28"/>
  <c r="Q57" i="28" s="1"/>
  <c r="Q58" i="28" s="1"/>
  <c r="S55" i="28"/>
  <c r="AW86" i="17"/>
  <c r="AW87" i="17" s="1"/>
  <c r="AW88" i="17" s="1"/>
  <c r="AY85" i="17"/>
  <c r="E25" i="30"/>
  <c r="F42" i="31"/>
  <c r="R20" i="12"/>
  <c r="R21" i="12" s="1"/>
  <c r="R22" i="12" s="1"/>
  <c r="T19" i="12"/>
  <c r="G58" i="36"/>
  <c r="E59" i="36"/>
  <c r="E60" i="36" s="1"/>
  <c r="E61" i="36" s="1"/>
  <c r="DO11" i="32"/>
  <c r="DG11" i="32"/>
  <c r="DN11" i="32"/>
  <c r="DF11" i="32"/>
  <c r="DM11" i="32"/>
  <c r="DE11" i="32"/>
  <c r="DK11" i="32"/>
  <c r="DC11" i="32"/>
  <c r="DJ11" i="32"/>
  <c r="DB11" i="32"/>
  <c r="DH11" i="32"/>
  <c r="DD11" i="32"/>
  <c r="DA11" i="32"/>
  <c r="DP11" i="32"/>
  <c r="CZ12" i="32"/>
  <c r="DL11" i="32"/>
  <c r="DI11" i="32"/>
  <c r="AC56" i="41"/>
  <c r="AQ53" i="28"/>
  <c r="AQ54" i="28" s="1"/>
  <c r="AQ55" i="28" s="1"/>
  <c r="AS52" i="28"/>
  <c r="AQ35" i="32"/>
  <c r="AQ26" i="32"/>
  <c r="AQ37" i="32"/>
  <c r="AP21" i="32" a="1"/>
  <c r="AR35" i="32"/>
  <c r="T12" i="36" l="1"/>
  <c r="Q9" i="36" a="1"/>
  <c r="Q9" i="36" s="1"/>
  <c r="H9" i="36"/>
  <c r="S8" i="36"/>
  <c r="H8" i="36"/>
  <c r="U12" i="36"/>
  <c r="D12" i="36" a="1"/>
  <c r="D12" i="36" s="1"/>
  <c r="Q8" i="36" a="1"/>
  <c r="Q8" i="36" s="1"/>
  <c r="S12" i="36"/>
  <c r="S10" i="36"/>
  <c r="L8" i="36"/>
  <c r="T8" i="36"/>
  <c r="G7" i="36"/>
  <c r="K12" i="36" a="1"/>
  <c r="K12" i="36" s="1"/>
  <c r="G12" i="36"/>
  <c r="D11" i="36" a="1"/>
  <c r="D11" i="36" s="1"/>
  <c r="F8" i="36"/>
  <c r="H12" i="36"/>
  <c r="K11" i="36" a="1"/>
  <c r="K11" i="36" s="1"/>
  <c r="R11" i="36" s="1"/>
  <c r="T6" i="36"/>
  <c r="T11" i="36"/>
  <c r="L12" i="36"/>
  <c r="H10" i="36"/>
  <c r="Q12" i="36" a="1"/>
  <c r="Q12" i="36" s="1"/>
  <c r="K18" i="31" s="1"/>
  <c r="U9" i="36"/>
  <c r="U7" i="36"/>
  <c r="F7" i="36"/>
  <c r="L9" i="36"/>
  <c r="K9" i="36" a="1"/>
  <c r="K9" i="36" s="1"/>
  <c r="G6" i="36"/>
  <c r="D9" i="36" a="1"/>
  <c r="D9" i="36" s="1"/>
  <c r="D7" i="36" a="1"/>
  <c r="D7" i="36" s="1"/>
  <c r="E7" i="36" s="1"/>
  <c r="U10" i="36"/>
  <c r="F12" i="36"/>
  <c r="L11" i="36"/>
  <c r="U6" i="36"/>
  <c r="S6" i="36"/>
  <c r="F11" i="36"/>
  <c r="S11" i="36"/>
  <c r="M9" i="36"/>
  <c r="D10" i="36" a="1"/>
  <c r="D10" i="36" s="1"/>
  <c r="K6" i="36" a="1"/>
  <c r="K6" i="36" s="1"/>
  <c r="K8" i="36" a="1"/>
  <c r="K8" i="36" s="1"/>
  <c r="E8" i="36" s="1"/>
  <c r="S9" i="36"/>
  <c r="H7" i="36"/>
  <c r="U11" i="36"/>
  <c r="M10" i="36"/>
  <c r="U8" i="36"/>
  <c r="L6" i="36"/>
  <c r="M11" i="36"/>
  <c r="H15" i="31"/>
  <c r="R10" i="36"/>
  <c r="R7" i="36"/>
  <c r="D6" i="36" a="1"/>
  <c r="D6" i="36" s="1"/>
  <c r="Q6" i="36" a="1"/>
  <c r="Q6" i="36" s="1"/>
  <c r="B38" i="39"/>
  <c r="B39" i="39" s="1"/>
  <c r="B40" i="39" s="1"/>
  <c r="B41" i="39" s="1"/>
  <c r="B42" i="39" s="1"/>
  <c r="B43" i="39" s="1"/>
  <c r="B44" i="39" s="1"/>
  <c r="H64" i="31"/>
  <c r="H105" i="31"/>
  <c r="AP21" i="32"/>
  <c r="AP34" i="32" s="1"/>
  <c r="AP36" i="32" s="1"/>
  <c r="BY12" i="17"/>
  <c r="AW12" i="17"/>
  <c r="BJ12" i="17"/>
  <c r="C5" i="17" a="1"/>
  <c r="C5" i="17" s="1"/>
  <c r="BK5" i="17"/>
  <c r="X5" i="17"/>
  <c r="BR5" i="17" a="1"/>
  <c r="BR5" i="17" s="1"/>
  <c r="BI5" i="17" a="1"/>
  <c r="BI5" i="17" s="1"/>
  <c r="F69" i="31" s="1"/>
  <c r="CH5" i="17"/>
  <c r="AM5" i="17"/>
  <c r="AV5" i="17" a="1"/>
  <c r="AV5" i="17" s="1"/>
  <c r="CF5" i="17"/>
  <c r="W9" i="17"/>
  <c r="CE5" i="17" a="1"/>
  <c r="CE5" i="17" s="1"/>
  <c r="AF5" i="17"/>
  <c r="AI5" i="17" a="1"/>
  <c r="AI5" i="17" s="1"/>
  <c r="F62" i="31" s="1"/>
  <c r="BZ5" i="17"/>
  <c r="Q5" i="17"/>
  <c r="CG5" i="17" a="1"/>
  <c r="CG5" i="17" s="1"/>
  <c r="AP5" i="17" a="1"/>
  <c r="AP5" i="17" s="1"/>
  <c r="F64" i="31" s="1"/>
  <c r="F5" i="17" a="1"/>
  <c r="F5" i="17" s="1"/>
  <c r="AK5" i="17"/>
  <c r="V5" i="17" a="1"/>
  <c r="V5" i="17" s="1"/>
  <c r="BS5" i="17"/>
  <c r="BL5" i="17"/>
  <c r="Y5" i="17" a="1"/>
  <c r="Y5" i="17" s="1"/>
  <c r="BM5" i="17"/>
  <c r="BE5" i="17" a="1"/>
  <c r="BE5" i="17" s="1"/>
  <c r="CA5" i="17"/>
  <c r="AZ5" i="17"/>
  <c r="I5" i="17" a="1"/>
  <c r="I5" i="17" s="1"/>
  <c r="F55" i="31" s="1"/>
  <c r="K5" i="17"/>
  <c r="R5" i="17" a="1"/>
  <c r="R5" i="17" s="1"/>
  <c r="BX5" i="17" a="1"/>
  <c r="BX5" i="17" s="1"/>
  <c r="AL5" i="17" a="1"/>
  <c r="AL5" i="17" s="1"/>
  <c r="BC5" i="17" a="1"/>
  <c r="BC5" i="17" s="1"/>
  <c r="AE5" i="17" a="1"/>
  <c r="AE5" i="17" s="1"/>
  <c r="AS5" i="17"/>
  <c r="L5" i="17" a="1"/>
  <c r="L5" i="17" s="1"/>
  <c r="BY6" i="17"/>
  <c r="BY7" i="17"/>
  <c r="D7" i="17"/>
  <c r="AQ5" i="17"/>
  <c r="E5" i="17" a="1"/>
  <c r="E5" i="17" s="1"/>
  <c r="J9" i="17"/>
  <c r="P5" i="17" a="1"/>
  <c r="P5" i="17" s="1"/>
  <c r="F57" i="31" s="1"/>
  <c r="D8" i="17"/>
  <c r="W12" i="17"/>
  <c r="AW6" i="17"/>
  <c r="AW7" i="17"/>
  <c r="AJ7" i="17"/>
  <c r="J7" i="17"/>
  <c r="S5" i="17"/>
  <c r="AJ8" i="17"/>
  <c r="H62" i="31"/>
  <c r="K62" i="31"/>
  <c r="AJ12" i="17"/>
  <c r="J10" i="17"/>
  <c r="I55" i="31"/>
  <c r="L59" i="27"/>
  <c r="L60" i="27" s="1"/>
  <c r="L61" i="27" s="1"/>
  <c r="N58" i="27"/>
  <c r="G61" i="36"/>
  <c r="E62" i="36"/>
  <c r="E63" i="36" s="1"/>
  <c r="E64" i="36" s="1"/>
  <c r="L62" i="1"/>
  <c r="L63" i="1" s="1"/>
  <c r="L64" i="1" s="1"/>
  <c r="N61" i="1"/>
  <c r="DK12" i="32"/>
  <c r="DC12" i="32"/>
  <c r="DJ12" i="32"/>
  <c r="DB12" i="32"/>
  <c r="DI12" i="32"/>
  <c r="DA12" i="32"/>
  <c r="DO12" i="32"/>
  <c r="DG12" i="32"/>
  <c r="DN12" i="32"/>
  <c r="DF12" i="32"/>
  <c r="DP12" i="32"/>
  <c r="DM12" i="32"/>
  <c r="DL12" i="32"/>
  <c r="CZ13" i="32"/>
  <c r="DH12" i="32"/>
  <c r="DE12" i="32"/>
  <c r="DD12" i="32"/>
  <c r="L61" i="17"/>
  <c r="J62" i="17"/>
  <c r="J63" i="17" s="1"/>
  <c r="J64" i="17" s="1"/>
  <c r="BI12" i="28" a="1"/>
  <c r="BI12" i="28" s="1"/>
  <c r="T64" i="36"/>
  <c r="R65" i="36"/>
  <c r="R66" i="36" s="1"/>
  <c r="R67" i="36" s="1"/>
  <c r="AV12" i="28" a="1"/>
  <c r="AV12" i="28" s="1"/>
  <c r="N64" i="35"/>
  <c r="L65" i="35"/>
  <c r="L66" i="35" s="1"/>
  <c r="L67" i="35" s="1"/>
  <c r="M64" i="2"/>
  <c r="L65" i="2"/>
  <c r="L66" i="2" s="1"/>
  <c r="L67" i="2" s="1"/>
  <c r="N64" i="2"/>
  <c r="O61" i="21"/>
  <c r="M62" i="21"/>
  <c r="M63" i="21" s="1"/>
  <c r="M64" i="21" s="1"/>
  <c r="BJ89" i="17"/>
  <c r="BJ90" i="17" s="1"/>
  <c r="BJ91" i="17" s="1"/>
  <c r="BL88" i="17"/>
  <c r="L62" i="25"/>
  <c r="L63" i="25" s="1"/>
  <c r="L64" i="25" s="1"/>
  <c r="N61" i="25"/>
  <c r="AS25" i="32"/>
  <c r="BQ62" i="28"/>
  <c r="BQ63" i="28" s="1"/>
  <c r="BQ64" i="28" s="1"/>
  <c r="BS61" i="28"/>
  <c r="AJ10" i="17"/>
  <c r="I62" i="31"/>
  <c r="J62" i="31"/>
  <c r="K55" i="31"/>
  <c r="J12" i="17"/>
  <c r="BY8" i="17"/>
  <c r="Z5" i="17"/>
  <c r="BY9" i="17"/>
  <c r="BC12" i="28" a="1"/>
  <c r="BC12" i="28" s="1"/>
  <c r="BD10" i="28"/>
  <c r="CF6" i="28"/>
  <c r="P10" i="28" a="1"/>
  <c r="P10" i="28" s="1"/>
  <c r="I58" i="31" s="1"/>
  <c r="S10" i="28"/>
  <c r="AX6" i="28"/>
  <c r="AQ7" i="28"/>
  <c r="L7" i="28"/>
  <c r="M12" i="28"/>
  <c r="AS8" i="28"/>
  <c r="AM7" i="28"/>
  <c r="CB8" i="28"/>
  <c r="F12" i="28" a="1"/>
  <c r="F12" i="28" s="1"/>
  <c r="D10" i="28" a="1"/>
  <c r="D10" i="28" s="1"/>
  <c r="AX10" i="28"/>
  <c r="BP6" i="28" a="1"/>
  <c r="BP6" i="28" s="1"/>
  <c r="G72" i="31" s="1"/>
  <c r="AM12" i="28"/>
  <c r="BQ8" i="28"/>
  <c r="Y9" i="28"/>
  <c r="BL8" i="28"/>
  <c r="BK8" i="28"/>
  <c r="Z9" i="28"/>
  <c r="AP10" i="28" a="1"/>
  <c r="AP10" i="28" s="1"/>
  <c r="AF10" i="28"/>
  <c r="BS8" i="28"/>
  <c r="C7" i="28" a="1"/>
  <c r="C7" i="28" s="1"/>
  <c r="BM7" i="28"/>
  <c r="AS7" i="28"/>
  <c r="P7" i="28" a="1"/>
  <c r="P7" i="28" s="1"/>
  <c r="AS9" i="28"/>
  <c r="BF10" i="28"/>
  <c r="K8" i="28"/>
  <c r="V12" i="28" a="1"/>
  <c r="V12" i="28" s="1"/>
  <c r="BI6" i="28" a="1"/>
  <c r="BI6" i="28" s="1"/>
  <c r="G70" i="31" s="1"/>
  <c r="AY6" i="28"/>
  <c r="D9" i="28" a="1"/>
  <c r="D9" i="28" s="1"/>
  <c r="R9" i="28"/>
  <c r="BX6" i="28" a="1"/>
  <c r="BX6" i="28" s="1"/>
  <c r="CH7" i="28"/>
  <c r="R7" i="28"/>
  <c r="CA9" i="28"/>
  <c r="Q7" i="28"/>
  <c r="I6" i="28" a="1"/>
  <c r="I6" i="28" s="1"/>
  <c r="L10" i="28"/>
  <c r="BF9" i="28"/>
  <c r="CE9" i="28" a="1"/>
  <c r="CE9" i="28" s="1"/>
  <c r="AQ9" i="28"/>
  <c r="BX8" i="28" a="1"/>
  <c r="BX8" i="28" s="1"/>
  <c r="AY7" i="28"/>
  <c r="I8" i="28" a="1"/>
  <c r="I8" i="28" s="1"/>
  <c r="CE7" i="28" a="1"/>
  <c r="CE7" i="28" s="1"/>
  <c r="Z8" i="28"/>
  <c r="CF10" i="28"/>
  <c r="AI11" i="28" a="1"/>
  <c r="AI11" i="28" s="1"/>
  <c r="E7" i="28"/>
  <c r="BZ10" i="28"/>
  <c r="CH6" i="28"/>
  <c r="V6" i="28" a="1"/>
  <c r="V6" i="28" s="1"/>
  <c r="I7" i="28" a="1"/>
  <c r="I7" i="28" s="1"/>
  <c r="Y12" i="28"/>
  <c r="AL8" i="28"/>
  <c r="AL9" i="28"/>
  <c r="AL7" i="28"/>
  <c r="P12" i="28" a="1"/>
  <c r="P12" i="28" s="1"/>
  <c r="K58" i="31" s="1"/>
  <c r="AC7" i="28" a="1"/>
  <c r="AC7" i="28" s="1"/>
  <c r="P9" i="28" a="1"/>
  <c r="P9" i="28" s="1"/>
  <c r="AD8" i="28"/>
  <c r="C12" i="28" a="1"/>
  <c r="C12" i="28" s="1"/>
  <c r="AZ10" i="28"/>
  <c r="Q6" i="28"/>
  <c r="CG6" i="28"/>
  <c r="AZ9" i="28"/>
  <c r="BE10" i="28"/>
  <c r="AZ6" i="28"/>
  <c r="BS6" i="28"/>
  <c r="CB9" i="28"/>
  <c r="AV6" i="28" a="1"/>
  <c r="AV6" i="28" s="1"/>
  <c r="S12" i="28"/>
  <c r="E8" i="28"/>
  <c r="Y8" i="28"/>
  <c r="AP12" i="28" a="1"/>
  <c r="AP12" i="28" s="1"/>
  <c r="K65" i="31" s="1"/>
  <c r="C10" i="28" a="1"/>
  <c r="C10" i="28" s="1"/>
  <c r="Q9" i="28"/>
  <c r="CH10" i="28"/>
  <c r="AK8" i="28"/>
  <c r="Y7" i="28"/>
  <c r="BP7" i="28" a="1"/>
  <c r="BP7" i="28" s="1"/>
  <c r="I12" i="28" a="1"/>
  <c r="I12" i="28" s="1"/>
  <c r="BP8" i="28" a="1"/>
  <c r="BP8" i="28" s="1"/>
  <c r="X8" i="28"/>
  <c r="BZ7" i="28"/>
  <c r="R6" i="28"/>
  <c r="K12" i="28"/>
  <c r="I11" i="28" a="1"/>
  <c r="I11" i="28" s="1"/>
  <c r="J56" i="31" s="1"/>
  <c r="K6" i="28"/>
  <c r="BR8" i="28"/>
  <c r="BK7" i="28"/>
  <c r="AI6" i="28" a="1"/>
  <c r="AI6" i="28" s="1"/>
  <c r="C6" i="28" a="1"/>
  <c r="C6" i="28" s="1"/>
  <c r="CB6" i="28"/>
  <c r="S8" i="28"/>
  <c r="AF8" i="28"/>
  <c r="AK9" i="28"/>
  <c r="AR6" i="28"/>
  <c r="AX7" i="28"/>
  <c r="X6" i="28"/>
  <c r="AM6" i="28"/>
  <c r="AQ12" i="28"/>
  <c r="Q12" i="28"/>
  <c r="BL7" i="28"/>
  <c r="BZ6" i="28"/>
  <c r="BZ8" i="28"/>
  <c r="BI8" i="28" a="1"/>
  <c r="BI8" i="28" s="1"/>
  <c r="BK6" i="28"/>
  <c r="AF7" i="28"/>
  <c r="CH9" i="28"/>
  <c r="AI12" i="28" a="1"/>
  <c r="AI12" i="28" s="1"/>
  <c r="AP7" i="28" a="1"/>
  <c r="AP7" i="28" s="1"/>
  <c r="AD10" i="28"/>
  <c r="BQ7" i="28"/>
  <c r="AC6" i="28" a="1"/>
  <c r="AC6" i="28" s="1"/>
  <c r="V9" i="28" a="1"/>
  <c r="V9" i="28" s="1"/>
  <c r="C8" i="28" a="1"/>
  <c r="C8" i="28" s="1"/>
  <c r="BM6" i="28"/>
  <c r="AD9" i="28"/>
  <c r="V10" i="28" a="1"/>
  <c r="V10" i="28" s="1"/>
  <c r="BX10" i="28" a="1"/>
  <c r="BX10" i="28" s="1"/>
  <c r="BM8" i="28"/>
  <c r="CG8" i="28"/>
  <c r="Q10" i="28"/>
  <c r="AL12" i="28"/>
  <c r="AR8" i="28"/>
  <c r="AL10" i="28"/>
  <c r="AF12" i="28"/>
  <c r="F6" i="28" a="1"/>
  <c r="F6" i="28" s="1"/>
  <c r="BD7" i="28"/>
  <c r="BC6" i="28" a="1"/>
  <c r="BC6" i="28" s="1"/>
  <c r="CB12" i="28"/>
  <c r="E9" i="28" a="1"/>
  <c r="E9" i="28" s="1"/>
  <c r="E6" i="28" a="1"/>
  <c r="E6" i="28" s="1"/>
  <c r="L6" i="28"/>
  <c r="BS7" i="28"/>
  <c r="R10" i="28"/>
  <c r="Z12" i="28"/>
  <c r="I10" i="28" a="1"/>
  <c r="I10" i="28" s="1"/>
  <c r="M10" i="28"/>
  <c r="L9" i="28"/>
  <c r="BX9" i="28" a="1"/>
  <c r="BX9" i="28" s="1"/>
  <c r="CF8" i="28"/>
  <c r="AR10" i="28"/>
  <c r="AV8" i="28" a="1"/>
  <c r="AV8" i="28" s="1"/>
  <c r="BC8" i="28" a="1"/>
  <c r="BC8" i="28" s="1"/>
  <c r="BF12" i="28"/>
  <c r="I9" i="28" a="1"/>
  <c r="I9" i="28" s="1"/>
  <c r="AS12" i="28"/>
  <c r="AQ6" i="28"/>
  <c r="AM8" i="28"/>
  <c r="AR7" i="28"/>
  <c r="CA7" i="28"/>
  <c r="V7" i="28" a="1"/>
  <c r="V7" i="28" s="1"/>
  <c r="AD7" i="28"/>
  <c r="S7" i="28"/>
  <c r="CA6" i="28"/>
  <c r="X10" i="28"/>
  <c r="AM10" i="28"/>
  <c r="R12" i="28"/>
  <c r="F9" i="28" a="1"/>
  <c r="F9" i="28" s="1"/>
  <c r="BL12" i="28"/>
  <c r="AP9" i="28" a="1"/>
  <c r="AP9" i="28" s="1"/>
  <c r="BZ9" i="28"/>
  <c r="AC12" i="28" a="1"/>
  <c r="AC12" i="28" s="1"/>
  <c r="F8" i="28"/>
  <c r="AZ12" i="28"/>
  <c r="AK6" i="28"/>
  <c r="AK7" i="28"/>
  <c r="CE8" i="28" a="1"/>
  <c r="CE8" i="28" s="1"/>
  <c r="AR9" i="28"/>
  <c r="P8" i="28" a="1"/>
  <c r="P8" i="28" s="1"/>
  <c r="H58" i="31" s="1"/>
  <c r="AD12" i="28"/>
  <c r="CG7" i="28"/>
  <c r="P11" i="28" a="1"/>
  <c r="P11" i="28" s="1"/>
  <c r="J58" i="31" s="1"/>
  <c r="AS10" i="28"/>
  <c r="CB7" i="28"/>
  <c r="AV7" i="28" a="1"/>
  <c r="AV7" i="28" s="1"/>
  <c r="CH12" i="28"/>
  <c r="BD9" i="28"/>
  <c r="AE9" i="28"/>
  <c r="E12" i="28" a="1"/>
  <c r="E12" i="28" s="1"/>
  <c r="AI10" i="28" a="1"/>
  <c r="AI10" i="28" s="1"/>
  <c r="P6" i="28" a="1"/>
  <c r="P6" i="28" s="1"/>
  <c r="G58" i="31" s="1"/>
  <c r="BC10" i="28" a="1"/>
  <c r="BC10" i="28" s="1"/>
  <c r="AC8" i="28" a="1"/>
  <c r="AC8" i="28" s="1"/>
  <c r="S9" i="28"/>
  <c r="M7" i="28"/>
  <c r="AL6" i="28"/>
  <c r="E10" i="28" a="1"/>
  <c r="E10" i="28" s="1"/>
  <c r="AS6" i="28"/>
  <c r="AP8" i="28" a="1"/>
  <c r="AP8" i="28" s="1"/>
  <c r="H65" i="31" s="1"/>
  <c r="AZ7" i="28"/>
  <c r="CA10" i="28"/>
  <c r="CE6" i="28" a="1"/>
  <c r="CE6" i="28" s="1"/>
  <c r="CG10" i="28"/>
  <c r="BQ12" i="28"/>
  <c r="CE10" i="28" a="1"/>
  <c r="CE10" i="28" s="1"/>
  <c r="CF9" i="28"/>
  <c r="AI8" i="28" a="1"/>
  <c r="AI8" i="28" s="1"/>
  <c r="AE8" i="28"/>
  <c r="M6" i="28"/>
  <c r="AK10" i="28"/>
  <c r="K7" i="28"/>
  <c r="D6" i="28" a="1"/>
  <c r="D6" i="28" s="1"/>
  <c r="CA12" i="28"/>
  <c r="BE9" i="28"/>
  <c r="AD6" i="28"/>
  <c r="X9" i="28"/>
  <c r="BD8" i="28"/>
  <c r="AX8" i="28"/>
  <c r="BR7" i="28"/>
  <c r="AQ8" i="28"/>
  <c r="BX7" i="28" a="1"/>
  <c r="BX7" i="28" s="1"/>
  <c r="M9" i="28"/>
  <c r="BI7" i="28" a="1"/>
  <c r="BI7" i="28" s="1"/>
  <c r="CH8" i="28"/>
  <c r="AE7" i="28"/>
  <c r="F7" i="28"/>
  <c r="Y10" i="28"/>
  <c r="Q8" i="28"/>
  <c r="AC10" i="28" a="1"/>
  <c r="AC10" i="28" s="1"/>
  <c r="CF12" i="28"/>
  <c r="CA8" i="28"/>
  <c r="AR12" i="28"/>
  <c r="BC9" i="28" a="1"/>
  <c r="BC9" i="28" s="1"/>
  <c r="CB10" i="28"/>
  <c r="AC9" i="28" a="1"/>
  <c r="AC9" i="28" s="1"/>
  <c r="AV10" i="28" a="1"/>
  <c r="AV10" i="28" s="1"/>
  <c r="BF7" i="28"/>
  <c r="S6" i="28"/>
  <c r="BE7" i="28"/>
  <c r="AV9" i="28" a="1"/>
  <c r="AV9" i="28" s="1"/>
  <c r="AF9" i="28"/>
  <c r="AI7" i="28" a="1"/>
  <c r="AI7" i="28" s="1"/>
  <c r="AE12" i="28"/>
  <c r="CG12" i="28"/>
  <c r="K10" i="28"/>
  <c r="AQ10" i="28"/>
  <c r="AY8" i="28"/>
  <c r="R8" i="28"/>
  <c r="L12" i="28"/>
  <c r="AE6" i="28"/>
  <c r="M8" i="28"/>
  <c r="BC7" i="28" a="1"/>
  <c r="BC7" i="28" s="1"/>
  <c r="BE6" i="28"/>
  <c r="X12" i="28"/>
  <c r="AP6" i="28" a="1"/>
  <c r="AP6" i="28" s="1"/>
  <c r="G65" i="31" s="1"/>
  <c r="Z7" i="28"/>
  <c r="AX9" i="28"/>
  <c r="BD6" i="28"/>
  <c r="BS12" i="28"/>
  <c r="AM9" i="28"/>
  <c r="Z10" i="28"/>
  <c r="CF7" i="28"/>
  <c r="L8" i="28"/>
  <c r="V8" i="28" a="1"/>
  <c r="V8" i="28" s="1"/>
  <c r="BR6" i="28"/>
  <c r="BM12" i="28"/>
  <c r="BD12" i="28"/>
  <c r="AZ8" i="28"/>
  <c r="BQ6" i="28"/>
  <c r="AK12" i="28"/>
  <c r="Z6" i="28"/>
  <c r="AE10" i="28"/>
  <c r="CG9" i="28"/>
  <c r="AP11" i="28" a="1"/>
  <c r="AP11" i="28" s="1"/>
  <c r="X7" i="28"/>
  <c r="D12" i="28" a="1"/>
  <c r="D12" i="28" s="1"/>
  <c r="AQ5" i="28"/>
  <c r="K9" i="28"/>
  <c r="AY12" i="28"/>
  <c r="BZ12" i="28"/>
  <c r="G8" i="28"/>
  <c r="AX12" i="28"/>
  <c r="BE8" i="28"/>
  <c r="BR12" i="28"/>
  <c r="AF6" i="28"/>
  <c r="BF6" i="28"/>
  <c r="BL6" i="28"/>
  <c r="AI9" i="28" a="1"/>
  <c r="AI9" i="28" s="1"/>
  <c r="C9" i="28" a="1"/>
  <c r="C9" i="28" s="1"/>
  <c r="BF8" i="28"/>
  <c r="Y6" i="28"/>
  <c r="F10" i="28" a="1"/>
  <c r="F10" i="28" s="1"/>
  <c r="BX12" i="28" a="1"/>
  <c r="BX12" i="28" s="1"/>
  <c r="AW9" i="28"/>
  <c r="AW10" i="28"/>
  <c r="BK12" i="28"/>
  <c r="BE12" i="28"/>
  <c r="CE12" i="28" a="1"/>
  <c r="CE12" i="28" s="1"/>
  <c r="BD59" i="17"/>
  <c r="BD60" i="17" s="1"/>
  <c r="BD61" i="17" s="1"/>
  <c r="BE58" i="17"/>
  <c r="BF58" i="17"/>
  <c r="AJ62" i="28"/>
  <c r="AJ63" i="28" s="1"/>
  <c r="AJ64" i="28" s="1"/>
  <c r="AL61" i="28"/>
  <c r="E68" i="26"/>
  <c r="E69" i="26" s="1"/>
  <c r="E70" i="26" s="1"/>
  <c r="G67" i="26"/>
  <c r="G61" i="25"/>
  <c r="E62" i="25"/>
  <c r="E63" i="25" s="1"/>
  <c r="E64" i="25" s="1"/>
  <c r="BQ65" i="17"/>
  <c r="BQ66" i="17" s="1"/>
  <c r="BQ67" i="17" s="1"/>
  <c r="BS64" i="17"/>
  <c r="CA64" i="28"/>
  <c r="BY65" i="28"/>
  <c r="BY66" i="28" s="1"/>
  <c r="BY67" i="28" s="1"/>
  <c r="J8" i="17"/>
  <c r="H55" i="31"/>
  <c r="AX5" i="17"/>
  <c r="AD56" i="28"/>
  <c r="AD57" i="28" s="1"/>
  <c r="AD58" i="28" s="1"/>
  <c r="AF55" i="28"/>
  <c r="AS55" i="28"/>
  <c r="AQ56" i="28"/>
  <c r="AQ57" i="28" s="1"/>
  <c r="AQ58" i="28" s="1"/>
  <c r="R23" i="12"/>
  <c r="R24" i="12" s="1"/>
  <c r="R25" i="12" s="1"/>
  <c r="T22" i="12"/>
  <c r="G61" i="21"/>
  <c r="E62" i="21"/>
  <c r="E63" i="21" s="1"/>
  <c r="E64" i="21" s="1"/>
  <c r="ES12" i="32"/>
  <c r="EK12" i="32"/>
  <c r="EZ12" i="32"/>
  <c r="ER12" i="32"/>
  <c r="EY12" i="32"/>
  <c r="EQ12" i="32"/>
  <c r="EW12" i="32"/>
  <c r="EO12" i="32"/>
  <c r="EJ13" i="32"/>
  <c r="EV12" i="32"/>
  <c r="EN12" i="32"/>
  <c r="EM12" i="32"/>
  <c r="EL12" i="32"/>
  <c r="EX12" i="32"/>
  <c r="EU12" i="32"/>
  <c r="EP12" i="32"/>
  <c r="ET12" i="32"/>
  <c r="E62" i="12"/>
  <c r="E63" i="12" s="1"/>
  <c r="E64" i="12" s="1"/>
  <c r="G61" i="12"/>
  <c r="G61" i="1"/>
  <c r="E62" i="1"/>
  <c r="E63" i="1" s="1"/>
  <c r="E64" i="1" s="1"/>
  <c r="BL10" i="32"/>
  <c r="BD10" i="32"/>
  <c r="AX11" i="32"/>
  <c r="BJ10" i="32"/>
  <c r="BB10" i="32"/>
  <c r="BH10" i="32"/>
  <c r="AZ10" i="32"/>
  <c r="BG10" i="32"/>
  <c r="AY10" i="32"/>
  <c r="BF10" i="32"/>
  <c r="BE10" i="32"/>
  <c r="BC10" i="32"/>
  <c r="BA10" i="32"/>
  <c r="BN10" i="32"/>
  <c r="BM10" i="32"/>
  <c r="BK10" i="32"/>
  <c r="BI10" i="32"/>
  <c r="CH13" i="32"/>
  <c r="CT12" i="32"/>
  <c r="CL12" i="32"/>
  <c r="CS12" i="32"/>
  <c r="CK12" i="32"/>
  <c r="CR12" i="32"/>
  <c r="CJ12" i="32"/>
  <c r="CX12" i="32"/>
  <c r="CP12" i="32"/>
  <c r="CW12" i="32"/>
  <c r="CO12" i="32"/>
  <c r="CU12" i="32"/>
  <c r="CQ12" i="32"/>
  <c r="CN12" i="32"/>
  <c r="CM12" i="32"/>
  <c r="CI12" i="32"/>
  <c r="CV12" i="32"/>
  <c r="A61" i="10"/>
  <c r="W10" i="17"/>
  <c r="W7" i="17"/>
  <c r="W6" i="17"/>
  <c r="BQ5" i="17"/>
  <c r="BD5" i="17"/>
  <c r="AR5" i="17" a="1"/>
  <c r="AR5" i="17" s="1"/>
  <c r="N61" i="26"/>
  <c r="L62" i="26"/>
  <c r="L63" i="26" s="1"/>
  <c r="L64" i="26" s="1"/>
  <c r="T61" i="1"/>
  <c r="R62" i="1"/>
  <c r="R63" i="1" s="1"/>
  <c r="R64" i="1" s="1"/>
  <c r="AW62" i="28"/>
  <c r="AW63" i="28" s="1"/>
  <c r="AW64" i="28" s="1"/>
  <c r="AY61" i="28"/>
  <c r="E65" i="35"/>
  <c r="E66" i="35" s="1"/>
  <c r="E67" i="35" s="1"/>
  <c r="G64" i="35"/>
  <c r="EB12" i="32"/>
  <c r="DT12" i="32"/>
  <c r="EA12" i="32"/>
  <c r="DS12" i="32"/>
  <c r="EH12" i="32"/>
  <c r="DZ12" i="32"/>
  <c r="EF12" i="32"/>
  <c r="DX12" i="32"/>
  <c r="EE12" i="32"/>
  <c r="DW12" i="32"/>
  <c r="EG12" i="32"/>
  <c r="ED12" i="32"/>
  <c r="DR13" i="32"/>
  <c r="EC12" i="32"/>
  <c r="DY12" i="32"/>
  <c r="DU12" i="32"/>
  <c r="DV12" i="32"/>
  <c r="Y61" i="17"/>
  <c r="W62" i="17"/>
  <c r="W63" i="17" s="1"/>
  <c r="W64" i="17" s="1"/>
  <c r="E65" i="27"/>
  <c r="E66" i="27" s="1"/>
  <c r="E67" i="27" s="1"/>
  <c r="G64" i="27"/>
  <c r="F64" i="27"/>
  <c r="L61" i="28"/>
  <c r="J62" i="28"/>
  <c r="J63" i="28" s="1"/>
  <c r="J64" i="28" s="1"/>
  <c r="E62" i="6"/>
  <c r="E63" i="6" s="1"/>
  <c r="E64" i="6" s="1"/>
  <c r="G61" i="6"/>
  <c r="S58" i="17"/>
  <c r="R58" i="17"/>
  <c r="Q59" i="17"/>
  <c r="Q60" i="17" s="1"/>
  <c r="Q61" i="17" s="1"/>
  <c r="AJ9" i="17"/>
  <c r="BF5" i="17"/>
  <c r="CB5" i="17"/>
  <c r="AY5" i="17" a="1"/>
  <c r="AY5" i="17" s="1"/>
  <c r="W8" i="17"/>
  <c r="L62" i="12"/>
  <c r="L63" i="12" s="1"/>
  <c r="L64" i="12" s="1"/>
  <c r="N61" i="12"/>
  <c r="BY65" i="17"/>
  <c r="BY66" i="17" s="1"/>
  <c r="BY67" i="17" s="1"/>
  <c r="CA64" i="17"/>
  <c r="CC12" i="32"/>
  <c r="BU12" i="32"/>
  <c r="BP13" i="32"/>
  <c r="CB12" i="32"/>
  <c r="BT12" i="32"/>
  <c r="CA12" i="32"/>
  <c r="BS12" i="32"/>
  <c r="BY12" i="32"/>
  <c r="BQ12" i="32"/>
  <c r="CF12" i="32"/>
  <c r="BX12" i="32"/>
  <c r="BW12" i="32"/>
  <c r="BV12" i="32"/>
  <c r="BR12" i="32"/>
  <c r="CE12" i="32"/>
  <c r="CD12" i="32"/>
  <c r="BZ12" i="32"/>
  <c r="AD56" i="17"/>
  <c r="AD57" i="17" s="1"/>
  <c r="AD58" i="17" s="1"/>
  <c r="AF55" i="17"/>
  <c r="E62" i="2"/>
  <c r="E63" i="2" s="1"/>
  <c r="E64" i="2" s="1"/>
  <c r="G61" i="2"/>
  <c r="AL61" i="17"/>
  <c r="AJ62" i="17"/>
  <c r="AJ63" i="17" s="1"/>
  <c r="AJ64" i="17" s="1"/>
  <c r="T61" i="2"/>
  <c r="R62" i="2"/>
  <c r="R63" i="2" s="1"/>
  <c r="R64" i="2" s="1"/>
  <c r="J11" i="17"/>
  <c r="J55" i="31"/>
  <c r="BY10" i="17"/>
  <c r="BJ8" i="17"/>
  <c r="H69" i="31"/>
  <c r="BP12" i="28" a="1"/>
  <c r="BP12" i="28" s="1"/>
  <c r="Q59" i="28"/>
  <c r="Q60" i="28" s="1"/>
  <c r="Q61" i="28" s="1"/>
  <c r="R58" i="28"/>
  <c r="S58" i="28"/>
  <c r="R62" i="6"/>
  <c r="R63" i="6" s="1"/>
  <c r="R64" i="6" s="1"/>
  <c r="T61" i="6"/>
  <c r="BJ6" i="17"/>
  <c r="AD5" i="17"/>
  <c r="AW8" i="17"/>
  <c r="AC5" i="17" a="1"/>
  <c r="AC5" i="17" s="1"/>
  <c r="BJ62" i="28"/>
  <c r="BJ63" i="28" s="1"/>
  <c r="BJ64" i="28" s="1"/>
  <c r="BL61" i="28"/>
  <c r="Y61" i="28"/>
  <c r="W62" i="28"/>
  <c r="W63" i="28" s="1"/>
  <c r="W64" i="28" s="1"/>
  <c r="R59" i="25"/>
  <c r="R60" i="25" s="1"/>
  <c r="R61" i="25" s="1"/>
  <c r="T58" i="25"/>
  <c r="CF62" i="17"/>
  <c r="CF63" i="17" s="1"/>
  <c r="CF64" i="17" s="1"/>
  <c r="CH61" i="17"/>
  <c r="T61" i="26"/>
  <c r="R62" i="26"/>
  <c r="R63" i="26" s="1"/>
  <c r="R64" i="26" s="1"/>
  <c r="N61" i="6"/>
  <c r="L62" i="6"/>
  <c r="L63" i="6" s="1"/>
  <c r="L64" i="6" s="1"/>
  <c r="E14" i="23"/>
  <c r="H14" i="23"/>
  <c r="F14" i="23"/>
  <c r="D14" i="23"/>
  <c r="N14" i="23"/>
  <c r="M14" i="23"/>
  <c r="J14" i="23"/>
  <c r="L14" i="23"/>
  <c r="I14" i="23"/>
  <c r="B32" i="29"/>
  <c r="AW89" i="17"/>
  <c r="AW90" i="17" s="1"/>
  <c r="AW91" i="17" s="1"/>
  <c r="AY88" i="17"/>
  <c r="BF58" i="28"/>
  <c r="BE58" i="28"/>
  <c r="BD59" i="28"/>
  <c r="BD60" i="28" s="1"/>
  <c r="BD61" i="28" s="1"/>
  <c r="CF62" i="28"/>
  <c r="CF63" i="28" s="1"/>
  <c r="CF64" i="28" s="1"/>
  <c r="CH61" i="28"/>
  <c r="B16" i="23"/>
  <c r="C15" i="23"/>
  <c r="V61" i="21"/>
  <c r="T62" i="21"/>
  <c r="T63" i="21" s="1"/>
  <c r="T64" i="21" s="1"/>
  <c r="R62" i="27"/>
  <c r="R63" i="27" s="1"/>
  <c r="R64" i="27" s="1"/>
  <c r="T61" i="27"/>
  <c r="AS55" i="17"/>
  <c r="AQ56" i="17"/>
  <c r="AQ57" i="17" s="1"/>
  <c r="AQ58" i="17" s="1"/>
  <c r="R65" i="35"/>
  <c r="R66" i="35" s="1"/>
  <c r="R67" i="35" s="1"/>
  <c r="T64" i="35"/>
  <c r="AA61" i="1"/>
  <c r="Y62" i="1"/>
  <c r="Y63" i="1" s="1"/>
  <c r="Y64" i="1" s="1"/>
  <c r="L65" i="36"/>
  <c r="L66" i="36" s="1"/>
  <c r="L67" i="36" s="1"/>
  <c r="N64" i="36"/>
  <c r="AJ6" i="17"/>
  <c r="G62" i="31"/>
  <c r="BJ7" i="17"/>
  <c r="J6" i="17"/>
  <c r="G55" i="31"/>
  <c r="M5" i="17"/>
  <c r="D5" i="17" a="1"/>
  <c r="D5" i="17" s="1"/>
  <c r="J64" i="31"/>
  <c r="I64" i="31"/>
  <c r="AR26" i="32"/>
  <c r="AQ21" i="32" a="1"/>
  <c r="AS26" i="32"/>
  <c r="H18" i="31" l="1"/>
  <c r="H17" i="31"/>
  <c r="K50" i="31"/>
  <c r="K17" i="31"/>
  <c r="E9" i="36"/>
  <c r="R12" i="36"/>
  <c r="K15" i="31"/>
  <c r="K48" i="31" s="1"/>
  <c r="E12" i="36"/>
  <c r="E11" i="36"/>
  <c r="J15" i="31"/>
  <c r="I15" i="31"/>
  <c r="E10" i="36"/>
  <c r="H48" i="31"/>
  <c r="G39" i="30"/>
  <c r="G15" i="31"/>
  <c r="E6" i="36"/>
  <c r="R9" i="36"/>
  <c r="R8" i="36"/>
  <c r="R6" i="36"/>
  <c r="M5" i="36"/>
  <c r="H5" i="36"/>
  <c r="F5" i="36"/>
  <c r="Q5" i="36" a="1"/>
  <c r="Q5" i="36" s="1"/>
  <c r="D5" i="36" a="1"/>
  <c r="D5" i="36" s="1"/>
  <c r="F15" i="31" s="1"/>
  <c r="G5" i="36" a="1"/>
  <c r="G5" i="36" s="1"/>
  <c r="L5" i="36"/>
  <c r="K5" i="36" a="1"/>
  <c r="K5" i="36" s="1"/>
  <c r="U5" i="36"/>
  <c r="S5" i="36"/>
  <c r="T5" i="36" a="1"/>
  <c r="T5" i="36" s="1"/>
  <c r="AQ21" i="32"/>
  <c r="AQ34" i="32" s="1"/>
  <c r="AQ36" i="32" s="1"/>
  <c r="B45" i="39"/>
  <c r="H72" i="31"/>
  <c r="W5" i="17"/>
  <c r="BY5" i="17"/>
  <c r="J9" i="28"/>
  <c r="W9" i="28"/>
  <c r="AJ5" i="17"/>
  <c r="BY7" i="28"/>
  <c r="J5" i="17"/>
  <c r="BJ7" i="28"/>
  <c r="AW7" i="28"/>
  <c r="W7" i="28"/>
  <c r="BY10" i="28"/>
  <c r="AJ9" i="28"/>
  <c r="R5" i="28" a="1"/>
  <c r="R5" i="28" s="1"/>
  <c r="AW5" i="17"/>
  <c r="BY9" i="28"/>
  <c r="BJ5" i="17"/>
  <c r="BY12" i="28"/>
  <c r="W10" i="28"/>
  <c r="AJ7" i="28"/>
  <c r="CB5" i="28"/>
  <c r="AW8" i="28"/>
  <c r="W8" i="28"/>
  <c r="W12" i="28"/>
  <c r="J7" i="28"/>
  <c r="Q62" i="17"/>
  <c r="Q63" i="17" s="1"/>
  <c r="Q64" i="17" s="1"/>
  <c r="S61" i="17"/>
  <c r="EF13" i="32"/>
  <c r="DX13" i="32"/>
  <c r="EE13" i="32"/>
  <c r="DW13" i="32"/>
  <c r="ED13" i="32"/>
  <c r="DV13" i="32"/>
  <c r="EB13" i="32"/>
  <c r="DT13" i="32"/>
  <c r="EA13" i="32"/>
  <c r="DS13" i="32"/>
  <c r="EC13" i="32"/>
  <c r="DZ13" i="32"/>
  <c r="DY13" i="32"/>
  <c r="DU13" i="32"/>
  <c r="DR14" i="32"/>
  <c r="EH13" i="32"/>
  <c r="EG13" i="32"/>
  <c r="G70" i="26"/>
  <c r="E71" i="26"/>
  <c r="E72" i="26" s="1"/>
  <c r="E73" i="26" s="1"/>
  <c r="Q62" i="28"/>
  <c r="Q63" i="28" s="1"/>
  <c r="Q64" i="28" s="1"/>
  <c r="S61" i="28"/>
  <c r="AD59" i="28"/>
  <c r="AD60" i="28" s="1"/>
  <c r="AD61" i="28" s="1"/>
  <c r="AF58" i="28"/>
  <c r="AE58" i="28"/>
  <c r="CE5" i="28" a="1"/>
  <c r="CE5" i="28" s="1"/>
  <c r="S5" i="28"/>
  <c r="F5" i="28" a="1"/>
  <c r="F5" i="28" s="1"/>
  <c r="K5" i="28"/>
  <c r="AD5" i="28"/>
  <c r="AL5" i="28" a="1"/>
  <c r="AL5" i="28" s="1"/>
  <c r="K63" i="31"/>
  <c r="AJ12" i="28"/>
  <c r="CG5" i="28" a="1"/>
  <c r="CG5" i="28" s="1"/>
  <c r="BQ65" i="28"/>
  <c r="BQ66" i="28" s="1"/>
  <c r="BQ67" i="28" s="1"/>
  <c r="BS64" i="28"/>
  <c r="BJ12" i="28"/>
  <c r="AS58" i="28"/>
  <c r="AR58" i="28"/>
  <c r="AQ59" i="28"/>
  <c r="AQ60" i="28" s="1"/>
  <c r="AQ61" i="28" s="1"/>
  <c r="CH64" i="17"/>
  <c r="CF65" i="17"/>
  <c r="CF66" i="17" s="1"/>
  <c r="CF67" i="17" s="1"/>
  <c r="EW13" i="32"/>
  <c r="EO13" i="32"/>
  <c r="EV13" i="32"/>
  <c r="EN13" i="32"/>
  <c r="EJ14" i="32"/>
  <c r="EU13" i="32"/>
  <c r="EM13" i="32"/>
  <c r="ES13" i="32"/>
  <c r="EK13" i="32"/>
  <c r="EZ13" i="32"/>
  <c r="ER13" i="32"/>
  <c r="EY13" i="32"/>
  <c r="EX13" i="32"/>
  <c r="ET13" i="32"/>
  <c r="EQ13" i="32"/>
  <c r="EP13" i="32"/>
  <c r="EL13" i="32"/>
  <c r="CH64" i="28"/>
  <c r="CF65" i="28"/>
  <c r="CF66" i="28" s="1"/>
  <c r="CF67" i="28" s="1"/>
  <c r="B33" i="29"/>
  <c r="B34" i="29" s="1"/>
  <c r="B35" i="29" s="1"/>
  <c r="B36" i="29" s="1"/>
  <c r="B37" i="29" s="1"/>
  <c r="B38" i="29" s="1"/>
  <c r="AJ65" i="17"/>
  <c r="AJ66" i="17" s="1"/>
  <c r="AJ67" i="17" s="1"/>
  <c r="AL64" i="17"/>
  <c r="CA67" i="17"/>
  <c r="BY68" i="17"/>
  <c r="BY69" i="17" s="1"/>
  <c r="BY70" i="17" s="1"/>
  <c r="G64" i="6"/>
  <c r="F64" i="6"/>
  <c r="E65" i="6"/>
  <c r="E66" i="6" s="1"/>
  <c r="E67" i="6" s="1"/>
  <c r="L65" i="26"/>
  <c r="L66" i="26" s="1"/>
  <c r="L67" i="26" s="1"/>
  <c r="N64" i="26"/>
  <c r="M64" i="26"/>
  <c r="BH11" i="32"/>
  <c r="AZ11" i="32"/>
  <c r="BG11" i="32"/>
  <c r="AY11" i="32"/>
  <c r="BN11" i="32"/>
  <c r="BF11" i="32"/>
  <c r="BL11" i="32"/>
  <c r="BD11" i="32"/>
  <c r="BK11" i="32"/>
  <c r="BC11" i="32"/>
  <c r="BM11" i="32"/>
  <c r="AX12" i="32"/>
  <c r="BJ11" i="32"/>
  <c r="BI11" i="32"/>
  <c r="BE11" i="32"/>
  <c r="BB11" i="32"/>
  <c r="BA11" i="32"/>
  <c r="F64" i="21"/>
  <c r="E65" i="21"/>
  <c r="E66" i="21" s="1"/>
  <c r="E67" i="21" s="1"/>
  <c r="G64" i="21"/>
  <c r="BQ68" i="17"/>
  <c r="BQ69" i="17" s="1"/>
  <c r="BQ70" i="17" s="1"/>
  <c r="BS67" i="17"/>
  <c r="BI5" i="28" a="1"/>
  <c r="BI5" i="28" s="1"/>
  <c r="F70" i="31" s="1"/>
  <c r="CH5" i="28"/>
  <c r="AS5" i="28"/>
  <c r="D8" i="28"/>
  <c r="Y5" i="28" a="1"/>
  <c r="Y5" i="28" s="1"/>
  <c r="C5" i="28" a="1"/>
  <c r="C5" i="28" s="1"/>
  <c r="AJ6" i="28"/>
  <c r="G63" i="31"/>
  <c r="BM5" i="28"/>
  <c r="AE5" i="28" a="1"/>
  <c r="AE5" i="28" s="1"/>
  <c r="D7" i="28"/>
  <c r="AT25" i="32"/>
  <c r="N67" i="2"/>
  <c r="L68" i="2"/>
  <c r="L69" i="2" s="1"/>
  <c r="L70" i="2" s="1"/>
  <c r="J65" i="17"/>
  <c r="J66" i="17" s="1"/>
  <c r="J67" i="17" s="1"/>
  <c r="L64" i="17"/>
  <c r="N61" i="27"/>
  <c r="L62" i="27"/>
  <c r="L63" i="27" s="1"/>
  <c r="L64" i="27" s="1"/>
  <c r="T61" i="25"/>
  <c r="R62" i="25"/>
  <c r="R63" i="25" s="1"/>
  <c r="R64" i="25" s="1"/>
  <c r="L64" i="28"/>
  <c r="J65" i="28"/>
  <c r="J66" i="28" s="1"/>
  <c r="J67" i="28" s="1"/>
  <c r="CX13" i="32"/>
  <c r="CP13" i="32"/>
  <c r="CW13" i="32"/>
  <c r="CO13" i="32"/>
  <c r="CV13" i="32"/>
  <c r="CN13" i="32"/>
  <c r="CT13" i="32"/>
  <c r="CL13" i="32"/>
  <c r="CH14" i="32"/>
  <c r="CS13" i="32"/>
  <c r="CK13" i="32"/>
  <c r="CJ13" i="32"/>
  <c r="CI13" i="32"/>
  <c r="CU13" i="32"/>
  <c r="CR13" i="32"/>
  <c r="CQ13" i="32"/>
  <c r="CM13" i="32"/>
  <c r="E65" i="25"/>
  <c r="E66" i="25" s="1"/>
  <c r="E67" i="25" s="1"/>
  <c r="F64" i="25"/>
  <c r="G64" i="25"/>
  <c r="BF61" i="17"/>
  <c r="BD62" i="17"/>
  <c r="BD63" i="17" s="1"/>
  <c r="BD64" i="17" s="1"/>
  <c r="D5" i="28" a="1"/>
  <c r="D5" i="28" s="1"/>
  <c r="I5" i="28" a="1"/>
  <c r="I5" i="28" s="1"/>
  <c r="BZ5" i="28"/>
  <c r="W6" i="28"/>
  <c r="X5" i="28"/>
  <c r="V5" i="28" a="1"/>
  <c r="V5" i="28" s="1"/>
  <c r="C16" i="23"/>
  <c r="B17" i="23"/>
  <c r="AR58" i="17"/>
  <c r="AQ59" i="17"/>
  <c r="AQ60" i="17" s="1"/>
  <c r="AQ61" i="17" s="1"/>
  <c r="AS58" i="17"/>
  <c r="BF61" i="28"/>
  <c r="BD62" i="28"/>
  <c r="BD63" i="28" s="1"/>
  <c r="BD64" i="28" s="1"/>
  <c r="L68" i="36"/>
  <c r="L69" i="36" s="1"/>
  <c r="L70" i="36" s="1"/>
  <c r="N67" i="36"/>
  <c r="M67" i="36"/>
  <c r="W65" i="28"/>
  <c r="W66" i="28" s="1"/>
  <c r="W67" i="28" s="1"/>
  <c r="Y64" i="28"/>
  <c r="E5" i="28" a="1"/>
  <c r="E5" i="28" s="1"/>
  <c r="BD5" i="28"/>
  <c r="AV5" i="28" a="1"/>
  <c r="AV5" i="28" s="1"/>
  <c r="BX5" i="28" a="1"/>
  <c r="BX5" i="28" s="1"/>
  <c r="L5" i="28" a="1"/>
  <c r="L5" i="28" s="1"/>
  <c r="K56" i="31"/>
  <c r="J12" i="28"/>
  <c r="BS5" i="28"/>
  <c r="AW6" i="28"/>
  <c r="BF5" i="28"/>
  <c r="BY6" i="28"/>
  <c r="AK5" i="28"/>
  <c r="N64" i="25"/>
  <c r="M64" i="25"/>
  <c r="L65" i="25"/>
  <c r="L66" i="25" s="1"/>
  <c r="L67" i="25" s="1"/>
  <c r="L68" i="35"/>
  <c r="L69" i="35" s="1"/>
  <c r="L70" i="35" s="1"/>
  <c r="N67" i="35"/>
  <c r="M67" i="35"/>
  <c r="R65" i="6"/>
  <c r="R66" i="6" s="1"/>
  <c r="R67" i="6" s="1"/>
  <c r="T64" i="6"/>
  <c r="S64" i="6"/>
  <c r="S67" i="35"/>
  <c r="R68" i="35"/>
  <c r="R69" i="35" s="1"/>
  <c r="R70" i="35" s="1"/>
  <c r="T67" i="35"/>
  <c r="T64" i="27"/>
  <c r="S64" i="27"/>
  <c r="R65" i="27"/>
  <c r="R66" i="27" s="1"/>
  <c r="R67" i="27" s="1"/>
  <c r="N64" i="6"/>
  <c r="L65" i="6"/>
  <c r="L66" i="6" s="1"/>
  <c r="L67" i="6" s="1"/>
  <c r="M64" i="6"/>
  <c r="N64" i="12"/>
  <c r="L65" i="12"/>
  <c r="L66" i="12" s="1"/>
  <c r="L67" i="12" s="1"/>
  <c r="M64" i="12"/>
  <c r="Y65" i="1"/>
  <c r="Y66" i="1" s="1"/>
  <c r="Y67" i="1" s="1"/>
  <c r="AA64" i="1"/>
  <c r="T65" i="21"/>
  <c r="T66" i="21" s="1"/>
  <c r="T67" i="21" s="1"/>
  <c r="U64" i="21"/>
  <c r="V64" i="21"/>
  <c r="E65" i="2"/>
  <c r="E66" i="2" s="1"/>
  <c r="E67" i="2" s="1"/>
  <c r="G64" i="2"/>
  <c r="F64" i="2"/>
  <c r="E68" i="35"/>
  <c r="E69" i="35" s="1"/>
  <c r="E70" i="35" s="1"/>
  <c r="F67" i="35"/>
  <c r="G67" i="35"/>
  <c r="G64" i="1"/>
  <c r="F64" i="1"/>
  <c r="E65" i="1"/>
  <c r="E66" i="1" s="1"/>
  <c r="E67" i="1" s="1"/>
  <c r="T25" i="12"/>
  <c r="R26" i="12"/>
  <c r="R27" i="12" s="1"/>
  <c r="R28" i="12" s="1"/>
  <c r="Q5" i="28"/>
  <c r="CA5" i="28" a="1"/>
  <c r="CA5" i="28" s="1"/>
  <c r="AI5" i="28" a="1"/>
  <c r="AI5" i="28" s="1"/>
  <c r="AR5" i="28" a="1"/>
  <c r="AR5" i="28" s="1"/>
  <c r="AJ10" i="28"/>
  <c r="J63" i="31"/>
  <c r="I63" i="31"/>
  <c r="BJ8" i="28"/>
  <c r="H70" i="31"/>
  <c r="AC5" i="28" a="1"/>
  <c r="AC5" i="28" s="1"/>
  <c r="BQ5" i="28"/>
  <c r="J8" i="28"/>
  <c r="H56" i="31"/>
  <c r="I65" i="31"/>
  <c r="J65" i="31"/>
  <c r="BK5" i="28"/>
  <c r="AF5" i="28"/>
  <c r="J6" i="28"/>
  <c r="G56" i="31"/>
  <c r="AM5" i="28"/>
  <c r="BL91" i="17"/>
  <c r="BJ92" i="17"/>
  <c r="BJ93" i="17" s="1"/>
  <c r="BJ94" i="17" s="1"/>
  <c r="AW12" i="28"/>
  <c r="N64" i="1"/>
  <c r="L65" i="1"/>
  <c r="L66" i="1" s="1"/>
  <c r="L67" i="1" s="1"/>
  <c r="M64" i="1"/>
  <c r="R65" i="26"/>
  <c r="R66" i="26" s="1"/>
  <c r="R67" i="26" s="1"/>
  <c r="T64" i="26"/>
  <c r="S64" i="26"/>
  <c r="BY13" i="32"/>
  <c r="BQ13" i="32"/>
  <c r="CF13" i="32"/>
  <c r="BX13" i="32"/>
  <c r="CE13" i="32"/>
  <c r="BW13" i="32"/>
  <c r="CC13" i="32"/>
  <c r="BU13" i="32"/>
  <c r="CB13" i="32"/>
  <c r="BT13" i="32"/>
  <c r="CD13" i="32"/>
  <c r="CA13" i="32"/>
  <c r="BZ13" i="32"/>
  <c r="BV13" i="32"/>
  <c r="BP14" i="32"/>
  <c r="BS13" i="32"/>
  <c r="BR13" i="32"/>
  <c r="L15" i="23"/>
  <c r="E15" i="23"/>
  <c r="D15" i="23"/>
  <c r="N15" i="23"/>
  <c r="M15" i="23"/>
  <c r="J15" i="23"/>
  <c r="H15" i="23"/>
  <c r="I15" i="23"/>
  <c r="F15" i="23"/>
  <c r="AW92" i="17"/>
  <c r="AW93" i="17" s="1"/>
  <c r="AW94" i="17" s="1"/>
  <c r="AY91" i="17"/>
  <c r="BJ65" i="28"/>
  <c r="BJ66" i="28" s="1"/>
  <c r="BJ67" i="28" s="1"/>
  <c r="BL64" i="28"/>
  <c r="AD59" i="17"/>
  <c r="AD60" i="17" s="1"/>
  <c r="AD61" i="17" s="1"/>
  <c r="AF58" i="17"/>
  <c r="AE58" i="17"/>
  <c r="G67" i="27"/>
  <c r="E68" i="27"/>
  <c r="E69" i="27" s="1"/>
  <c r="E70" i="27" s="1"/>
  <c r="AW65" i="28"/>
  <c r="AW66" i="28" s="1"/>
  <c r="AW67" i="28" s="1"/>
  <c r="AY64" i="28"/>
  <c r="A60" i="10"/>
  <c r="BY68" i="28"/>
  <c r="BY69" i="28" s="1"/>
  <c r="BY70" i="28" s="1"/>
  <c r="CA67" i="28"/>
  <c r="AZ5" i="28"/>
  <c r="BE5" i="28" a="1"/>
  <c r="BE5" i="28" s="1"/>
  <c r="P5" i="28" a="1"/>
  <c r="P5" i="28" s="1"/>
  <c r="F58" i="31" s="1"/>
  <c r="BC5" i="28" a="1"/>
  <c r="BC5" i="28" s="1"/>
  <c r="M5" i="28"/>
  <c r="BR5" i="28" a="1"/>
  <c r="BR5" i="28" s="1"/>
  <c r="AY5" i="28" a="1"/>
  <c r="AY5" i="28" s="1"/>
  <c r="BY8" i="28"/>
  <c r="CF5" i="28"/>
  <c r="M65" i="21"/>
  <c r="M66" i="21" s="1"/>
  <c r="M67" i="21" s="1"/>
  <c r="O64" i="21"/>
  <c r="N64" i="21"/>
  <c r="R68" i="36"/>
  <c r="R69" i="36" s="1"/>
  <c r="R70" i="36" s="1"/>
  <c r="S67" i="36"/>
  <c r="T67" i="36"/>
  <c r="DO13" i="32"/>
  <c r="DG13" i="32"/>
  <c r="DN13" i="32"/>
  <c r="DF13" i="32"/>
  <c r="DM13" i="32"/>
  <c r="DE13" i="32"/>
  <c r="CZ14" i="32"/>
  <c r="DK13" i="32"/>
  <c r="DC13" i="32"/>
  <c r="DJ13" i="32"/>
  <c r="DB13" i="32"/>
  <c r="DH13" i="32"/>
  <c r="DD13" i="32"/>
  <c r="DA13" i="32"/>
  <c r="DP13" i="32"/>
  <c r="DL13" i="32"/>
  <c r="DI13" i="32"/>
  <c r="G64" i="36"/>
  <c r="E65" i="36"/>
  <c r="E66" i="36" s="1"/>
  <c r="E67" i="36" s="1"/>
  <c r="T64" i="2"/>
  <c r="S64" i="2"/>
  <c r="R65" i="2"/>
  <c r="R66" i="2" s="1"/>
  <c r="R67" i="2" s="1"/>
  <c r="W65" i="17"/>
  <c r="W66" i="17" s="1"/>
  <c r="W67" i="17" s="1"/>
  <c r="Y64" i="17"/>
  <c r="S64" i="1"/>
  <c r="R65" i="1"/>
  <c r="R66" i="1" s="1"/>
  <c r="R67" i="1" s="1"/>
  <c r="T64" i="1"/>
  <c r="G64" i="12"/>
  <c r="F64" i="12"/>
  <c r="E65" i="12"/>
  <c r="E66" i="12" s="1"/>
  <c r="E67" i="12" s="1"/>
  <c r="AJ65" i="28"/>
  <c r="AJ66" i="28" s="1"/>
  <c r="AJ67" i="28" s="1"/>
  <c r="AL64" i="28"/>
  <c r="AP5" i="28" a="1"/>
  <c r="AP5" i="28" s="1"/>
  <c r="F65" i="31" s="1"/>
  <c r="Z5" i="28"/>
  <c r="AJ8" i="28"/>
  <c r="H63" i="31"/>
  <c r="BP5" i="28" a="1"/>
  <c r="BP5" i="28" s="1"/>
  <c r="F72" i="31" s="1"/>
  <c r="J10" i="28"/>
  <c r="I56" i="31"/>
  <c r="AX5" i="28"/>
  <c r="BL5" i="28" a="1"/>
  <c r="BL5" i="28" s="1"/>
  <c r="BJ6" i="28"/>
  <c r="AS37" i="32"/>
  <c r="AS21" i="32" a="1"/>
  <c r="AS35" i="32"/>
  <c r="AR21" i="32" a="1"/>
  <c r="F18" i="31" l="1"/>
  <c r="J17" i="31"/>
  <c r="J18" i="31"/>
  <c r="I17" i="31"/>
  <c r="I18" i="31"/>
  <c r="G17" i="31"/>
  <c r="G18" i="31"/>
  <c r="F17" i="31"/>
  <c r="E5" i="36"/>
  <c r="J48" i="31"/>
  <c r="J50" i="31"/>
  <c r="I48" i="31"/>
  <c r="H39" i="30"/>
  <c r="H50" i="31"/>
  <c r="G40" i="30"/>
  <c r="G48" i="31"/>
  <c r="F39" i="30"/>
  <c r="F48" i="31"/>
  <c r="E39" i="30"/>
  <c r="R5" i="36"/>
  <c r="B46" i="39"/>
  <c r="AS21" i="32"/>
  <c r="AS34" i="32" s="1"/>
  <c r="AS36" i="32" s="1"/>
  <c r="AR21" i="32"/>
  <c r="AR34" i="32" s="1"/>
  <c r="AR36" i="32" s="1"/>
  <c r="BY5" i="28"/>
  <c r="Y67" i="17"/>
  <c r="W68" i="17"/>
  <c r="W69" i="17" s="1"/>
  <c r="W70" i="17" s="1"/>
  <c r="R71" i="36"/>
  <c r="R72" i="36" s="1"/>
  <c r="R73" i="36" s="1"/>
  <c r="T70" i="36"/>
  <c r="R68" i="27"/>
  <c r="R69" i="27" s="1"/>
  <c r="R70" i="27" s="1"/>
  <c r="T67" i="27"/>
  <c r="R68" i="6"/>
  <c r="R69" i="6" s="1"/>
  <c r="R70" i="6" s="1"/>
  <c r="T67" i="6"/>
  <c r="AW5" i="28"/>
  <c r="BF64" i="28"/>
  <c r="BD65" i="28"/>
  <c r="BD66" i="28" s="1"/>
  <c r="BD67" i="28" s="1"/>
  <c r="BJ5" i="28"/>
  <c r="AL67" i="17"/>
  <c r="AJ68" i="17"/>
  <c r="AJ69" i="17" s="1"/>
  <c r="AJ70" i="17" s="1"/>
  <c r="AS61" i="28"/>
  <c r="AQ62" i="28"/>
  <c r="AQ63" i="28" s="1"/>
  <c r="AQ64" i="28" s="1"/>
  <c r="EC14" i="32"/>
  <c r="DU14" i="32"/>
  <c r="EB14" i="32"/>
  <c r="DT14" i="32"/>
  <c r="EA14" i="32"/>
  <c r="DS14" i="32"/>
  <c r="EG14" i="32"/>
  <c r="DY14" i="32"/>
  <c r="EF14" i="32"/>
  <c r="DX14" i="32"/>
  <c r="DR15" i="32"/>
  <c r="ED14" i="32"/>
  <c r="DZ14" i="32"/>
  <c r="DW14" i="32"/>
  <c r="DV14" i="32"/>
  <c r="EH14" i="32"/>
  <c r="EE14" i="32"/>
  <c r="S64" i="17"/>
  <c r="Q65" i="17"/>
  <c r="Q66" i="17" s="1"/>
  <c r="Q67" i="17" s="1"/>
  <c r="AW68" i="28"/>
  <c r="AW69" i="28" s="1"/>
  <c r="AW70" i="28" s="1"/>
  <c r="AY67" i="28"/>
  <c r="L68" i="1"/>
  <c r="L69" i="1" s="1"/>
  <c r="L70" i="1" s="1"/>
  <c r="N67" i="1"/>
  <c r="E71" i="35"/>
  <c r="E72" i="35" s="1"/>
  <c r="E73" i="35" s="1"/>
  <c r="G70" i="35"/>
  <c r="Y68" i="1"/>
  <c r="Y69" i="1" s="1"/>
  <c r="Y70" i="1" s="1"/>
  <c r="AA67" i="1"/>
  <c r="E68" i="25"/>
  <c r="E69" i="25" s="1"/>
  <c r="E70" i="25" s="1"/>
  <c r="G67" i="25"/>
  <c r="L68" i="26"/>
  <c r="L69" i="26" s="1"/>
  <c r="L70" i="26" s="1"/>
  <c r="N67" i="26"/>
  <c r="ET14" i="32"/>
  <c r="EL14" i="32"/>
  <c r="ES14" i="32"/>
  <c r="EK14" i="32"/>
  <c r="EJ15" i="32"/>
  <c r="EZ14" i="32"/>
  <c r="ER14" i="32"/>
  <c r="EX14" i="32"/>
  <c r="EP14" i="32"/>
  <c r="EW14" i="32"/>
  <c r="EO14" i="32"/>
  <c r="EY14" i="32"/>
  <c r="EV14" i="32"/>
  <c r="EU14" i="32"/>
  <c r="EQ14" i="32"/>
  <c r="EN14" i="32"/>
  <c r="EM14" i="32"/>
  <c r="AD62" i="28"/>
  <c r="AD63" i="28" s="1"/>
  <c r="AD64" i="28" s="1"/>
  <c r="AF61" i="28"/>
  <c r="G67" i="12"/>
  <c r="E68" i="12"/>
  <c r="E69" i="12" s="1"/>
  <c r="E70" i="12" s="1"/>
  <c r="BL67" i="28"/>
  <c r="BJ68" i="28"/>
  <c r="BJ69" i="28" s="1"/>
  <c r="BJ70" i="28" s="1"/>
  <c r="G70" i="27"/>
  <c r="E71" i="27"/>
  <c r="E72" i="27" s="1"/>
  <c r="E73" i="27" s="1"/>
  <c r="AW95" i="17"/>
  <c r="AW96" i="17" s="1"/>
  <c r="AW97" i="17" s="1"/>
  <c r="AY94" i="17"/>
  <c r="AX94" i="17"/>
  <c r="T28" i="12"/>
  <c r="R29" i="12"/>
  <c r="R30" i="12" s="1"/>
  <c r="R31" i="12" s="1"/>
  <c r="S28" i="12"/>
  <c r="CU14" i="32"/>
  <c r="CM14" i="32"/>
  <c r="CT14" i="32"/>
  <c r="CL14" i="32"/>
  <c r="CS14" i="32"/>
  <c r="CK14" i="32"/>
  <c r="CQ14" i="32"/>
  <c r="CI14" i="32"/>
  <c r="CH15" i="32"/>
  <c r="CX14" i="32"/>
  <c r="CP14" i="32"/>
  <c r="CJ14" i="32"/>
  <c r="CW14" i="32"/>
  <c r="CV14" i="32"/>
  <c r="CR14" i="32"/>
  <c r="CN14" i="32"/>
  <c r="CO14" i="32"/>
  <c r="L67" i="17"/>
  <c r="J68" i="17"/>
  <c r="J69" i="17" s="1"/>
  <c r="J70" i="17" s="1"/>
  <c r="BQ71" i="17"/>
  <c r="BQ72" i="17" s="1"/>
  <c r="BQ73" i="17" s="1"/>
  <c r="BS70" i="17"/>
  <c r="BR70" i="17"/>
  <c r="G67" i="6"/>
  <c r="E68" i="6"/>
  <c r="E69" i="6" s="1"/>
  <c r="E70" i="6" s="1"/>
  <c r="B39" i="29"/>
  <c r="B40" i="29" s="1"/>
  <c r="B41" i="29" s="1"/>
  <c r="B42" i="29" s="1"/>
  <c r="B43" i="29" s="1"/>
  <c r="B44" i="29" s="1"/>
  <c r="B45" i="29" s="1"/>
  <c r="B46" i="29" s="1"/>
  <c r="B47" i="29" s="1"/>
  <c r="B48" i="29" s="1"/>
  <c r="B49" i="29" s="1"/>
  <c r="B50" i="29" s="1"/>
  <c r="B51" i="29" s="1"/>
  <c r="B52" i="29" s="1"/>
  <c r="B53" i="29" s="1"/>
  <c r="B54" i="29" s="1"/>
  <c r="B55" i="29" s="1"/>
  <c r="B56" i="29" s="1"/>
  <c r="B57" i="29" s="1"/>
  <c r="B58" i="29" s="1"/>
  <c r="B59" i="29" s="1"/>
  <c r="B60" i="29" s="1"/>
  <c r="B61" i="29" s="1"/>
  <c r="B62" i="29" s="1"/>
  <c r="B63" i="29" s="1"/>
  <c r="B64" i="29" s="1"/>
  <c r="B65" i="29" s="1"/>
  <c r="B66" i="29" s="1"/>
  <c r="B67" i="29" s="1"/>
  <c r="B68" i="29" s="1"/>
  <c r="B69" i="29" s="1"/>
  <c r="B70" i="29" s="1"/>
  <c r="B71" i="29" s="1"/>
  <c r="B72" i="29" s="1"/>
  <c r="B73" i="29" s="1"/>
  <c r="B74" i="29" s="1"/>
  <c r="B75" i="29" s="1"/>
  <c r="B76" i="29" s="1"/>
  <c r="A59" i="10"/>
  <c r="L68" i="12"/>
  <c r="L69" i="12" s="1"/>
  <c r="L70" i="12" s="1"/>
  <c r="N67" i="12"/>
  <c r="N70" i="35"/>
  <c r="L71" i="35"/>
  <c r="L72" i="35" s="1"/>
  <c r="L73" i="35" s="1"/>
  <c r="AQ62" i="17"/>
  <c r="AQ63" i="17" s="1"/>
  <c r="AQ64" i="17" s="1"/>
  <c r="AS61" i="17"/>
  <c r="F56" i="31"/>
  <c r="J5" i="28"/>
  <c r="L67" i="28"/>
  <c r="J68" i="28"/>
  <c r="J69" i="28" s="1"/>
  <c r="J70" i="28" s="1"/>
  <c r="N70" i="2"/>
  <c r="L71" i="2"/>
  <c r="L72" i="2" s="1"/>
  <c r="L73" i="2" s="1"/>
  <c r="BL12" i="32"/>
  <c r="BD12" i="32"/>
  <c r="BK12" i="32"/>
  <c r="BC12" i="32"/>
  <c r="AX13" i="32"/>
  <c r="BJ12" i="32"/>
  <c r="BB12" i="32"/>
  <c r="BH12" i="32"/>
  <c r="AZ12" i="32"/>
  <c r="BG12" i="32"/>
  <c r="AY12" i="32"/>
  <c r="BA12" i="32"/>
  <c r="BN12" i="32"/>
  <c r="BM12" i="32"/>
  <c r="BI12" i="32"/>
  <c r="BE12" i="32"/>
  <c r="BF12" i="32"/>
  <c r="CH67" i="28"/>
  <c r="CF68" i="28"/>
  <c r="CF69" i="28" s="1"/>
  <c r="CF70" i="28" s="1"/>
  <c r="Q65" i="28"/>
  <c r="Q66" i="28" s="1"/>
  <c r="Q67" i="28" s="1"/>
  <c r="S64" i="28"/>
  <c r="E68" i="36"/>
  <c r="E69" i="36" s="1"/>
  <c r="E70" i="36" s="1"/>
  <c r="F67" i="36"/>
  <c r="G67" i="36"/>
  <c r="M68" i="21"/>
  <c r="M69" i="21" s="1"/>
  <c r="M70" i="21" s="1"/>
  <c r="O67" i="21"/>
  <c r="T67" i="1"/>
  <c r="R68" i="1"/>
  <c r="R69" i="1" s="1"/>
  <c r="R70" i="1" s="1"/>
  <c r="BJ95" i="17"/>
  <c r="BJ96" i="17" s="1"/>
  <c r="BJ97" i="17" s="1"/>
  <c r="BL94" i="17"/>
  <c r="BK94" i="17"/>
  <c r="E68" i="1"/>
  <c r="E69" i="1" s="1"/>
  <c r="E70" i="1" s="1"/>
  <c r="G67" i="1"/>
  <c r="E68" i="2"/>
  <c r="E69" i="2" s="1"/>
  <c r="E70" i="2" s="1"/>
  <c r="G67" i="2"/>
  <c r="T70" i="35"/>
  <c r="R71" i="35"/>
  <c r="R72" i="35" s="1"/>
  <c r="R73" i="35" s="1"/>
  <c r="N67" i="25"/>
  <c r="L68" i="25"/>
  <c r="L69" i="25" s="1"/>
  <c r="L70" i="25" s="1"/>
  <c r="W68" i="28"/>
  <c r="W69" i="28" s="1"/>
  <c r="W70" i="28" s="1"/>
  <c r="Y67" i="28"/>
  <c r="E68" i="21"/>
  <c r="E69" i="21" s="1"/>
  <c r="E70" i="21" s="1"/>
  <c r="G67" i="21"/>
  <c r="G73" i="26"/>
  <c r="E74" i="26"/>
  <c r="E75" i="26" s="1"/>
  <c r="E76" i="26" s="1"/>
  <c r="AJ68" i="28"/>
  <c r="AJ69" i="28" s="1"/>
  <c r="AJ70" i="28" s="1"/>
  <c r="AL67" i="28"/>
  <c r="R68" i="2"/>
  <c r="R69" i="2" s="1"/>
  <c r="R70" i="2" s="1"/>
  <c r="T67" i="2"/>
  <c r="B18" i="23"/>
  <c r="C17" i="23"/>
  <c r="BD65" i="17"/>
  <c r="BD66" i="17" s="1"/>
  <c r="BD67" i="17" s="1"/>
  <c r="BF64" i="17"/>
  <c r="R65" i="25"/>
  <c r="R66" i="25" s="1"/>
  <c r="R67" i="25" s="1"/>
  <c r="T64" i="25"/>
  <c r="S64" i="25"/>
  <c r="AU25" i="32"/>
  <c r="BZ70" i="17"/>
  <c r="CA70" i="17"/>
  <c r="BY71" i="17"/>
  <c r="BY72" i="17" s="1"/>
  <c r="BY73" i="17" s="1"/>
  <c r="BQ68" i="28"/>
  <c r="BQ69" i="28" s="1"/>
  <c r="BQ70" i="28" s="1"/>
  <c r="BS67" i="28"/>
  <c r="BZ70" i="28"/>
  <c r="BY71" i="28"/>
  <c r="BY72" i="28" s="1"/>
  <c r="BY73" i="28" s="1"/>
  <c r="CA70" i="28"/>
  <c r="AF61" i="17"/>
  <c r="AD62" i="17"/>
  <c r="AD63" i="17" s="1"/>
  <c r="AD64" i="17" s="1"/>
  <c r="CD14" i="32"/>
  <c r="BV14" i="32"/>
  <c r="AM16" i="32" s="1" a="1"/>
  <c r="AM16" i="32" s="1"/>
  <c r="CC14" i="32"/>
  <c r="BU14" i="32"/>
  <c r="AL16" i="32" s="1" a="1"/>
  <c r="AL16" i="32" s="1"/>
  <c r="CB14" i="32"/>
  <c r="AS16" i="32" s="1" a="1"/>
  <c r="AS16" i="32" s="1"/>
  <c r="BT14" i="32"/>
  <c r="AK16" i="32" s="1" a="1"/>
  <c r="AK16" i="32" s="1"/>
  <c r="BZ14" i="32"/>
  <c r="BR14" i="32"/>
  <c r="AI16" i="32" s="1" a="1"/>
  <c r="AI16" i="32" s="1"/>
  <c r="BY14" i="32"/>
  <c r="AP16" i="32" s="1" a="1"/>
  <c r="AP16" i="32" s="1"/>
  <c r="BQ14" i="32"/>
  <c r="CF14" i="32"/>
  <c r="CE14" i="32"/>
  <c r="CA14" i="32"/>
  <c r="AR16" i="32" s="1" a="1"/>
  <c r="AR16" i="32" s="1"/>
  <c r="BX14" i="32"/>
  <c r="AO16" i="32" s="1" a="1"/>
  <c r="AO16" i="32" s="1"/>
  <c r="BW14" i="32"/>
  <c r="AN16" i="32" s="1" a="1"/>
  <c r="AN16" i="32" s="1"/>
  <c r="BS14" i="32"/>
  <c r="AJ16" i="32" s="1" a="1"/>
  <c r="AJ16" i="32" s="1"/>
  <c r="N67" i="6"/>
  <c r="L68" i="6"/>
  <c r="L69" i="6" s="1"/>
  <c r="L70" i="6" s="1"/>
  <c r="H16" i="23"/>
  <c r="N16" i="23"/>
  <c r="M16" i="23"/>
  <c r="L16" i="23"/>
  <c r="J16" i="23"/>
  <c r="I16" i="23"/>
  <c r="E16" i="23"/>
  <c r="F16" i="23"/>
  <c r="D16" i="23"/>
  <c r="CF68" i="17"/>
  <c r="CF69" i="17" s="1"/>
  <c r="CF70" i="17" s="1"/>
  <c r="CH67" i="17"/>
  <c r="DL14" i="32"/>
  <c r="DD14" i="32"/>
  <c r="DK14" i="32"/>
  <c r="DC14" i="32"/>
  <c r="DJ14" i="32"/>
  <c r="DB14" i="32"/>
  <c r="CZ15" i="32"/>
  <c r="DP14" i="32"/>
  <c r="DH14" i="32"/>
  <c r="DO14" i="32"/>
  <c r="DG14" i="32"/>
  <c r="DF14" i="32"/>
  <c r="DE14" i="32"/>
  <c r="DA14" i="32"/>
  <c r="DN14" i="32"/>
  <c r="DM14" i="32"/>
  <c r="DI14" i="32"/>
  <c r="T67" i="26"/>
  <c r="R68" i="26"/>
  <c r="R69" i="26" s="1"/>
  <c r="R70" i="26" s="1"/>
  <c r="F63" i="31"/>
  <c r="AJ5" i="28"/>
  <c r="T68" i="21"/>
  <c r="T69" i="21" s="1"/>
  <c r="T70" i="21" s="1"/>
  <c r="V67" i="21"/>
  <c r="L71" i="36"/>
  <c r="L72" i="36" s="1"/>
  <c r="L73" i="36" s="1"/>
  <c r="N70" i="36"/>
  <c r="W5" i="28"/>
  <c r="N64" i="27"/>
  <c r="M64" i="27"/>
  <c r="L65" i="27"/>
  <c r="L66" i="27" s="1"/>
  <c r="L67" i="27" s="1"/>
  <c r="AT35" i="32"/>
  <c r="AT26" i="32"/>
  <c r="AU37" i="32"/>
  <c r="H40" i="30" l="1"/>
  <c r="I50" i="31"/>
  <c r="G50" i="31"/>
  <c r="F40" i="30"/>
  <c r="F50" i="31"/>
  <c r="E40" i="30"/>
  <c r="AT16" i="32" a="1"/>
  <c r="AT16" i="32" s="1"/>
  <c r="B47" i="39"/>
  <c r="BY74" i="17"/>
  <c r="BY75" i="17" s="1"/>
  <c r="BY76" i="17" s="1"/>
  <c r="CA73" i="17"/>
  <c r="BF67" i="17"/>
  <c r="BD68" i="17"/>
  <c r="BD69" i="17" s="1"/>
  <c r="BD70" i="17" s="1"/>
  <c r="G76" i="26"/>
  <c r="F76" i="26"/>
  <c r="E77" i="26"/>
  <c r="E78" i="26" s="1"/>
  <c r="E79" i="26" s="1"/>
  <c r="T73" i="35"/>
  <c r="R74" i="35"/>
  <c r="R75" i="35" s="1"/>
  <c r="R76" i="35" s="1"/>
  <c r="BJ98" i="17"/>
  <c r="BJ99" i="17" s="1"/>
  <c r="BJ100" i="17" s="1"/>
  <c r="BL97" i="17"/>
  <c r="BH13" i="32"/>
  <c r="AZ13" i="32"/>
  <c r="BG13" i="32"/>
  <c r="AY13" i="32"/>
  <c r="BN13" i="32"/>
  <c r="BF13" i="32"/>
  <c r="BL13" i="32"/>
  <c r="BD13" i="32"/>
  <c r="BK13" i="32"/>
  <c r="BC13" i="32"/>
  <c r="BM13" i="32"/>
  <c r="BJ13" i="32"/>
  <c r="BI13" i="32"/>
  <c r="BE13" i="32"/>
  <c r="BB13" i="32"/>
  <c r="BA13" i="32"/>
  <c r="AX14" i="32"/>
  <c r="N70" i="12"/>
  <c r="L71" i="12"/>
  <c r="L72" i="12" s="1"/>
  <c r="L73" i="12" s="1"/>
  <c r="W12" i="29" a="1"/>
  <c r="W12" i="29" s="1"/>
  <c r="X12" i="29" s="1"/>
  <c r="L70" i="17"/>
  <c r="K70" i="17"/>
  <c r="J71" i="17"/>
  <c r="J72" i="17" s="1"/>
  <c r="J73" i="17" s="1"/>
  <c r="AY97" i="17"/>
  <c r="AW98" i="17"/>
  <c r="AW99" i="17" s="1"/>
  <c r="AW100" i="17" s="1"/>
  <c r="AF64" i="28"/>
  <c r="AD65" i="28"/>
  <c r="AD66" i="28" s="1"/>
  <c r="AD67" i="28" s="1"/>
  <c r="AD65" i="17"/>
  <c r="AD66" i="17" s="1"/>
  <c r="AD67" i="17" s="1"/>
  <c r="AF64" i="17"/>
  <c r="N17" i="23"/>
  <c r="D17" i="23"/>
  <c r="L17" i="23"/>
  <c r="J17" i="23"/>
  <c r="I17" i="23"/>
  <c r="H17" i="23"/>
  <c r="F17" i="23"/>
  <c r="E17" i="23"/>
  <c r="M17" i="23"/>
  <c r="R71" i="1"/>
  <c r="R72" i="1" s="1"/>
  <c r="R73" i="1" s="1"/>
  <c r="T70" i="1"/>
  <c r="Q68" i="28"/>
  <c r="Q69" i="28" s="1"/>
  <c r="Q70" i="28" s="1"/>
  <c r="S67" i="28"/>
  <c r="AF12" i="29"/>
  <c r="E74" i="27"/>
  <c r="E75" i="27" s="1"/>
  <c r="E76" i="27" s="1"/>
  <c r="G73" i="27"/>
  <c r="E74" i="35"/>
  <c r="E75" i="35" s="1"/>
  <c r="E76" i="35" s="1"/>
  <c r="G73" i="35"/>
  <c r="AQ65" i="28"/>
  <c r="AQ66" i="28" s="1"/>
  <c r="AQ67" i="28" s="1"/>
  <c r="AS64" i="28"/>
  <c r="BZ1" i="32" a="1"/>
  <c r="BZ1" i="32" s="1"/>
  <c r="AQ16" i="32" a="1"/>
  <c r="AQ16" i="32" s="1"/>
  <c r="B19" i="23"/>
  <c r="C18" i="23"/>
  <c r="CF71" i="28"/>
  <c r="CF72" i="28" s="1"/>
  <c r="CF73" i="28" s="1"/>
  <c r="CH70" i="28"/>
  <c r="CG70" i="28"/>
  <c r="AA12" i="29"/>
  <c r="AG12" i="29"/>
  <c r="CU15" i="32"/>
  <c r="CM15" i="32"/>
  <c r="CH16" i="32"/>
  <c r="CT15" i="32"/>
  <c r="CL15" i="32"/>
  <c r="CS15" i="32"/>
  <c r="CK15" i="32"/>
  <c r="CQ15" i="32"/>
  <c r="CI15" i="32"/>
  <c r="CX15" i="32"/>
  <c r="CP15" i="32"/>
  <c r="CV15" i="32"/>
  <c r="CR15" i="32"/>
  <c r="CO15" i="32"/>
  <c r="CN15" i="32"/>
  <c r="CJ15" i="32"/>
  <c r="CW15" i="32"/>
  <c r="T70" i="6"/>
  <c r="R71" i="6"/>
  <c r="R72" i="6" s="1"/>
  <c r="R73" i="6" s="1"/>
  <c r="AV25" i="32"/>
  <c r="E71" i="21"/>
  <c r="E72" i="21" s="1"/>
  <c r="E73" i="21" s="1"/>
  <c r="G70" i="21"/>
  <c r="E71" i="2"/>
  <c r="E72" i="2" s="1"/>
  <c r="E73" i="2" s="1"/>
  <c r="G70" i="2"/>
  <c r="Y12" i="29"/>
  <c r="G70" i="6"/>
  <c r="E71" i="6"/>
  <c r="E72" i="6" s="1"/>
  <c r="E73" i="6" s="1"/>
  <c r="BJ71" i="28"/>
  <c r="BJ72" i="28" s="1"/>
  <c r="BJ73" i="28" s="1"/>
  <c r="BK70" i="28"/>
  <c r="BL70" i="28"/>
  <c r="N70" i="26"/>
  <c r="L71" i="26"/>
  <c r="L72" i="26" s="1"/>
  <c r="L73" i="26" s="1"/>
  <c r="L71" i="1"/>
  <c r="L72" i="1" s="1"/>
  <c r="L73" i="1" s="1"/>
  <c r="N70" i="1"/>
  <c r="AL70" i="17"/>
  <c r="AK70" i="17"/>
  <c r="AJ71" i="17"/>
  <c r="AJ72" i="17" s="1"/>
  <c r="AJ73" i="17" s="1"/>
  <c r="L74" i="36"/>
  <c r="L75" i="36" s="1"/>
  <c r="L76" i="36" s="1"/>
  <c r="N73" i="36"/>
  <c r="CA73" i="28"/>
  <c r="BY74" i="28"/>
  <c r="BY75" i="28" s="1"/>
  <c r="BY76" i="28" s="1"/>
  <c r="T70" i="2"/>
  <c r="R71" i="2"/>
  <c r="R72" i="2" s="1"/>
  <c r="R73" i="2" s="1"/>
  <c r="M71" i="21"/>
  <c r="M72" i="21" s="1"/>
  <c r="M73" i="21" s="1"/>
  <c r="O70" i="21"/>
  <c r="AS64" i="17"/>
  <c r="AQ65" i="17"/>
  <c r="AQ66" i="17" s="1"/>
  <c r="AQ67" i="17" s="1"/>
  <c r="A58" i="10"/>
  <c r="AH12" i="29"/>
  <c r="T31" i="12"/>
  <c r="R32" i="12"/>
  <c r="R33" i="12" s="1"/>
  <c r="R34" i="12" s="1"/>
  <c r="R71" i="27"/>
  <c r="R72" i="27" s="1"/>
  <c r="R73" i="27" s="1"/>
  <c r="T70" i="27"/>
  <c r="Y70" i="28"/>
  <c r="X70" i="28"/>
  <c r="W71" i="28"/>
  <c r="W72" i="28" s="1"/>
  <c r="W73" i="28" s="1"/>
  <c r="G70" i="1"/>
  <c r="E71" i="1"/>
  <c r="E72" i="1" s="1"/>
  <c r="E73" i="1" s="1"/>
  <c r="L74" i="2"/>
  <c r="L75" i="2" s="1"/>
  <c r="L76" i="2" s="1"/>
  <c r="N73" i="2"/>
  <c r="N73" i="35"/>
  <c r="L74" i="35"/>
  <c r="L75" i="35" s="1"/>
  <c r="L76" i="35" s="1"/>
  <c r="T7" i="29"/>
  <c r="E12" i="29" a="1"/>
  <c r="E12" i="29" s="1"/>
  <c r="D12" i="29" a="1"/>
  <c r="D12" i="29" s="1"/>
  <c r="AA7" i="29"/>
  <c r="P6" i="29" a="1"/>
  <c r="P6" i="29" s="1"/>
  <c r="Q6" i="29" s="1"/>
  <c r="W7" i="29" a="1"/>
  <c r="W7" i="29" s="1"/>
  <c r="I7" i="29" a="1"/>
  <c r="I7" i="29" s="1"/>
  <c r="AG6" i="29"/>
  <c r="R7" i="29"/>
  <c r="C8" i="29" a="1"/>
  <c r="C8" i="29" s="1"/>
  <c r="D8" i="29" s="1"/>
  <c r="Y7" i="29"/>
  <c r="M7" i="29"/>
  <c r="C7" i="29" a="1"/>
  <c r="C7" i="29" s="1"/>
  <c r="D7" i="29" s="1"/>
  <c r="AD6" i="29" a="1"/>
  <c r="AD6" i="29" s="1"/>
  <c r="AE6" i="29" s="1"/>
  <c r="E7" i="29"/>
  <c r="AH7" i="29"/>
  <c r="K7" i="29"/>
  <c r="AF7" i="29"/>
  <c r="W6" i="29" a="1"/>
  <c r="W6" i="29" s="1"/>
  <c r="T6" i="29"/>
  <c r="E6" i="29" a="1"/>
  <c r="E6" i="29" s="1"/>
  <c r="F6" i="29" a="1"/>
  <c r="F6" i="29" s="1"/>
  <c r="L7" i="29"/>
  <c r="E8" i="29"/>
  <c r="C6" i="29" a="1"/>
  <c r="C6" i="29" s="1"/>
  <c r="G8" i="29"/>
  <c r="Z7" i="29"/>
  <c r="D6" i="29" a="1"/>
  <c r="D6" i="29" s="1"/>
  <c r="AA6" i="29"/>
  <c r="F12" i="29" a="1"/>
  <c r="F12" i="29" s="1"/>
  <c r="F8" i="29"/>
  <c r="C12" i="29" a="1"/>
  <c r="C12" i="29" s="1"/>
  <c r="L6" i="29"/>
  <c r="AG7" i="29"/>
  <c r="B5" i="29"/>
  <c r="W5" i="29" s="1" a="1"/>
  <c r="W5" i="29" s="1"/>
  <c r="AH6" i="29"/>
  <c r="S7" i="29"/>
  <c r="P7" i="29" a="1"/>
  <c r="P7" i="29" s="1"/>
  <c r="Q7" i="29" s="1"/>
  <c r="R6" i="29"/>
  <c r="AF6" i="29"/>
  <c r="F7" i="29"/>
  <c r="AD7" i="29" a="1"/>
  <c r="AD7" i="29" s="1"/>
  <c r="AE7" i="29" s="1"/>
  <c r="Y6" i="29"/>
  <c r="I6" i="29" a="1"/>
  <c r="I6" i="29" s="1"/>
  <c r="K6" i="29"/>
  <c r="Z6" i="29"/>
  <c r="M6" i="29"/>
  <c r="S6" i="29"/>
  <c r="M12" i="29"/>
  <c r="K12" i="29"/>
  <c r="T12" i="29"/>
  <c r="I12" i="29" a="1"/>
  <c r="I12" i="29" s="1"/>
  <c r="P12" i="29" a="1"/>
  <c r="P12" i="29" s="1"/>
  <c r="Q12" i="29" s="1"/>
  <c r="L12" i="29"/>
  <c r="S12" i="29"/>
  <c r="R12" i="29"/>
  <c r="G70" i="12"/>
  <c r="E71" i="12"/>
  <c r="E72" i="12" s="1"/>
  <c r="E73" i="12" s="1"/>
  <c r="ET15" i="32"/>
  <c r="EL15" i="32"/>
  <c r="ES15" i="32"/>
  <c r="EK15" i="32"/>
  <c r="EZ15" i="32"/>
  <c r="ER15" i="32"/>
  <c r="EX15" i="32"/>
  <c r="EP15" i="32"/>
  <c r="EW15" i="32"/>
  <c r="EO15" i="32"/>
  <c r="EN15" i="32"/>
  <c r="EJ16" i="32"/>
  <c r="EM15" i="32"/>
  <c r="EY15" i="32"/>
  <c r="EV15" i="32"/>
  <c r="EU15" i="32"/>
  <c r="EQ15" i="32"/>
  <c r="G70" i="25"/>
  <c r="E71" i="25"/>
  <c r="E72" i="25" s="1"/>
  <c r="E73" i="25" s="1"/>
  <c r="AY70" i="28"/>
  <c r="AW71" i="28"/>
  <c r="AW72" i="28" s="1"/>
  <c r="AW73" i="28" s="1"/>
  <c r="AX70" i="28"/>
  <c r="N67" i="27"/>
  <c r="L68" i="27"/>
  <c r="L69" i="27" s="1"/>
  <c r="L70" i="27" s="1"/>
  <c r="R71" i="26"/>
  <c r="R72" i="26" s="1"/>
  <c r="R73" i="26" s="1"/>
  <c r="T70" i="26"/>
  <c r="CZ16" i="32"/>
  <c r="DL15" i="32"/>
  <c r="DD15" i="32"/>
  <c r="DK15" i="32"/>
  <c r="DC15" i="32"/>
  <c r="DJ15" i="32"/>
  <c r="DB15" i="32"/>
  <c r="DP15" i="32"/>
  <c r="DH15" i="32"/>
  <c r="DO15" i="32"/>
  <c r="DG15" i="32"/>
  <c r="DN15" i="32"/>
  <c r="DM15" i="32"/>
  <c r="DI15" i="32"/>
  <c r="DF15" i="32"/>
  <c r="DE15" i="32"/>
  <c r="DA15" i="32"/>
  <c r="CF71" i="17"/>
  <c r="CF72" i="17" s="1"/>
  <c r="CF73" i="17" s="1"/>
  <c r="CH70" i="17"/>
  <c r="CG70" i="17"/>
  <c r="T71" i="21"/>
  <c r="T72" i="21" s="1"/>
  <c r="T73" i="21" s="1"/>
  <c r="V70" i="21"/>
  <c r="R68" i="25"/>
  <c r="R69" i="25" s="1"/>
  <c r="R70" i="25" s="1"/>
  <c r="T67" i="25"/>
  <c r="AL70" i="28"/>
  <c r="AJ71" i="28"/>
  <c r="AJ72" i="28" s="1"/>
  <c r="AJ73" i="28" s="1"/>
  <c r="AK70" i="28"/>
  <c r="L71" i="25"/>
  <c r="L72" i="25" s="1"/>
  <c r="L73" i="25" s="1"/>
  <c r="N70" i="25"/>
  <c r="Z12" i="29"/>
  <c r="Q68" i="17"/>
  <c r="Q69" i="17" s="1"/>
  <c r="Q70" i="17" s="1"/>
  <c r="S67" i="17"/>
  <c r="EC15" i="32"/>
  <c r="DU15" i="32"/>
  <c r="EB15" i="32"/>
  <c r="DT15" i="32"/>
  <c r="EA15" i="32"/>
  <c r="DS15" i="32"/>
  <c r="EG15" i="32"/>
  <c r="DY15" i="32"/>
  <c r="EF15" i="32"/>
  <c r="DX15" i="32"/>
  <c r="EH15" i="32"/>
  <c r="EE15" i="32"/>
  <c r="ED15" i="32"/>
  <c r="DZ15" i="32"/>
  <c r="DR16" i="32"/>
  <c r="DW15" i="32"/>
  <c r="DV15" i="32"/>
  <c r="BF67" i="28"/>
  <c r="BD68" i="28"/>
  <c r="BD69" i="28" s="1"/>
  <c r="BD70" i="28" s="1"/>
  <c r="R74" i="36"/>
  <c r="R75" i="36" s="1"/>
  <c r="R76" i="36" s="1"/>
  <c r="T73" i="36"/>
  <c r="L71" i="6"/>
  <c r="L72" i="6" s="1"/>
  <c r="L73" i="6" s="1"/>
  <c r="N70" i="6"/>
  <c r="BQ71" i="28"/>
  <c r="BQ72" i="28" s="1"/>
  <c r="BQ73" i="28" s="1"/>
  <c r="BS70" i="28"/>
  <c r="BR70" i="28"/>
  <c r="E71" i="36"/>
  <c r="E72" i="36" s="1"/>
  <c r="E73" i="36" s="1"/>
  <c r="G70" i="36"/>
  <c r="L70" i="28"/>
  <c r="J71" i="28"/>
  <c r="J72" i="28" s="1"/>
  <c r="J73" i="28" s="1"/>
  <c r="K70" i="28"/>
  <c r="AD12" i="29" a="1"/>
  <c r="AD12" i="29" s="1"/>
  <c r="AE12" i="29" s="1"/>
  <c r="BQ74" i="17"/>
  <c r="BQ75" i="17" s="1"/>
  <c r="BQ76" i="17" s="1"/>
  <c r="BS73" i="17"/>
  <c r="Y71" i="1"/>
  <c r="Y72" i="1" s="1"/>
  <c r="Y73" i="1" s="1"/>
  <c r="AA70" i="1"/>
  <c r="Y70" i="17"/>
  <c r="X70" i="17"/>
  <c r="W71" i="17"/>
  <c r="W72" i="17" s="1"/>
  <c r="W73" i="17" s="1"/>
  <c r="AU35" i="32"/>
  <c r="AU26" i="32"/>
  <c r="AT21" i="32" a="1"/>
  <c r="AV26" i="32"/>
  <c r="AV35" i="32"/>
  <c r="AT21" i="32" l="1"/>
  <c r="AT34" i="32" s="1"/>
  <c r="AT36" i="32" s="1"/>
  <c r="B48" i="39"/>
  <c r="AU20" i="32" a="1"/>
  <c r="AU20" i="32" s="1"/>
  <c r="AU16" i="32" a="1"/>
  <c r="AU16" i="32" s="1"/>
  <c r="AU19" i="32" a="1"/>
  <c r="AU19" i="32" s="1"/>
  <c r="J6" i="29"/>
  <c r="D5" i="29" a="1"/>
  <c r="D5" i="29" s="1"/>
  <c r="S5" i="29" a="1"/>
  <c r="S5" i="29" s="1"/>
  <c r="C5" i="29" a="1"/>
  <c r="C5" i="29" s="1"/>
  <c r="AH5" i="29"/>
  <c r="AG5" i="29" a="1"/>
  <c r="AG5" i="29" s="1"/>
  <c r="AF5" i="29"/>
  <c r="L5" i="29" a="1"/>
  <c r="L5" i="29" s="1"/>
  <c r="AV20" i="32" a="1"/>
  <c r="AV20" i="32" s="1"/>
  <c r="AV19" i="32" a="1"/>
  <c r="AV19" i="32" s="1"/>
  <c r="AV16" i="32" a="1"/>
  <c r="AV16" i="32" s="1"/>
  <c r="CZ17" i="32"/>
  <c r="DP16" i="32"/>
  <c r="DH16" i="32"/>
  <c r="DO16" i="32"/>
  <c r="DG16" i="32"/>
  <c r="DN16" i="32"/>
  <c r="DF16" i="32"/>
  <c r="DM16" i="32"/>
  <c r="DE16" i="32"/>
  <c r="DL16" i="32"/>
  <c r="DD16" i="32"/>
  <c r="DK16" i="32"/>
  <c r="DC16" i="32"/>
  <c r="DI16" i="32"/>
  <c r="DB16" i="32"/>
  <c r="DA16" i="32"/>
  <c r="DJ16" i="32"/>
  <c r="L71" i="27"/>
  <c r="L72" i="27" s="1"/>
  <c r="L73" i="27" s="1"/>
  <c r="N70" i="27"/>
  <c r="E74" i="12"/>
  <c r="E75" i="12" s="1"/>
  <c r="E76" i="12" s="1"/>
  <c r="G73" i="12"/>
  <c r="K5" i="29"/>
  <c r="M5" i="29"/>
  <c r="I5" i="29" a="1"/>
  <c r="I5" i="29" s="1"/>
  <c r="R5" i="29"/>
  <c r="R74" i="27"/>
  <c r="R75" i="27" s="1"/>
  <c r="R76" i="27" s="1"/>
  <c r="T73" i="27"/>
  <c r="M74" i="21"/>
  <c r="M75" i="21" s="1"/>
  <c r="M76" i="21" s="1"/>
  <c r="O73" i="21"/>
  <c r="BJ74" i="28"/>
  <c r="BJ75" i="28" s="1"/>
  <c r="BJ76" i="28" s="1"/>
  <c r="BL73" i="28"/>
  <c r="AW25" i="32"/>
  <c r="CF74" i="28"/>
  <c r="CF75" i="28" s="1"/>
  <c r="CF76" i="28" s="1"/>
  <c r="CH73" i="28"/>
  <c r="E77" i="35"/>
  <c r="E78" i="35" s="1"/>
  <c r="E79" i="35" s="1"/>
  <c r="G76" i="35"/>
  <c r="R77" i="35"/>
  <c r="R78" i="35" s="1"/>
  <c r="R79" i="35" s="1"/>
  <c r="T76" i="35"/>
  <c r="CA76" i="17"/>
  <c r="BY77" i="17"/>
  <c r="BY78" i="17" s="1"/>
  <c r="BY79" i="17" s="1"/>
  <c r="N73" i="25"/>
  <c r="L74" i="25"/>
  <c r="L75" i="25" s="1"/>
  <c r="L76" i="25" s="1"/>
  <c r="AW74" i="28"/>
  <c r="AW75" i="28" s="1"/>
  <c r="AW76" i="28" s="1"/>
  <c r="AY73" i="28"/>
  <c r="E74" i="25"/>
  <c r="E75" i="25" s="1"/>
  <c r="E76" i="25" s="1"/>
  <c r="G73" i="25"/>
  <c r="L73" i="28"/>
  <c r="J74" i="28"/>
  <c r="J75" i="28" s="1"/>
  <c r="J76" i="28" s="1"/>
  <c r="N73" i="6"/>
  <c r="L74" i="6"/>
  <c r="L75" i="6" s="1"/>
  <c r="L76" i="6" s="1"/>
  <c r="T74" i="21"/>
  <c r="T75" i="21" s="1"/>
  <c r="T76" i="21" s="1"/>
  <c r="V73" i="21"/>
  <c r="F5" i="29" a="1"/>
  <c r="F5" i="29" s="1"/>
  <c r="AD5" i="29" a="1"/>
  <c r="AD5" i="29" s="1"/>
  <c r="AE5" i="29" s="1"/>
  <c r="L77" i="2"/>
  <c r="L78" i="2" s="1"/>
  <c r="L79" i="2" s="1"/>
  <c r="N76" i="2"/>
  <c r="M76" i="2"/>
  <c r="T34" i="12"/>
  <c r="R35" i="12"/>
  <c r="R36" i="12" s="1"/>
  <c r="R37" i="12" s="1"/>
  <c r="T73" i="2"/>
  <c r="R74" i="2"/>
  <c r="R75" i="2" s="1"/>
  <c r="R76" i="2" s="1"/>
  <c r="G73" i="6"/>
  <c r="E74" i="6"/>
  <c r="E75" i="6" s="1"/>
  <c r="E76" i="6" s="1"/>
  <c r="T73" i="6"/>
  <c r="R74" i="6"/>
  <c r="R75" i="6" s="1"/>
  <c r="R76" i="6" s="1"/>
  <c r="CQ16" i="32"/>
  <c r="CI16" i="32"/>
  <c r="CH17" i="32"/>
  <c r="CX16" i="32"/>
  <c r="CP16" i="32"/>
  <c r="CW16" i="32"/>
  <c r="CO16" i="32"/>
  <c r="CV16" i="32"/>
  <c r="CN16" i="32"/>
  <c r="CU16" i="32"/>
  <c r="CM16" i="32"/>
  <c r="CT16" i="32"/>
  <c r="CL16" i="32"/>
  <c r="CS16" i="32"/>
  <c r="CR16" i="32"/>
  <c r="CK16" i="32"/>
  <c r="CJ16" i="32"/>
  <c r="J18" i="23"/>
  <c r="I18" i="23"/>
  <c r="H18" i="23"/>
  <c r="F18" i="23"/>
  <c r="E18" i="23"/>
  <c r="D18" i="23"/>
  <c r="M18" i="23"/>
  <c r="N18" i="23"/>
  <c r="L18" i="23"/>
  <c r="E74" i="1"/>
  <c r="E75" i="1" s="1"/>
  <c r="E76" i="1" s="1"/>
  <c r="G73" i="1"/>
  <c r="B20" i="23"/>
  <c r="C19" i="23"/>
  <c r="F76" i="27"/>
  <c r="E77" i="27"/>
  <c r="E78" i="27" s="1"/>
  <c r="E79" i="27" s="1"/>
  <c r="G76" i="27"/>
  <c r="AD68" i="17"/>
  <c r="AD69" i="17" s="1"/>
  <c r="AD70" i="17" s="1"/>
  <c r="AF67" i="17"/>
  <c r="E80" i="26"/>
  <c r="E81" i="26" s="1"/>
  <c r="E82" i="26" s="1"/>
  <c r="G79" i="26"/>
  <c r="R77" i="36"/>
  <c r="R78" i="36" s="1"/>
  <c r="R79" i="36" s="1"/>
  <c r="T76" i="36"/>
  <c r="E74" i="36"/>
  <c r="E75" i="36" s="1"/>
  <c r="E76" i="36" s="1"/>
  <c r="G73" i="36"/>
  <c r="CA76" i="28"/>
  <c r="BY77" i="28"/>
  <c r="BY78" i="28" s="1"/>
  <c r="BY79" i="28" s="1"/>
  <c r="L74" i="1"/>
  <c r="L75" i="1" s="1"/>
  <c r="L76" i="1" s="1"/>
  <c r="N73" i="1"/>
  <c r="AD68" i="28"/>
  <c r="AD69" i="28" s="1"/>
  <c r="AD70" i="28" s="1"/>
  <c r="AF67" i="28"/>
  <c r="N73" i="12"/>
  <c r="L74" i="12"/>
  <c r="L75" i="12" s="1"/>
  <c r="L76" i="12" s="1"/>
  <c r="AJ74" i="28"/>
  <c r="AJ75" i="28" s="1"/>
  <c r="AJ76" i="28" s="1"/>
  <c r="AL73" i="28"/>
  <c r="CH73" i="17"/>
  <c r="CF74" i="17"/>
  <c r="CF75" i="17" s="1"/>
  <c r="CF76" i="17" s="1"/>
  <c r="EX16" i="32"/>
  <c r="EP16" i="32"/>
  <c r="EW16" i="32"/>
  <c r="EO16" i="32"/>
  <c r="EV16" i="32"/>
  <c r="EN16" i="32"/>
  <c r="EU16" i="32"/>
  <c r="EM16" i="32"/>
  <c r="ET16" i="32"/>
  <c r="EL16" i="32"/>
  <c r="ES16" i="32"/>
  <c r="EK16" i="32"/>
  <c r="EQ16" i="32"/>
  <c r="EJ17" i="32"/>
  <c r="EZ16" i="32"/>
  <c r="EY16" i="32"/>
  <c r="ER16" i="32"/>
  <c r="J7" i="29"/>
  <c r="Y73" i="28"/>
  <c r="W74" i="28"/>
  <c r="W75" i="28" s="1"/>
  <c r="W76" i="28" s="1"/>
  <c r="A57" i="10"/>
  <c r="L74" i="26"/>
  <c r="L75" i="26" s="1"/>
  <c r="L76" i="26" s="1"/>
  <c r="N73" i="26"/>
  <c r="X6" i="29"/>
  <c r="T5" i="29"/>
  <c r="P5" i="29" a="1"/>
  <c r="P5" i="29" s="1"/>
  <c r="Q5" i="29" s="1"/>
  <c r="AQ68" i="17"/>
  <c r="AQ69" i="17" s="1"/>
  <c r="AQ70" i="17" s="1"/>
  <c r="AS67" i="17"/>
  <c r="E74" i="2"/>
  <c r="E75" i="2" s="1"/>
  <c r="E76" i="2" s="1"/>
  <c r="G73" i="2"/>
  <c r="Q71" i="28"/>
  <c r="Q72" i="28" s="1"/>
  <c r="Q73" i="28" s="1"/>
  <c r="R70" i="28"/>
  <c r="S70" i="28"/>
  <c r="AW101" i="17"/>
  <c r="AW102" i="17" s="1"/>
  <c r="AW103" i="17" s="1"/>
  <c r="AY100" i="17"/>
  <c r="BM14" i="32"/>
  <c r="AV15" i="32" s="1" a="1"/>
  <c r="AV15" i="32" s="1"/>
  <c r="BE14" i="32"/>
  <c r="AN15" i="32" s="1" a="1"/>
  <c r="AN15" i="32" s="1"/>
  <c r="BL14" i="32"/>
  <c r="AU15" i="32" s="1" a="1"/>
  <c r="AU15" i="32" s="1"/>
  <c r="BD14" i="32"/>
  <c r="AM15" i="32" s="1" a="1"/>
  <c r="AM15" i="32" s="1"/>
  <c r="BK14" i="32"/>
  <c r="AT15" i="32" s="1" a="1"/>
  <c r="AT15" i="32" s="1"/>
  <c r="BC14" i="32"/>
  <c r="AL15" i="32" s="1" a="1"/>
  <c r="AL15" i="32" s="1"/>
  <c r="BI14" i="32"/>
  <c r="AR15" i="32" s="1" a="1"/>
  <c r="AR15" i="32" s="1"/>
  <c r="BA14" i="32"/>
  <c r="AJ15" i="32" s="1" a="1"/>
  <c r="AJ15" i="32" s="1"/>
  <c r="BH14" i="32"/>
  <c r="AQ15" i="32" s="1" a="1"/>
  <c r="AQ15" i="32" s="1"/>
  <c r="AZ14" i="32"/>
  <c r="AI15" i="32" s="1" a="1"/>
  <c r="AI15" i="32" s="1"/>
  <c r="BN14" i="32"/>
  <c r="AW15" i="32" s="1" a="1"/>
  <c r="AW15" i="32" s="1"/>
  <c r="BJ14" i="32"/>
  <c r="AS15" i="32" s="1" a="1"/>
  <c r="AS15" i="32" s="1"/>
  <c r="BG14" i="32"/>
  <c r="AP15" i="32" s="1" a="1"/>
  <c r="AP15" i="32" s="1"/>
  <c r="BF14" i="32"/>
  <c r="AO15" i="32" s="1" a="1"/>
  <c r="AO15" i="32" s="1"/>
  <c r="BB14" i="32"/>
  <c r="AK15" i="32" s="1" a="1"/>
  <c r="AK15" i="32" s="1"/>
  <c r="AY14" i="32"/>
  <c r="BF70" i="17"/>
  <c r="BE70" i="17"/>
  <c r="BD71" i="17"/>
  <c r="BD72" i="17" s="1"/>
  <c r="BD73" i="17" s="1"/>
  <c r="AA73" i="1"/>
  <c r="Y74" i="1"/>
  <c r="Y75" i="1" s="1"/>
  <c r="Y76" i="1" s="1"/>
  <c r="BQ77" i="17"/>
  <c r="BQ78" i="17" s="1"/>
  <c r="BQ79" i="17" s="1"/>
  <c r="BS76" i="17"/>
  <c r="BQ74" i="28"/>
  <c r="BQ75" i="28" s="1"/>
  <c r="BQ76" i="28" s="1"/>
  <c r="BS73" i="28"/>
  <c r="J12" i="29"/>
  <c r="Z5" i="29" a="1"/>
  <c r="Z5" i="29" s="1"/>
  <c r="Y5" i="29"/>
  <c r="E5" i="29" a="1"/>
  <c r="E5" i="29" s="1"/>
  <c r="AA5" i="29"/>
  <c r="N76" i="35"/>
  <c r="L77" i="35"/>
  <c r="L78" i="35" s="1"/>
  <c r="L79" i="35" s="1"/>
  <c r="L77" i="36"/>
  <c r="L78" i="36" s="1"/>
  <c r="L79" i="36" s="1"/>
  <c r="N76" i="36"/>
  <c r="AS67" i="28"/>
  <c r="AQ68" i="28"/>
  <c r="AQ69" i="28" s="1"/>
  <c r="AQ70" i="28" s="1"/>
  <c r="BF70" i="28"/>
  <c r="BE70" i="28"/>
  <c r="BD71" i="28"/>
  <c r="BD72" i="28" s="1"/>
  <c r="BD73" i="28" s="1"/>
  <c r="W74" i="17"/>
  <c r="W75" i="17" s="1"/>
  <c r="W76" i="17" s="1"/>
  <c r="Y73" i="17"/>
  <c r="EG16" i="32"/>
  <c r="DY16" i="32"/>
  <c r="EF16" i="32"/>
  <c r="DX16" i="32"/>
  <c r="EE16" i="32"/>
  <c r="DW16" i="32"/>
  <c r="ED16" i="32"/>
  <c r="DV16" i="32"/>
  <c r="EC16" i="32"/>
  <c r="DU16" i="32"/>
  <c r="EB16" i="32"/>
  <c r="DT16" i="32"/>
  <c r="EH16" i="32"/>
  <c r="EA16" i="32"/>
  <c r="DZ16" i="32"/>
  <c r="DS16" i="32"/>
  <c r="DR17" i="32"/>
  <c r="Q71" i="17"/>
  <c r="Q72" i="17" s="1"/>
  <c r="Q73" i="17" s="1"/>
  <c r="R70" i="17"/>
  <c r="S70" i="17"/>
  <c r="R71" i="25"/>
  <c r="R72" i="25" s="1"/>
  <c r="R73" i="25" s="1"/>
  <c r="T70" i="25"/>
  <c r="T73" i="26"/>
  <c r="R74" i="26"/>
  <c r="R75" i="26" s="1"/>
  <c r="R76" i="26" s="1"/>
  <c r="X7" i="29"/>
  <c r="AJ74" i="17"/>
  <c r="AJ75" i="17" s="1"/>
  <c r="AJ76" i="17" s="1"/>
  <c r="AL73" i="17"/>
  <c r="E74" i="21"/>
  <c r="E75" i="21" s="1"/>
  <c r="E76" i="21" s="1"/>
  <c r="G73" i="21"/>
  <c r="R74" i="1"/>
  <c r="R75" i="1" s="1"/>
  <c r="R76" i="1" s="1"/>
  <c r="T73" i="1"/>
  <c r="J74" i="17"/>
  <c r="J75" i="17" s="1"/>
  <c r="J76" i="17" s="1"/>
  <c r="L73" i="17"/>
  <c r="BJ101" i="17"/>
  <c r="BJ102" i="17" s="1"/>
  <c r="BJ103" i="17" s="1"/>
  <c r="BL100" i="17"/>
  <c r="AW26" i="32"/>
  <c r="AV21" i="32" a="1"/>
  <c r="AU21" i="32" a="1"/>
  <c r="B49" i="39" l="1"/>
  <c r="B50" i="39" s="1"/>
  <c r="AV21" i="32"/>
  <c r="AV34" i="32" s="1"/>
  <c r="AV36" i="32" s="1"/>
  <c r="AU21" i="32"/>
  <c r="AU34" i="32" s="1"/>
  <c r="AU36" i="32" s="1"/>
  <c r="AW19" i="32" a="1"/>
  <c r="AW19" i="32" s="1"/>
  <c r="AW16" i="32" a="1"/>
  <c r="AW16" i="32" s="1"/>
  <c r="AW20" i="32" a="1"/>
  <c r="AW20" i="32" s="1"/>
  <c r="E77" i="2"/>
  <c r="E78" i="2" s="1"/>
  <c r="E79" i="2" s="1"/>
  <c r="G76" i="2"/>
  <c r="F76" i="2"/>
  <c r="AJ77" i="28"/>
  <c r="AJ78" i="28" s="1"/>
  <c r="AJ79" i="28" s="1"/>
  <c r="AL76" i="28"/>
  <c r="AD71" i="17"/>
  <c r="AD72" i="17" s="1"/>
  <c r="AD73" i="17" s="1"/>
  <c r="AF70" i="17"/>
  <c r="AE70" i="17"/>
  <c r="T37" i="12"/>
  <c r="R38" i="12"/>
  <c r="R39" i="12" s="1"/>
  <c r="R40" i="12" s="1"/>
  <c r="V76" i="21"/>
  <c r="U76" i="21"/>
  <c r="T77" i="21"/>
  <c r="T78" i="21" s="1"/>
  <c r="T79" i="21" s="1"/>
  <c r="AW77" i="28"/>
  <c r="AW78" i="28" s="1"/>
  <c r="AW79" i="28" s="1"/>
  <c r="AY76" i="28"/>
  <c r="E80" i="35"/>
  <c r="E81" i="35" s="1"/>
  <c r="E82" i="35" s="1"/>
  <c r="G79" i="35"/>
  <c r="F79" i="35"/>
  <c r="EG17" i="32"/>
  <c r="DY17" i="32"/>
  <c r="EF17" i="32"/>
  <c r="DX17" i="32"/>
  <c r="EE17" i="32"/>
  <c r="DW17" i="32"/>
  <c r="DR18" i="32"/>
  <c r="ED17" i="32"/>
  <c r="DV17" i="32"/>
  <c r="EC17" i="32"/>
  <c r="DU17" i="32"/>
  <c r="EB17" i="32"/>
  <c r="DT17" i="32"/>
  <c r="EH17" i="32"/>
  <c r="EA17" i="32"/>
  <c r="DZ17" i="32"/>
  <c r="DS17" i="32"/>
  <c r="S76" i="26"/>
  <c r="R77" i="26"/>
  <c r="R78" i="26" s="1"/>
  <c r="R79" i="26" s="1"/>
  <c r="T76" i="26"/>
  <c r="N79" i="36"/>
  <c r="M79" i="36"/>
  <c r="L80" i="36"/>
  <c r="L81" i="36" s="1"/>
  <c r="L82" i="36" s="1"/>
  <c r="W77" i="28"/>
  <c r="W78" i="28" s="1"/>
  <c r="W79" i="28" s="1"/>
  <c r="Y76" i="28"/>
  <c r="L77" i="12"/>
  <c r="L78" i="12" s="1"/>
  <c r="L79" i="12" s="1"/>
  <c r="N76" i="12"/>
  <c r="M76" i="12"/>
  <c r="L77" i="6"/>
  <c r="L78" i="6" s="1"/>
  <c r="L79" i="6" s="1"/>
  <c r="M76" i="6"/>
  <c r="N76" i="6"/>
  <c r="L77" i="25"/>
  <c r="L78" i="25" s="1"/>
  <c r="L79" i="25" s="1"/>
  <c r="M76" i="25"/>
  <c r="N76" i="25"/>
  <c r="S76" i="27"/>
  <c r="T76" i="27"/>
  <c r="R77" i="27"/>
  <c r="R78" i="27" s="1"/>
  <c r="R79" i="27" s="1"/>
  <c r="L74" i="27"/>
  <c r="L75" i="27" s="1"/>
  <c r="L76" i="27" s="1"/>
  <c r="N73" i="27"/>
  <c r="Y76" i="17"/>
  <c r="W77" i="17"/>
  <c r="W78" i="17" s="1"/>
  <c r="W79" i="17" s="1"/>
  <c r="L80" i="35"/>
  <c r="L81" i="35" s="1"/>
  <c r="L82" i="35" s="1"/>
  <c r="N79" i="35"/>
  <c r="M79" i="35"/>
  <c r="BQ77" i="28"/>
  <c r="BQ78" i="28" s="1"/>
  <c r="BQ79" i="28" s="1"/>
  <c r="BS76" i="28"/>
  <c r="AS70" i="17"/>
  <c r="AQ71" i="17"/>
  <c r="AQ72" i="17" s="1"/>
  <c r="AQ73" i="17" s="1"/>
  <c r="AR70" i="17"/>
  <c r="A56" i="10"/>
  <c r="E77" i="36"/>
  <c r="E78" i="36" s="1"/>
  <c r="E79" i="36" s="1"/>
  <c r="G76" i="36"/>
  <c r="E80" i="27"/>
  <c r="E81" i="27" s="1"/>
  <c r="E82" i="27" s="1"/>
  <c r="G79" i="27"/>
  <c r="S76" i="6"/>
  <c r="T76" i="6"/>
  <c r="R77" i="6"/>
  <c r="R78" i="6" s="1"/>
  <c r="R79" i="6" s="1"/>
  <c r="CH76" i="28"/>
  <c r="CF77" i="28"/>
  <c r="CF78" i="28" s="1"/>
  <c r="CF79" i="28" s="1"/>
  <c r="DP17" i="32"/>
  <c r="DH17" i="32"/>
  <c r="DO17" i="32"/>
  <c r="DG17" i="32"/>
  <c r="DN17" i="32"/>
  <c r="DF17" i="32"/>
  <c r="DM17" i="32"/>
  <c r="DE17" i="32"/>
  <c r="CZ18" i="32"/>
  <c r="DL17" i="32"/>
  <c r="DD17" i="32"/>
  <c r="DK17" i="32"/>
  <c r="DC17" i="32"/>
  <c r="DJ17" i="32"/>
  <c r="DI17" i="32"/>
  <c r="DB17" i="32"/>
  <c r="DA17" i="32"/>
  <c r="BF73" i="28"/>
  <c r="BD74" i="28"/>
  <c r="BD75" i="28" s="1"/>
  <c r="BD76" i="28" s="1"/>
  <c r="AY103" i="17"/>
  <c r="AW104" i="17"/>
  <c r="AW105" i="17" s="1"/>
  <c r="AW106" i="17" s="1"/>
  <c r="L76" i="28"/>
  <c r="J77" i="28"/>
  <c r="J78" i="28" s="1"/>
  <c r="J79" i="28" s="1"/>
  <c r="BY80" i="17"/>
  <c r="BY81" i="17" s="1"/>
  <c r="BY82" i="17" s="1"/>
  <c r="CA79" i="17"/>
  <c r="J5" i="29"/>
  <c r="BQ80" i="17"/>
  <c r="BQ81" i="17" s="1"/>
  <c r="BQ82" i="17" s="1"/>
  <c r="BS79" i="17"/>
  <c r="AD71" i="28"/>
  <c r="AD72" i="28" s="1"/>
  <c r="AD73" i="28" s="1"/>
  <c r="AF70" i="28"/>
  <c r="AE70" i="28"/>
  <c r="T79" i="36"/>
  <c r="R80" i="36"/>
  <c r="R81" i="36" s="1"/>
  <c r="R82" i="36" s="1"/>
  <c r="S79" i="36"/>
  <c r="F19" i="23"/>
  <c r="H19" i="23"/>
  <c r="E19" i="23"/>
  <c r="D19" i="23"/>
  <c r="N19" i="23"/>
  <c r="M19" i="23"/>
  <c r="J19" i="23"/>
  <c r="L19" i="23"/>
  <c r="I19" i="23"/>
  <c r="F76" i="6"/>
  <c r="E77" i="6"/>
  <c r="E78" i="6" s="1"/>
  <c r="E79" i="6" s="1"/>
  <c r="G76" i="6"/>
  <c r="N79" i="2"/>
  <c r="L80" i="2"/>
  <c r="L81" i="2" s="1"/>
  <c r="L82" i="2" s="1"/>
  <c r="Y77" i="1"/>
  <c r="Y78" i="1" s="1"/>
  <c r="Y79" i="1" s="1"/>
  <c r="AA76" i="1"/>
  <c r="CF77" i="17"/>
  <c r="CF78" i="17" s="1"/>
  <c r="CF79" i="17" s="1"/>
  <c r="CH76" i="17"/>
  <c r="C20" i="23"/>
  <c r="B21" i="23"/>
  <c r="BJ77" i="28"/>
  <c r="BJ78" i="28" s="1"/>
  <c r="BJ79" i="28" s="1"/>
  <c r="BL76" i="28"/>
  <c r="L76" i="17"/>
  <c r="J77" i="17"/>
  <c r="J78" i="17" s="1"/>
  <c r="J79" i="17" s="1"/>
  <c r="R74" i="25"/>
  <c r="R75" i="25" s="1"/>
  <c r="R76" i="25" s="1"/>
  <c r="T73" i="25"/>
  <c r="E77" i="21"/>
  <c r="E78" i="21" s="1"/>
  <c r="E79" i="21" s="1"/>
  <c r="G76" i="21"/>
  <c r="F76" i="21"/>
  <c r="AS70" i="28"/>
  <c r="AR70" i="28"/>
  <c r="AQ71" i="28"/>
  <c r="AQ72" i="28" s="1"/>
  <c r="AQ73" i="28" s="1"/>
  <c r="Q74" i="28"/>
  <c r="Q75" i="28" s="1"/>
  <c r="Q76" i="28" s="1"/>
  <c r="S73" i="28"/>
  <c r="L77" i="1"/>
  <c r="L78" i="1" s="1"/>
  <c r="L79" i="1" s="1"/>
  <c r="N76" i="1"/>
  <c r="M76" i="1"/>
  <c r="G82" i="26"/>
  <c r="E83" i="26"/>
  <c r="E84" i="26" s="1"/>
  <c r="E85" i="26" s="1"/>
  <c r="T76" i="2"/>
  <c r="R77" i="2"/>
  <c r="R78" i="2" s="1"/>
  <c r="R79" i="2" s="1"/>
  <c r="S76" i="2"/>
  <c r="G76" i="25"/>
  <c r="E77" i="25"/>
  <c r="E78" i="25" s="1"/>
  <c r="E79" i="25" s="1"/>
  <c r="F76" i="25"/>
  <c r="T79" i="35"/>
  <c r="R80" i="35"/>
  <c r="R81" i="35" s="1"/>
  <c r="R82" i="35" s="1"/>
  <c r="S79" i="35"/>
  <c r="X5" i="29"/>
  <c r="T76" i="1"/>
  <c r="S76" i="1"/>
  <c r="R77" i="1"/>
  <c r="R78" i="1" s="1"/>
  <c r="R79" i="1" s="1"/>
  <c r="BJ104" i="17"/>
  <c r="BJ105" i="17" s="1"/>
  <c r="BJ106" i="17" s="1"/>
  <c r="BL103" i="17"/>
  <c r="AL76" i="17"/>
  <c r="AJ77" i="17"/>
  <c r="AJ78" i="17" s="1"/>
  <c r="AJ79" i="17" s="1"/>
  <c r="S73" i="17"/>
  <c r="Q74" i="17"/>
  <c r="Q75" i="17" s="1"/>
  <c r="Q76" i="17" s="1"/>
  <c r="BD74" i="17"/>
  <c r="BD75" i="17" s="1"/>
  <c r="BD76" i="17" s="1"/>
  <c r="BF73" i="17"/>
  <c r="L77" i="26"/>
  <c r="L78" i="26" s="1"/>
  <c r="L79" i="26" s="1"/>
  <c r="M76" i="26"/>
  <c r="N76" i="26"/>
  <c r="EX17" i="32"/>
  <c r="EP17" i="32"/>
  <c r="EW17" i="32"/>
  <c r="EO17" i="32"/>
  <c r="EJ18" i="32"/>
  <c r="EV17" i="32"/>
  <c r="EN17" i="32"/>
  <c r="EU17" i="32"/>
  <c r="EM17" i="32"/>
  <c r="ET17" i="32"/>
  <c r="EL17" i="32"/>
  <c r="ES17" i="32"/>
  <c r="EK17" i="32"/>
  <c r="ER17" i="32"/>
  <c r="EQ17" i="32"/>
  <c r="EZ17" i="32"/>
  <c r="EY17" i="32"/>
  <c r="BY80" i="28"/>
  <c r="BY81" i="28" s="1"/>
  <c r="BY82" i="28" s="1"/>
  <c r="CA79" i="28"/>
  <c r="G76" i="1"/>
  <c r="F76" i="1"/>
  <c r="E77" i="1"/>
  <c r="E78" i="1" s="1"/>
  <c r="E79" i="1" s="1"/>
  <c r="CQ17" i="32"/>
  <c r="CI17" i="32"/>
  <c r="CX17" i="32"/>
  <c r="CP17" i="32"/>
  <c r="CW17" i="32"/>
  <c r="CO17" i="32"/>
  <c r="CV17" i="32"/>
  <c r="CN17" i="32"/>
  <c r="CU17" i="32"/>
  <c r="CM17" i="32"/>
  <c r="CH18" i="32"/>
  <c r="CT17" i="32"/>
  <c r="CL17" i="32"/>
  <c r="CS17" i="32"/>
  <c r="CR17" i="32"/>
  <c r="CJ17" i="32"/>
  <c r="CK17" i="32"/>
  <c r="O76" i="21"/>
  <c r="N76" i="21"/>
  <c r="M77" i="21"/>
  <c r="M78" i="21" s="1"/>
  <c r="M79" i="21" s="1"/>
  <c r="E77" i="12"/>
  <c r="E78" i="12" s="1"/>
  <c r="E79" i="12" s="1"/>
  <c r="G76" i="12"/>
  <c r="F76" i="12"/>
  <c r="AW35" i="32"/>
  <c r="AW21" i="32" a="1"/>
  <c r="B51" i="39" l="1"/>
  <c r="AW21" i="32"/>
  <c r="AJ80" i="17"/>
  <c r="AJ81" i="17" s="1"/>
  <c r="AJ82" i="17" s="1"/>
  <c r="AL79" i="17"/>
  <c r="J80" i="17"/>
  <c r="J81" i="17" s="1"/>
  <c r="J82" i="17" s="1"/>
  <c r="L79" i="17"/>
  <c r="G82" i="27"/>
  <c r="E83" i="27"/>
  <c r="E84" i="27" s="1"/>
  <c r="E85" i="27" s="1"/>
  <c r="R80" i="27"/>
  <c r="R81" i="27" s="1"/>
  <c r="R82" i="27" s="1"/>
  <c r="T79" i="27"/>
  <c r="T82" i="35"/>
  <c r="R83" i="35"/>
  <c r="R84" i="35" s="1"/>
  <c r="R85" i="35" s="1"/>
  <c r="G85" i="26"/>
  <c r="E86" i="26"/>
  <c r="E87" i="26" s="1"/>
  <c r="E88" i="26" s="1"/>
  <c r="Y80" i="1"/>
  <c r="Y81" i="1" s="1"/>
  <c r="Y82" i="1" s="1"/>
  <c r="AA79" i="1"/>
  <c r="T82" i="36"/>
  <c r="R83" i="36"/>
  <c r="R84" i="36" s="1"/>
  <c r="R85" i="36" s="1"/>
  <c r="CZ19" i="32"/>
  <c r="DL18" i="32"/>
  <c r="DD18" i="32"/>
  <c r="DK18" i="32"/>
  <c r="DC18" i="32"/>
  <c r="DJ18" i="32"/>
  <c r="DB18" i="32"/>
  <c r="DI18" i="32"/>
  <c r="DA18" i="32"/>
  <c r="DP18" i="32"/>
  <c r="DH18" i="32"/>
  <c r="DO18" i="32"/>
  <c r="DG18" i="32"/>
  <c r="DN18" i="32"/>
  <c r="DM18" i="32"/>
  <c r="DF18" i="32"/>
  <c r="DE18" i="32"/>
  <c r="AW80" i="28"/>
  <c r="AW81" i="28" s="1"/>
  <c r="AW82" i="28" s="1"/>
  <c r="AY79" i="28"/>
  <c r="AD74" i="17"/>
  <c r="AD75" i="17" s="1"/>
  <c r="AD76" i="17" s="1"/>
  <c r="AF73" i="17"/>
  <c r="CU18" i="32"/>
  <c r="CM18" i="32"/>
  <c r="CH19" i="32"/>
  <c r="CT18" i="32"/>
  <c r="CL18" i="32"/>
  <c r="CS18" i="32"/>
  <c r="CK18" i="32"/>
  <c r="CR18" i="32"/>
  <c r="CJ18" i="32"/>
  <c r="CQ18" i="32"/>
  <c r="CI18" i="32"/>
  <c r="CX18" i="32"/>
  <c r="CP18" i="32"/>
  <c r="CN18" i="32"/>
  <c r="CW18" i="32"/>
  <c r="CV18" i="32"/>
  <c r="CO18" i="32"/>
  <c r="BQ80" i="28"/>
  <c r="BQ81" i="28" s="1"/>
  <c r="BQ82" i="28" s="1"/>
  <c r="BS79" i="28"/>
  <c r="L83" i="2"/>
  <c r="L84" i="2" s="1"/>
  <c r="L85" i="2" s="1"/>
  <c r="N82" i="2"/>
  <c r="CA82" i="17"/>
  <c r="BZ82" i="17"/>
  <c r="BY83" i="17"/>
  <c r="BY84" i="17" s="1"/>
  <c r="BY85" i="17" s="1"/>
  <c r="CH79" i="28"/>
  <c r="CF80" i="28"/>
  <c r="CF81" i="28" s="1"/>
  <c r="CF82" i="28" s="1"/>
  <c r="G79" i="36"/>
  <c r="F79" i="36"/>
  <c r="E80" i="36"/>
  <c r="E81" i="36" s="1"/>
  <c r="E82" i="36" s="1"/>
  <c r="T79" i="26"/>
  <c r="R80" i="26"/>
  <c r="R81" i="26" s="1"/>
  <c r="R82" i="26" s="1"/>
  <c r="V79" i="21"/>
  <c r="T80" i="21"/>
  <c r="T81" i="21" s="1"/>
  <c r="T82" i="21" s="1"/>
  <c r="AS73" i="28"/>
  <c r="AQ74" i="28"/>
  <c r="AQ75" i="28" s="1"/>
  <c r="AQ76" i="28" s="1"/>
  <c r="L80" i="6"/>
  <c r="L81" i="6" s="1"/>
  <c r="L82" i="6" s="1"/>
  <c r="N79" i="6"/>
  <c r="G79" i="1"/>
  <c r="E80" i="1"/>
  <c r="E81" i="1" s="1"/>
  <c r="E82" i="1" s="1"/>
  <c r="N79" i="26"/>
  <c r="L80" i="26"/>
  <c r="L81" i="26" s="1"/>
  <c r="L82" i="26" s="1"/>
  <c r="BK106" i="17"/>
  <c r="BL106" i="17"/>
  <c r="BJ107" i="17"/>
  <c r="BJ108" i="17" s="1"/>
  <c r="BJ109" i="17" s="1"/>
  <c r="BL79" i="28"/>
  <c r="BJ80" i="28"/>
  <c r="BJ81" i="28" s="1"/>
  <c r="BJ82" i="28" s="1"/>
  <c r="L79" i="28"/>
  <c r="J80" i="28"/>
  <c r="J81" i="28" s="1"/>
  <c r="J82" i="28" s="1"/>
  <c r="L83" i="35"/>
  <c r="L84" i="35" s="1"/>
  <c r="L85" i="35" s="1"/>
  <c r="N82" i="35"/>
  <c r="L80" i="12"/>
  <c r="L81" i="12" s="1"/>
  <c r="L82" i="12" s="1"/>
  <c r="N79" i="12"/>
  <c r="AJ80" i="28"/>
  <c r="AJ81" i="28" s="1"/>
  <c r="AJ82" i="28" s="1"/>
  <c r="AL79" i="28"/>
  <c r="ET18" i="32"/>
  <c r="EL18" i="32"/>
  <c r="ES18" i="32"/>
  <c r="EK18" i="32"/>
  <c r="EZ18" i="32"/>
  <c r="ER18" i="32"/>
  <c r="EY18" i="32"/>
  <c r="EQ18" i="32"/>
  <c r="EX18" i="32"/>
  <c r="EP18" i="32"/>
  <c r="EW18" i="32"/>
  <c r="EO18" i="32"/>
  <c r="EV18" i="32"/>
  <c r="EU18" i="32"/>
  <c r="EN18" i="32"/>
  <c r="EM18" i="32"/>
  <c r="EJ19" i="32"/>
  <c r="R80" i="1"/>
  <c r="R81" i="1" s="1"/>
  <c r="R82" i="1" s="1"/>
  <c r="T79" i="1"/>
  <c r="G79" i="25"/>
  <c r="E80" i="25"/>
  <c r="E81" i="25" s="1"/>
  <c r="E82" i="25" s="1"/>
  <c r="C21" i="23"/>
  <c r="B22" i="23"/>
  <c r="T79" i="6"/>
  <c r="R80" i="6"/>
  <c r="R81" i="6" s="1"/>
  <c r="R82" i="6" s="1"/>
  <c r="W80" i="17"/>
  <c r="W81" i="17" s="1"/>
  <c r="W82" i="17" s="1"/>
  <c r="Y79" i="17"/>
  <c r="BF76" i="17"/>
  <c r="BD77" i="17"/>
  <c r="BD78" i="17" s="1"/>
  <c r="BD79" i="17" s="1"/>
  <c r="M20" i="23"/>
  <c r="E20" i="23"/>
  <c r="D20" i="23"/>
  <c r="N20" i="23"/>
  <c r="L20" i="23"/>
  <c r="J20" i="23"/>
  <c r="H20" i="23"/>
  <c r="I20" i="23"/>
  <c r="F20" i="23"/>
  <c r="E80" i="6"/>
  <c r="E81" i="6" s="1"/>
  <c r="E82" i="6" s="1"/>
  <c r="G79" i="6"/>
  <c r="AD74" i="28"/>
  <c r="AD75" i="28" s="1"/>
  <c r="AD76" i="28" s="1"/>
  <c r="AF73" i="28"/>
  <c r="AY106" i="17"/>
  <c r="AW107" i="17"/>
  <c r="AW108" i="17" s="1"/>
  <c r="AW109" i="17" s="1"/>
  <c r="AX106" i="17"/>
  <c r="A55" i="10"/>
  <c r="AS73" i="17"/>
  <c r="AQ74" i="17"/>
  <c r="AQ75" i="17" s="1"/>
  <c r="AQ76" i="17" s="1"/>
  <c r="N79" i="25"/>
  <c r="L80" i="25"/>
  <c r="L81" i="25" s="1"/>
  <c r="L82" i="25" s="1"/>
  <c r="W80" i="28"/>
  <c r="W81" i="28" s="1"/>
  <c r="W82" i="28" s="1"/>
  <c r="Y79" i="28"/>
  <c r="T40" i="12"/>
  <c r="S40" i="12"/>
  <c r="R41" i="12"/>
  <c r="R42" i="12" s="1"/>
  <c r="R43" i="12" s="1"/>
  <c r="N79" i="1"/>
  <c r="L80" i="1"/>
  <c r="L81" i="1" s="1"/>
  <c r="L82" i="1" s="1"/>
  <c r="E80" i="21"/>
  <c r="E81" i="21" s="1"/>
  <c r="E82" i="21" s="1"/>
  <c r="G79" i="21"/>
  <c r="E80" i="12"/>
  <c r="E81" i="12" s="1"/>
  <c r="E82" i="12" s="1"/>
  <c r="G79" i="12"/>
  <c r="Q77" i="17"/>
  <c r="Q78" i="17" s="1"/>
  <c r="Q79" i="17" s="1"/>
  <c r="S76" i="17"/>
  <c r="N82" i="36"/>
  <c r="L83" i="36"/>
  <c r="L84" i="36" s="1"/>
  <c r="L85" i="36" s="1"/>
  <c r="EC18" i="32"/>
  <c r="DU18" i="32"/>
  <c r="EB18" i="32"/>
  <c r="DT18" i="32"/>
  <c r="EA18" i="32"/>
  <c r="DS18" i="32"/>
  <c r="EH18" i="32"/>
  <c r="DZ18" i="32"/>
  <c r="EG18" i="32"/>
  <c r="DY18" i="32"/>
  <c r="EF18" i="32"/>
  <c r="DX18" i="32"/>
  <c r="DV18" i="32"/>
  <c r="DR19" i="32"/>
  <c r="EE18" i="32"/>
  <c r="ED18" i="32"/>
  <c r="DW18" i="32"/>
  <c r="E80" i="2"/>
  <c r="E81" i="2" s="1"/>
  <c r="E82" i="2" s="1"/>
  <c r="G79" i="2"/>
  <c r="M80" i="21"/>
  <c r="M81" i="21" s="1"/>
  <c r="M82" i="21" s="1"/>
  <c r="O79" i="21"/>
  <c r="BZ82" i="28"/>
  <c r="BY83" i="28"/>
  <c r="BY84" i="28" s="1"/>
  <c r="BY85" i="28" s="1"/>
  <c r="CA82" i="28"/>
  <c r="R80" i="2"/>
  <c r="R81" i="2" s="1"/>
  <c r="R82" i="2" s="1"/>
  <c r="T79" i="2"/>
  <c r="Q77" i="28"/>
  <c r="Q78" i="28" s="1"/>
  <c r="Q79" i="28" s="1"/>
  <c r="S76" i="28"/>
  <c r="T76" i="25"/>
  <c r="S76" i="25"/>
  <c r="R77" i="25"/>
  <c r="R78" i="25" s="1"/>
  <c r="R79" i="25" s="1"/>
  <c r="CH79" i="17"/>
  <c r="CF80" i="17"/>
  <c r="CF81" i="17" s="1"/>
  <c r="CF82" i="17" s="1"/>
  <c r="BQ83" i="17"/>
  <c r="BQ84" i="17" s="1"/>
  <c r="BQ85" i="17" s="1"/>
  <c r="BS82" i="17"/>
  <c r="BR82" i="17"/>
  <c r="BF76" i="28"/>
  <c r="BD77" i="28"/>
  <c r="BD78" i="28" s="1"/>
  <c r="BD79" i="28" s="1"/>
  <c r="L77" i="27"/>
  <c r="L78" i="27" s="1"/>
  <c r="L79" i="27" s="1"/>
  <c r="N76" i="27"/>
  <c r="M76" i="27"/>
  <c r="E83" i="35"/>
  <c r="E84" i="35" s="1"/>
  <c r="E85" i="35" s="1"/>
  <c r="G82" i="35"/>
  <c r="B52" i="39" l="1"/>
  <c r="B53" i="39" s="1"/>
  <c r="B54" i="39" s="1"/>
  <c r="AW34" i="32"/>
  <c r="AW36" i="32" s="1"/>
  <c r="BY86" i="17"/>
  <c r="BY87" i="17" s="1"/>
  <c r="BY88" i="17" s="1"/>
  <c r="CA85" i="17"/>
  <c r="N79" i="27"/>
  <c r="L80" i="27"/>
  <c r="L81" i="27" s="1"/>
  <c r="L82" i="27" s="1"/>
  <c r="AF76" i="28"/>
  <c r="AD77" i="28"/>
  <c r="AD78" i="28" s="1"/>
  <c r="AD79" i="28" s="1"/>
  <c r="T82" i="6"/>
  <c r="R83" i="6"/>
  <c r="R84" i="6" s="1"/>
  <c r="R85" i="6" s="1"/>
  <c r="EX19" i="32"/>
  <c r="EP19" i="32"/>
  <c r="EW19" i="32"/>
  <c r="EO19" i="32"/>
  <c r="EJ20" i="32"/>
  <c r="EV19" i="32"/>
  <c r="EN19" i="32"/>
  <c r="EU19" i="32"/>
  <c r="EM19" i="32"/>
  <c r="ET19" i="32"/>
  <c r="EL19" i="32"/>
  <c r="ES19" i="32"/>
  <c r="EK19" i="32"/>
  <c r="EZ19" i="32"/>
  <c r="EY19" i="32"/>
  <c r="ER19" i="32"/>
  <c r="EQ19" i="32"/>
  <c r="E83" i="1"/>
  <c r="E84" i="1" s="1"/>
  <c r="E85" i="1" s="1"/>
  <c r="G82" i="1"/>
  <c r="R83" i="26"/>
  <c r="R84" i="26" s="1"/>
  <c r="R85" i="26" s="1"/>
  <c r="T82" i="26"/>
  <c r="AD77" i="17"/>
  <c r="AD78" i="17" s="1"/>
  <c r="AD79" i="17" s="1"/>
  <c r="AF76" i="17"/>
  <c r="G88" i="26"/>
  <c r="E89" i="26"/>
  <c r="E90" i="26" s="1"/>
  <c r="E91" i="26" s="1"/>
  <c r="F88" i="26"/>
  <c r="L82" i="28"/>
  <c r="J83" i="28"/>
  <c r="J84" i="28" s="1"/>
  <c r="J85" i="28" s="1"/>
  <c r="K82" i="28"/>
  <c r="Y83" i="1"/>
  <c r="Y84" i="1" s="1"/>
  <c r="Y85" i="1" s="1"/>
  <c r="AA82" i="1"/>
  <c r="R80" i="25"/>
  <c r="R81" i="25" s="1"/>
  <c r="R82" i="25" s="1"/>
  <c r="T79" i="25"/>
  <c r="BF79" i="28"/>
  <c r="BD80" i="28"/>
  <c r="BD81" i="28" s="1"/>
  <c r="BD82" i="28" s="1"/>
  <c r="EG19" i="32"/>
  <c r="DY19" i="32"/>
  <c r="EF19" i="32"/>
  <c r="DX19" i="32"/>
  <c r="EE19" i="32"/>
  <c r="DW19" i="32"/>
  <c r="DR20" i="32"/>
  <c r="ED19" i="32"/>
  <c r="DV19" i="32"/>
  <c r="EC19" i="32"/>
  <c r="DU19" i="32"/>
  <c r="EB19" i="32"/>
  <c r="DT19" i="32"/>
  <c r="EA19" i="32"/>
  <c r="DZ19" i="32"/>
  <c r="DS19" i="32"/>
  <c r="EH19" i="32"/>
  <c r="T43" i="12"/>
  <c r="R44" i="12"/>
  <c r="R45" i="12" s="1"/>
  <c r="R46" i="12" s="1"/>
  <c r="A54" i="10"/>
  <c r="BJ83" i="28"/>
  <c r="BJ84" i="28" s="1"/>
  <c r="BJ85" i="28" s="1"/>
  <c r="BK82" i="28"/>
  <c r="BL82" i="28"/>
  <c r="J83" i="17"/>
  <c r="J84" i="17" s="1"/>
  <c r="J85" i="17" s="1"/>
  <c r="L82" i="17"/>
  <c r="K82" i="17"/>
  <c r="L83" i="1"/>
  <c r="L84" i="1" s="1"/>
  <c r="L85" i="1" s="1"/>
  <c r="N82" i="1"/>
  <c r="X82" i="17"/>
  <c r="W83" i="17"/>
  <c r="W84" i="17" s="1"/>
  <c r="W85" i="17" s="1"/>
  <c r="Y82" i="17"/>
  <c r="T82" i="1"/>
  <c r="R83" i="1"/>
  <c r="R84" i="1" s="1"/>
  <c r="R85" i="1" s="1"/>
  <c r="CA85" i="28"/>
  <c r="BY86" i="28"/>
  <c r="BY87" i="28" s="1"/>
  <c r="BY88" i="28" s="1"/>
  <c r="AQ77" i="17"/>
  <c r="AQ78" i="17" s="1"/>
  <c r="AQ79" i="17" s="1"/>
  <c r="AS76" i="17"/>
  <c r="S79" i="17"/>
  <c r="Q80" i="17"/>
  <c r="Q81" i="17" s="1"/>
  <c r="Q82" i="17" s="1"/>
  <c r="E83" i="6"/>
  <c r="E84" i="6" s="1"/>
  <c r="E85" i="6" s="1"/>
  <c r="G82" i="6"/>
  <c r="B23" i="23"/>
  <c r="C22" i="23"/>
  <c r="AL82" i="28"/>
  <c r="AJ83" i="28"/>
  <c r="AJ84" i="28" s="1"/>
  <c r="AJ85" i="28" s="1"/>
  <c r="AK82" i="28"/>
  <c r="G82" i="36"/>
  <c r="E83" i="36"/>
  <c r="E84" i="36" s="1"/>
  <c r="E85" i="36" s="1"/>
  <c r="AY82" i="28"/>
  <c r="AW83" i="28"/>
  <c r="AW84" i="28" s="1"/>
  <c r="AW85" i="28" s="1"/>
  <c r="AX82" i="28"/>
  <c r="T85" i="35"/>
  <c r="R86" i="35"/>
  <c r="R87" i="35" s="1"/>
  <c r="R88" i="35" s="1"/>
  <c r="M83" i="21"/>
  <c r="M84" i="21" s="1"/>
  <c r="M85" i="21" s="1"/>
  <c r="O82" i="21"/>
  <c r="I21" i="23"/>
  <c r="N21" i="23"/>
  <c r="M21" i="23"/>
  <c r="L21" i="23"/>
  <c r="J21" i="23"/>
  <c r="H21" i="23"/>
  <c r="E21" i="23"/>
  <c r="F21" i="23"/>
  <c r="D21" i="23"/>
  <c r="BJ110" i="17"/>
  <c r="BJ111" i="17" s="1"/>
  <c r="BJ112" i="17" s="1"/>
  <c r="BL109" i="17"/>
  <c r="N82" i="6"/>
  <c r="L83" i="6"/>
  <c r="L84" i="6" s="1"/>
  <c r="L85" i="6" s="1"/>
  <c r="N85" i="2"/>
  <c r="L86" i="2"/>
  <c r="L87" i="2" s="1"/>
  <c r="L88" i="2" s="1"/>
  <c r="DP19" i="32"/>
  <c r="DH19" i="32"/>
  <c r="DO19" i="32"/>
  <c r="DG19" i="32"/>
  <c r="DN19" i="32"/>
  <c r="DF19" i="32"/>
  <c r="DM19" i="32"/>
  <c r="DE19" i="32"/>
  <c r="CZ20" i="32"/>
  <c r="DL19" i="32"/>
  <c r="DD19" i="32"/>
  <c r="DK19" i="32"/>
  <c r="DC19" i="32"/>
  <c r="DJ19" i="32"/>
  <c r="DI19" i="32"/>
  <c r="DB19" i="32"/>
  <c r="DA19" i="32"/>
  <c r="AJ83" i="17"/>
  <c r="AJ84" i="17" s="1"/>
  <c r="AJ85" i="17" s="1"/>
  <c r="AL82" i="17"/>
  <c r="AK82" i="17"/>
  <c r="BD80" i="17"/>
  <c r="BD81" i="17" s="1"/>
  <c r="BD82" i="17" s="1"/>
  <c r="BF79" i="17"/>
  <c r="G82" i="25"/>
  <c r="E83" i="25"/>
  <c r="E84" i="25" s="1"/>
  <c r="E85" i="25" s="1"/>
  <c r="L83" i="12"/>
  <c r="L84" i="12" s="1"/>
  <c r="L85" i="12" s="1"/>
  <c r="N82" i="12"/>
  <c r="AQ77" i="28"/>
  <c r="AQ78" i="28" s="1"/>
  <c r="AQ79" i="28" s="1"/>
  <c r="AS76" i="28"/>
  <c r="CQ19" i="32"/>
  <c r="CI19" i="32"/>
  <c r="CX19" i="32"/>
  <c r="CP19" i="32"/>
  <c r="CW19" i="32"/>
  <c r="CO19" i="32"/>
  <c r="CV19" i="32"/>
  <c r="CN19" i="32"/>
  <c r="CU19" i="32"/>
  <c r="CM19" i="32"/>
  <c r="CH20" i="32"/>
  <c r="CT19" i="32"/>
  <c r="CL19" i="32"/>
  <c r="CS19" i="32"/>
  <c r="CR19" i="32"/>
  <c r="CK19" i="32"/>
  <c r="CJ19" i="32"/>
  <c r="T85" i="36"/>
  <c r="R86" i="36"/>
  <c r="R87" i="36" s="1"/>
  <c r="R88" i="36" s="1"/>
  <c r="N85" i="36"/>
  <c r="L86" i="36"/>
  <c r="L87" i="36" s="1"/>
  <c r="L88" i="36" s="1"/>
  <c r="Q80" i="28"/>
  <c r="Q81" i="28" s="1"/>
  <c r="Q82" i="28" s="1"/>
  <c r="S79" i="28"/>
  <c r="E83" i="12"/>
  <c r="E84" i="12" s="1"/>
  <c r="E85" i="12" s="1"/>
  <c r="G82" i="12"/>
  <c r="E86" i="35"/>
  <c r="E87" i="35" s="1"/>
  <c r="E88" i="35" s="1"/>
  <c r="G85" i="35"/>
  <c r="BS85" i="17"/>
  <c r="BQ86" i="17"/>
  <c r="BQ87" i="17" s="1"/>
  <c r="BQ88" i="17" s="1"/>
  <c r="E83" i="2"/>
  <c r="E84" i="2" s="1"/>
  <c r="E85" i="2" s="1"/>
  <c r="G82" i="2"/>
  <c r="Y82" i="28"/>
  <c r="X82" i="28"/>
  <c r="W83" i="28"/>
  <c r="W84" i="28" s="1"/>
  <c r="W85" i="28" s="1"/>
  <c r="AY109" i="17"/>
  <c r="AW110" i="17"/>
  <c r="AW111" i="17" s="1"/>
  <c r="AW112" i="17" s="1"/>
  <c r="CF83" i="28"/>
  <c r="CF84" i="28" s="1"/>
  <c r="CF85" i="28" s="1"/>
  <c r="CH82" i="28"/>
  <c r="CG82" i="28"/>
  <c r="BQ83" i="28"/>
  <c r="BQ84" i="28" s="1"/>
  <c r="BQ85" i="28" s="1"/>
  <c r="BS82" i="28"/>
  <c r="BR82" i="28"/>
  <c r="R83" i="27"/>
  <c r="R84" i="27" s="1"/>
  <c r="R85" i="27" s="1"/>
  <c r="T82" i="27"/>
  <c r="CF83" i="17"/>
  <c r="CF84" i="17" s="1"/>
  <c r="CF85" i="17" s="1"/>
  <c r="CH82" i="17"/>
  <c r="CG82" i="17"/>
  <c r="T82" i="2"/>
  <c r="R83" i="2"/>
  <c r="R84" i="2" s="1"/>
  <c r="R85" i="2" s="1"/>
  <c r="E83" i="21"/>
  <c r="E84" i="21" s="1"/>
  <c r="E85" i="21" s="1"/>
  <c r="G82" i="21"/>
  <c r="L83" i="25"/>
  <c r="L84" i="25" s="1"/>
  <c r="L85" i="25" s="1"/>
  <c r="N82" i="25"/>
  <c r="L86" i="35"/>
  <c r="L87" i="35" s="1"/>
  <c r="L88" i="35" s="1"/>
  <c r="N85" i="35"/>
  <c r="N82" i="26"/>
  <c r="L83" i="26"/>
  <c r="L84" i="26" s="1"/>
  <c r="L85" i="26" s="1"/>
  <c r="V82" i="21"/>
  <c r="T83" i="21"/>
  <c r="T84" i="21" s="1"/>
  <c r="T85" i="21" s="1"/>
  <c r="E86" i="27"/>
  <c r="E87" i="27" s="1"/>
  <c r="E88" i="27" s="1"/>
  <c r="G85" i="27"/>
  <c r="B55" i="39" l="1"/>
  <c r="L86" i="26"/>
  <c r="L87" i="26" s="1"/>
  <c r="L88" i="26" s="1"/>
  <c r="N85" i="26"/>
  <c r="E86" i="21"/>
  <c r="E87" i="21" s="1"/>
  <c r="E88" i="21" s="1"/>
  <c r="G85" i="21"/>
  <c r="Y85" i="28"/>
  <c r="W86" i="28"/>
  <c r="W87" i="28" s="1"/>
  <c r="W88" i="28" s="1"/>
  <c r="E89" i="35"/>
  <c r="E90" i="35" s="1"/>
  <c r="E91" i="35" s="1"/>
  <c r="G88" i="35"/>
  <c r="N85" i="6"/>
  <c r="L86" i="6"/>
  <c r="L87" i="6" s="1"/>
  <c r="L88" i="6" s="1"/>
  <c r="AS79" i="17"/>
  <c r="AQ80" i="17"/>
  <c r="AQ81" i="17" s="1"/>
  <c r="AQ82" i="17" s="1"/>
  <c r="BF82" i="17"/>
  <c r="BE82" i="17"/>
  <c r="BD83" i="17"/>
  <c r="BD84" i="17" s="1"/>
  <c r="BD85" i="17" s="1"/>
  <c r="E22" i="23"/>
  <c r="L22" i="23"/>
  <c r="J22" i="23"/>
  <c r="I22" i="23"/>
  <c r="H22" i="23"/>
  <c r="F22" i="23"/>
  <c r="N22" i="23"/>
  <c r="M22" i="23"/>
  <c r="D22" i="23"/>
  <c r="CA88" i="28"/>
  <c r="BY89" i="28"/>
  <c r="BY90" i="28" s="1"/>
  <c r="BY91" i="28" s="1"/>
  <c r="N85" i="1"/>
  <c r="L86" i="1"/>
  <c r="L87" i="1" s="1"/>
  <c r="L88" i="1" s="1"/>
  <c r="T46" i="12"/>
  <c r="R47" i="12"/>
  <c r="R48" i="12" s="1"/>
  <c r="R49" i="12" s="1"/>
  <c r="Y86" i="1"/>
  <c r="Y87" i="1" s="1"/>
  <c r="Y88" i="1" s="1"/>
  <c r="AA85" i="1"/>
  <c r="AD80" i="17"/>
  <c r="AD81" i="17" s="1"/>
  <c r="AD82" i="17" s="1"/>
  <c r="AF79" i="17"/>
  <c r="AD80" i="28"/>
  <c r="AD81" i="28" s="1"/>
  <c r="AD82" i="28" s="1"/>
  <c r="AF79" i="28"/>
  <c r="BQ86" i="28"/>
  <c r="BQ87" i="28" s="1"/>
  <c r="BQ88" i="28" s="1"/>
  <c r="BS85" i="28"/>
  <c r="E86" i="12"/>
  <c r="E87" i="12" s="1"/>
  <c r="E88" i="12" s="1"/>
  <c r="G85" i="12"/>
  <c r="AW86" i="28"/>
  <c r="AW87" i="28" s="1"/>
  <c r="AW88" i="28" s="1"/>
  <c r="AY85" i="28"/>
  <c r="B24" i="23"/>
  <c r="C23" i="23"/>
  <c r="EJ21" i="32"/>
  <c r="ET20" i="32"/>
  <c r="EL20" i="32"/>
  <c r="ES20" i="32"/>
  <c r="EK20" i="32"/>
  <c r="EZ20" i="32"/>
  <c r="ER20" i="32"/>
  <c r="EY20" i="32"/>
  <c r="EQ20" i="32"/>
  <c r="EX20" i="32"/>
  <c r="EP20" i="32"/>
  <c r="EW20" i="32"/>
  <c r="EO20" i="32"/>
  <c r="EM20" i="32"/>
  <c r="EV20" i="32"/>
  <c r="EU20" i="32"/>
  <c r="EN20" i="32"/>
  <c r="AS79" i="28"/>
  <c r="AQ80" i="28"/>
  <c r="AQ81" i="28" s="1"/>
  <c r="AQ82" i="28" s="1"/>
  <c r="BL112" i="17"/>
  <c r="BJ113" i="17"/>
  <c r="BJ114" i="17" s="1"/>
  <c r="BJ115" i="17" s="1"/>
  <c r="T85" i="1"/>
  <c r="R86" i="1"/>
  <c r="R87" i="1" s="1"/>
  <c r="R88" i="1" s="1"/>
  <c r="L85" i="28"/>
  <c r="J86" i="28"/>
  <c r="J87" i="28" s="1"/>
  <c r="J88" i="28" s="1"/>
  <c r="R86" i="26"/>
  <c r="R87" i="26" s="1"/>
  <c r="R88" i="26" s="1"/>
  <c r="T85" i="26"/>
  <c r="L83" i="27"/>
  <c r="L84" i="27" s="1"/>
  <c r="L85" i="27" s="1"/>
  <c r="N82" i="27"/>
  <c r="E86" i="2"/>
  <c r="E87" i="2" s="1"/>
  <c r="E88" i="2" s="1"/>
  <c r="G85" i="2"/>
  <c r="Q83" i="28"/>
  <c r="Q84" i="28" s="1"/>
  <c r="Q85" i="28" s="1"/>
  <c r="R82" i="28"/>
  <c r="S82" i="28"/>
  <c r="AJ86" i="17"/>
  <c r="AJ87" i="17" s="1"/>
  <c r="AJ88" i="17" s="1"/>
  <c r="AL85" i="17"/>
  <c r="G85" i="36"/>
  <c r="E86" i="36"/>
  <c r="E87" i="36" s="1"/>
  <c r="E88" i="36" s="1"/>
  <c r="G85" i="6"/>
  <c r="E86" i="6"/>
  <c r="E87" i="6" s="1"/>
  <c r="E88" i="6" s="1"/>
  <c r="J86" i="17"/>
  <c r="J87" i="17" s="1"/>
  <c r="J88" i="17" s="1"/>
  <c r="L85" i="17"/>
  <c r="BF82" i="28"/>
  <c r="BE82" i="28"/>
  <c r="BD83" i="28"/>
  <c r="BD84" i="28" s="1"/>
  <c r="BD85" i="28" s="1"/>
  <c r="L89" i="35"/>
  <c r="L90" i="35" s="1"/>
  <c r="L91" i="35" s="1"/>
  <c r="N88" i="35"/>
  <c r="CH85" i="17"/>
  <c r="CF86" i="17"/>
  <c r="CF87" i="17" s="1"/>
  <c r="CF88" i="17" s="1"/>
  <c r="BQ89" i="17"/>
  <c r="BQ90" i="17" s="1"/>
  <c r="BQ91" i="17" s="1"/>
  <c r="BS88" i="17"/>
  <c r="L89" i="36"/>
  <c r="L90" i="36" s="1"/>
  <c r="L91" i="36" s="1"/>
  <c r="N88" i="36"/>
  <c r="L86" i="12"/>
  <c r="L87" i="12" s="1"/>
  <c r="L88" i="12" s="1"/>
  <c r="N85" i="12"/>
  <c r="CZ21" i="32"/>
  <c r="DL20" i="32"/>
  <c r="DD20" i="32"/>
  <c r="DK20" i="32"/>
  <c r="DC20" i="32"/>
  <c r="DJ20" i="32"/>
  <c r="DB20" i="32"/>
  <c r="DI20" i="32"/>
  <c r="DA20" i="32"/>
  <c r="DP20" i="32"/>
  <c r="DH20" i="32"/>
  <c r="DO20" i="32"/>
  <c r="DG20" i="32"/>
  <c r="DE20" i="32"/>
  <c r="DN20" i="32"/>
  <c r="DM20" i="32"/>
  <c r="DF20" i="32"/>
  <c r="Q83" i="17"/>
  <c r="Q84" i="17" s="1"/>
  <c r="Q85" i="17" s="1"/>
  <c r="S82" i="17"/>
  <c r="R82" i="17"/>
  <c r="DR21" i="32"/>
  <c r="EC20" i="32"/>
  <c r="DU20" i="32"/>
  <c r="EB20" i="32"/>
  <c r="DT20" i="32"/>
  <c r="EA20" i="32"/>
  <c r="DS20" i="32"/>
  <c r="EH20" i="32"/>
  <c r="DZ20" i="32"/>
  <c r="EG20" i="32"/>
  <c r="DY20" i="32"/>
  <c r="EF20" i="32"/>
  <c r="DX20" i="32"/>
  <c r="EE20" i="32"/>
  <c r="ED20" i="32"/>
  <c r="DW20" i="32"/>
  <c r="DV20" i="32"/>
  <c r="G85" i="1"/>
  <c r="E86" i="1"/>
  <c r="E87" i="1" s="1"/>
  <c r="E88" i="1" s="1"/>
  <c r="CF86" i="28"/>
  <c r="CF87" i="28" s="1"/>
  <c r="CF88" i="28" s="1"/>
  <c r="CH85" i="28"/>
  <c r="N85" i="25"/>
  <c r="L86" i="25"/>
  <c r="L87" i="25" s="1"/>
  <c r="L88" i="25" s="1"/>
  <c r="G85" i="25"/>
  <c r="E86" i="25"/>
  <c r="E87" i="25" s="1"/>
  <c r="E88" i="25" s="1"/>
  <c r="L89" i="2"/>
  <c r="L90" i="2" s="1"/>
  <c r="L91" i="2" s="1"/>
  <c r="N88" i="2"/>
  <c r="M88" i="2"/>
  <c r="O85" i="21"/>
  <c r="M86" i="21"/>
  <c r="M87" i="21" s="1"/>
  <c r="M88" i="21" s="1"/>
  <c r="W86" i="17"/>
  <c r="W87" i="17" s="1"/>
  <c r="W88" i="17" s="1"/>
  <c r="Y85" i="17"/>
  <c r="A53" i="10"/>
  <c r="G91" i="26"/>
  <c r="E92" i="26"/>
  <c r="E93" i="26" s="1"/>
  <c r="E94" i="26" s="1"/>
  <c r="CA88" i="17"/>
  <c r="BY89" i="17"/>
  <c r="BY90" i="17" s="1"/>
  <c r="BY91" i="17" s="1"/>
  <c r="R86" i="2"/>
  <c r="R87" i="2" s="1"/>
  <c r="R88" i="2" s="1"/>
  <c r="T85" i="2"/>
  <c r="G88" i="27"/>
  <c r="F88" i="27"/>
  <c r="E89" i="27"/>
  <c r="E90" i="27" s="1"/>
  <c r="E91" i="27" s="1"/>
  <c r="AW113" i="17"/>
  <c r="AW114" i="17" s="1"/>
  <c r="AW115" i="17" s="1"/>
  <c r="AY112" i="17"/>
  <c r="V85" i="21"/>
  <c r="T86" i="21"/>
  <c r="T87" i="21" s="1"/>
  <c r="T88" i="21" s="1"/>
  <c r="T85" i="27"/>
  <c r="R86" i="27"/>
  <c r="R87" i="27" s="1"/>
  <c r="R88" i="27" s="1"/>
  <c r="T88" i="36"/>
  <c r="R89" i="36"/>
  <c r="R90" i="36" s="1"/>
  <c r="R91" i="36" s="1"/>
  <c r="CH21" i="32"/>
  <c r="CU20" i="32"/>
  <c r="CM20" i="32"/>
  <c r="CT20" i="32"/>
  <c r="CL20" i="32"/>
  <c r="CS20" i="32"/>
  <c r="CK20" i="32"/>
  <c r="CR20" i="32"/>
  <c r="CJ20" i="32"/>
  <c r="CQ20" i="32"/>
  <c r="CI20" i="32"/>
  <c r="CX20" i="32"/>
  <c r="CP20" i="32"/>
  <c r="CW20" i="32"/>
  <c r="CV20" i="32"/>
  <c r="CO20" i="32"/>
  <c r="CN20" i="32"/>
  <c r="T88" i="35"/>
  <c r="R89" i="35"/>
  <c r="R90" i="35" s="1"/>
  <c r="R91" i="35" s="1"/>
  <c r="AJ86" i="28"/>
  <c r="AJ87" i="28" s="1"/>
  <c r="AJ88" i="28" s="1"/>
  <c r="AL85" i="28"/>
  <c r="BJ86" i="28"/>
  <c r="BJ87" i="28" s="1"/>
  <c r="BJ88" i="28" s="1"/>
  <c r="BL85" i="28"/>
  <c r="T82" i="25"/>
  <c r="R83" i="25"/>
  <c r="R84" i="25" s="1"/>
  <c r="R85" i="25" s="1"/>
  <c r="R86" i="6"/>
  <c r="R87" i="6" s="1"/>
  <c r="R88" i="6" s="1"/>
  <c r="T85" i="6"/>
  <c r="B56" i="39" l="1"/>
  <c r="AY115" i="17"/>
  <c r="AW116" i="17"/>
  <c r="AW117" i="17" s="1"/>
  <c r="AW118" i="17" s="1"/>
  <c r="E89" i="25"/>
  <c r="E90" i="25" s="1"/>
  <c r="E91" i="25" s="1"/>
  <c r="F88" i="25"/>
  <c r="G88" i="25"/>
  <c r="EC21" i="32"/>
  <c r="DU21" i="32"/>
  <c r="DR22" i="32"/>
  <c r="EF21" i="32"/>
  <c r="EB21" i="32"/>
  <c r="DT21" i="32"/>
  <c r="DX21" i="32"/>
  <c r="EA21" i="32"/>
  <c r="DS21" i="32"/>
  <c r="EH21" i="32"/>
  <c r="DZ21" i="32"/>
  <c r="DY21" i="32"/>
  <c r="DV21" i="32"/>
  <c r="EG21" i="32"/>
  <c r="EE21" i="32"/>
  <c r="DW21" i="32"/>
  <c r="ED21" i="32"/>
  <c r="L92" i="36"/>
  <c r="L93" i="36" s="1"/>
  <c r="L94" i="36" s="1"/>
  <c r="N91" i="36"/>
  <c r="M91" i="36"/>
  <c r="N85" i="27"/>
  <c r="L86" i="27"/>
  <c r="L87" i="27" s="1"/>
  <c r="L88" i="27" s="1"/>
  <c r="CU21" i="32"/>
  <c r="CM21" i="32"/>
  <c r="CL21" i="32"/>
  <c r="CQ21" i="32"/>
  <c r="CX21" i="32"/>
  <c r="CT21" i="32"/>
  <c r="CK21" i="32"/>
  <c r="CV21" i="32"/>
  <c r="CS21" i="32"/>
  <c r="CI21" i="32"/>
  <c r="CP21" i="32"/>
  <c r="CN21" i="32"/>
  <c r="CR21" i="32"/>
  <c r="CJ21" i="32"/>
  <c r="CH22" i="32"/>
  <c r="CW21" i="32"/>
  <c r="CO21" i="32"/>
  <c r="BJ89" i="28"/>
  <c r="BJ90" i="28" s="1"/>
  <c r="BJ91" i="28" s="1"/>
  <c r="BL88" i="28"/>
  <c r="R89" i="27"/>
  <c r="R90" i="27" s="1"/>
  <c r="R91" i="27" s="1"/>
  <c r="T88" i="27"/>
  <c r="S88" i="27"/>
  <c r="AL88" i="17"/>
  <c r="AJ89" i="17"/>
  <c r="AJ90" i="17" s="1"/>
  <c r="AJ91" i="17" s="1"/>
  <c r="AS82" i="28"/>
  <c r="AR82" i="28"/>
  <c r="AQ83" i="28"/>
  <c r="AQ84" i="28" s="1"/>
  <c r="AQ85" i="28" s="1"/>
  <c r="G88" i="12"/>
  <c r="E89" i="12"/>
  <c r="E90" i="12" s="1"/>
  <c r="E91" i="12" s="1"/>
  <c r="F88" i="12"/>
  <c r="Y89" i="1"/>
  <c r="Y90" i="1" s="1"/>
  <c r="Y91" i="1" s="1"/>
  <c r="AA88" i="1"/>
  <c r="BD86" i="17"/>
  <c r="BD87" i="17" s="1"/>
  <c r="BD88" i="17" s="1"/>
  <c r="BF85" i="17"/>
  <c r="E92" i="35"/>
  <c r="E93" i="35" s="1"/>
  <c r="E94" i="35" s="1"/>
  <c r="G91" i="35"/>
  <c r="F91" i="35"/>
  <c r="Y88" i="17"/>
  <c r="W89" i="17"/>
  <c r="W90" i="17" s="1"/>
  <c r="W91" i="17" s="1"/>
  <c r="N88" i="25"/>
  <c r="M88" i="25"/>
  <c r="L89" i="25"/>
  <c r="L90" i="25" s="1"/>
  <c r="L91" i="25" s="1"/>
  <c r="BQ92" i="17"/>
  <c r="BQ93" i="17" s="1"/>
  <c r="BQ94" i="17" s="1"/>
  <c r="BS91" i="17"/>
  <c r="R89" i="26"/>
  <c r="R90" i="26" s="1"/>
  <c r="R91" i="26" s="1"/>
  <c r="T88" i="26"/>
  <c r="S88" i="26"/>
  <c r="T49" i="12"/>
  <c r="R50" i="12"/>
  <c r="R51" i="12" s="1"/>
  <c r="R52" i="12" s="1"/>
  <c r="W89" i="28"/>
  <c r="W90" i="28" s="1"/>
  <c r="W91" i="28" s="1"/>
  <c r="Y88" i="28"/>
  <c r="AJ89" i="28"/>
  <c r="AJ90" i="28" s="1"/>
  <c r="AJ91" i="28" s="1"/>
  <c r="AL88" i="28"/>
  <c r="V88" i="21"/>
  <c r="T89" i="21"/>
  <c r="T90" i="21" s="1"/>
  <c r="T91" i="21" s="1"/>
  <c r="U88" i="21"/>
  <c r="S88" i="2"/>
  <c r="R89" i="2"/>
  <c r="R90" i="2" s="1"/>
  <c r="R91" i="2" s="1"/>
  <c r="T88" i="2"/>
  <c r="M89" i="21"/>
  <c r="M90" i="21" s="1"/>
  <c r="M91" i="21" s="1"/>
  <c r="N88" i="21"/>
  <c r="O88" i="21"/>
  <c r="S85" i="17"/>
  <c r="Q86" i="17"/>
  <c r="Q87" i="17" s="1"/>
  <c r="Q88" i="17" s="1"/>
  <c r="CF89" i="17"/>
  <c r="CF90" i="17" s="1"/>
  <c r="CF91" i="17" s="1"/>
  <c r="CH88" i="17"/>
  <c r="J89" i="17"/>
  <c r="J90" i="17" s="1"/>
  <c r="J91" i="17" s="1"/>
  <c r="L88" i="17"/>
  <c r="L88" i="28"/>
  <c r="J89" i="28"/>
  <c r="J90" i="28" s="1"/>
  <c r="J91" i="28" s="1"/>
  <c r="ET21" i="32"/>
  <c r="EL21" i="32"/>
  <c r="ES21" i="32"/>
  <c r="EK21" i="32"/>
  <c r="EZ21" i="32"/>
  <c r="ER21" i="32"/>
  <c r="EO21" i="32"/>
  <c r="EM21" i="32"/>
  <c r="EY21" i="32"/>
  <c r="EQ21" i="32"/>
  <c r="EX21" i="32"/>
  <c r="EJ22" i="32"/>
  <c r="EP21" i="32"/>
  <c r="EW21" i="32"/>
  <c r="EU21" i="32"/>
  <c r="EV21" i="32"/>
  <c r="EN21" i="32"/>
  <c r="BQ89" i="28"/>
  <c r="BQ90" i="28" s="1"/>
  <c r="BQ91" i="28" s="1"/>
  <c r="BS88" i="28"/>
  <c r="BY92" i="17"/>
  <c r="BY93" i="17" s="1"/>
  <c r="BY94" i="17" s="1"/>
  <c r="CA91" i="17"/>
  <c r="DL21" i="32"/>
  <c r="DD21" i="32"/>
  <c r="DE21" i="32"/>
  <c r="DK21" i="32"/>
  <c r="DC21" i="32"/>
  <c r="DJ21" i="32"/>
  <c r="DB21" i="32"/>
  <c r="DI21" i="32"/>
  <c r="DA21" i="32"/>
  <c r="DH21" i="32"/>
  <c r="DO21" i="32"/>
  <c r="DP21" i="32"/>
  <c r="DG21" i="32"/>
  <c r="DM21" i="32"/>
  <c r="CZ22" i="32"/>
  <c r="DN21" i="32"/>
  <c r="DF21" i="32"/>
  <c r="G88" i="6"/>
  <c r="E89" i="6"/>
  <c r="E90" i="6" s="1"/>
  <c r="E91" i="6" s="1"/>
  <c r="F88" i="6"/>
  <c r="Q86" i="28"/>
  <c r="Q87" i="28" s="1"/>
  <c r="Q88" i="28" s="1"/>
  <c r="S85" i="28"/>
  <c r="L23" i="23"/>
  <c r="I23" i="23"/>
  <c r="H23" i="23"/>
  <c r="F23" i="23"/>
  <c r="E23" i="23"/>
  <c r="D23" i="23"/>
  <c r="M23" i="23"/>
  <c r="N23" i="23"/>
  <c r="J23" i="23"/>
  <c r="N88" i="1"/>
  <c r="M88" i="1"/>
  <c r="L89" i="1"/>
  <c r="L90" i="1" s="1"/>
  <c r="L91" i="1" s="1"/>
  <c r="AR82" i="17"/>
  <c r="AQ83" i="17"/>
  <c r="AQ84" i="17" s="1"/>
  <c r="AQ85" i="17" s="1"/>
  <c r="AS82" i="17"/>
  <c r="R89" i="6"/>
  <c r="R90" i="6" s="1"/>
  <c r="R91" i="6" s="1"/>
  <c r="T88" i="6"/>
  <c r="S88" i="6"/>
  <c r="A52" i="10"/>
  <c r="CH88" i="28"/>
  <c r="CF89" i="28"/>
  <c r="CF90" i="28" s="1"/>
  <c r="CF91" i="28" s="1"/>
  <c r="R89" i="1"/>
  <c r="R90" i="1" s="1"/>
  <c r="R91" i="1" s="1"/>
  <c r="T88" i="1"/>
  <c r="S88" i="1"/>
  <c r="B25" i="23"/>
  <c r="C24" i="23"/>
  <c r="AD83" i="28"/>
  <c r="AD84" i="28" s="1"/>
  <c r="AD85" i="28" s="1"/>
  <c r="AF82" i="28"/>
  <c r="AE82" i="28"/>
  <c r="G88" i="21"/>
  <c r="F88" i="21"/>
  <c r="E89" i="21"/>
  <c r="E90" i="21" s="1"/>
  <c r="E91" i="21" s="1"/>
  <c r="E95" i="26"/>
  <c r="E96" i="26" s="1"/>
  <c r="E97" i="26" s="1"/>
  <c r="G94" i="26"/>
  <c r="E89" i="1"/>
  <c r="E90" i="1" s="1"/>
  <c r="E91" i="1" s="1"/>
  <c r="G88" i="1"/>
  <c r="F88" i="1"/>
  <c r="N88" i="12"/>
  <c r="M88" i="12"/>
  <c r="L89" i="12"/>
  <c r="L90" i="12" s="1"/>
  <c r="L91" i="12" s="1"/>
  <c r="M91" i="35"/>
  <c r="L92" i="35"/>
  <c r="L93" i="35" s="1"/>
  <c r="L94" i="35" s="1"/>
  <c r="N91" i="35"/>
  <c r="G88" i="36"/>
  <c r="E89" i="36"/>
  <c r="E90" i="36" s="1"/>
  <c r="E91" i="36" s="1"/>
  <c r="E89" i="2"/>
  <c r="E90" i="2" s="1"/>
  <c r="E91" i="2" s="1"/>
  <c r="F88" i="2"/>
  <c r="G88" i="2"/>
  <c r="BY92" i="28"/>
  <c r="BY93" i="28" s="1"/>
  <c r="BY94" i="28" s="1"/>
  <c r="CA91" i="28"/>
  <c r="N88" i="6"/>
  <c r="M88" i="6"/>
  <c r="L89" i="6"/>
  <c r="L90" i="6" s="1"/>
  <c r="L91" i="6" s="1"/>
  <c r="T91" i="35"/>
  <c r="R92" i="35"/>
  <c r="R93" i="35" s="1"/>
  <c r="R94" i="35" s="1"/>
  <c r="S91" i="35"/>
  <c r="R86" i="25"/>
  <c r="R87" i="25" s="1"/>
  <c r="R88" i="25" s="1"/>
  <c r="T85" i="25"/>
  <c r="R92" i="36"/>
  <c r="R93" i="36" s="1"/>
  <c r="R94" i="36" s="1"/>
  <c r="S91" i="36"/>
  <c r="T91" i="36"/>
  <c r="E92" i="27"/>
  <c r="E93" i="27" s="1"/>
  <c r="E94" i="27" s="1"/>
  <c r="G91" i="27"/>
  <c r="N91" i="2"/>
  <c r="L92" i="2"/>
  <c r="L93" i="2" s="1"/>
  <c r="L94" i="2" s="1"/>
  <c r="BF85" i="28"/>
  <c r="BD86" i="28"/>
  <c r="BD87" i="28" s="1"/>
  <c r="BD88" i="28" s="1"/>
  <c r="BJ116" i="17"/>
  <c r="BJ117" i="17" s="1"/>
  <c r="BJ118" i="17" s="1"/>
  <c r="BL115" i="17"/>
  <c r="AW89" i="28"/>
  <c r="AW90" i="28" s="1"/>
  <c r="AW91" i="28" s="1"/>
  <c r="AY88" i="28"/>
  <c r="AE82" i="17"/>
  <c r="AD83" i="17"/>
  <c r="AD84" i="17" s="1"/>
  <c r="AD85" i="17" s="1"/>
  <c r="AF82" i="17"/>
  <c r="M88" i="26"/>
  <c r="L89" i="26"/>
  <c r="L90" i="26" s="1"/>
  <c r="L91" i="26" s="1"/>
  <c r="N88" i="26"/>
  <c r="B57" i="39" l="1"/>
  <c r="L92" i="26"/>
  <c r="L93" i="26" s="1"/>
  <c r="L94" i="26" s="1"/>
  <c r="N91" i="26"/>
  <c r="T91" i="26"/>
  <c r="R92" i="26"/>
  <c r="R93" i="26" s="1"/>
  <c r="R94" i="26" s="1"/>
  <c r="BF88" i="28"/>
  <c r="BD89" i="28"/>
  <c r="BD90" i="28" s="1"/>
  <c r="BD91" i="28" s="1"/>
  <c r="E92" i="1"/>
  <c r="E93" i="1" s="1"/>
  <c r="E94" i="1" s="1"/>
  <c r="G91" i="1"/>
  <c r="AD86" i="28"/>
  <c r="AD87" i="28" s="1"/>
  <c r="AD88" i="28" s="1"/>
  <c r="AF85" i="28"/>
  <c r="M92" i="21"/>
  <c r="M93" i="21" s="1"/>
  <c r="M94" i="21" s="1"/>
  <c r="O91" i="21"/>
  <c r="AJ92" i="28"/>
  <c r="AJ93" i="28" s="1"/>
  <c r="AJ94" i="28" s="1"/>
  <c r="AL91" i="28"/>
  <c r="R92" i="27"/>
  <c r="R93" i="27" s="1"/>
  <c r="R94" i="27" s="1"/>
  <c r="T91" i="27"/>
  <c r="L95" i="36"/>
  <c r="L96" i="36" s="1"/>
  <c r="L97" i="36" s="1"/>
  <c r="N94" i="36"/>
  <c r="BJ119" i="17"/>
  <c r="BJ120" i="17" s="1"/>
  <c r="BJ121" i="17" s="1"/>
  <c r="BL118" i="17"/>
  <c r="BK118" i="17"/>
  <c r="G91" i="12"/>
  <c r="E92" i="12"/>
  <c r="E93" i="12" s="1"/>
  <c r="E94" i="12" s="1"/>
  <c r="H24" i="23"/>
  <c r="F24" i="23"/>
  <c r="E24" i="23"/>
  <c r="D24" i="23"/>
  <c r="N24" i="23"/>
  <c r="M24" i="23"/>
  <c r="J24" i="23"/>
  <c r="L24" i="23"/>
  <c r="I24" i="23"/>
  <c r="J92" i="17"/>
  <c r="J93" i="17" s="1"/>
  <c r="J94" i="17" s="1"/>
  <c r="L91" i="17"/>
  <c r="BS94" i="17"/>
  <c r="BQ95" i="17"/>
  <c r="BQ96" i="17" s="1"/>
  <c r="BQ97" i="17" s="1"/>
  <c r="BR94" i="17"/>
  <c r="E95" i="35"/>
  <c r="E96" i="35" s="1"/>
  <c r="E97" i="35" s="1"/>
  <c r="G94" i="35"/>
  <c r="AS85" i="28"/>
  <c r="AQ86" i="28"/>
  <c r="AQ87" i="28" s="1"/>
  <c r="AQ88" i="28" s="1"/>
  <c r="R95" i="36"/>
  <c r="R96" i="36" s="1"/>
  <c r="R97" i="36" s="1"/>
  <c r="T94" i="36"/>
  <c r="AD86" i="17"/>
  <c r="AD87" i="17" s="1"/>
  <c r="AD88" i="17" s="1"/>
  <c r="AF85" i="17"/>
  <c r="N94" i="2"/>
  <c r="L95" i="2"/>
  <c r="L96" i="2" s="1"/>
  <c r="L97" i="2" s="1"/>
  <c r="R89" i="25"/>
  <c r="R90" i="25" s="1"/>
  <c r="R91" i="25" s="1"/>
  <c r="S88" i="25"/>
  <c r="T88" i="25"/>
  <c r="BZ94" i="28"/>
  <c r="BY95" i="28"/>
  <c r="BY96" i="28" s="1"/>
  <c r="BY97" i="28" s="1"/>
  <c r="CA94" i="28"/>
  <c r="G97" i="26"/>
  <c r="E98" i="26"/>
  <c r="E99" i="26" s="1"/>
  <c r="E100" i="26" s="1"/>
  <c r="B26" i="23"/>
  <c r="C25" i="23"/>
  <c r="CZ23" i="32"/>
  <c r="DN22" i="32"/>
  <c r="DF22" i="32"/>
  <c r="DO22" i="32"/>
  <c r="DM22" i="32"/>
  <c r="DE22" i="32"/>
  <c r="DG22" i="32"/>
  <c r="DL22" i="32"/>
  <c r="DD22" i="32"/>
  <c r="DA22" i="32"/>
  <c r="DK22" i="32"/>
  <c r="DC22" i="32"/>
  <c r="DI22" i="32"/>
  <c r="DJ22" i="32"/>
  <c r="DB22" i="32"/>
  <c r="DP22" i="32"/>
  <c r="DH22" i="32"/>
  <c r="CA94" i="17"/>
  <c r="BZ94" i="17"/>
  <c r="BY95" i="17"/>
  <c r="BY96" i="17" s="1"/>
  <c r="BY97" i="17" s="1"/>
  <c r="EV22" i="32"/>
  <c r="EN22" i="32"/>
  <c r="EU22" i="32"/>
  <c r="EM22" i="32"/>
  <c r="EO22" i="32"/>
  <c r="ET22" i="32"/>
  <c r="EL22" i="32"/>
  <c r="EQ22" i="32"/>
  <c r="EW22" i="32"/>
  <c r="ES22" i="32"/>
  <c r="EK22" i="32"/>
  <c r="EY22" i="32"/>
  <c r="EZ22" i="32"/>
  <c r="ER22" i="32"/>
  <c r="EJ23" i="32"/>
  <c r="EX22" i="32"/>
  <c r="EP22" i="32"/>
  <c r="T91" i="2"/>
  <c r="R92" i="2"/>
  <c r="R93" i="2" s="1"/>
  <c r="R94" i="2" s="1"/>
  <c r="W92" i="28"/>
  <c r="W93" i="28" s="1"/>
  <c r="W94" i="28" s="1"/>
  <c r="Y91" i="28"/>
  <c r="L92" i="25"/>
  <c r="L93" i="25" s="1"/>
  <c r="L94" i="25" s="1"/>
  <c r="N91" i="25"/>
  <c r="BL91" i="28"/>
  <c r="BJ92" i="28"/>
  <c r="BJ93" i="28" s="1"/>
  <c r="BJ94" i="28" s="1"/>
  <c r="EE22" i="32"/>
  <c r="DW22" i="32"/>
  <c r="DR23" i="32"/>
  <c r="ED22" i="32"/>
  <c r="DV22" i="32"/>
  <c r="DZ22" i="32"/>
  <c r="EC22" i="32"/>
  <c r="DU22" i="32"/>
  <c r="EB22" i="32"/>
  <c r="DT22" i="32"/>
  <c r="DX22" i="32"/>
  <c r="EA22" i="32"/>
  <c r="DS22" i="32"/>
  <c r="EH22" i="32"/>
  <c r="EF22" i="32"/>
  <c r="EG22" i="32"/>
  <c r="DY22" i="32"/>
  <c r="L95" i="35"/>
  <c r="L96" i="35" s="1"/>
  <c r="L97" i="35" s="1"/>
  <c r="N94" i="35"/>
  <c r="N91" i="12"/>
  <c r="L92" i="12"/>
  <c r="L93" i="12" s="1"/>
  <c r="L94" i="12" s="1"/>
  <c r="E92" i="21"/>
  <c r="E93" i="21" s="1"/>
  <c r="E94" i="21" s="1"/>
  <c r="G91" i="21"/>
  <c r="T91" i="6"/>
  <c r="R92" i="6"/>
  <c r="R93" i="6" s="1"/>
  <c r="R94" i="6" s="1"/>
  <c r="CH91" i="17"/>
  <c r="CF92" i="17"/>
  <c r="CF93" i="17" s="1"/>
  <c r="CF94" i="17" s="1"/>
  <c r="T52" i="12"/>
  <c r="R53" i="12"/>
  <c r="R54" i="12" s="1"/>
  <c r="R55" i="12" s="1"/>
  <c r="S52" i="12"/>
  <c r="BF88" i="17"/>
  <c r="BD89" i="17"/>
  <c r="BD90" i="17" s="1"/>
  <c r="BD91" i="17" s="1"/>
  <c r="L92" i="1"/>
  <c r="L93" i="1" s="1"/>
  <c r="L94" i="1" s="1"/>
  <c r="N91" i="1"/>
  <c r="T94" i="35"/>
  <c r="R95" i="35"/>
  <c r="R96" i="35" s="1"/>
  <c r="R97" i="35" s="1"/>
  <c r="A51" i="10"/>
  <c r="Q89" i="28"/>
  <c r="Q90" i="28" s="1"/>
  <c r="Q91" i="28" s="1"/>
  <c r="S88" i="28"/>
  <c r="BQ92" i="28"/>
  <c r="BQ93" i="28" s="1"/>
  <c r="BQ94" i="28" s="1"/>
  <c r="BS91" i="28"/>
  <c r="Q89" i="17"/>
  <c r="Q90" i="17" s="1"/>
  <c r="Q91" i="17" s="1"/>
  <c r="S88" i="17"/>
  <c r="AJ92" i="17"/>
  <c r="AJ93" i="17" s="1"/>
  <c r="AJ94" i="17" s="1"/>
  <c r="AL91" i="17"/>
  <c r="L89" i="27"/>
  <c r="L90" i="27" s="1"/>
  <c r="L91" i="27" s="1"/>
  <c r="N88" i="27"/>
  <c r="M88" i="27"/>
  <c r="G91" i="25"/>
  <c r="E92" i="25"/>
  <c r="E93" i="25" s="1"/>
  <c r="E94" i="25" s="1"/>
  <c r="AW92" i="28"/>
  <c r="AW93" i="28" s="1"/>
  <c r="AW94" i="28" s="1"/>
  <c r="AY91" i="28"/>
  <c r="G94" i="27"/>
  <c r="E95" i="27"/>
  <c r="E96" i="27" s="1"/>
  <c r="E97" i="27" s="1"/>
  <c r="E92" i="2"/>
  <c r="E93" i="2" s="1"/>
  <c r="E94" i="2" s="1"/>
  <c r="G91" i="2"/>
  <c r="R92" i="1"/>
  <c r="R93" i="1" s="1"/>
  <c r="R94" i="1" s="1"/>
  <c r="T91" i="1"/>
  <c r="AS85" i="17"/>
  <c r="AQ86" i="17"/>
  <c r="AQ87" i="17" s="1"/>
  <c r="AQ88" i="17" s="1"/>
  <c r="V91" i="21"/>
  <c r="T92" i="21"/>
  <c r="T93" i="21" s="1"/>
  <c r="T94" i="21" s="1"/>
  <c r="W92" i="17"/>
  <c r="W93" i="17" s="1"/>
  <c r="W94" i="17" s="1"/>
  <c r="Y91" i="17"/>
  <c r="Y92" i="1"/>
  <c r="Y93" i="1" s="1"/>
  <c r="Y94" i="1" s="1"/>
  <c r="AA91" i="1"/>
  <c r="CW22" i="32"/>
  <c r="CO22" i="32"/>
  <c r="CJ22" i="32"/>
  <c r="CH23" i="32"/>
  <c r="CV22" i="32"/>
  <c r="CN22" i="32"/>
  <c r="CU22" i="32"/>
  <c r="CM22" i="32"/>
  <c r="CX22" i="32"/>
  <c r="CT22" i="32"/>
  <c r="CL22" i="32"/>
  <c r="CS22" i="32"/>
  <c r="CK22" i="32"/>
  <c r="CR22" i="32"/>
  <c r="CP22" i="32"/>
  <c r="CQ22" i="32"/>
  <c r="CI22" i="32"/>
  <c r="AY118" i="17"/>
  <c r="AW119" i="17"/>
  <c r="AW120" i="17" s="1"/>
  <c r="AW121" i="17" s="1"/>
  <c r="AX118" i="17"/>
  <c r="N91" i="6"/>
  <c r="L92" i="6"/>
  <c r="L93" i="6" s="1"/>
  <c r="L94" i="6" s="1"/>
  <c r="F91" i="36"/>
  <c r="E92" i="36"/>
  <c r="E93" i="36" s="1"/>
  <c r="E94" i="36" s="1"/>
  <c r="G91" i="36"/>
  <c r="CH91" i="28"/>
  <c r="CF92" i="28"/>
  <c r="CF93" i="28" s="1"/>
  <c r="CF94" i="28" s="1"/>
  <c r="G91" i="6"/>
  <c r="E92" i="6"/>
  <c r="E93" i="6" s="1"/>
  <c r="E94" i="6" s="1"/>
  <c r="L91" i="28"/>
  <c r="J92" i="28"/>
  <c r="J93" i="28" s="1"/>
  <c r="J94" i="28" s="1"/>
  <c r="B58" i="39" l="1"/>
  <c r="B5" i="39" s="1"/>
  <c r="E95" i="25"/>
  <c r="E96" i="25" s="1"/>
  <c r="E97" i="25" s="1"/>
  <c r="G94" i="25"/>
  <c r="S91" i="17"/>
  <c r="Q92" i="17"/>
  <c r="Q93" i="17" s="1"/>
  <c r="Q94" i="17" s="1"/>
  <c r="A50" i="10"/>
  <c r="L98" i="35"/>
  <c r="L99" i="35" s="1"/>
  <c r="L100" i="35" s="1"/>
  <c r="N97" i="35"/>
  <c r="T94" i="2"/>
  <c r="R95" i="2"/>
  <c r="R96" i="2" s="1"/>
  <c r="R97" i="2" s="1"/>
  <c r="C26" i="23"/>
  <c r="B27" i="23"/>
  <c r="T91" i="25"/>
  <c r="R92" i="25"/>
  <c r="R93" i="25" s="1"/>
  <c r="R94" i="25" s="1"/>
  <c r="Y95" i="1"/>
  <c r="Y96" i="1" s="1"/>
  <c r="Y97" i="1" s="1"/>
  <c r="AA94" i="1"/>
  <c r="R95" i="1"/>
  <c r="R96" i="1" s="1"/>
  <c r="R97" i="1" s="1"/>
  <c r="T94" i="1"/>
  <c r="N94" i="1"/>
  <c r="L95" i="1"/>
  <c r="L96" i="1" s="1"/>
  <c r="L97" i="1" s="1"/>
  <c r="R95" i="6"/>
  <c r="R96" i="6" s="1"/>
  <c r="R97" i="6" s="1"/>
  <c r="T94" i="6"/>
  <c r="E101" i="26"/>
  <c r="E102" i="26" s="1"/>
  <c r="E103" i="26" s="1"/>
  <c r="G100" i="26"/>
  <c r="F100" i="26"/>
  <c r="N97" i="2"/>
  <c r="L98" i="2"/>
  <c r="L99" i="2" s="1"/>
  <c r="L100" i="2" s="1"/>
  <c r="G94" i="12"/>
  <c r="E95" i="12"/>
  <c r="E96" i="12" s="1"/>
  <c r="E97" i="12" s="1"/>
  <c r="R95" i="27"/>
  <c r="R96" i="27" s="1"/>
  <c r="R97" i="27" s="1"/>
  <c r="T94" i="27"/>
  <c r="E95" i="1"/>
  <c r="E96" i="1" s="1"/>
  <c r="E97" i="1" s="1"/>
  <c r="G94" i="1"/>
  <c r="BD92" i="17"/>
  <c r="BD93" i="17" s="1"/>
  <c r="BD94" i="17" s="1"/>
  <c r="BF91" i="17"/>
  <c r="BJ95" i="28"/>
  <c r="BJ96" i="28" s="1"/>
  <c r="BJ97" i="28" s="1"/>
  <c r="BK94" i="28"/>
  <c r="BL94" i="28"/>
  <c r="E98" i="35"/>
  <c r="E99" i="35" s="1"/>
  <c r="E100" i="35" s="1"/>
  <c r="G97" i="35"/>
  <c r="BF91" i="28"/>
  <c r="BD92" i="28"/>
  <c r="BD93" i="28" s="1"/>
  <c r="BD94" i="28" s="1"/>
  <c r="BQ95" i="28"/>
  <c r="BQ96" i="28" s="1"/>
  <c r="BQ97" i="28" s="1"/>
  <c r="BS94" i="28"/>
  <c r="BR94" i="28"/>
  <c r="Y94" i="17"/>
  <c r="W95" i="17"/>
  <c r="W96" i="17" s="1"/>
  <c r="W97" i="17" s="1"/>
  <c r="X94" i="17"/>
  <c r="E95" i="2"/>
  <c r="E96" i="2" s="1"/>
  <c r="E97" i="2" s="1"/>
  <c r="G94" i="2"/>
  <c r="CA97" i="17"/>
  <c r="BY98" i="17"/>
  <c r="BY99" i="17" s="1"/>
  <c r="BY100" i="17" s="1"/>
  <c r="AL94" i="28"/>
  <c r="AJ95" i="28"/>
  <c r="AJ96" i="28" s="1"/>
  <c r="AJ97" i="28" s="1"/>
  <c r="AK94" i="28"/>
  <c r="L95" i="6"/>
  <c r="L96" i="6" s="1"/>
  <c r="L97" i="6" s="1"/>
  <c r="N94" i="6"/>
  <c r="G94" i="6"/>
  <c r="E95" i="6"/>
  <c r="E96" i="6" s="1"/>
  <c r="E97" i="6" s="1"/>
  <c r="CQ23" i="32"/>
  <c r="CI23" i="32"/>
  <c r="CX23" i="32"/>
  <c r="CP23" i="32"/>
  <c r="CH24" i="32"/>
  <c r="CL23" i="32"/>
  <c r="CR23" i="32"/>
  <c r="CW23" i="32"/>
  <c r="CO23" i="32"/>
  <c r="CV23" i="32"/>
  <c r="CN23" i="32"/>
  <c r="CJ23" i="32"/>
  <c r="CU23" i="32"/>
  <c r="CM23" i="32"/>
  <c r="CT23" i="32"/>
  <c r="CS23" i="32"/>
  <c r="CK23" i="32"/>
  <c r="T95" i="21"/>
  <c r="T96" i="21" s="1"/>
  <c r="T97" i="21" s="1"/>
  <c r="V94" i="21"/>
  <c r="E98" i="27"/>
  <c r="E99" i="27" s="1"/>
  <c r="E100" i="27" s="1"/>
  <c r="G97" i="27"/>
  <c r="L92" i="27"/>
  <c r="L93" i="27" s="1"/>
  <c r="L94" i="27" s="1"/>
  <c r="N91" i="27"/>
  <c r="Q92" i="28"/>
  <c r="Q93" i="28" s="1"/>
  <c r="Q94" i="28" s="1"/>
  <c r="S91" i="28"/>
  <c r="E95" i="21"/>
  <c r="E96" i="21" s="1"/>
  <c r="E97" i="21" s="1"/>
  <c r="G94" i="21"/>
  <c r="EX23" i="32"/>
  <c r="EP23" i="32"/>
  <c r="EW23" i="32"/>
  <c r="EO23" i="32"/>
  <c r="EK23" i="32"/>
  <c r="EY23" i="32"/>
  <c r="EJ24" i="32"/>
  <c r="EV23" i="32"/>
  <c r="EN23" i="32"/>
  <c r="EU23" i="32"/>
  <c r="EM23" i="32"/>
  <c r="ES23" i="32"/>
  <c r="ET23" i="32"/>
  <c r="EL23" i="32"/>
  <c r="EZ23" i="32"/>
  <c r="ER23" i="32"/>
  <c r="EQ23" i="32"/>
  <c r="CA97" i="28"/>
  <c r="BY98" i="28"/>
  <c r="BY99" i="28" s="1"/>
  <c r="BY100" i="28" s="1"/>
  <c r="AD89" i="17"/>
  <c r="AD90" i="17" s="1"/>
  <c r="AD91" i="17" s="1"/>
  <c r="AF88" i="17"/>
  <c r="BQ98" i="17"/>
  <c r="BQ99" i="17" s="1"/>
  <c r="BQ100" i="17" s="1"/>
  <c r="BS97" i="17"/>
  <c r="R95" i="26"/>
  <c r="R96" i="26" s="1"/>
  <c r="R97" i="26" s="1"/>
  <c r="T94" i="26"/>
  <c r="L94" i="28"/>
  <c r="J95" i="28"/>
  <c r="J96" i="28" s="1"/>
  <c r="J97" i="28" s="1"/>
  <c r="K94" i="28"/>
  <c r="CF95" i="28"/>
  <c r="CF96" i="28" s="1"/>
  <c r="CF97" i="28" s="1"/>
  <c r="CH94" i="28"/>
  <c r="CG94" i="28"/>
  <c r="AY121" i="17"/>
  <c r="AW122" i="17"/>
  <c r="AW123" i="17" s="1"/>
  <c r="AW124" i="17" s="1"/>
  <c r="T55" i="12"/>
  <c r="R56" i="12"/>
  <c r="R57" i="12" s="1"/>
  <c r="R58" i="12" s="1"/>
  <c r="L95" i="12"/>
  <c r="L96" i="12" s="1"/>
  <c r="L97" i="12" s="1"/>
  <c r="N94" i="12"/>
  <c r="N94" i="25"/>
  <c r="L95" i="25"/>
  <c r="L96" i="25" s="1"/>
  <c r="L97" i="25" s="1"/>
  <c r="BJ122" i="17"/>
  <c r="BJ123" i="17" s="1"/>
  <c r="BJ124" i="17" s="1"/>
  <c r="BL121" i="17"/>
  <c r="M95" i="21"/>
  <c r="M96" i="21" s="1"/>
  <c r="M97" i="21" s="1"/>
  <c r="O94" i="21"/>
  <c r="E95" i="36"/>
  <c r="E96" i="36" s="1"/>
  <c r="E97" i="36" s="1"/>
  <c r="G94" i="36"/>
  <c r="AQ89" i="17"/>
  <c r="AQ90" i="17" s="1"/>
  <c r="AQ91" i="17" s="1"/>
  <c r="AS88" i="17"/>
  <c r="AJ95" i="17"/>
  <c r="AJ96" i="17" s="1"/>
  <c r="AJ97" i="17" s="1"/>
  <c r="AL94" i="17"/>
  <c r="AK94" i="17"/>
  <c r="T97" i="35"/>
  <c r="R98" i="35"/>
  <c r="R99" i="35" s="1"/>
  <c r="R100" i="35" s="1"/>
  <c r="DP23" i="32"/>
  <c r="DH23" i="32"/>
  <c r="DK23" i="32"/>
  <c r="DO23" i="32"/>
  <c r="DG23" i="32"/>
  <c r="DN23" i="32"/>
  <c r="DF23" i="32"/>
  <c r="DA23" i="32"/>
  <c r="DM23" i="32"/>
  <c r="DE23" i="32"/>
  <c r="DC23" i="32"/>
  <c r="CZ24" i="32"/>
  <c r="DL23" i="32"/>
  <c r="DD23" i="32"/>
  <c r="DI23" i="32"/>
  <c r="DJ23" i="32"/>
  <c r="DB23" i="32"/>
  <c r="R98" i="36"/>
  <c r="R99" i="36" s="1"/>
  <c r="R100" i="36" s="1"/>
  <c r="T97" i="36"/>
  <c r="AY94" i="28"/>
  <c r="AW95" i="28"/>
  <c r="AW96" i="28" s="1"/>
  <c r="AW97" i="28" s="1"/>
  <c r="AX94" i="28"/>
  <c r="CF95" i="17"/>
  <c r="CF96" i="17" s="1"/>
  <c r="CF97" i="17" s="1"/>
  <c r="CH94" i="17"/>
  <c r="CG94" i="17"/>
  <c r="EG23" i="32"/>
  <c r="DY23" i="32"/>
  <c r="EF23" i="32"/>
  <c r="DX23" i="32"/>
  <c r="EE23" i="32"/>
  <c r="DW23" i="32"/>
  <c r="DT23" i="32"/>
  <c r="DR24" i="32"/>
  <c r="ED23" i="32"/>
  <c r="DV23" i="32"/>
  <c r="DZ23" i="32"/>
  <c r="EC23" i="32"/>
  <c r="DU23" i="32"/>
  <c r="EB23" i="32"/>
  <c r="EA23" i="32"/>
  <c r="DS23" i="32"/>
  <c r="EH23" i="32"/>
  <c r="Y94" i="28"/>
  <c r="X94" i="28"/>
  <c r="W95" i="28"/>
  <c r="W96" i="28" s="1"/>
  <c r="W97" i="28" s="1"/>
  <c r="N25" i="23"/>
  <c r="D25" i="23"/>
  <c r="E25" i="23"/>
  <c r="M25" i="23"/>
  <c r="L25" i="23"/>
  <c r="J25" i="23"/>
  <c r="H25" i="23"/>
  <c r="I25" i="23"/>
  <c r="F25" i="23"/>
  <c r="AQ89" i="28"/>
  <c r="AQ90" i="28" s="1"/>
  <c r="AQ91" i="28" s="1"/>
  <c r="AS88" i="28"/>
  <c r="J95" i="17"/>
  <c r="J96" i="17" s="1"/>
  <c r="J97" i="17" s="1"/>
  <c r="L94" i="17"/>
  <c r="K94" i="17"/>
  <c r="L98" i="36"/>
  <c r="L99" i="36" s="1"/>
  <c r="L100" i="36" s="1"/>
  <c r="N97" i="36"/>
  <c r="AF88" i="28"/>
  <c r="AD89" i="28"/>
  <c r="AD90" i="28" s="1"/>
  <c r="AD91" i="28" s="1"/>
  <c r="N94" i="26"/>
  <c r="L95" i="26"/>
  <c r="L96" i="26" s="1"/>
  <c r="L97" i="26" s="1"/>
  <c r="S6" i="39" l="1"/>
  <c r="D11" i="39" a="1"/>
  <c r="D11" i="39" s="1"/>
  <c r="R5" i="39"/>
  <c r="K12" i="39" a="1"/>
  <c r="K12" i="39" s="1"/>
  <c r="G7" i="39"/>
  <c r="Q12" i="39" a="1"/>
  <c r="Q12" i="39" s="1"/>
  <c r="S11" i="39"/>
  <c r="R12" i="39"/>
  <c r="G11" i="39"/>
  <c r="M7" i="39"/>
  <c r="D12" i="39" a="1"/>
  <c r="D12" i="39" s="1"/>
  <c r="H6" i="39"/>
  <c r="Q7" i="39" a="1"/>
  <c r="Q7" i="39" s="1"/>
  <c r="D7" i="39" a="1"/>
  <c r="D7" i="39" s="1"/>
  <c r="F11" i="39"/>
  <c r="R6" i="39"/>
  <c r="Q6" i="39" a="1"/>
  <c r="Q6" i="39" s="1"/>
  <c r="S12" i="39"/>
  <c r="H11" i="39"/>
  <c r="L6" i="39"/>
  <c r="M11" i="39"/>
  <c r="M6" i="39"/>
  <c r="K6" i="39" a="1"/>
  <c r="K6" i="39" s="1"/>
  <c r="L11" i="39"/>
  <c r="G12" i="39"/>
  <c r="L7" i="39"/>
  <c r="F12" i="39"/>
  <c r="F6" i="39"/>
  <c r="H7" i="39"/>
  <c r="D5" i="39" a="1"/>
  <c r="D5" i="39" s="1"/>
  <c r="D10" i="39" s="1" a="1"/>
  <c r="D10" i="39" s="1"/>
  <c r="M5" i="39"/>
  <c r="Q5" i="39" a="1"/>
  <c r="Q5" i="39" s="1"/>
  <c r="Q10" i="39" s="1" a="1"/>
  <c r="Q10" i="39" s="1"/>
  <c r="H5" i="39"/>
  <c r="G5" i="39" a="1"/>
  <c r="G5" i="39" s="1"/>
  <c r="S5" i="39"/>
  <c r="F5" i="39"/>
  <c r="K5" i="39" a="1"/>
  <c r="K5" i="39" s="1"/>
  <c r="K10" i="39" s="1" a="1"/>
  <c r="K10" i="39" s="1"/>
  <c r="L5" i="39"/>
  <c r="K7" i="39" a="1"/>
  <c r="K7" i="39" s="1"/>
  <c r="R11" i="39"/>
  <c r="F7" i="39"/>
  <c r="S7" i="39"/>
  <c r="R7" i="39"/>
  <c r="D6" i="39" a="1"/>
  <c r="D6" i="39" s="1"/>
  <c r="Q11" i="39" a="1"/>
  <c r="Q11" i="39" s="1"/>
  <c r="M12" i="39"/>
  <c r="L12" i="39"/>
  <c r="K11" i="39" a="1"/>
  <c r="K11" i="39" s="1"/>
  <c r="H12" i="39"/>
  <c r="G6" i="39"/>
  <c r="AD92" i="28"/>
  <c r="AD93" i="28" s="1"/>
  <c r="AD94" i="28" s="1"/>
  <c r="AF91" i="28"/>
  <c r="L95" i="27"/>
  <c r="L96" i="27" s="1"/>
  <c r="L97" i="27" s="1"/>
  <c r="N94" i="27"/>
  <c r="E98" i="2"/>
  <c r="E99" i="2" s="1"/>
  <c r="E100" i="2" s="1"/>
  <c r="G97" i="2"/>
  <c r="R98" i="1"/>
  <c r="R99" i="1" s="1"/>
  <c r="R100" i="1" s="1"/>
  <c r="T97" i="1"/>
  <c r="CF98" i="17"/>
  <c r="CF99" i="17" s="1"/>
  <c r="CF100" i="17" s="1"/>
  <c r="CH97" i="17"/>
  <c r="M98" i="21"/>
  <c r="M99" i="21" s="1"/>
  <c r="M100" i="21" s="1"/>
  <c r="O97" i="21"/>
  <c r="CH25" i="32"/>
  <c r="CU24" i="32"/>
  <c r="CM24" i="32"/>
  <c r="CX24" i="32"/>
  <c r="CT24" i="32"/>
  <c r="CL24" i="32"/>
  <c r="CS24" i="32"/>
  <c r="CK24" i="32"/>
  <c r="CR24" i="32"/>
  <c r="CJ24" i="32"/>
  <c r="CP24" i="32"/>
  <c r="CV24" i="32"/>
  <c r="CQ24" i="32"/>
  <c r="CI24" i="32"/>
  <c r="CW24" i="32"/>
  <c r="CO24" i="32"/>
  <c r="CN24" i="32"/>
  <c r="L98" i="6"/>
  <c r="L99" i="6" s="1"/>
  <c r="L100" i="6" s="1"/>
  <c r="N97" i="6"/>
  <c r="E98" i="1"/>
  <c r="E99" i="1" s="1"/>
  <c r="E100" i="1" s="1"/>
  <c r="G97" i="1"/>
  <c r="L97" i="28"/>
  <c r="J98" i="28"/>
  <c r="J99" i="28" s="1"/>
  <c r="J100" i="28" s="1"/>
  <c r="Y97" i="28"/>
  <c r="W98" i="28"/>
  <c r="W99" i="28" s="1"/>
  <c r="W100" i="28" s="1"/>
  <c r="AW98" i="28"/>
  <c r="AW99" i="28" s="1"/>
  <c r="AW100" i="28" s="1"/>
  <c r="AY97" i="28"/>
  <c r="AW125" i="17"/>
  <c r="AW126" i="17" s="1"/>
  <c r="AW127" i="17" s="1"/>
  <c r="AY124" i="17"/>
  <c r="G100" i="27"/>
  <c r="F100" i="27"/>
  <c r="E101" i="27"/>
  <c r="E102" i="27" s="1"/>
  <c r="E103" i="27" s="1"/>
  <c r="W98" i="17"/>
  <c r="W99" i="17" s="1"/>
  <c r="W100" i="17" s="1"/>
  <c r="Y97" i="17"/>
  <c r="E101" i="35"/>
  <c r="E102" i="35" s="1"/>
  <c r="E103" i="35" s="1"/>
  <c r="G100" i="35"/>
  <c r="G103" i="26"/>
  <c r="E104" i="26"/>
  <c r="E105" i="26" s="1"/>
  <c r="E106" i="26" s="1"/>
  <c r="Y98" i="1"/>
  <c r="Y99" i="1" s="1"/>
  <c r="Y100" i="1" s="1"/>
  <c r="AA97" i="1"/>
  <c r="L101" i="35"/>
  <c r="L102" i="35" s="1"/>
  <c r="L103" i="35" s="1"/>
  <c r="N100" i="35"/>
  <c r="T58" i="12"/>
  <c r="R59" i="12"/>
  <c r="R60" i="12" s="1"/>
  <c r="R61" i="12" s="1"/>
  <c r="CA100" i="28"/>
  <c r="BY101" i="28"/>
  <c r="BY102" i="28" s="1"/>
  <c r="BY103" i="28" s="1"/>
  <c r="CZ25" i="32"/>
  <c r="DL24" i="32"/>
  <c r="DD24" i="32"/>
  <c r="DK24" i="32"/>
  <c r="DC24" i="32"/>
  <c r="DJ24" i="32"/>
  <c r="DB24" i="32"/>
  <c r="DG24" i="32"/>
  <c r="DI24" i="32"/>
  <c r="DA24" i="32"/>
  <c r="DO24" i="32"/>
  <c r="DP24" i="32"/>
  <c r="DH24" i="32"/>
  <c r="DN24" i="32"/>
  <c r="DF24" i="32"/>
  <c r="DM24" i="32"/>
  <c r="DE24" i="32"/>
  <c r="AJ98" i="17"/>
  <c r="AJ99" i="17" s="1"/>
  <c r="AJ100" i="17" s="1"/>
  <c r="AL97" i="17"/>
  <c r="BJ125" i="17"/>
  <c r="BJ126" i="17" s="1"/>
  <c r="BJ127" i="17" s="1"/>
  <c r="BL124" i="17"/>
  <c r="R98" i="26"/>
  <c r="R99" i="26" s="1"/>
  <c r="R100" i="26" s="1"/>
  <c r="T97" i="26"/>
  <c r="AJ98" i="28"/>
  <c r="AJ99" i="28" s="1"/>
  <c r="AJ100" i="28" s="1"/>
  <c r="AL97" i="28"/>
  <c r="T97" i="27"/>
  <c r="R98" i="27"/>
  <c r="R99" i="27" s="1"/>
  <c r="R100" i="27" s="1"/>
  <c r="R95" i="25"/>
  <c r="R96" i="25" s="1"/>
  <c r="R97" i="25" s="1"/>
  <c r="T94" i="25"/>
  <c r="A49" i="10"/>
  <c r="AS91" i="28"/>
  <c r="AQ92" i="28"/>
  <c r="AQ93" i="28" s="1"/>
  <c r="AQ94" i="28" s="1"/>
  <c r="L101" i="36"/>
  <c r="L102" i="36" s="1"/>
  <c r="L103" i="36" s="1"/>
  <c r="N100" i="36"/>
  <c r="L98" i="25"/>
  <c r="L99" i="25" s="1"/>
  <c r="L100" i="25" s="1"/>
  <c r="N97" i="25"/>
  <c r="EJ25" i="32"/>
  <c r="ET24" i="32"/>
  <c r="EL24" i="32"/>
  <c r="ES24" i="32"/>
  <c r="EK24" i="32"/>
  <c r="EZ24" i="32"/>
  <c r="ER24" i="32"/>
  <c r="EO24" i="32"/>
  <c r="EY24" i="32"/>
  <c r="EQ24" i="32"/>
  <c r="EW24" i="32"/>
  <c r="EX24" i="32"/>
  <c r="EP24" i="32"/>
  <c r="EV24" i="32"/>
  <c r="EN24" i="32"/>
  <c r="EU24" i="32"/>
  <c r="EM24" i="32"/>
  <c r="G97" i="21"/>
  <c r="E98" i="21"/>
  <c r="E99" i="21" s="1"/>
  <c r="E100" i="21" s="1"/>
  <c r="T98" i="21"/>
  <c r="T99" i="21" s="1"/>
  <c r="T100" i="21" s="1"/>
  <c r="V97" i="21"/>
  <c r="G97" i="12"/>
  <c r="E98" i="12"/>
  <c r="E99" i="12" s="1"/>
  <c r="E100" i="12" s="1"/>
  <c r="R98" i="6"/>
  <c r="R99" i="6" s="1"/>
  <c r="R100" i="6" s="1"/>
  <c r="T97" i="6"/>
  <c r="S94" i="17"/>
  <c r="Q95" i="17"/>
  <c r="Q96" i="17" s="1"/>
  <c r="Q97" i="17" s="1"/>
  <c r="R94" i="17"/>
  <c r="R101" i="36"/>
  <c r="R102" i="36" s="1"/>
  <c r="R103" i="36" s="1"/>
  <c r="T100" i="36"/>
  <c r="AS91" i="17"/>
  <c r="AQ92" i="17"/>
  <c r="AQ93" i="17" s="1"/>
  <c r="AQ94" i="17" s="1"/>
  <c r="BQ101" i="17"/>
  <c r="BQ102" i="17" s="1"/>
  <c r="BQ103" i="17" s="1"/>
  <c r="BS100" i="17"/>
  <c r="BY101" i="17"/>
  <c r="BY102" i="17" s="1"/>
  <c r="BY103" i="17" s="1"/>
  <c r="CA100" i="17"/>
  <c r="BJ98" i="28"/>
  <c r="BJ99" i="28" s="1"/>
  <c r="BJ100" i="28" s="1"/>
  <c r="BL97" i="28"/>
  <c r="N97" i="1"/>
  <c r="L98" i="1"/>
  <c r="L99" i="1" s="1"/>
  <c r="L100" i="1" s="1"/>
  <c r="C27" i="23"/>
  <c r="B28" i="23"/>
  <c r="L98" i="26"/>
  <c r="L99" i="26" s="1"/>
  <c r="L100" i="26" s="1"/>
  <c r="N97" i="26"/>
  <c r="J98" i="17"/>
  <c r="J99" i="17" s="1"/>
  <c r="J100" i="17" s="1"/>
  <c r="L97" i="17"/>
  <c r="DR25" i="32"/>
  <c r="EC24" i="32"/>
  <c r="DU24" i="32"/>
  <c r="EB24" i="32"/>
  <c r="DT24" i="32"/>
  <c r="DX24" i="32"/>
  <c r="EA24" i="32"/>
  <c r="DS24" i="32"/>
  <c r="EH24" i="32"/>
  <c r="DZ24" i="32"/>
  <c r="EG24" i="32"/>
  <c r="DY24" i="32"/>
  <c r="EF24" i="32"/>
  <c r="EE24" i="32"/>
  <c r="DW24" i="32"/>
  <c r="ED24" i="32"/>
  <c r="DV24" i="32"/>
  <c r="CF98" i="28"/>
  <c r="CF99" i="28" s="1"/>
  <c r="CF100" i="28" s="1"/>
  <c r="CH97" i="28"/>
  <c r="Q95" i="28"/>
  <c r="Q96" i="28" s="1"/>
  <c r="Q97" i="28" s="1"/>
  <c r="R94" i="28"/>
  <c r="S94" i="28"/>
  <c r="G97" i="6"/>
  <c r="E98" i="6"/>
  <c r="E99" i="6" s="1"/>
  <c r="E100" i="6" s="1"/>
  <c r="BQ98" i="28"/>
  <c r="BQ99" i="28" s="1"/>
  <c r="BQ100" i="28" s="1"/>
  <c r="BS97" i="28"/>
  <c r="L101" i="2"/>
  <c r="L102" i="2" s="1"/>
  <c r="L103" i="2" s="1"/>
  <c r="N100" i="2"/>
  <c r="M100" i="2"/>
  <c r="J26" i="23"/>
  <c r="N26" i="23"/>
  <c r="M26" i="23"/>
  <c r="L26" i="23"/>
  <c r="I26" i="23"/>
  <c r="H26" i="23"/>
  <c r="E26" i="23"/>
  <c r="F26" i="23"/>
  <c r="D26" i="23"/>
  <c r="T100" i="35"/>
  <c r="R101" i="35"/>
  <c r="R102" i="35" s="1"/>
  <c r="R103" i="35" s="1"/>
  <c r="E98" i="36"/>
  <c r="E99" i="36" s="1"/>
  <c r="E100" i="36" s="1"/>
  <c r="G97" i="36"/>
  <c r="L98" i="12"/>
  <c r="L99" i="12" s="1"/>
  <c r="L100" i="12" s="1"/>
  <c r="N97" i="12"/>
  <c r="AD92" i="17"/>
  <c r="AD93" i="17" s="1"/>
  <c r="AD94" i="17" s="1"/>
  <c r="AF91" i="17"/>
  <c r="BF94" i="28"/>
  <c r="BE94" i="28"/>
  <c r="BD95" i="28"/>
  <c r="BD96" i="28" s="1"/>
  <c r="BD97" i="28" s="1"/>
  <c r="BF94" i="17"/>
  <c r="BE94" i="17"/>
  <c r="BD95" i="17"/>
  <c r="BD96" i="17" s="1"/>
  <c r="BD97" i="17" s="1"/>
  <c r="R98" i="2"/>
  <c r="R99" i="2" s="1"/>
  <c r="R100" i="2" s="1"/>
  <c r="T97" i="2"/>
  <c r="G97" i="25"/>
  <c r="E98" i="25"/>
  <c r="E99" i="25" s="1"/>
  <c r="E100" i="25" s="1"/>
  <c r="E6" i="39" l="1"/>
  <c r="E12" i="39"/>
  <c r="E10" i="39"/>
  <c r="E7" i="39"/>
  <c r="E5" i="39"/>
  <c r="E11" i="39"/>
  <c r="Q98" i="28"/>
  <c r="Q99" i="28" s="1"/>
  <c r="Q100" i="28" s="1"/>
  <c r="S97" i="28"/>
  <c r="C28" i="23"/>
  <c r="B29" i="23"/>
  <c r="R101" i="26"/>
  <c r="R102" i="26" s="1"/>
  <c r="R103" i="26" s="1"/>
  <c r="T100" i="26"/>
  <c r="S100" i="26"/>
  <c r="T61" i="12"/>
  <c r="R62" i="12"/>
  <c r="R63" i="12" s="1"/>
  <c r="R64" i="12" s="1"/>
  <c r="AY127" i="17"/>
  <c r="AW128" i="17"/>
  <c r="AW129" i="17" s="1"/>
  <c r="AW130" i="17" s="1"/>
  <c r="G100" i="1"/>
  <c r="F100" i="1"/>
  <c r="E101" i="1"/>
  <c r="E102" i="1" s="1"/>
  <c r="E103" i="1" s="1"/>
  <c r="F27" i="23"/>
  <c r="L27" i="23"/>
  <c r="J27" i="23"/>
  <c r="I27" i="23"/>
  <c r="H27" i="23"/>
  <c r="E27" i="23"/>
  <c r="N27" i="23"/>
  <c r="D27" i="23"/>
  <c r="M27" i="23"/>
  <c r="BQ104" i="17"/>
  <c r="BQ105" i="17" s="1"/>
  <c r="BQ106" i="17" s="1"/>
  <c r="BS103" i="17"/>
  <c r="EJ26" i="32"/>
  <c r="ET25" i="32"/>
  <c r="EL25" i="32"/>
  <c r="ES25" i="32"/>
  <c r="EK25" i="32"/>
  <c r="EZ25" i="32"/>
  <c r="ER25" i="32"/>
  <c r="EY25" i="32"/>
  <c r="EQ25" i="32"/>
  <c r="EX25" i="32"/>
  <c r="EP25" i="32"/>
  <c r="EU25" i="32"/>
  <c r="EW25" i="32"/>
  <c r="EO25" i="32"/>
  <c r="EM25" i="32"/>
  <c r="EV25" i="32"/>
  <c r="EN25" i="32"/>
  <c r="G103" i="35"/>
  <c r="F103" i="35"/>
  <c r="E104" i="35"/>
  <c r="E105" i="35" s="1"/>
  <c r="E106" i="35" s="1"/>
  <c r="R101" i="1"/>
  <c r="R102" i="1" s="1"/>
  <c r="R103" i="1" s="1"/>
  <c r="T100" i="1"/>
  <c r="S100" i="1"/>
  <c r="CF101" i="28"/>
  <c r="CF102" i="28" s="1"/>
  <c r="CF103" i="28" s="1"/>
  <c r="CH100" i="28"/>
  <c r="AS94" i="17"/>
  <c r="AQ95" i="17"/>
  <c r="AQ96" i="17" s="1"/>
  <c r="AQ97" i="17" s="1"/>
  <c r="AR94" i="17"/>
  <c r="S100" i="6"/>
  <c r="R101" i="6"/>
  <c r="R102" i="6" s="1"/>
  <c r="R103" i="6" s="1"/>
  <c r="T100" i="6"/>
  <c r="A48" i="10"/>
  <c r="T97" i="25"/>
  <c r="R98" i="25"/>
  <c r="R99" i="25" s="1"/>
  <c r="R100" i="25" s="1"/>
  <c r="BJ128" i="17"/>
  <c r="BJ129" i="17" s="1"/>
  <c r="BJ130" i="17" s="1"/>
  <c r="BL127" i="17"/>
  <c r="AY100" i="28"/>
  <c r="AW101" i="28"/>
  <c r="AW102" i="28" s="1"/>
  <c r="AW103" i="28" s="1"/>
  <c r="L101" i="6"/>
  <c r="L102" i="6" s="1"/>
  <c r="L103" i="6" s="1"/>
  <c r="N100" i="6"/>
  <c r="M100" i="6"/>
  <c r="BD98" i="17"/>
  <c r="BD99" i="17" s="1"/>
  <c r="BD100" i="17" s="1"/>
  <c r="BF97" i="17"/>
  <c r="L104" i="2"/>
  <c r="L105" i="2" s="1"/>
  <c r="L106" i="2" s="1"/>
  <c r="N103" i="2"/>
  <c r="BS100" i="28"/>
  <c r="BQ101" i="28"/>
  <c r="BQ102" i="28" s="1"/>
  <c r="BQ103" i="28" s="1"/>
  <c r="DR26" i="32"/>
  <c r="EC25" i="32"/>
  <c r="DU25" i="32"/>
  <c r="EB25" i="32"/>
  <c r="DT25" i="32"/>
  <c r="EA25" i="32"/>
  <c r="DS25" i="32"/>
  <c r="EH25" i="32"/>
  <c r="DZ25" i="32"/>
  <c r="DY25" i="32"/>
  <c r="DW25" i="32"/>
  <c r="EG25" i="32"/>
  <c r="DV25" i="32"/>
  <c r="EF25" i="32"/>
  <c r="DX25" i="32"/>
  <c r="EE25" i="32"/>
  <c r="ED25" i="32"/>
  <c r="F100" i="12"/>
  <c r="E101" i="12"/>
  <c r="E102" i="12" s="1"/>
  <c r="E103" i="12" s="1"/>
  <c r="G100" i="12"/>
  <c r="M100" i="25"/>
  <c r="L101" i="25"/>
  <c r="L102" i="25" s="1"/>
  <c r="L103" i="25" s="1"/>
  <c r="N100" i="25"/>
  <c r="S100" i="27"/>
  <c r="R101" i="27"/>
  <c r="R102" i="27" s="1"/>
  <c r="R103" i="27" s="1"/>
  <c r="T100" i="27"/>
  <c r="L104" i="35"/>
  <c r="L105" i="35" s="1"/>
  <c r="L106" i="35" s="1"/>
  <c r="N103" i="35"/>
  <c r="M103" i="35"/>
  <c r="W101" i="17"/>
  <c r="W102" i="17" s="1"/>
  <c r="W103" i="17" s="1"/>
  <c r="Y100" i="17"/>
  <c r="Y100" i="28"/>
  <c r="W101" i="28"/>
  <c r="W102" i="28" s="1"/>
  <c r="W103" i="28" s="1"/>
  <c r="CH26" i="32"/>
  <c r="CU25" i="32"/>
  <c r="CM25" i="32"/>
  <c r="CT25" i="32"/>
  <c r="CL25" i="32"/>
  <c r="CK25" i="32"/>
  <c r="CN25" i="32"/>
  <c r="CS25" i="32"/>
  <c r="CR25" i="32"/>
  <c r="CJ25" i="32"/>
  <c r="CQ25" i="32"/>
  <c r="CW25" i="32"/>
  <c r="CI25" i="32"/>
  <c r="CO25" i="32"/>
  <c r="CX25" i="32"/>
  <c r="CP25" i="32"/>
  <c r="CV25" i="32"/>
  <c r="E101" i="2"/>
  <c r="E102" i="2" s="1"/>
  <c r="E103" i="2" s="1"/>
  <c r="G100" i="2"/>
  <c r="F100" i="2"/>
  <c r="M100" i="1"/>
  <c r="L101" i="1"/>
  <c r="L102" i="1" s="1"/>
  <c r="L103" i="1" s="1"/>
  <c r="N100" i="1"/>
  <c r="E101" i="36"/>
  <c r="E102" i="36" s="1"/>
  <c r="E103" i="36" s="1"/>
  <c r="G100" i="36"/>
  <c r="G100" i="25"/>
  <c r="F100" i="25"/>
  <c r="E101" i="25"/>
  <c r="E102" i="25" s="1"/>
  <c r="E103" i="25" s="1"/>
  <c r="T103" i="35"/>
  <c r="R104" i="35"/>
  <c r="R105" i="35" s="1"/>
  <c r="R106" i="35" s="1"/>
  <c r="S103" i="35"/>
  <c r="F100" i="6"/>
  <c r="G100" i="6"/>
  <c r="E101" i="6"/>
  <c r="E102" i="6" s="1"/>
  <c r="E103" i="6" s="1"/>
  <c r="AL100" i="17"/>
  <c r="AJ101" i="17"/>
  <c r="AJ102" i="17" s="1"/>
  <c r="AJ103" i="17" s="1"/>
  <c r="E104" i="27"/>
  <c r="E105" i="27" s="1"/>
  <c r="E106" i="27" s="1"/>
  <c r="G103" i="27"/>
  <c r="L100" i="17"/>
  <c r="J101" i="17"/>
  <c r="J102" i="17" s="1"/>
  <c r="J103" i="17" s="1"/>
  <c r="BJ101" i="28"/>
  <c r="BJ102" i="28" s="1"/>
  <c r="BJ103" i="28" s="1"/>
  <c r="BL100" i="28"/>
  <c r="T103" i="36"/>
  <c r="R104" i="36"/>
  <c r="R105" i="36" s="1"/>
  <c r="R106" i="36" s="1"/>
  <c r="S103" i="36"/>
  <c r="N103" i="36"/>
  <c r="M103" i="36"/>
  <c r="L104" i="36"/>
  <c r="L105" i="36" s="1"/>
  <c r="L106" i="36" s="1"/>
  <c r="CZ26" i="32"/>
  <c r="DL25" i="32"/>
  <c r="DD25" i="32"/>
  <c r="DK25" i="32"/>
  <c r="DC25" i="32"/>
  <c r="DJ25" i="32"/>
  <c r="DB25" i="32"/>
  <c r="DI25" i="32"/>
  <c r="DA25" i="32"/>
  <c r="DH25" i="32"/>
  <c r="DM25" i="32"/>
  <c r="DP25" i="32"/>
  <c r="DO25" i="32"/>
  <c r="DG25" i="32"/>
  <c r="DF25" i="32"/>
  <c r="DN25" i="32"/>
  <c r="DE25" i="32"/>
  <c r="Y101" i="1"/>
  <c r="Y102" i="1" s="1"/>
  <c r="Y103" i="1" s="1"/>
  <c r="AA100" i="1"/>
  <c r="J101" i="28"/>
  <c r="J102" i="28" s="1"/>
  <c r="J103" i="28" s="1"/>
  <c r="L100" i="28"/>
  <c r="N100" i="21"/>
  <c r="N101" i="21"/>
  <c r="M101" i="21"/>
  <c r="M102" i="21" s="1"/>
  <c r="M103" i="21" s="1"/>
  <c r="O100" i="21"/>
  <c r="L98" i="27"/>
  <c r="L99" i="27" s="1"/>
  <c r="L100" i="27" s="1"/>
  <c r="N97" i="27"/>
  <c r="L101" i="12"/>
  <c r="L102" i="12" s="1"/>
  <c r="L103" i="12" s="1"/>
  <c r="N100" i="12"/>
  <c r="M100" i="12"/>
  <c r="T101" i="21"/>
  <c r="T102" i="21" s="1"/>
  <c r="T103" i="21" s="1"/>
  <c r="V100" i="21"/>
  <c r="U100" i="21"/>
  <c r="AS94" i="28"/>
  <c r="AR94" i="28"/>
  <c r="AQ95" i="28"/>
  <c r="AQ96" i="28" s="1"/>
  <c r="AQ97" i="28" s="1"/>
  <c r="AJ101" i="28"/>
  <c r="AJ102" i="28" s="1"/>
  <c r="AJ103" i="28" s="1"/>
  <c r="AL100" i="28"/>
  <c r="CA103" i="28"/>
  <c r="BY104" i="28"/>
  <c r="BY105" i="28" s="1"/>
  <c r="BY106" i="28" s="1"/>
  <c r="E107" i="26"/>
  <c r="E108" i="26" s="1"/>
  <c r="E109" i="26" s="1"/>
  <c r="G106" i="26"/>
  <c r="BF97" i="28"/>
  <c r="BD98" i="28"/>
  <c r="BD99" i="28" s="1"/>
  <c r="BD100" i="28" s="1"/>
  <c r="R101" i="2"/>
  <c r="R102" i="2" s="1"/>
  <c r="R103" i="2" s="1"/>
  <c r="T100" i="2"/>
  <c r="S100" i="2"/>
  <c r="AD95" i="17"/>
  <c r="AD96" i="17" s="1"/>
  <c r="AD97" i="17" s="1"/>
  <c r="AF94" i="17"/>
  <c r="AE94" i="17"/>
  <c r="N100" i="26"/>
  <c r="M100" i="26"/>
  <c r="L101" i="26"/>
  <c r="L102" i="26" s="1"/>
  <c r="L103" i="26" s="1"/>
  <c r="CA103" i="17"/>
  <c r="BY104" i="17"/>
  <c r="BY105" i="17" s="1"/>
  <c r="BY106" i="17" s="1"/>
  <c r="Q98" i="17"/>
  <c r="Q99" i="17" s="1"/>
  <c r="Q100" i="17" s="1"/>
  <c r="S97" i="17"/>
  <c r="E101" i="21"/>
  <c r="E102" i="21" s="1"/>
  <c r="E103" i="21" s="1"/>
  <c r="G100" i="21"/>
  <c r="F100" i="21"/>
  <c r="F101" i="21"/>
  <c r="CH100" i="17"/>
  <c r="CF101" i="17"/>
  <c r="CF102" i="17" s="1"/>
  <c r="CF103" i="17" s="1"/>
  <c r="AD95" i="28"/>
  <c r="AD96" i="28" s="1"/>
  <c r="AD97" i="28" s="1"/>
  <c r="AF94" i="28"/>
  <c r="AE94" i="28"/>
  <c r="AD98" i="28" l="1"/>
  <c r="AD99" i="28" s="1"/>
  <c r="AD100" i="28" s="1"/>
  <c r="AF97" i="28"/>
  <c r="CF104" i="17"/>
  <c r="CF105" i="17" s="1"/>
  <c r="CF106" i="17" s="1"/>
  <c r="CH103" i="17"/>
  <c r="CA106" i="17"/>
  <c r="BZ106" i="17"/>
  <c r="BY107" i="17"/>
  <c r="BY108" i="17" s="1"/>
  <c r="BY109" i="17" s="1"/>
  <c r="T104" i="21"/>
  <c r="T105" i="21" s="1"/>
  <c r="T106" i="21" s="1"/>
  <c r="V103" i="21"/>
  <c r="BQ104" i="28"/>
  <c r="BQ105" i="28" s="1"/>
  <c r="BQ106" i="28" s="1"/>
  <c r="BS103" i="28"/>
  <c r="L104" i="6"/>
  <c r="L105" i="6" s="1"/>
  <c r="L106" i="6" s="1"/>
  <c r="N103" i="6"/>
  <c r="BQ107" i="17"/>
  <c r="BQ108" i="17" s="1"/>
  <c r="BQ109" i="17" s="1"/>
  <c r="BS106" i="17"/>
  <c r="BR106" i="17"/>
  <c r="T106" i="35"/>
  <c r="R107" i="35"/>
  <c r="R108" i="35" s="1"/>
  <c r="R109" i="35" s="1"/>
  <c r="L104" i="1"/>
  <c r="L105" i="1" s="1"/>
  <c r="L106" i="1" s="1"/>
  <c r="N103" i="1"/>
  <c r="AY103" i="28"/>
  <c r="AW104" i="28"/>
  <c r="AW105" i="28" s="1"/>
  <c r="AW106" i="28" s="1"/>
  <c r="R104" i="6"/>
  <c r="R105" i="6" s="1"/>
  <c r="R106" i="6" s="1"/>
  <c r="T103" i="6"/>
  <c r="L104" i="26"/>
  <c r="L105" i="26" s="1"/>
  <c r="L106" i="26" s="1"/>
  <c r="N103" i="26"/>
  <c r="T103" i="2"/>
  <c r="R104" i="2"/>
  <c r="R105" i="2" s="1"/>
  <c r="R106" i="2" s="1"/>
  <c r="AJ104" i="28"/>
  <c r="AJ105" i="28" s="1"/>
  <c r="AJ106" i="28" s="1"/>
  <c r="AL103" i="28"/>
  <c r="E107" i="27"/>
  <c r="E108" i="27" s="1"/>
  <c r="E109" i="27" s="1"/>
  <c r="G106" i="27"/>
  <c r="W104" i="17"/>
  <c r="W105" i="17" s="1"/>
  <c r="W106" i="17" s="1"/>
  <c r="Y103" i="17"/>
  <c r="N103" i="25"/>
  <c r="L104" i="25"/>
  <c r="L105" i="25" s="1"/>
  <c r="L106" i="25" s="1"/>
  <c r="R104" i="1"/>
  <c r="R105" i="1" s="1"/>
  <c r="R106" i="1" s="1"/>
  <c r="T103" i="1"/>
  <c r="E104" i="1"/>
  <c r="E105" i="1" s="1"/>
  <c r="E106" i="1" s="1"/>
  <c r="G103" i="1"/>
  <c r="BD101" i="28"/>
  <c r="BD102" i="28" s="1"/>
  <c r="BD103" i="28" s="1"/>
  <c r="BF100" i="28"/>
  <c r="AS97" i="28"/>
  <c r="AQ98" i="28"/>
  <c r="AQ99" i="28" s="1"/>
  <c r="AQ100" i="28" s="1"/>
  <c r="L104" i="12"/>
  <c r="L105" i="12" s="1"/>
  <c r="L106" i="12" s="1"/>
  <c r="N103" i="12"/>
  <c r="J104" i="28"/>
  <c r="J105" i="28" s="1"/>
  <c r="J106" i="28" s="1"/>
  <c r="L103" i="28"/>
  <c r="T106" i="36"/>
  <c r="R107" i="36"/>
  <c r="R108" i="36" s="1"/>
  <c r="R109" i="36" s="1"/>
  <c r="AL103" i="17"/>
  <c r="AJ104" i="17"/>
  <c r="AJ105" i="17" s="1"/>
  <c r="AJ106" i="17" s="1"/>
  <c r="E104" i="25"/>
  <c r="E105" i="25" s="1"/>
  <c r="E106" i="25" s="1"/>
  <c r="G103" i="25"/>
  <c r="L107" i="2"/>
  <c r="L108" i="2" s="1"/>
  <c r="L109" i="2" s="1"/>
  <c r="N106" i="2"/>
  <c r="E107" i="35"/>
  <c r="E108" i="35" s="1"/>
  <c r="E109" i="35" s="1"/>
  <c r="G106" i="35"/>
  <c r="R104" i="26"/>
  <c r="R105" i="26" s="1"/>
  <c r="R106" i="26" s="1"/>
  <c r="T103" i="26"/>
  <c r="BJ131" i="17"/>
  <c r="BJ132" i="17" s="1"/>
  <c r="BJ133" i="17" s="1"/>
  <c r="BK130" i="17"/>
  <c r="BL130" i="17"/>
  <c r="AS97" i="17"/>
  <c r="AQ98" i="17"/>
  <c r="AQ99" i="17" s="1"/>
  <c r="AQ100" i="17" s="1"/>
  <c r="B30" i="23"/>
  <c r="C29" i="23"/>
  <c r="E104" i="21"/>
  <c r="E105" i="21" s="1"/>
  <c r="E106" i="21" s="1"/>
  <c r="G103" i="21"/>
  <c r="L101" i="27"/>
  <c r="L102" i="27" s="1"/>
  <c r="L103" i="27" s="1"/>
  <c r="N100" i="27"/>
  <c r="M100" i="27"/>
  <c r="E104" i="6"/>
  <c r="E105" i="6" s="1"/>
  <c r="E106" i="6" s="1"/>
  <c r="G103" i="6"/>
  <c r="E104" i="2"/>
  <c r="E105" i="2" s="1"/>
  <c r="E106" i="2" s="1"/>
  <c r="G103" i="2"/>
  <c r="L107" i="35"/>
  <c r="L108" i="35" s="1"/>
  <c r="L109" i="35" s="1"/>
  <c r="N106" i="35"/>
  <c r="E104" i="12"/>
  <c r="E105" i="12" s="1"/>
  <c r="E106" i="12" s="1"/>
  <c r="G103" i="12"/>
  <c r="BD101" i="17"/>
  <c r="BD102" i="17" s="1"/>
  <c r="BD103" i="17" s="1"/>
  <c r="BF100" i="17"/>
  <c r="T100" i="25"/>
  <c r="S100" i="25"/>
  <c r="R101" i="25"/>
  <c r="R102" i="25" s="1"/>
  <c r="R103" i="25" s="1"/>
  <c r="AW131" i="17"/>
  <c r="AW132" i="17" s="1"/>
  <c r="AW133" i="17" s="1"/>
  <c r="AX130" i="17"/>
  <c r="AY130" i="17"/>
  <c r="M28" i="23"/>
  <c r="I28" i="23"/>
  <c r="H28" i="23"/>
  <c r="F28" i="23"/>
  <c r="E28" i="23"/>
  <c r="D28" i="23"/>
  <c r="L28" i="23"/>
  <c r="N28" i="23"/>
  <c r="J28" i="23"/>
  <c r="AA103" i="1"/>
  <c r="Y104" i="1"/>
  <c r="Y105" i="1" s="1"/>
  <c r="Y106" i="1" s="1"/>
  <c r="G109" i="26"/>
  <c r="E110" i="26"/>
  <c r="E111" i="26" s="1"/>
  <c r="E112" i="26" s="1"/>
  <c r="DL26" i="32"/>
  <c r="DD26" i="32"/>
  <c r="DB26" i="32"/>
  <c r="DK26" i="32"/>
  <c r="DC26" i="32"/>
  <c r="DJ26" i="32"/>
  <c r="DM26" i="32"/>
  <c r="DI26" i="32"/>
  <c r="DA26" i="32"/>
  <c r="DP26" i="32"/>
  <c r="DH26" i="32"/>
  <c r="DO26" i="32"/>
  <c r="DG26" i="32"/>
  <c r="CZ27" i="32"/>
  <c r="DN26" i="32"/>
  <c r="DF26" i="32"/>
  <c r="DE26" i="32"/>
  <c r="BL103" i="28"/>
  <c r="BJ104" i="28"/>
  <c r="BJ105" i="28" s="1"/>
  <c r="BJ106" i="28" s="1"/>
  <c r="CU26" i="32"/>
  <c r="AT17" i="32" s="1" a="1"/>
  <c r="AT17" i="32" s="1"/>
  <c r="CM26" i="32"/>
  <c r="AL17" i="32" s="1" a="1"/>
  <c r="AL17" i="32" s="1"/>
  <c r="CT26" i="32"/>
  <c r="AS17" i="32" s="1" a="1"/>
  <c r="AS17" i="32" s="1"/>
  <c r="CL26" i="32"/>
  <c r="AK17" i="32" s="1" a="1"/>
  <c r="AK17" i="32" s="1"/>
  <c r="CK26" i="32"/>
  <c r="AJ17" i="32" s="1" a="1"/>
  <c r="AJ17" i="32" s="1"/>
  <c r="CS26" i="32"/>
  <c r="AR17" i="32" s="1" a="1"/>
  <c r="AR17" i="32" s="1"/>
  <c r="CR26" i="32"/>
  <c r="AQ17" i="32" s="1" a="1"/>
  <c r="AQ17" i="32" s="1"/>
  <c r="CJ26" i="32"/>
  <c r="AI17" i="32" s="1" a="1"/>
  <c r="AI17" i="32" s="1"/>
  <c r="CQ26" i="32"/>
  <c r="AP17" i="32" s="1" a="1"/>
  <c r="AP17" i="32" s="1"/>
  <c r="CP26" i="32"/>
  <c r="AO17" i="32" s="1" a="1"/>
  <c r="AO17" i="32" s="1"/>
  <c r="CI26" i="32"/>
  <c r="CX26" i="32"/>
  <c r="AW17" i="32" s="1" a="1"/>
  <c r="AW17" i="32" s="1"/>
  <c r="CW26" i="32"/>
  <c r="AV17" i="32" s="1" a="1"/>
  <c r="AV17" i="32" s="1"/>
  <c r="CO26" i="32"/>
  <c r="AN17" i="32" s="1" a="1"/>
  <c r="AN17" i="32" s="1"/>
  <c r="CV26" i="32"/>
  <c r="AU17" i="32" s="1" a="1"/>
  <c r="AU17" i="32" s="1"/>
  <c r="CN26" i="32"/>
  <c r="AM17" i="32" s="1" a="1"/>
  <c r="AM17" i="32" s="1"/>
  <c r="ET26" i="32"/>
  <c r="EL26" i="32"/>
  <c r="ER26" i="32"/>
  <c r="EM26" i="32"/>
  <c r="ES26" i="32"/>
  <c r="EK26" i="32"/>
  <c r="EZ26" i="32"/>
  <c r="EY26" i="32"/>
  <c r="EQ26" i="32"/>
  <c r="EO26" i="32"/>
  <c r="EU26" i="32"/>
  <c r="EX26" i="32"/>
  <c r="EP26" i="32"/>
  <c r="EJ27" i="32"/>
  <c r="EW26" i="32"/>
  <c r="EV26" i="32"/>
  <c r="EN26" i="32"/>
  <c r="Q101" i="17"/>
  <c r="Q102" i="17" s="1"/>
  <c r="Q103" i="17" s="1"/>
  <c r="S100" i="17"/>
  <c r="AF97" i="17"/>
  <c r="AD98" i="17"/>
  <c r="AD99" i="17" s="1"/>
  <c r="AD100" i="17" s="1"/>
  <c r="BZ106" i="28"/>
  <c r="BY107" i="28"/>
  <c r="BY108" i="28" s="1"/>
  <c r="BY109" i="28" s="1"/>
  <c r="CA106" i="28"/>
  <c r="M104" i="21"/>
  <c r="M105" i="21" s="1"/>
  <c r="M106" i="21" s="1"/>
  <c r="O103" i="21"/>
  <c r="L107" i="36"/>
  <c r="L108" i="36" s="1"/>
  <c r="L109" i="36" s="1"/>
  <c r="N106" i="36"/>
  <c r="J104" i="17"/>
  <c r="J105" i="17" s="1"/>
  <c r="J106" i="17" s="1"/>
  <c r="L103" i="17"/>
  <c r="E104" i="36"/>
  <c r="E105" i="36" s="1"/>
  <c r="E106" i="36" s="1"/>
  <c r="G103" i="36"/>
  <c r="F103" i="36"/>
  <c r="W104" i="28"/>
  <c r="W105" i="28" s="1"/>
  <c r="W106" i="28" s="1"/>
  <c r="Y103" i="28"/>
  <c r="R104" i="27"/>
  <c r="R105" i="27" s="1"/>
  <c r="R106" i="27" s="1"/>
  <c r="T103" i="27"/>
  <c r="EC26" i="32"/>
  <c r="DU26" i="32"/>
  <c r="DS26" i="32"/>
  <c r="EB26" i="32"/>
  <c r="DT26" i="32"/>
  <c r="EA26" i="32"/>
  <c r="EH26" i="32"/>
  <c r="DZ26" i="32"/>
  <c r="EG26" i="32"/>
  <c r="DY26" i="32"/>
  <c r="EF26" i="32"/>
  <c r="DX26" i="32"/>
  <c r="DR27" i="32"/>
  <c r="EE26" i="32"/>
  <c r="DW26" i="32"/>
  <c r="ED26" i="32"/>
  <c r="DV26" i="32"/>
  <c r="A47" i="10"/>
  <c r="CH103" i="28"/>
  <c r="CF104" i="28"/>
  <c r="CF105" i="28" s="1"/>
  <c r="CF106" i="28" s="1"/>
  <c r="R65" i="12"/>
  <c r="R66" i="12" s="1"/>
  <c r="R67" i="12" s="1"/>
  <c r="S64" i="12"/>
  <c r="T64" i="12"/>
  <c r="S100" i="28"/>
  <c r="Q101" i="28"/>
  <c r="Q102" i="28" s="1"/>
  <c r="Q103" i="28" s="1"/>
  <c r="E107" i="36" l="1"/>
  <c r="E108" i="36" s="1"/>
  <c r="E109" i="36" s="1"/>
  <c r="G106" i="36"/>
  <c r="CA109" i="28"/>
  <c r="BY110" i="28"/>
  <c r="BY111" i="28" s="1"/>
  <c r="BY112" i="28" s="1"/>
  <c r="E107" i="12"/>
  <c r="E108" i="12" s="1"/>
  <c r="E109" i="12" s="1"/>
  <c r="G106" i="12"/>
  <c r="L110" i="2"/>
  <c r="L111" i="2" s="1"/>
  <c r="L112" i="2" s="1"/>
  <c r="N109" i="2"/>
  <c r="J107" i="28"/>
  <c r="J108" i="28" s="1"/>
  <c r="J109" i="28" s="1"/>
  <c r="L106" i="28"/>
  <c r="K106" i="28"/>
  <c r="G106" i="1"/>
  <c r="E107" i="1"/>
  <c r="E108" i="1" s="1"/>
  <c r="E109" i="1" s="1"/>
  <c r="G109" i="27"/>
  <c r="E110" i="27"/>
  <c r="E111" i="27" s="1"/>
  <c r="E112" i="27" s="1"/>
  <c r="T106" i="6"/>
  <c r="R107" i="6"/>
  <c r="R108" i="6" s="1"/>
  <c r="R109" i="6" s="1"/>
  <c r="CA109" i="17"/>
  <c r="BY110" i="17"/>
  <c r="BY111" i="17" s="1"/>
  <c r="BY112" i="17" s="1"/>
  <c r="BJ107" i="28"/>
  <c r="BJ108" i="28" s="1"/>
  <c r="BJ109" i="28" s="1"/>
  <c r="BK106" i="28"/>
  <c r="BL106" i="28"/>
  <c r="EJ28" i="32"/>
  <c r="EW27" i="32"/>
  <c r="EO27" i="32"/>
  <c r="EU27" i="32"/>
  <c r="EV27" i="32"/>
  <c r="EN27" i="32"/>
  <c r="EM27" i="32"/>
  <c r="ET27" i="32"/>
  <c r="EL27" i="32"/>
  <c r="EX27" i="32"/>
  <c r="ES27" i="32"/>
  <c r="EK27" i="32"/>
  <c r="ER27" i="32"/>
  <c r="EZ27" i="32"/>
  <c r="EY27" i="32"/>
  <c r="EQ27" i="32"/>
  <c r="EP27" i="32"/>
  <c r="AW134" i="17"/>
  <c r="AW135" i="17" s="1"/>
  <c r="AW136" i="17" s="1"/>
  <c r="AY133" i="17"/>
  <c r="N103" i="27"/>
  <c r="L104" i="27"/>
  <c r="L105" i="27" s="1"/>
  <c r="L106" i="27" s="1"/>
  <c r="AW107" i="28"/>
  <c r="AW108" i="28" s="1"/>
  <c r="AW109" i="28" s="1"/>
  <c r="AY106" i="28"/>
  <c r="AX106" i="28"/>
  <c r="BQ110" i="17"/>
  <c r="BQ111" i="17" s="1"/>
  <c r="BQ112" i="17" s="1"/>
  <c r="BS109" i="17"/>
  <c r="A46" i="10"/>
  <c r="V106" i="21"/>
  <c r="T107" i="21"/>
  <c r="T108" i="21" s="1"/>
  <c r="T109" i="21" s="1"/>
  <c r="S103" i="28"/>
  <c r="Q104" i="28"/>
  <c r="Q105" i="28" s="1"/>
  <c r="Q106" i="28" s="1"/>
  <c r="L106" i="17"/>
  <c r="K106" i="17"/>
  <c r="J107" i="17"/>
  <c r="J108" i="17" s="1"/>
  <c r="J109" i="17" s="1"/>
  <c r="AD101" i="17"/>
  <c r="AD102" i="17" s="1"/>
  <c r="AD103" i="17" s="1"/>
  <c r="AF100" i="17"/>
  <c r="E113" i="26"/>
  <c r="E114" i="26" s="1"/>
  <c r="E115" i="26" s="1"/>
  <c r="F112" i="26"/>
  <c r="G112" i="26"/>
  <c r="R104" i="25"/>
  <c r="R105" i="25" s="1"/>
  <c r="R106" i="25" s="1"/>
  <c r="T103" i="25"/>
  <c r="L110" i="35"/>
  <c r="L111" i="35" s="1"/>
  <c r="L112" i="35" s="1"/>
  <c r="N109" i="35"/>
  <c r="BL133" i="17"/>
  <c r="BJ134" i="17"/>
  <c r="BJ135" i="17" s="1"/>
  <c r="BJ136" i="17" s="1"/>
  <c r="G106" i="25"/>
  <c r="E107" i="25"/>
  <c r="E108" i="25" s="1"/>
  <c r="E109" i="25" s="1"/>
  <c r="L107" i="12"/>
  <c r="L108" i="12" s="1"/>
  <c r="L109" i="12" s="1"/>
  <c r="N106" i="12"/>
  <c r="R107" i="1"/>
  <c r="R108" i="1" s="1"/>
  <c r="R109" i="1" s="1"/>
  <c r="T106" i="1"/>
  <c r="AJ107" i="28"/>
  <c r="AJ108" i="28" s="1"/>
  <c r="AJ109" i="28" s="1"/>
  <c r="AL106" i="28"/>
  <c r="AK106" i="28"/>
  <c r="T106" i="27"/>
  <c r="R107" i="27"/>
  <c r="R108" i="27" s="1"/>
  <c r="R109" i="27" s="1"/>
  <c r="E107" i="21"/>
  <c r="E108" i="21" s="1"/>
  <c r="E109" i="21" s="1"/>
  <c r="G106" i="21"/>
  <c r="AJ107" i="17"/>
  <c r="AJ108" i="17" s="1"/>
  <c r="AJ109" i="17" s="1"/>
  <c r="AK106" i="17"/>
  <c r="AL106" i="17"/>
  <c r="AS100" i="28"/>
  <c r="AQ101" i="28"/>
  <c r="AQ102" i="28" s="1"/>
  <c r="AQ103" i="28" s="1"/>
  <c r="L107" i="25"/>
  <c r="L108" i="25" s="1"/>
  <c r="L109" i="25" s="1"/>
  <c r="N106" i="25"/>
  <c r="T106" i="2"/>
  <c r="R107" i="2"/>
  <c r="R108" i="2" s="1"/>
  <c r="R109" i="2" s="1"/>
  <c r="N106" i="6"/>
  <c r="L107" i="6"/>
  <c r="L108" i="6" s="1"/>
  <c r="L109" i="6" s="1"/>
  <c r="L110" i="36"/>
  <c r="L111" i="36" s="1"/>
  <c r="L112" i="36" s="1"/>
  <c r="N109" i="36"/>
  <c r="DO27" i="32"/>
  <c r="DG27" i="32"/>
  <c r="DP27" i="32"/>
  <c r="DN27" i="32"/>
  <c r="DF27" i="32"/>
  <c r="CZ28" i="32"/>
  <c r="DE27" i="32"/>
  <c r="DM27" i="32"/>
  <c r="DL27" i="32"/>
  <c r="DD27" i="32"/>
  <c r="DH27" i="32"/>
  <c r="DK27" i="32"/>
  <c r="DC27" i="32"/>
  <c r="DJ27" i="32"/>
  <c r="DB27" i="32"/>
  <c r="DI27" i="32"/>
  <c r="DA27" i="32"/>
  <c r="AA106" i="1"/>
  <c r="Y107" i="1"/>
  <c r="Y108" i="1" s="1"/>
  <c r="Y109" i="1" s="1"/>
  <c r="E107" i="2"/>
  <c r="E108" i="2" s="1"/>
  <c r="E109" i="2" s="1"/>
  <c r="G106" i="2"/>
  <c r="I29" i="23"/>
  <c r="F29" i="23"/>
  <c r="E29" i="23"/>
  <c r="D29" i="23"/>
  <c r="N29" i="23"/>
  <c r="M29" i="23"/>
  <c r="J29" i="23"/>
  <c r="L29" i="23"/>
  <c r="H29" i="23"/>
  <c r="T106" i="26"/>
  <c r="R107" i="26"/>
  <c r="R108" i="26" s="1"/>
  <c r="R109" i="26" s="1"/>
  <c r="L107" i="1"/>
  <c r="L108" i="1" s="1"/>
  <c r="L109" i="1" s="1"/>
  <c r="N106" i="1"/>
  <c r="CF107" i="17"/>
  <c r="CF108" i="17" s="1"/>
  <c r="CF109" i="17" s="1"/>
  <c r="CG106" i="17"/>
  <c r="CH106" i="17"/>
  <c r="R68" i="12"/>
  <c r="R69" i="12" s="1"/>
  <c r="R70" i="12" s="1"/>
  <c r="T67" i="12"/>
  <c r="EF27" i="32"/>
  <c r="DX27" i="32"/>
  <c r="DV27" i="32"/>
  <c r="DR28" i="32"/>
  <c r="EE27" i="32"/>
  <c r="DW27" i="32"/>
  <c r="ED27" i="32"/>
  <c r="DY27" i="32"/>
  <c r="EC27" i="32"/>
  <c r="DU27" i="32"/>
  <c r="EA27" i="32"/>
  <c r="EB27" i="32"/>
  <c r="DT27" i="32"/>
  <c r="DS27" i="32"/>
  <c r="EG27" i="32"/>
  <c r="EH27" i="32"/>
  <c r="DZ27" i="32"/>
  <c r="Y106" i="28"/>
  <c r="X106" i="28"/>
  <c r="W107" i="28"/>
  <c r="W108" i="28" s="1"/>
  <c r="W109" i="28" s="1"/>
  <c r="Q104" i="17"/>
  <c r="Q105" i="17" s="1"/>
  <c r="Q106" i="17" s="1"/>
  <c r="S103" i="17"/>
  <c r="B31" i="23"/>
  <c r="C30" i="23"/>
  <c r="T109" i="36"/>
  <c r="R110" i="36"/>
  <c r="R111" i="36" s="1"/>
  <c r="R112" i="36" s="1"/>
  <c r="T109" i="35"/>
  <c r="R110" i="35"/>
  <c r="R111" i="35" s="1"/>
  <c r="R112" i="35" s="1"/>
  <c r="BS106" i="28"/>
  <c r="BR106" i="28"/>
  <c r="BQ107" i="28"/>
  <c r="BQ108" i="28" s="1"/>
  <c r="BQ109" i="28" s="1"/>
  <c r="CF107" i="28"/>
  <c r="CF108" i="28" s="1"/>
  <c r="CF109" i="28" s="1"/>
  <c r="CH106" i="28"/>
  <c r="CG106" i="28"/>
  <c r="O106" i="21"/>
  <c r="M107" i="21"/>
  <c r="M108" i="21" s="1"/>
  <c r="M109" i="21" s="1"/>
  <c r="BD104" i="17"/>
  <c r="BD105" i="17" s="1"/>
  <c r="BD106" i="17" s="1"/>
  <c r="BF103" i="17"/>
  <c r="G106" i="6"/>
  <c r="E107" i="6"/>
  <c r="E108" i="6" s="1"/>
  <c r="E109" i="6" s="1"/>
  <c r="AS100" i="17"/>
  <c r="AQ101" i="17"/>
  <c r="AQ102" i="17" s="1"/>
  <c r="AQ103" i="17" s="1"/>
  <c r="E110" i="35"/>
  <c r="E111" i="35" s="1"/>
  <c r="E112" i="35" s="1"/>
  <c r="G109" i="35"/>
  <c r="BD104" i="28"/>
  <c r="BD105" i="28" s="1"/>
  <c r="BD106" i="28" s="1"/>
  <c r="BF103" i="28"/>
  <c r="X106" i="17"/>
  <c r="W107" i="17"/>
  <c r="W108" i="17" s="1"/>
  <c r="W109" i="17" s="1"/>
  <c r="Y106" i="17"/>
  <c r="L107" i="26"/>
  <c r="L108" i="26" s="1"/>
  <c r="L109" i="26" s="1"/>
  <c r="N106" i="26"/>
  <c r="AD101" i="28"/>
  <c r="AD102" i="28" s="1"/>
  <c r="AD103" i="28" s="1"/>
  <c r="AF100" i="28"/>
  <c r="T112" i="36" l="1"/>
  <c r="R113" i="36"/>
  <c r="R114" i="36" s="1"/>
  <c r="R115" i="36" s="1"/>
  <c r="N109" i="1"/>
  <c r="L110" i="1"/>
  <c r="L111" i="1" s="1"/>
  <c r="L112" i="1" s="1"/>
  <c r="BF106" i="28"/>
  <c r="BE106" i="28"/>
  <c r="BD107" i="28"/>
  <c r="BD108" i="28" s="1"/>
  <c r="BD109" i="28" s="1"/>
  <c r="BF106" i="17"/>
  <c r="BE106" i="17"/>
  <c r="BD107" i="17"/>
  <c r="BD108" i="17" s="1"/>
  <c r="BD109" i="17" s="1"/>
  <c r="Q107" i="17"/>
  <c r="Q108" i="17" s="1"/>
  <c r="Q109" i="17" s="1"/>
  <c r="S106" i="17"/>
  <c r="R106" i="17"/>
  <c r="AD104" i="28"/>
  <c r="AD105" i="28" s="1"/>
  <c r="AD106" i="28" s="1"/>
  <c r="AF103" i="28"/>
  <c r="O109" i="21"/>
  <c r="M110" i="21"/>
  <c r="M111" i="21" s="1"/>
  <c r="M112" i="21" s="1"/>
  <c r="T112" i="35"/>
  <c r="R113" i="35"/>
  <c r="R114" i="35" s="1"/>
  <c r="R115" i="35" s="1"/>
  <c r="W110" i="28"/>
  <c r="W111" i="28" s="1"/>
  <c r="W112" i="28" s="1"/>
  <c r="Y109" i="28"/>
  <c r="EA28" i="32"/>
  <c r="DS28" i="32"/>
  <c r="EH28" i="32"/>
  <c r="DZ28" i="32"/>
  <c r="DY28" i="32"/>
  <c r="EG28" i="32"/>
  <c r="DR29" i="32"/>
  <c r="EF28" i="32"/>
  <c r="DX28" i="32"/>
  <c r="DT28" i="32"/>
  <c r="EE28" i="32"/>
  <c r="DW28" i="32"/>
  <c r="EB28" i="32"/>
  <c r="ED28" i="32"/>
  <c r="DV28" i="32"/>
  <c r="EC28" i="32"/>
  <c r="DU28" i="32"/>
  <c r="CF110" i="17"/>
  <c r="CF111" i="17" s="1"/>
  <c r="CF112" i="17" s="1"/>
  <c r="CH109" i="17"/>
  <c r="Y110" i="1"/>
  <c r="Y111" i="1" s="1"/>
  <c r="Y112" i="1" s="1"/>
  <c r="AA109" i="1"/>
  <c r="R110" i="1"/>
  <c r="R111" i="1" s="1"/>
  <c r="R112" i="1" s="1"/>
  <c r="T109" i="1"/>
  <c r="L113" i="35"/>
  <c r="L114" i="35" s="1"/>
  <c r="L115" i="35" s="1"/>
  <c r="N112" i="35"/>
  <c r="J110" i="17"/>
  <c r="J111" i="17" s="1"/>
  <c r="J112" i="17" s="1"/>
  <c r="L109" i="17"/>
  <c r="AW137" i="17"/>
  <c r="AW138" i="17" s="1"/>
  <c r="AW139" i="17" s="1"/>
  <c r="AY136" i="17"/>
  <c r="BQ113" i="17"/>
  <c r="BQ114" i="17" s="1"/>
  <c r="BQ115" i="17" s="1"/>
  <c r="BS112" i="17"/>
  <c r="EZ28" i="32"/>
  <c r="ER28" i="32"/>
  <c r="EY28" i="32"/>
  <c r="EQ28" i="32"/>
  <c r="EJ29" i="32"/>
  <c r="EP28" i="32"/>
  <c r="EX28" i="32"/>
  <c r="EW28" i="32"/>
  <c r="EO28" i="32"/>
  <c r="ES28" i="32"/>
  <c r="EV28" i="32"/>
  <c r="EN28" i="32"/>
  <c r="EU28" i="32"/>
  <c r="EM28" i="32"/>
  <c r="EK28" i="32"/>
  <c r="ET28" i="32"/>
  <c r="EL28" i="32"/>
  <c r="G112" i="27"/>
  <c r="F112" i="27"/>
  <c r="F113" i="27"/>
  <c r="E113" i="27"/>
  <c r="E114" i="27" s="1"/>
  <c r="E115" i="27" s="1"/>
  <c r="L113" i="2"/>
  <c r="L114" i="2" s="1"/>
  <c r="L115" i="2" s="1"/>
  <c r="N112" i="2"/>
  <c r="M112" i="2"/>
  <c r="M113" i="2"/>
  <c r="N109" i="25"/>
  <c r="L110" i="25"/>
  <c r="L111" i="25" s="1"/>
  <c r="L112" i="25" s="1"/>
  <c r="T109" i="27"/>
  <c r="R110" i="27"/>
  <c r="R111" i="27" s="1"/>
  <c r="R112" i="27" s="1"/>
  <c r="L110" i="12"/>
  <c r="L111" i="12" s="1"/>
  <c r="L112" i="12" s="1"/>
  <c r="N109" i="12"/>
  <c r="T106" i="25"/>
  <c r="R107" i="25"/>
  <c r="R108" i="25" s="1"/>
  <c r="R109" i="25" s="1"/>
  <c r="AQ104" i="28"/>
  <c r="AQ105" i="28" s="1"/>
  <c r="AQ106" i="28" s="1"/>
  <c r="AS103" i="28"/>
  <c r="E110" i="25"/>
  <c r="E111" i="25" s="1"/>
  <c r="E112" i="25" s="1"/>
  <c r="G109" i="25"/>
  <c r="R106" i="28"/>
  <c r="Q107" i="28"/>
  <c r="Q108" i="28" s="1"/>
  <c r="Q109" i="28" s="1"/>
  <c r="S106" i="28"/>
  <c r="E110" i="1"/>
  <c r="E111" i="1" s="1"/>
  <c r="E112" i="1" s="1"/>
  <c r="G109" i="1"/>
  <c r="E110" i="12"/>
  <c r="E111" i="12" s="1"/>
  <c r="E112" i="12" s="1"/>
  <c r="G109" i="12"/>
  <c r="E110" i="21"/>
  <c r="E111" i="21" s="1"/>
  <c r="E112" i="21" s="1"/>
  <c r="G109" i="21"/>
  <c r="N109" i="26"/>
  <c r="L110" i="26"/>
  <c r="L111" i="26" s="1"/>
  <c r="L112" i="26" s="1"/>
  <c r="E30" i="23"/>
  <c r="D30" i="23"/>
  <c r="N30" i="23"/>
  <c r="M30" i="23"/>
  <c r="L30" i="23"/>
  <c r="J30" i="23"/>
  <c r="H30" i="23"/>
  <c r="I30" i="23"/>
  <c r="F30" i="23"/>
  <c r="AY109" i="28"/>
  <c r="AW110" i="28"/>
  <c r="AW111" i="28" s="1"/>
  <c r="AW112" i="28" s="1"/>
  <c r="BL109" i="28"/>
  <c r="BJ110" i="28"/>
  <c r="BJ111" i="28" s="1"/>
  <c r="BJ112" i="28" s="1"/>
  <c r="BY113" i="28"/>
  <c r="BY114" i="28" s="1"/>
  <c r="BY115" i="28" s="1"/>
  <c r="CA112" i="28"/>
  <c r="E113" i="35"/>
  <c r="E114" i="35" s="1"/>
  <c r="E115" i="35" s="1"/>
  <c r="G112" i="35"/>
  <c r="AS103" i="17"/>
  <c r="AQ104" i="17"/>
  <c r="AQ105" i="17" s="1"/>
  <c r="AQ106" i="17" s="1"/>
  <c r="R110" i="26"/>
  <c r="R111" i="26" s="1"/>
  <c r="R112" i="26" s="1"/>
  <c r="T109" i="26"/>
  <c r="Y109" i="17"/>
  <c r="W110" i="17"/>
  <c r="W111" i="17" s="1"/>
  <c r="W112" i="17" s="1"/>
  <c r="E110" i="6"/>
  <c r="E111" i="6" s="1"/>
  <c r="E112" i="6" s="1"/>
  <c r="G109" i="6"/>
  <c r="CH109" i="28"/>
  <c r="CF110" i="28"/>
  <c r="CF111" i="28" s="1"/>
  <c r="CF112" i="28" s="1"/>
  <c r="L113" i="36"/>
  <c r="L114" i="36" s="1"/>
  <c r="L115" i="36" s="1"/>
  <c r="N112" i="36"/>
  <c r="BQ110" i="28"/>
  <c r="BQ111" i="28" s="1"/>
  <c r="BQ112" i="28" s="1"/>
  <c r="BS109" i="28"/>
  <c r="C31" i="23"/>
  <c r="B32" i="23"/>
  <c r="R71" i="12"/>
  <c r="R72" i="12" s="1"/>
  <c r="R73" i="12" s="1"/>
  <c r="T70" i="12"/>
  <c r="DJ28" i="32"/>
  <c r="DB28" i="32"/>
  <c r="DP28" i="32"/>
  <c r="DK28" i="32"/>
  <c r="DI28" i="32"/>
  <c r="DA28" i="32"/>
  <c r="DH28" i="32"/>
  <c r="DO28" i="32"/>
  <c r="DG28" i="32"/>
  <c r="CZ29" i="32"/>
  <c r="DN28" i="32"/>
  <c r="DF28" i="32"/>
  <c r="DM28" i="32"/>
  <c r="DE28" i="32"/>
  <c r="DC28" i="32"/>
  <c r="DL28" i="32"/>
  <c r="DD28" i="32"/>
  <c r="N109" i="6"/>
  <c r="L110" i="6"/>
  <c r="L111" i="6" s="1"/>
  <c r="L112" i="6" s="1"/>
  <c r="BJ137" i="17"/>
  <c r="BJ138" i="17" s="1"/>
  <c r="BJ139" i="17" s="1"/>
  <c r="BL136" i="17"/>
  <c r="G115" i="26"/>
  <c r="E116" i="26"/>
  <c r="E117" i="26" s="1"/>
  <c r="E118" i="26" s="1"/>
  <c r="V109" i="21"/>
  <c r="T110" i="21"/>
  <c r="T111" i="21" s="1"/>
  <c r="T112" i="21" s="1"/>
  <c r="A45" i="10"/>
  <c r="L107" i="27"/>
  <c r="L108" i="27" s="1"/>
  <c r="L109" i="27" s="1"/>
  <c r="N106" i="27"/>
  <c r="CA112" i="17"/>
  <c r="BY113" i="17"/>
  <c r="BY114" i="17" s="1"/>
  <c r="BY115" i="17" s="1"/>
  <c r="AJ110" i="28"/>
  <c r="AJ111" i="28" s="1"/>
  <c r="AJ112" i="28" s="1"/>
  <c r="AL109" i="28"/>
  <c r="E110" i="2"/>
  <c r="E111" i="2" s="1"/>
  <c r="E112" i="2" s="1"/>
  <c r="G109" i="2"/>
  <c r="T109" i="2"/>
  <c r="R110" i="2"/>
  <c r="R111" i="2" s="1"/>
  <c r="R112" i="2" s="1"/>
  <c r="AJ110" i="17"/>
  <c r="AJ111" i="17" s="1"/>
  <c r="AJ112" i="17" s="1"/>
  <c r="AL109" i="17"/>
  <c r="AD104" i="17"/>
  <c r="AD105" i="17" s="1"/>
  <c r="AD106" i="17" s="1"/>
  <c r="AF103" i="17"/>
  <c r="T109" i="6"/>
  <c r="R110" i="6"/>
  <c r="R111" i="6" s="1"/>
  <c r="R112" i="6" s="1"/>
  <c r="J110" i="28"/>
  <c r="J111" i="28" s="1"/>
  <c r="J112" i="28" s="1"/>
  <c r="L109" i="28"/>
  <c r="E110" i="36"/>
  <c r="E111" i="36" s="1"/>
  <c r="E112" i="36" s="1"/>
  <c r="G109" i="36"/>
  <c r="G112" i="25" l="1"/>
  <c r="E113" i="25"/>
  <c r="E114" i="25" s="1"/>
  <c r="E115" i="25" s="1"/>
  <c r="F112" i="25"/>
  <c r="CF113" i="28"/>
  <c r="CF114" i="28" s="1"/>
  <c r="CF115" i="28" s="1"/>
  <c r="CH112" i="28"/>
  <c r="N112" i="25"/>
  <c r="L113" i="25"/>
  <c r="L114" i="25" s="1"/>
  <c r="L115" i="25" s="1"/>
  <c r="M112" i="25"/>
  <c r="AD107" i="28"/>
  <c r="AD108" i="28" s="1"/>
  <c r="AD109" i="28" s="1"/>
  <c r="AF106" i="28"/>
  <c r="AE106" i="28"/>
  <c r="G112" i="1"/>
  <c r="F112" i="1"/>
  <c r="E113" i="1"/>
  <c r="E114" i="1" s="1"/>
  <c r="E115" i="1" s="1"/>
  <c r="L116" i="35"/>
  <c r="L117" i="35" s="1"/>
  <c r="L118" i="35" s="1"/>
  <c r="N115" i="35"/>
  <c r="M115" i="35"/>
  <c r="E113" i="12"/>
  <c r="E114" i="12" s="1"/>
  <c r="E115" i="12" s="1"/>
  <c r="G112" i="12"/>
  <c r="F112" i="12"/>
  <c r="BD110" i="28"/>
  <c r="BD111" i="28" s="1"/>
  <c r="BD112" i="28" s="1"/>
  <c r="BF109" i="28"/>
  <c r="E119" i="26"/>
  <c r="E120" i="26" s="1"/>
  <c r="E121" i="26" s="1"/>
  <c r="G118" i="26"/>
  <c r="R74" i="12"/>
  <c r="R75" i="12" s="1"/>
  <c r="R76" i="12" s="1"/>
  <c r="T73" i="12"/>
  <c r="C32" i="23"/>
  <c r="B33" i="23"/>
  <c r="A44" i="10"/>
  <c r="L31" i="23"/>
  <c r="N31" i="23"/>
  <c r="M31" i="23"/>
  <c r="J31" i="23"/>
  <c r="I31" i="23"/>
  <c r="H31" i="23"/>
  <c r="E31" i="23"/>
  <c r="F31" i="23"/>
  <c r="D31" i="23"/>
  <c r="G112" i="6"/>
  <c r="F112" i="6"/>
  <c r="E113" i="6"/>
  <c r="E114" i="6" s="1"/>
  <c r="E115" i="6" s="1"/>
  <c r="E116" i="35"/>
  <c r="E117" i="35" s="1"/>
  <c r="E118" i="35" s="1"/>
  <c r="G115" i="35"/>
  <c r="F115" i="35"/>
  <c r="M112" i="26"/>
  <c r="N112" i="26"/>
  <c r="L113" i="26"/>
  <c r="L114" i="26" s="1"/>
  <c r="L115" i="26" s="1"/>
  <c r="EC29" i="32"/>
  <c r="DU29" i="32"/>
  <c r="DS29" i="32"/>
  <c r="EB29" i="32"/>
  <c r="DT29" i="32"/>
  <c r="EA29" i="32"/>
  <c r="EH29" i="32"/>
  <c r="DZ29" i="32"/>
  <c r="DV29" i="32"/>
  <c r="EG29" i="32"/>
  <c r="DY29" i="32"/>
  <c r="ED29" i="32"/>
  <c r="EF29" i="32"/>
  <c r="DX29" i="32"/>
  <c r="DR30" i="32"/>
  <c r="EE29" i="32"/>
  <c r="DW29" i="32"/>
  <c r="W113" i="28"/>
  <c r="W114" i="28" s="1"/>
  <c r="W115" i="28" s="1"/>
  <c r="Y112" i="28"/>
  <c r="L113" i="1"/>
  <c r="L114" i="1" s="1"/>
  <c r="L115" i="1" s="1"/>
  <c r="N112" i="1"/>
  <c r="M112" i="1"/>
  <c r="R110" i="25"/>
  <c r="R111" i="25" s="1"/>
  <c r="R112" i="25" s="1"/>
  <c r="T109" i="25"/>
  <c r="AL112" i="17"/>
  <c r="AJ113" i="17"/>
  <c r="AJ114" i="17" s="1"/>
  <c r="AJ115" i="17" s="1"/>
  <c r="BL139" i="17"/>
  <c r="BJ140" i="17"/>
  <c r="BJ141" i="17" s="1"/>
  <c r="BJ142" i="17" s="1"/>
  <c r="W113" i="17"/>
  <c r="W114" i="17" s="1"/>
  <c r="W115" i="17" s="1"/>
  <c r="Y112" i="17"/>
  <c r="S109" i="28"/>
  <c r="Q110" i="28"/>
  <c r="Q111" i="28" s="1"/>
  <c r="Q112" i="28" s="1"/>
  <c r="BQ116" i="17"/>
  <c r="BQ117" i="17" s="1"/>
  <c r="BQ118" i="17" s="1"/>
  <c r="BS115" i="17"/>
  <c r="S112" i="1"/>
  <c r="T112" i="1"/>
  <c r="R113" i="1"/>
  <c r="R114" i="1" s="1"/>
  <c r="R115" i="1" s="1"/>
  <c r="R116" i="35"/>
  <c r="R117" i="35" s="1"/>
  <c r="R118" i="35" s="1"/>
  <c r="S115" i="35"/>
  <c r="T115" i="35"/>
  <c r="S109" i="17"/>
  <c r="Q110" i="17"/>
  <c r="Q111" i="17" s="1"/>
  <c r="Q112" i="17" s="1"/>
  <c r="V112" i="21"/>
  <c r="T113" i="21"/>
  <c r="T114" i="21" s="1"/>
  <c r="T115" i="21" s="1"/>
  <c r="U112" i="21"/>
  <c r="L116" i="36"/>
  <c r="L117" i="36" s="1"/>
  <c r="L118" i="36" s="1"/>
  <c r="M115" i="36"/>
  <c r="N115" i="36"/>
  <c r="AR106" i="17"/>
  <c r="AQ107" i="17"/>
  <c r="AQ108" i="17" s="1"/>
  <c r="AQ109" i="17" s="1"/>
  <c r="AS106" i="17"/>
  <c r="CH112" i="17"/>
  <c r="CF113" i="17"/>
  <c r="CF114" i="17" s="1"/>
  <c r="CF115" i="17" s="1"/>
  <c r="AL112" i="28"/>
  <c r="AJ113" i="28"/>
  <c r="AJ114" i="28" s="1"/>
  <c r="AJ115" i="28" s="1"/>
  <c r="CA115" i="17"/>
  <c r="BY116" i="17"/>
  <c r="BY117" i="17" s="1"/>
  <c r="BY118" i="17" s="1"/>
  <c r="BQ113" i="28"/>
  <c r="BQ114" i="28" s="1"/>
  <c r="BQ115" i="28" s="1"/>
  <c r="BS112" i="28"/>
  <c r="N112" i="12"/>
  <c r="M112" i="12"/>
  <c r="L113" i="12"/>
  <c r="L114" i="12" s="1"/>
  <c r="L115" i="12" s="1"/>
  <c r="L116" i="2"/>
  <c r="L117" i="2" s="1"/>
  <c r="L118" i="2" s="1"/>
  <c r="N115" i="2"/>
  <c r="BD110" i="17"/>
  <c r="BD111" i="17" s="1"/>
  <c r="BD112" i="17" s="1"/>
  <c r="BF109" i="17"/>
  <c r="T115" i="36"/>
  <c r="R116" i="36"/>
  <c r="R117" i="36" s="1"/>
  <c r="R118" i="36" s="1"/>
  <c r="S115" i="36"/>
  <c r="F113" i="2"/>
  <c r="E113" i="2"/>
  <c r="E114" i="2" s="1"/>
  <c r="E115" i="2" s="1"/>
  <c r="G112" i="2"/>
  <c r="F112" i="2"/>
  <c r="R113" i="26"/>
  <c r="R114" i="26" s="1"/>
  <c r="R115" i="26" s="1"/>
  <c r="T112" i="26"/>
  <c r="S112" i="26"/>
  <c r="AY112" i="28"/>
  <c r="AW113" i="28"/>
  <c r="AW114" i="28" s="1"/>
  <c r="AW115" i="28" s="1"/>
  <c r="L112" i="17"/>
  <c r="J113" i="17"/>
  <c r="J114" i="17" s="1"/>
  <c r="J115" i="17" s="1"/>
  <c r="AF106" i="17"/>
  <c r="AE106" i="17"/>
  <c r="AD107" i="17"/>
  <c r="AD108" i="17" s="1"/>
  <c r="AD109" i="17" s="1"/>
  <c r="AS106" i="28"/>
  <c r="AR106" i="28"/>
  <c r="AQ107" i="28"/>
  <c r="AQ108" i="28" s="1"/>
  <c r="AQ109" i="28" s="1"/>
  <c r="E113" i="36"/>
  <c r="E114" i="36" s="1"/>
  <c r="E115" i="36" s="1"/>
  <c r="G112" i="36"/>
  <c r="S113" i="2"/>
  <c r="T112" i="2"/>
  <c r="S112" i="2"/>
  <c r="R113" i="2"/>
  <c r="R114" i="2" s="1"/>
  <c r="R115" i="2" s="1"/>
  <c r="L112" i="28"/>
  <c r="J113" i="28"/>
  <c r="J114" i="28" s="1"/>
  <c r="J115" i="28" s="1"/>
  <c r="L110" i="27"/>
  <c r="L111" i="27" s="1"/>
  <c r="L112" i="27" s="1"/>
  <c r="N109" i="27"/>
  <c r="L113" i="6"/>
  <c r="L114" i="6" s="1"/>
  <c r="L115" i="6" s="1"/>
  <c r="M112" i="6"/>
  <c r="N112" i="6"/>
  <c r="BY116" i="28"/>
  <c r="BY117" i="28" s="1"/>
  <c r="BY118" i="28" s="1"/>
  <c r="CA115" i="28"/>
  <c r="T112" i="6"/>
  <c r="S112" i="6"/>
  <c r="R113" i="6"/>
  <c r="R114" i="6" s="1"/>
  <c r="R115" i="6" s="1"/>
  <c r="DL29" i="32"/>
  <c r="DD29" i="32"/>
  <c r="DK29" i="32"/>
  <c r="DC29" i="32"/>
  <c r="DJ29" i="32"/>
  <c r="DB29" i="32"/>
  <c r="DI29" i="32"/>
  <c r="DA29" i="32"/>
  <c r="DP29" i="32"/>
  <c r="DH29" i="32"/>
  <c r="CZ30" i="32"/>
  <c r="DE29" i="32"/>
  <c r="DO29" i="32"/>
  <c r="DG29" i="32"/>
  <c r="DM29" i="32"/>
  <c r="DN29" i="32"/>
  <c r="DF29" i="32"/>
  <c r="BJ113" i="28"/>
  <c r="BJ114" i="28" s="1"/>
  <c r="BJ115" i="28" s="1"/>
  <c r="BL112" i="28"/>
  <c r="G112" i="21"/>
  <c r="F112" i="21"/>
  <c r="E113" i="21"/>
  <c r="E114" i="21" s="1"/>
  <c r="E115" i="21" s="1"/>
  <c r="S112" i="27"/>
  <c r="T112" i="27"/>
  <c r="R113" i="27"/>
  <c r="R114" i="27" s="1"/>
  <c r="R115" i="27" s="1"/>
  <c r="G115" i="27"/>
  <c r="E116" i="27"/>
  <c r="E117" i="27" s="1"/>
  <c r="E118" i="27" s="1"/>
  <c r="ET29" i="32"/>
  <c r="EL29" i="32"/>
  <c r="ER29" i="32"/>
  <c r="ES29" i="32"/>
  <c r="EK29" i="32"/>
  <c r="EZ29" i="32"/>
  <c r="EY29" i="32"/>
  <c r="EQ29" i="32"/>
  <c r="EU29" i="32"/>
  <c r="EX29" i="32"/>
  <c r="EP29" i="32"/>
  <c r="EJ30" i="32"/>
  <c r="EW29" i="32"/>
  <c r="EO29" i="32"/>
  <c r="EM29" i="32"/>
  <c r="EV29" i="32"/>
  <c r="EN29" i="32"/>
  <c r="AW140" i="17"/>
  <c r="AW141" i="17" s="1"/>
  <c r="AW142" i="17" s="1"/>
  <c r="AY139" i="17"/>
  <c r="AA112" i="1"/>
  <c r="Y113" i="1"/>
  <c r="Y114" i="1" s="1"/>
  <c r="Y115" i="1" s="1"/>
  <c r="M113" i="21"/>
  <c r="M114" i="21" s="1"/>
  <c r="M115" i="21" s="1"/>
  <c r="N112" i="21"/>
  <c r="O112" i="21"/>
  <c r="BQ119" i="17" l="1"/>
  <c r="BQ120" i="17" s="1"/>
  <c r="BQ121" i="17" s="1"/>
  <c r="BS118" i="17"/>
  <c r="BR118" i="17"/>
  <c r="Y116" i="1"/>
  <c r="Y117" i="1" s="1"/>
  <c r="Y118" i="1" s="1"/>
  <c r="AA115" i="1"/>
  <c r="T115" i="6"/>
  <c r="R116" i="6"/>
  <c r="R117" i="6" s="1"/>
  <c r="R118" i="6" s="1"/>
  <c r="J116" i="17"/>
  <c r="J117" i="17" s="1"/>
  <c r="J118" i="17" s="1"/>
  <c r="L115" i="17"/>
  <c r="S112" i="28"/>
  <c r="Q113" i="28"/>
  <c r="Q114" i="28" s="1"/>
  <c r="Q115" i="28" s="1"/>
  <c r="L116" i="26"/>
  <c r="L117" i="26" s="1"/>
  <c r="L118" i="26" s="1"/>
  <c r="N115" i="26"/>
  <c r="G121" i="26"/>
  <c r="E122" i="26"/>
  <c r="E123" i="26" s="1"/>
  <c r="E124" i="26" s="1"/>
  <c r="L119" i="35"/>
  <c r="L120" i="35" s="1"/>
  <c r="L121" i="35" s="1"/>
  <c r="N118" i="35"/>
  <c r="L116" i="25"/>
  <c r="L117" i="25" s="1"/>
  <c r="L118" i="25" s="1"/>
  <c r="N115" i="25"/>
  <c r="AJ116" i="28"/>
  <c r="AJ117" i="28" s="1"/>
  <c r="AJ118" i="28" s="1"/>
  <c r="AL115" i="28"/>
  <c r="G115" i="1"/>
  <c r="E116" i="1"/>
  <c r="E117" i="1" s="1"/>
  <c r="E118" i="1" s="1"/>
  <c r="E116" i="21"/>
  <c r="E117" i="21" s="1"/>
  <c r="E118" i="21" s="1"/>
  <c r="G115" i="21"/>
  <c r="L115" i="28"/>
  <c r="J116" i="28"/>
  <c r="J117" i="28" s="1"/>
  <c r="J118" i="28" s="1"/>
  <c r="AQ110" i="28"/>
  <c r="AQ111" i="28" s="1"/>
  <c r="AQ112" i="28" s="1"/>
  <c r="AS109" i="28"/>
  <c r="AY115" i="28"/>
  <c r="AW116" i="28"/>
  <c r="AW117" i="28" s="1"/>
  <c r="AW118" i="28" s="1"/>
  <c r="L116" i="12"/>
  <c r="L117" i="12" s="1"/>
  <c r="L118" i="12" s="1"/>
  <c r="N115" i="12"/>
  <c r="L119" i="36"/>
  <c r="L120" i="36" s="1"/>
  <c r="L121" i="36" s="1"/>
  <c r="N118" i="36"/>
  <c r="R119" i="35"/>
  <c r="R120" i="35" s="1"/>
  <c r="R121" i="35" s="1"/>
  <c r="T118" i="35"/>
  <c r="BD113" i="28"/>
  <c r="BD114" i="28" s="1"/>
  <c r="BD115" i="28" s="1"/>
  <c r="BF112" i="28"/>
  <c r="EJ31" i="32"/>
  <c r="EW30" i="32"/>
  <c r="EO30" i="32"/>
  <c r="EV30" i="32"/>
  <c r="EN30" i="32"/>
  <c r="EM30" i="32"/>
  <c r="EU30" i="32"/>
  <c r="ET30" i="32"/>
  <c r="EL30" i="32"/>
  <c r="EX30" i="32"/>
  <c r="ES30" i="32"/>
  <c r="EK30" i="32"/>
  <c r="EZ30" i="32"/>
  <c r="ER30" i="32"/>
  <c r="EP30" i="32"/>
  <c r="EY30" i="32"/>
  <c r="EQ30" i="32"/>
  <c r="L113" i="27"/>
  <c r="L114" i="27" s="1"/>
  <c r="L115" i="27" s="1"/>
  <c r="M113" i="27"/>
  <c r="N112" i="27"/>
  <c r="M112" i="27"/>
  <c r="L119" i="2"/>
  <c r="L120" i="2" s="1"/>
  <c r="L121" i="2" s="1"/>
  <c r="N118" i="2"/>
  <c r="EF30" i="32"/>
  <c r="DX30" i="32"/>
  <c r="DV30" i="32"/>
  <c r="DR31" i="32"/>
  <c r="EE30" i="32"/>
  <c r="DW30" i="32"/>
  <c r="ED30" i="32"/>
  <c r="EC30" i="32"/>
  <c r="DU30" i="32"/>
  <c r="EG30" i="32"/>
  <c r="EB30" i="32"/>
  <c r="DT30" i="32"/>
  <c r="DY30" i="32"/>
  <c r="EA30" i="32"/>
  <c r="DS30" i="32"/>
  <c r="EH30" i="32"/>
  <c r="DZ30" i="32"/>
  <c r="AW143" i="17"/>
  <c r="AW144" i="17" s="1"/>
  <c r="AW145" i="17" s="1"/>
  <c r="AW146" i="17" s="1"/>
  <c r="AW147" i="17" s="1"/>
  <c r="AW148" i="17" s="1"/>
  <c r="AW149" i="17" s="1"/>
  <c r="AW150" i="17" s="1"/>
  <c r="AW151" i="17" s="1"/>
  <c r="AW152" i="17" s="1"/>
  <c r="AW153" i="17" s="1"/>
  <c r="AW154" i="17" s="1"/>
  <c r="AW155" i="17" s="1"/>
  <c r="AW156" i="17" s="1"/>
  <c r="AW157" i="17" s="1"/>
  <c r="AW158" i="17" s="1"/>
  <c r="AW159" i="17" s="1"/>
  <c r="AW160" i="17" s="1"/>
  <c r="AW161" i="17" s="1"/>
  <c r="AW162" i="17" s="1"/>
  <c r="AW163" i="17" s="1"/>
  <c r="AW164" i="17" s="1"/>
  <c r="AW165" i="17" s="1"/>
  <c r="AW166" i="17" s="1"/>
  <c r="AY142" i="17"/>
  <c r="AX142" i="17"/>
  <c r="CF116" i="17"/>
  <c r="CF117" i="17" s="1"/>
  <c r="CF118" i="17" s="1"/>
  <c r="CH115" i="17"/>
  <c r="R116" i="1"/>
  <c r="R117" i="1" s="1"/>
  <c r="R118" i="1" s="1"/>
  <c r="T115" i="1"/>
  <c r="Y115" i="17"/>
  <c r="W116" i="17"/>
  <c r="W117" i="17" s="1"/>
  <c r="W118" i="17" s="1"/>
  <c r="C33" i="23"/>
  <c r="B34" i="23"/>
  <c r="CF116" i="28"/>
  <c r="CF117" i="28" s="1"/>
  <c r="CF118" i="28" s="1"/>
  <c r="CH115" i="28"/>
  <c r="M116" i="21"/>
  <c r="M117" i="21" s="1"/>
  <c r="M118" i="21" s="1"/>
  <c r="O115" i="21"/>
  <c r="BY119" i="28"/>
  <c r="BY120" i="28" s="1"/>
  <c r="BY121" i="28" s="1"/>
  <c r="CA118" i="28"/>
  <c r="BZ118" i="28"/>
  <c r="T115" i="2"/>
  <c r="R116" i="2"/>
  <c r="R117" i="2" s="1"/>
  <c r="R118" i="2" s="1"/>
  <c r="T118" i="36"/>
  <c r="R119" i="36"/>
  <c r="R120" i="36" s="1"/>
  <c r="R121" i="36" s="1"/>
  <c r="V115" i="21"/>
  <c r="T116" i="21"/>
  <c r="T117" i="21" s="1"/>
  <c r="T118" i="21" s="1"/>
  <c r="BL142" i="17"/>
  <c r="BK142" i="17"/>
  <c r="BJ143" i="17"/>
  <c r="BJ144" i="17" s="1"/>
  <c r="BJ145" i="17" s="1"/>
  <c r="BJ146" i="17" s="1"/>
  <c r="BJ147" i="17" s="1"/>
  <c r="BJ148" i="17" s="1"/>
  <c r="L116" i="1"/>
  <c r="L117" i="1" s="1"/>
  <c r="L118" i="1" s="1"/>
  <c r="N115" i="1"/>
  <c r="M32" i="23"/>
  <c r="H32" i="23"/>
  <c r="N32" i="23"/>
  <c r="L32" i="23"/>
  <c r="J32" i="23"/>
  <c r="I32" i="23"/>
  <c r="F32" i="23"/>
  <c r="D32" i="23"/>
  <c r="E32" i="23"/>
  <c r="R116" i="27"/>
  <c r="R117" i="27" s="1"/>
  <c r="R118" i="27" s="1"/>
  <c r="T115" i="27"/>
  <c r="N115" i="6"/>
  <c r="L116" i="6"/>
  <c r="L117" i="6" s="1"/>
  <c r="L118" i="6" s="1"/>
  <c r="CA118" i="17"/>
  <c r="BZ118" i="17"/>
  <c r="BY119" i="17"/>
  <c r="BY120" i="17" s="1"/>
  <c r="BY121" i="17" s="1"/>
  <c r="E116" i="2"/>
  <c r="E117" i="2" s="1"/>
  <c r="E118" i="2" s="1"/>
  <c r="G115" i="2"/>
  <c r="S112" i="25"/>
  <c r="R113" i="25"/>
  <c r="R114" i="25" s="1"/>
  <c r="R115" i="25" s="1"/>
  <c r="T112" i="25"/>
  <c r="G118" i="27"/>
  <c r="E119" i="27"/>
  <c r="E120" i="27" s="1"/>
  <c r="E121" i="27" s="1"/>
  <c r="DO30" i="32"/>
  <c r="DG30" i="32"/>
  <c r="DN30" i="32"/>
  <c r="DF30" i="32"/>
  <c r="DE30" i="32"/>
  <c r="CZ31" i="32"/>
  <c r="DM30" i="32"/>
  <c r="DL30" i="32"/>
  <c r="DD30" i="32"/>
  <c r="DH30" i="32"/>
  <c r="DK30" i="32"/>
  <c r="DC30" i="32"/>
  <c r="DJ30" i="32"/>
  <c r="DB30" i="32"/>
  <c r="DP30" i="32"/>
  <c r="DI30" i="32"/>
  <c r="DA30" i="32"/>
  <c r="AD110" i="17"/>
  <c r="AD111" i="17" s="1"/>
  <c r="AD112" i="17" s="1"/>
  <c r="AF109" i="17"/>
  <c r="E119" i="35"/>
  <c r="E120" i="35" s="1"/>
  <c r="E121" i="35" s="1"/>
  <c r="G118" i="35"/>
  <c r="E116" i="12"/>
  <c r="E117" i="12" s="1"/>
  <c r="E118" i="12" s="1"/>
  <c r="G115" i="12"/>
  <c r="G115" i="25"/>
  <c r="E116" i="25"/>
  <c r="E117" i="25" s="1"/>
  <c r="E118" i="25" s="1"/>
  <c r="BF112" i="17"/>
  <c r="BD113" i="17"/>
  <c r="BD114" i="17" s="1"/>
  <c r="BD115" i="17" s="1"/>
  <c r="G115" i="36"/>
  <c r="F115" i="36"/>
  <c r="E116" i="36"/>
  <c r="E117" i="36" s="1"/>
  <c r="E118" i="36" s="1"/>
  <c r="BL115" i="28"/>
  <c r="BJ116" i="28"/>
  <c r="BJ117" i="28" s="1"/>
  <c r="BJ118" i="28" s="1"/>
  <c r="R116" i="26"/>
  <c r="R117" i="26" s="1"/>
  <c r="R118" i="26" s="1"/>
  <c r="T115" i="26"/>
  <c r="BQ116" i="28"/>
  <c r="BQ117" i="28" s="1"/>
  <c r="BQ118" i="28" s="1"/>
  <c r="BS115" i="28"/>
  <c r="AS109" i="17"/>
  <c r="AQ110" i="17"/>
  <c r="AQ111" i="17" s="1"/>
  <c r="AQ112" i="17" s="1"/>
  <c r="Q113" i="17"/>
  <c r="Q114" i="17" s="1"/>
  <c r="Q115" i="17" s="1"/>
  <c r="S112" i="17"/>
  <c r="AJ116" i="17"/>
  <c r="AJ117" i="17" s="1"/>
  <c r="AJ118" i="17" s="1"/>
  <c r="AL115" i="17"/>
  <c r="W116" i="28"/>
  <c r="W117" i="28" s="1"/>
  <c r="W118" i="28" s="1"/>
  <c r="Y115" i="28"/>
  <c r="E116" i="6"/>
  <c r="E117" i="6" s="1"/>
  <c r="E118" i="6" s="1"/>
  <c r="G115" i="6"/>
  <c r="A43" i="10"/>
  <c r="T76" i="12"/>
  <c r="S76" i="12"/>
  <c r="R77" i="12"/>
  <c r="R78" i="12" s="1"/>
  <c r="R79" i="12" s="1"/>
  <c r="AD110" i="28"/>
  <c r="AD111" i="28" s="1"/>
  <c r="AD112" i="28" s="1"/>
  <c r="AF109" i="28"/>
  <c r="AY166" i="17" l="1"/>
  <c r="AX166" i="17"/>
  <c r="AY163" i="17"/>
  <c r="AY160" i="17"/>
  <c r="AY157" i="17"/>
  <c r="AX154" i="17"/>
  <c r="AY154" i="17"/>
  <c r="BJ149" i="17"/>
  <c r="BJ150" i="17" s="1"/>
  <c r="BJ151" i="17" s="1"/>
  <c r="BJ152" i="17" s="1"/>
  <c r="BJ153" i="17" s="1"/>
  <c r="BJ154" i="17" s="1"/>
  <c r="BJ155" i="17" s="1"/>
  <c r="BJ156" i="17" s="1"/>
  <c r="BJ157" i="17" s="1"/>
  <c r="BJ158" i="17" s="1"/>
  <c r="BJ159" i="17" s="1"/>
  <c r="BJ160" i="17" s="1"/>
  <c r="BJ161" i="17" s="1"/>
  <c r="BJ162" i="17" s="1"/>
  <c r="BJ163" i="17" s="1"/>
  <c r="BJ164" i="17" s="1"/>
  <c r="BJ165" i="17" s="1"/>
  <c r="BJ166" i="17" s="1"/>
  <c r="BL148" i="17"/>
  <c r="AY151" i="17"/>
  <c r="AY148" i="17"/>
  <c r="E119" i="21"/>
  <c r="E120" i="21" s="1"/>
  <c r="E121" i="21" s="1"/>
  <c r="G118" i="21"/>
  <c r="BY122" i="28"/>
  <c r="BY123" i="28" s="1"/>
  <c r="BY124" i="28" s="1"/>
  <c r="CA121" i="28"/>
  <c r="AX118" i="28"/>
  <c r="AW119" i="28"/>
  <c r="AW120" i="28" s="1"/>
  <c r="AW121" i="28" s="1"/>
  <c r="AY118" i="28"/>
  <c r="E119" i="1"/>
  <c r="E120" i="1" s="1"/>
  <c r="E121" i="1" s="1"/>
  <c r="G118" i="1"/>
  <c r="E125" i="26"/>
  <c r="E126" i="26" s="1"/>
  <c r="E127" i="26" s="1"/>
  <c r="F124" i="26"/>
  <c r="G124" i="26"/>
  <c r="R119" i="6"/>
  <c r="R120" i="6" s="1"/>
  <c r="R121" i="6" s="1"/>
  <c r="T118" i="6"/>
  <c r="AY145" i="17"/>
  <c r="L119" i="12"/>
  <c r="L120" i="12" s="1"/>
  <c r="L121" i="12" s="1"/>
  <c r="N118" i="12"/>
  <c r="V118" i="21"/>
  <c r="T119" i="21"/>
  <c r="T120" i="21" s="1"/>
  <c r="T121" i="21" s="1"/>
  <c r="AF112" i="28"/>
  <c r="AD113" i="28"/>
  <c r="AD114" i="28" s="1"/>
  <c r="AD115" i="28" s="1"/>
  <c r="BF115" i="28"/>
  <c r="BD116" i="28"/>
  <c r="BD117" i="28" s="1"/>
  <c r="BD118" i="28" s="1"/>
  <c r="G118" i="6"/>
  <c r="E119" i="6"/>
  <c r="E120" i="6" s="1"/>
  <c r="E121" i="6" s="1"/>
  <c r="EZ31" i="32"/>
  <c r="ER31" i="32"/>
  <c r="EY31" i="32"/>
  <c r="EQ31" i="32"/>
  <c r="EP31" i="32"/>
  <c r="EX31" i="32"/>
  <c r="EJ32" i="32"/>
  <c r="EW31" i="32"/>
  <c r="EO31" i="32"/>
  <c r="EV31" i="32"/>
  <c r="EN31" i="32"/>
  <c r="ES31" i="32"/>
  <c r="EU31" i="32"/>
  <c r="EM31" i="32"/>
  <c r="EK31" i="32"/>
  <c r="ET31" i="32"/>
  <c r="EL31" i="32"/>
  <c r="A42" i="10"/>
  <c r="E122" i="35"/>
  <c r="E123" i="35" s="1"/>
  <c r="E124" i="35" s="1"/>
  <c r="G121" i="35"/>
  <c r="R80" i="12"/>
  <c r="R81" i="12" s="1"/>
  <c r="R82" i="12" s="1"/>
  <c r="T79" i="12"/>
  <c r="AD113" i="17"/>
  <c r="AD114" i="17" s="1"/>
  <c r="AD115" i="17" s="1"/>
  <c r="AF112" i="17"/>
  <c r="E119" i="2"/>
  <c r="E120" i="2" s="1"/>
  <c r="E121" i="2" s="1"/>
  <c r="G118" i="2"/>
  <c r="T121" i="36"/>
  <c r="R122" i="36"/>
  <c r="R123" i="36" s="1"/>
  <c r="R124" i="36" s="1"/>
  <c r="M119" i="21"/>
  <c r="M120" i="21" s="1"/>
  <c r="M121" i="21" s="1"/>
  <c r="O118" i="21"/>
  <c r="R119" i="1"/>
  <c r="R120" i="1" s="1"/>
  <c r="R121" i="1" s="1"/>
  <c r="T118" i="1"/>
  <c r="L122" i="2"/>
  <c r="L123" i="2" s="1"/>
  <c r="L124" i="2" s="1"/>
  <c r="N121" i="2"/>
  <c r="W119" i="17"/>
  <c r="W120" i="17" s="1"/>
  <c r="W121" i="17" s="1"/>
  <c r="Y118" i="17"/>
  <c r="X118" i="17"/>
  <c r="L118" i="17"/>
  <c r="K118" i="17"/>
  <c r="J119" i="17"/>
  <c r="J120" i="17" s="1"/>
  <c r="J121" i="17" s="1"/>
  <c r="AJ119" i="17"/>
  <c r="AJ120" i="17" s="1"/>
  <c r="AJ121" i="17" s="1"/>
  <c r="AL118" i="17"/>
  <c r="AK118" i="17"/>
  <c r="R119" i="26"/>
  <c r="R120" i="26" s="1"/>
  <c r="R121" i="26" s="1"/>
  <c r="T118" i="26"/>
  <c r="E119" i="25"/>
  <c r="E120" i="25" s="1"/>
  <c r="E121" i="25" s="1"/>
  <c r="G118" i="25"/>
  <c r="BY122" i="17"/>
  <c r="BY123" i="17" s="1"/>
  <c r="BY124" i="17" s="1"/>
  <c r="CA121" i="17"/>
  <c r="R122" i="35"/>
  <c r="R123" i="35" s="1"/>
  <c r="R124" i="35" s="1"/>
  <c r="T121" i="35"/>
  <c r="AQ113" i="28"/>
  <c r="AQ114" i="28" s="1"/>
  <c r="AQ115" i="28" s="1"/>
  <c r="AS112" i="28"/>
  <c r="AK118" i="28"/>
  <c r="AJ119" i="28"/>
  <c r="AJ120" i="28" s="1"/>
  <c r="AJ121" i="28" s="1"/>
  <c r="AL118" i="28"/>
  <c r="N118" i="26"/>
  <c r="L119" i="26"/>
  <c r="L120" i="26" s="1"/>
  <c r="L121" i="26" s="1"/>
  <c r="AA118" i="1"/>
  <c r="Y119" i="1"/>
  <c r="Y120" i="1" s="1"/>
  <c r="Y121" i="1" s="1"/>
  <c r="L119" i="1"/>
  <c r="L120" i="1" s="1"/>
  <c r="L121" i="1" s="1"/>
  <c r="N118" i="1"/>
  <c r="T118" i="2"/>
  <c r="R119" i="2"/>
  <c r="R120" i="2" s="1"/>
  <c r="R121" i="2" s="1"/>
  <c r="CG118" i="28"/>
  <c r="CF119" i="28"/>
  <c r="CF120" i="28" s="1"/>
  <c r="CF121" i="28" s="1"/>
  <c r="CH118" i="28"/>
  <c r="CF119" i="17"/>
  <c r="CF120" i="17" s="1"/>
  <c r="CF121" i="17" s="1"/>
  <c r="CH118" i="17"/>
  <c r="CG118" i="17"/>
  <c r="K118" i="28"/>
  <c r="J119" i="28"/>
  <c r="J120" i="28" s="1"/>
  <c r="J121" i="28" s="1"/>
  <c r="L118" i="28"/>
  <c r="Q116" i="28"/>
  <c r="Q117" i="28" s="1"/>
  <c r="Q118" i="28" s="1"/>
  <c r="S115" i="28"/>
  <c r="W119" i="28"/>
  <c r="W120" i="28" s="1"/>
  <c r="W121" i="28" s="1"/>
  <c r="Y118" i="28"/>
  <c r="X118" i="28"/>
  <c r="BD116" i="17"/>
  <c r="BD117" i="17" s="1"/>
  <c r="BD118" i="17" s="1"/>
  <c r="BF115" i="17"/>
  <c r="R119" i="27"/>
  <c r="R120" i="27" s="1"/>
  <c r="R121" i="27" s="1"/>
  <c r="T118" i="27"/>
  <c r="BL118" i="28"/>
  <c r="BJ119" i="28"/>
  <c r="BJ120" i="28" s="1"/>
  <c r="BJ121" i="28" s="1"/>
  <c r="BK118" i="28"/>
  <c r="E122" i="27"/>
  <c r="E123" i="27" s="1"/>
  <c r="E124" i="27" s="1"/>
  <c r="G121" i="27"/>
  <c r="S115" i="17"/>
  <c r="Q116" i="17"/>
  <c r="Q117" i="17" s="1"/>
  <c r="Q118" i="17" s="1"/>
  <c r="BL145" i="17"/>
  <c r="B35" i="23"/>
  <c r="C34" i="23"/>
  <c r="EA31" i="32"/>
  <c r="DS31" i="32"/>
  <c r="EH31" i="32"/>
  <c r="DZ31" i="32"/>
  <c r="DY31" i="32"/>
  <c r="EG31" i="32"/>
  <c r="EF31" i="32"/>
  <c r="DX31" i="32"/>
  <c r="DT31" i="32"/>
  <c r="DR32" i="32"/>
  <c r="EE31" i="32"/>
  <c r="DW31" i="32"/>
  <c r="ED31" i="32"/>
  <c r="DV31" i="32"/>
  <c r="EC31" i="32"/>
  <c r="DU31" i="32"/>
  <c r="EB31" i="32"/>
  <c r="L122" i="36"/>
  <c r="L123" i="36" s="1"/>
  <c r="L124" i="36" s="1"/>
  <c r="N121" i="36"/>
  <c r="N118" i="25"/>
  <c r="L119" i="25"/>
  <c r="L120" i="25" s="1"/>
  <c r="L121" i="25" s="1"/>
  <c r="R116" i="25"/>
  <c r="R117" i="25" s="1"/>
  <c r="R118" i="25" s="1"/>
  <c r="T115" i="25"/>
  <c r="L122" i="35"/>
  <c r="L123" i="35" s="1"/>
  <c r="L124" i="35" s="1"/>
  <c r="N121" i="35"/>
  <c r="BR118" i="28"/>
  <c r="BQ119" i="28"/>
  <c r="BQ120" i="28" s="1"/>
  <c r="BQ121" i="28" s="1"/>
  <c r="BS118" i="28"/>
  <c r="AQ113" i="17"/>
  <c r="AQ114" i="17" s="1"/>
  <c r="AQ115" i="17" s="1"/>
  <c r="AS112" i="17"/>
  <c r="E119" i="36"/>
  <c r="E120" i="36" s="1"/>
  <c r="E121" i="36" s="1"/>
  <c r="G118" i="36"/>
  <c r="E119" i="12"/>
  <c r="E120" i="12" s="1"/>
  <c r="E121" i="12" s="1"/>
  <c r="G118" i="12"/>
  <c r="DJ31" i="32"/>
  <c r="DB31" i="32"/>
  <c r="DI31" i="32"/>
  <c r="DA31" i="32"/>
  <c r="DH31" i="32"/>
  <c r="DP31" i="32"/>
  <c r="DO31" i="32"/>
  <c r="DG31" i="32"/>
  <c r="DN31" i="32"/>
  <c r="DF31" i="32"/>
  <c r="DK31" i="32"/>
  <c r="CZ32" i="32"/>
  <c r="DM31" i="32"/>
  <c r="DE31" i="32"/>
  <c r="DC31" i="32"/>
  <c r="DL31" i="32"/>
  <c r="DD31" i="32"/>
  <c r="N118" i="6"/>
  <c r="L119" i="6"/>
  <c r="L120" i="6" s="1"/>
  <c r="L121" i="6" s="1"/>
  <c r="I33" i="23"/>
  <c r="N33" i="23"/>
  <c r="D33" i="23"/>
  <c r="M33" i="23"/>
  <c r="L33" i="23"/>
  <c r="J33" i="23"/>
  <c r="H33" i="23"/>
  <c r="F33" i="23"/>
  <c r="E33" i="23"/>
  <c r="L116" i="27"/>
  <c r="L117" i="27" s="1"/>
  <c r="L118" i="27" s="1"/>
  <c r="N115" i="27"/>
  <c r="BS121" i="17"/>
  <c r="BQ122" i="17"/>
  <c r="BQ123" i="17" s="1"/>
  <c r="BQ124" i="17" s="1"/>
  <c r="BL166" i="17" l="1"/>
  <c r="BK166" i="17"/>
  <c r="BL163" i="17"/>
  <c r="BL160" i="17"/>
  <c r="BL157" i="17"/>
  <c r="BK154" i="17"/>
  <c r="BL154" i="17"/>
  <c r="BL151" i="17"/>
  <c r="E122" i="12"/>
  <c r="E123" i="12" s="1"/>
  <c r="E124" i="12" s="1"/>
  <c r="G121" i="12"/>
  <c r="G121" i="25"/>
  <c r="E122" i="25"/>
  <c r="E123" i="25" s="1"/>
  <c r="E124" i="25" s="1"/>
  <c r="L122" i="1"/>
  <c r="L123" i="1" s="1"/>
  <c r="L124" i="1" s="1"/>
  <c r="N121" i="1"/>
  <c r="M122" i="21"/>
  <c r="M123" i="21" s="1"/>
  <c r="M124" i="21" s="1"/>
  <c r="O121" i="21"/>
  <c r="T82" i="12"/>
  <c r="R83" i="12"/>
  <c r="R84" i="12" s="1"/>
  <c r="R85" i="12" s="1"/>
  <c r="E34" i="23"/>
  <c r="J34" i="23"/>
  <c r="M34" i="23"/>
  <c r="L34" i="23"/>
  <c r="I34" i="23"/>
  <c r="H34" i="23"/>
  <c r="F34" i="23"/>
  <c r="D34" i="23"/>
  <c r="N34" i="23"/>
  <c r="E122" i="36"/>
  <c r="E123" i="36" s="1"/>
  <c r="E124" i="36" s="1"/>
  <c r="G121" i="36"/>
  <c r="B36" i="23"/>
  <c r="C35" i="23"/>
  <c r="BJ122" i="28"/>
  <c r="BJ123" i="28" s="1"/>
  <c r="BJ124" i="28" s="1"/>
  <c r="BL121" i="28"/>
  <c r="W122" i="28"/>
  <c r="W123" i="28" s="1"/>
  <c r="W124" i="28" s="1"/>
  <c r="Y121" i="28"/>
  <c r="CH121" i="17"/>
  <c r="CF122" i="17"/>
  <c r="CF123" i="17" s="1"/>
  <c r="CF124" i="17" s="1"/>
  <c r="Y122" i="1"/>
  <c r="Y123" i="1" s="1"/>
  <c r="Y124" i="1" s="1"/>
  <c r="AA121" i="1"/>
  <c r="AQ116" i="28"/>
  <c r="AQ117" i="28" s="1"/>
  <c r="AQ118" i="28" s="1"/>
  <c r="AS115" i="28"/>
  <c r="R122" i="26"/>
  <c r="R123" i="26" s="1"/>
  <c r="R124" i="26" s="1"/>
  <c r="T121" i="26"/>
  <c r="T124" i="36"/>
  <c r="R125" i="36"/>
  <c r="R126" i="36" s="1"/>
  <c r="R127" i="36" s="1"/>
  <c r="AF115" i="28"/>
  <c r="AD116" i="28"/>
  <c r="AD117" i="28" s="1"/>
  <c r="AD118" i="28" s="1"/>
  <c r="AY121" i="28"/>
  <c r="AW122" i="28"/>
  <c r="AW123" i="28" s="1"/>
  <c r="AW124" i="28" s="1"/>
  <c r="BF118" i="28"/>
  <c r="BD119" i="28"/>
  <c r="BD120" i="28" s="1"/>
  <c r="BD121" i="28" s="1"/>
  <c r="BE118" i="28"/>
  <c r="CZ33" i="32"/>
  <c r="DM32" i="32"/>
  <c r="DE32" i="32"/>
  <c r="DL32" i="32"/>
  <c r="DD32" i="32"/>
  <c r="DK32" i="32"/>
  <c r="DC32" i="32"/>
  <c r="DJ32" i="32"/>
  <c r="DB32" i="32"/>
  <c r="DI32" i="32"/>
  <c r="DA32" i="32"/>
  <c r="DN32" i="32"/>
  <c r="DP32" i="32"/>
  <c r="DH32" i="32"/>
  <c r="DO32" i="32"/>
  <c r="DG32" i="32"/>
  <c r="DF32" i="32"/>
  <c r="W122" i="17"/>
  <c r="W123" i="17" s="1"/>
  <c r="W124" i="17" s="1"/>
  <c r="Y121" i="17"/>
  <c r="E125" i="35"/>
  <c r="E126" i="35" s="1"/>
  <c r="E127" i="35" s="1"/>
  <c r="G124" i="35"/>
  <c r="T121" i="6"/>
  <c r="R122" i="6"/>
  <c r="R123" i="6" s="1"/>
  <c r="R124" i="6" s="1"/>
  <c r="L122" i="6"/>
  <c r="L123" i="6" s="1"/>
  <c r="L124" i="6" s="1"/>
  <c r="N121" i="6"/>
  <c r="AS115" i="17"/>
  <c r="AQ116" i="17"/>
  <c r="AQ117" i="17" s="1"/>
  <c r="AQ118" i="17" s="1"/>
  <c r="L122" i="25"/>
  <c r="L123" i="25" s="1"/>
  <c r="L124" i="25" s="1"/>
  <c r="N121" i="25"/>
  <c r="S118" i="28"/>
  <c r="Q119" i="28"/>
  <c r="Q120" i="28" s="1"/>
  <c r="Q121" i="28" s="1"/>
  <c r="R118" i="28"/>
  <c r="CH121" i="28"/>
  <c r="CF122" i="28"/>
  <c r="CF123" i="28" s="1"/>
  <c r="CF124" i="28" s="1"/>
  <c r="L122" i="26"/>
  <c r="L123" i="26" s="1"/>
  <c r="L124" i="26" s="1"/>
  <c r="N121" i="26"/>
  <c r="R125" i="35"/>
  <c r="R126" i="35" s="1"/>
  <c r="R127" i="35" s="1"/>
  <c r="T124" i="35"/>
  <c r="V121" i="21"/>
  <c r="T122" i="21"/>
  <c r="T123" i="21" s="1"/>
  <c r="T124" i="21" s="1"/>
  <c r="G121" i="1"/>
  <c r="E122" i="1"/>
  <c r="E123" i="1" s="1"/>
  <c r="E124" i="1" s="1"/>
  <c r="L119" i="27"/>
  <c r="L120" i="27" s="1"/>
  <c r="L121" i="27" s="1"/>
  <c r="N118" i="27"/>
  <c r="R119" i="25"/>
  <c r="R120" i="25" s="1"/>
  <c r="R121" i="25" s="1"/>
  <c r="T118" i="25"/>
  <c r="Q119" i="17"/>
  <c r="Q120" i="17" s="1"/>
  <c r="Q121" i="17" s="1"/>
  <c r="S118" i="17"/>
  <c r="R118" i="17"/>
  <c r="R122" i="27"/>
  <c r="R123" i="27" s="1"/>
  <c r="R124" i="27" s="1"/>
  <c r="T121" i="27"/>
  <c r="AL121" i="17"/>
  <c r="AJ122" i="17"/>
  <c r="AJ123" i="17" s="1"/>
  <c r="AJ124" i="17" s="1"/>
  <c r="L125" i="2"/>
  <c r="L126" i="2" s="1"/>
  <c r="L127" i="2" s="1"/>
  <c r="N124" i="2"/>
  <c r="M124" i="2"/>
  <c r="N14" i="33" s="1"/>
  <c r="E122" i="2"/>
  <c r="E123" i="2" s="1"/>
  <c r="E124" i="2" s="1"/>
  <c r="G121" i="2"/>
  <c r="BY125" i="28"/>
  <c r="BY126" i="28" s="1"/>
  <c r="BY127" i="28" s="1"/>
  <c r="CA124" i="28"/>
  <c r="E125" i="27"/>
  <c r="E126" i="27" s="1"/>
  <c r="E127" i="27" s="1"/>
  <c r="F124" i="27"/>
  <c r="L14" i="33" s="1"/>
  <c r="G124" i="27"/>
  <c r="BQ122" i="28"/>
  <c r="BQ123" i="28" s="1"/>
  <c r="BQ124" i="28" s="1"/>
  <c r="BS121" i="28"/>
  <c r="L121" i="28"/>
  <c r="J122" i="28"/>
  <c r="J123" i="28" s="1"/>
  <c r="J124" i="28" s="1"/>
  <c r="T121" i="2"/>
  <c r="R122" i="2"/>
  <c r="R123" i="2" s="1"/>
  <c r="R124" i="2" s="1"/>
  <c r="CA124" i="17"/>
  <c r="BY125" i="17"/>
  <c r="BY126" i="17" s="1"/>
  <c r="BY127" i="17" s="1"/>
  <c r="J122" i="17"/>
  <c r="J123" i="17" s="1"/>
  <c r="J124" i="17" s="1"/>
  <c r="L121" i="17"/>
  <c r="A41" i="10"/>
  <c r="G121" i="6"/>
  <c r="E122" i="6"/>
  <c r="E123" i="6" s="1"/>
  <c r="E124" i="6" s="1"/>
  <c r="G127" i="26"/>
  <c r="E128" i="26"/>
  <c r="E129" i="26" s="1"/>
  <c r="E130" i="26" s="1"/>
  <c r="L125" i="35"/>
  <c r="L126" i="35" s="1"/>
  <c r="L127" i="35" s="1"/>
  <c r="N124" i="35"/>
  <c r="BQ125" i="17"/>
  <c r="BQ126" i="17" s="1"/>
  <c r="BQ127" i="17" s="1"/>
  <c r="BS124" i="17"/>
  <c r="L125" i="36"/>
  <c r="L126" i="36" s="1"/>
  <c r="L127" i="36" s="1"/>
  <c r="N124" i="36"/>
  <c r="ED32" i="32"/>
  <c r="DV32" i="32"/>
  <c r="DT32" i="32"/>
  <c r="EC32" i="32"/>
  <c r="DU32" i="32"/>
  <c r="EB32" i="32"/>
  <c r="EA32" i="32"/>
  <c r="DS32" i="32"/>
  <c r="DW32" i="32"/>
  <c r="EH32" i="32"/>
  <c r="DZ32" i="32"/>
  <c r="EG32" i="32"/>
  <c r="DY32" i="32"/>
  <c r="EE32" i="32"/>
  <c r="EF32" i="32"/>
  <c r="DX32" i="32"/>
  <c r="DR33" i="32"/>
  <c r="BF118" i="17"/>
  <c r="BE118" i="17"/>
  <c r="BD119" i="17"/>
  <c r="BD120" i="17" s="1"/>
  <c r="BD121" i="17" s="1"/>
  <c r="AL121" i="28"/>
  <c r="AJ122" i="28"/>
  <c r="AJ123" i="28" s="1"/>
  <c r="AJ124" i="28" s="1"/>
  <c r="R122" i="1"/>
  <c r="R123" i="1" s="1"/>
  <c r="R124" i="1" s="1"/>
  <c r="T121" i="1"/>
  <c r="AD116" i="17"/>
  <c r="AD117" i="17" s="1"/>
  <c r="AD118" i="17" s="1"/>
  <c r="AF115" i="17"/>
  <c r="EU32" i="32"/>
  <c r="EM32" i="32"/>
  <c r="ET32" i="32"/>
  <c r="EL32" i="32"/>
  <c r="ES32" i="32"/>
  <c r="EK32" i="32"/>
  <c r="EZ32" i="32"/>
  <c r="ER32" i="32"/>
  <c r="EY32" i="32"/>
  <c r="EQ32" i="32"/>
  <c r="EV32" i="32"/>
  <c r="EX32" i="32"/>
  <c r="EP32" i="32"/>
  <c r="EJ33" i="32"/>
  <c r="EW32" i="32"/>
  <c r="EO32" i="32"/>
  <c r="EN32" i="32"/>
  <c r="L122" i="12"/>
  <c r="L123" i="12" s="1"/>
  <c r="L124" i="12" s="1"/>
  <c r="N121" i="12"/>
  <c r="E122" i="21"/>
  <c r="E123" i="21" s="1"/>
  <c r="E124" i="21" s="1"/>
  <c r="G121" i="21"/>
  <c r="L128" i="36" l="1"/>
  <c r="L129" i="36" s="1"/>
  <c r="L130" i="36" s="1"/>
  <c r="N127" i="36"/>
  <c r="M127" i="36"/>
  <c r="L124" i="28"/>
  <c r="J125" i="28"/>
  <c r="J126" i="28" s="1"/>
  <c r="J127" i="28" s="1"/>
  <c r="CA127" i="28"/>
  <c r="BY128" i="28"/>
  <c r="BY129" i="28" s="1"/>
  <c r="BY130" i="28" s="1"/>
  <c r="N121" i="27"/>
  <c r="L122" i="27"/>
  <c r="L123" i="27" s="1"/>
  <c r="L124" i="27" s="1"/>
  <c r="N124" i="26"/>
  <c r="M124" i="26"/>
  <c r="L125" i="26"/>
  <c r="L126" i="26" s="1"/>
  <c r="L127" i="26" s="1"/>
  <c r="AQ119" i="17"/>
  <c r="AQ120" i="17" s="1"/>
  <c r="AQ121" i="17" s="1"/>
  <c r="AS118" i="17"/>
  <c r="AR118" i="17"/>
  <c r="AE118" i="28"/>
  <c r="AD119" i="28"/>
  <c r="AD120" i="28" s="1"/>
  <c r="AD121" i="28" s="1"/>
  <c r="AF118" i="28"/>
  <c r="L35" i="23"/>
  <c r="F35" i="23"/>
  <c r="M35" i="23"/>
  <c r="J35" i="23"/>
  <c r="I35" i="23"/>
  <c r="H35" i="23"/>
  <c r="E35" i="23"/>
  <c r="D35" i="23"/>
  <c r="N35" i="23"/>
  <c r="M125" i="21"/>
  <c r="M126" i="21" s="1"/>
  <c r="M127" i="21" s="1"/>
  <c r="O124" i="21"/>
  <c r="N124" i="21"/>
  <c r="R125" i="1"/>
  <c r="R126" i="1" s="1"/>
  <c r="R127" i="1" s="1"/>
  <c r="S124" i="1"/>
  <c r="T124" i="1"/>
  <c r="E125" i="21"/>
  <c r="E126" i="21" s="1"/>
  <c r="E127" i="21" s="1"/>
  <c r="G124" i="21"/>
  <c r="F124" i="21"/>
  <c r="AL124" i="28"/>
  <c r="AJ125" i="28"/>
  <c r="AJ126" i="28" s="1"/>
  <c r="AJ127" i="28" s="1"/>
  <c r="R125" i="27"/>
  <c r="R126" i="27" s="1"/>
  <c r="R127" i="27" s="1"/>
  <c r="T124" i="27"/>
  <c r="S124" i="27"/>
  <c r="G124" i="1"/>
  <c r="F124" i="1"/>
  <c r="E125" i="1"/>
  <c r="E126" i="1" s="1"/>
  <c r="E127" i="1" s="1"/>
  <c r="CF125" i="28"/>
  <c r="CF126" i="28" s="1"/>
  <c r="CF127" i="28" s="1"/>
  <c r="CH124" i="28"/>
  <c r="W125" i="17"/>
  <c r="W126" i="17" s="1"/>
  <c r="W127" i="17" s="1"/>
  <c r="Y124" i="17"/>
  <c r="Y125" i="1"/>
  <c r="Y126" i="1" s="1"/>
  <c r="Y127" i="1" s="1"/>
  <c r="AA124" i="1"/>
  <c r="C36" i="23"/>
  <c r="B37" i="23"/>
  <c r="C37" i="23" s="1"/>
  <c r="N124" i="25"/>
  <c r="M124" i="25"/>
  <c r="L125" i="25"/>
  <c r="L126" i="25" s="1"/>
  <c r="L127" i="25" s="1"/>
  <c r="E128" i="35"/>
  <c r="E129" i="35" s="1"/>
  <c r="E130" i="35" s="1"/>
  <c r="G127" i="35"/>
  <c r="F127" i="35"/>
  <c r="BJ125" i="28"/>
  <c r="BJ126" i="28" s="1"/>
  <c r="BJ127" i="28" s="1"/>
  <c r="BL124" i="28"/>
  <c r="BQ128" i="17"/>
  <c r="BQ129" i="17" s="1"/>
  <c r="BQ130" i="17" s="1"/>
  <c r="BS127" i="17"/>
  <c r="G124" i="2"/>
  <c r="F124" i="2"/>
  <c r="K14" i="33" s="1"/>
  <c r="E125" i="2"/>
  <c r="E126" i="2" s="1"/>
  <c r="E127" i="2" s="1"/>
  <c r="DP33" i="32"/>
  <c r="DH33" i="32"/>
  <c r="DO33" i="32"/>
  <c r="DG33" i="32"/>
  <c r="DF33" i="32"/>
  <c r="DN33" i="32"/>
  <c r="DM33" i="32"/>
  <c r="DE33" i="32"/>
  <c r="DI33" i="32"/>
  <c r="CZ34" i="32"/>
  <c r="DL33" i="32"/>
  <c r="DD33" i="32"/>
  <c r="DK33" i="32"/>
  <c r="DC33" i="32"/>
  <c r="DJ33" i="32"/>
  <c r="DB33" i="32"/>
  <c r="DA33" i="32"/>
  <c r="T127" i="36"/>
  <c r="R128" i="36"/>
  <c r="R129" i="36" s="1"/>
  <c r="R130" i="36" s="1"/>
  <c r="S127" i="36"/>
  <c r="CF125" i="17"/>
  <c r="CF126" i="17" s="1"/>
  <c r="CF127" i="17" s="1"/>
  <c r="CH124" i="17"/>
  <c r="N124" i="1"/>
  <c r="M124" i="1"/>
  <c r="L125" i="1"/>
  <c r="L126" i="1" s="1"/>
  <c r="L127" i="1" s="1"/>
  <c r="EX33" i="32"/>
  <c r="EP33" i="32"/>
  <c r="EW33" i="32"/>
  <c r="EO33" i="32"/>
  <c r="EN33" i="32"/>
  <c r="EJ34" i="32"/>
  <c r="EV33" i="32"/>
  <c r="EU33" i="32"/>
  <c r="EM33" i="32"/>
  <c r="ET33" i="32"/>
  <c r="EL33" i="32"/>
  <c r="EY33" i="32"/>
  <c r="ES33" i="32"/>
  <c r="EK33" i="32"/>
  <c r="EZ33" i="32"/>
  <c r="ER33" i="32"/>
  <c r="EQ33" i="32"/>
  <c r="L125" i="12"/>
  <c r="L126" i="12" s="1"/>
  <c r="L127" i="12" s="1"/>
  <c r="M124" i="12"/>
  <c r="N124" i="12"/>
  <c r="BD122" i="17"/>
  <c r="BD123" i="17" s="1"/>
  <c r="BD124" i="17" s="1"/>
  <c r="BF121" i="17"/>
  <c r="A40" i="10"/>
  <c r="L124" i="17"/>
  <c r="J125" i="17"/>
  <c r="J126" i="17" s="1"/>
  <c r="J127" i="17" s="1"/>
  <c r="BS124" i="28"/>
  <c r="BQ125" i="28"/>
  <c r="BQ126" i="28" s="1"/>
  <c r="BQ127" i="28" s="1"/>
  <c r="T125" i="21"/>
  <c r="T126" i="21" s="1"/>
  <c r="T127" i="21" s="1"/>
  <c r="V124" i="21"/>
  <c r="U124" i="21"/>
  <c r="M124" i="6"/>
  <c r="N124" i="6"/>
  <c r="L125" i="6"/>
  <c r="L126" i="6" s="1"/>
  <c r="L127" i="6" s="1"/>
  <c r="E125" i="36"/>
  <c r="E126" i="36" s="1"/>
  <c r="E127" i="36" s="1"/>
  <c r="G124" i="36"/>
  <c r="G124" i="25"/>
  <c r="E125" i="25"/>
  <c r="E126" i="25" s="1"/>
  <c r="E127" i="25" s="1"/>
  <c r="F124" i="25"/>
  <c r="G124" i="6"/>
  <c r="E125" i="6"/>
  <c r="E126" i="6" s="1"/>
  <c r="E127" i="6" s="1"/>
  <c r="F124" i="6"/>
  <c r="AQ119" i="28"/>
  <c r="AQ120" i="28" s="1"/>
  <c r="AQ121" i="28" s="1"/>
  <c r="AS118" i="28"/>
  <c r="AR118" i="28"/>
  <c r="N127" i="35"/>
  <c r="M127" i="35"/>
  <c r="L128" i="35"/>
  <c r="L129" i="35" s="1"/>
  <c r="L130" i="35" s="1"/>
  <c r="BY128" i="17"/>
  <c r="BY129" i="17" s="1"/>
  <c r="BY130" i="17" s="1"/>
  <c r="CA127" i="17"/>
  <c r="S121" i="17"/>
  <c r="Q122" i="17"/>
  <c r="Q123" i="17" s="1"/>
  <c r="Q124" i="17" s="1"/>
  <c r="Q122" i="28"/>
  <c r="Q123" i="28" s="1"/>
  <c r="Q124" i="28" s="1"/>
  <c r="S121" i="28"/>
  <c r="T124" i="6"/>
  <c r="S124" i="6"/>
  <c r="R125" i="6"/>
  <c r="R126" i="6" s="1"/>
  <c r="R127" i="6" s="1"/>
  <c r="BF121" i="28"/>
  <c r="BD122" i="28"/>
  <c r="BD123" i="28" s="1"/>
  <c r="BD124" i="28" s="1"/>
  <c r="L128" i="2"/>
  <c r="L129" i="2" s="1"/>
  <c r="L130" i="2" s="1"/>
  <c r="N127" i="2"/>
  <c r="T124" i="26"/>
  <c r="S124" i="26"/>
  <c r="R125" i="26"/>
  <c r="R126" i="26" s="1"/>
  <c r="R127" i="26" s="1"/>
  <c r="W125" i="28"/>
  <c r="W126" i="28" s="1"/>
  <c r="W127" i="28" s="1"/>
  <c r="Y124" i="28"/>
  <c r="T85" i="12"/>
  <c r="R86" i="12"/>
  <c r="R87" i="12" s="1"/>
  <c r="R88" i="12" s="1"/>
  <c r="G130" i="26"/>
  <c r="E131" i="26"/>
  <c r="E132" i="26" s="1"/>
  <c r="E133" i="26" s="1"/>
  <c r="AF118" i="17"/>
  <c r="AE118" i="17"/>
  <c r="AD119" i="17"/>
  <c r="AD120" i="17" s="1"/>
  <c r="AD121" i="17" s="1"/>
  <c r="EG33" i="32"/>
  <c r="DY33" i="32"/>
  <c r="EF33" i="32"/>
  <c r="DX33" i="32"/>
  <c r="DW33" i="32"/>
  <c r="EE33" i="32"/>
  <c r="DR34" i="32"/>
  <c r="ED33" i="32"/>
  <c r="DV33" i="32"/>
  <c r="EC33" i="32"/>
  <c r="DU33" i="32"/>
  <c r="EB33" i="32"/>
  <c r="DT33" i="32"/>
  <c r="EA33" i="32"/>
  <c r="DS33" i="32"/>
  <c r="EH33" i="32"/>
  <c r="DZ33" i="32"/>
  <c r="T124" i="2"/>
  <c r="R125" i="2"/>
  <c r="R126" i="2" s="1"/>
  <c r="R127" i="2" s="1"/>
  <c r="S124" i="2"/>
  <c r="M14" i="33" s="1"/>
  <c r="E128" i="27"/>
  <c r="E129" i="27" s="1"/>
  <c r="E130" i="27" s="1"/>
  <c r="G127" i="27"/>
  <c r="AL124" i="17"/>
  <c r="AJ125" i="17"/>
  <c r="AJ126" i="17" s="1"/>
  <c r="AJ127" i="17" s="1"/>
  <c r="R122" i="25"/>
  <c r="R123" i="25" s="1"/>
  <c r="R124" i="25" s="1"/>
  <c r="T121" i="25"/>
  <c r="T127" i="35"/>
  <c r="R128" i="35"/>
  <c r="R129" i="35" s="1"/>
  <c r="R130" i="35" s="1"/>
  <c r="S127" i="35"/>
  <c r="AY124" i="28"/>
  <c r="AW125" i="28"/>
  <c r="AW126" i="28" s="1"/>
  <c r="AW127" i="28" s="1"/>
  <c r="G124" i="12"/>
  <c r="F124" i="12"/>
  <c r="E125" i="12"/>
  <c r="E126" i="12" s="1"/>
  <c r="E127" i="12" s="1"/>
  <c r="E131" i="27" l="1"/>
  <c r="E132" i="27" s="1"/>
  <c r="E133" i="27" s="1"/>
  <c r="G130" i="27"/>
  <c r="E134" i="26"/>
  <c r="E135" i="26" s="1"/>
  <c r="E136" i="26" s="1"/>
  <c r="G133" i="26"/>
  <c r="G127" i="25"/>
  <c r="E128" i="25"/>
  <c r="E129" i="25" s="1"/>
  <c r="E130" i="25" s="1"/>
  <c r="BF124" i="17"/>
  <c r="BD125" i="17"/>
  <c r="BD126" i="17" s="1"/>
  <c r="BD127" i="17" s="1"/>
  <c r="L128" i="25"/>
  <c r="L129" i="25" s="1"/>
  <c r="L130" i="25" s="1"/>
  <c r="N127" i="25"/>
  <c r="W128" i="17"/>
  <c r="W129" i="17" s="1"/>
  <c r="W130" i="17" s="1"/>
  <c r="Y127" i="17"/>
  <c r="R128" i="27"/>
  <c r="R129" i="27" s="1"/>
  <c r="R130" i="27" s="1"/>
  <c r="T127" i="27"/>
  <c r="T127" i="1"/>
  <c r="R128" i="1"/>
  <c r="R129" i="1" s="1"/>
  <c r="R130" i="1" s="1"/>
  <c r="CA130" i="28"/>
  <c r="BZ130" i="28"/>
  <c r="BY131" i="28"/>
  <c r="BY132" i="28" s="1"/>
  <c r="BY133" i="28" s="1"/>
  <c r="Q125" i="28"/>
  <c r="Q126" i="28" s="1"/>
  <c r="Q127" i="28" s="1"/>
  <c r="S124" i="28"/>
  <c r="T128" i="21"/>
  <c r="T129" i="21" s="1"/>
  <c r="T130" i="21" s="1"/>
  <c r="V127" i="21"/>
  <c r="CH127" i="17"/>
  <c r="CF128" i="17"/>
  <c r="CF129" i="17" s="1"/>
  <c r="CF130" i="17" s="1"/>
  <c r="AJ128" i="28"/>
  <c r="AJ129" i="28" s="1"/>
  <c r="AJ130" i="28" s="1"/>
  <c r="AL127" i="28"/>
  <c r="E131" i="35"/>
  <c r="E132" i="35" s="1"/>
  <c r="E133" i="35" s="1"/>
  <c r="G130" i="35"/>
  <c r="T130" i="35"/>
  <c r="R131" i="35"/>
  <c r="R132" i="35" s="1"/>
  <c r="R133" i="35" s="1"/>
  <c r="T127" i="2"/>
  <c r="R128" i="2"/>
  <c r="R129" i="2" s="1"/>
  <c r="R130" i="2" s="1"/>
  <c r="T88" i="12"/>
  <c r="R89" i="12"/>
  <c r="R90" i="12" s="1"/>
  <c r="R91" i="12" s="1"/>
  <c r="S88" i="12"/>
  <c r="L131" i="2"/>
  <c r="L132" i="2" s="1"/>
  <c r="L133" i="2" s="1"/>
  <c r="N130" i="2"/>
  <c r="Q125" i="17"/>
  <c r="Q126" i="17" s="1"/>
  <c r="Q127" i="17" s="1"/>
  <c r="S124" i="17"/>
  <c r="BS127" i="28"/>
  <c r="BQ128" i="28"/>
  <c r="BQ129" i="28" s="1"/>
  <c r="BQ130" i="28" s="1"/>
  <c r="BQ131" i="17"/>
  <c r="BQ132" i="17" s="1"/>
  <c r="BQ133" i="17" s="1"/>
  <c r="BS130" i="17"/>
  <c r="BR130" i="17"/>
  <c r="CH127" i="28"/>
  <c r="CF128" i="28"/>
  <c r="CF129" i="28" s="1"/>
  <c r="CF130" i="28" s="1"/>
  <c r="AS121" i="17"/>
  <c r="AQ122" i="17"/>
  <c r="AQ123" i="17" s="1"/>
  <c r="AQ124" i="17" s="1"/>
  <c r="J128" i="28"/>
  <c r="J129" i="28" s="1"/>
  <c r="J130" i="28" s="1"/>
  <c r="L127" i="28"/>
  <c r="EJ35" i="32"/>
  <c r="ET34" i="32"/>
  <c r="EL34" i="32"/>
  <c r="ES34" i="32"/>
  <c r="EK34" i="32"/>
  <c r="EZ34" i="32"/>
  <c r="ER34" i="32"/>
  <c r="EY34" i="32"/>
  <c r="EQ34" i="32"/>
  <c r="EX34" i="32"/>
  <c r="EP34" i="32"/>
  <c r="EW34" i="32"/>
  <c r="EO34" i="32"/>
  <c r="EV34" i="32"/>
  <c r="EN34" i="32"/>
  <c r="EU34" i="32"/>
  <c r="EM34" i="32"/>
  <c r="E128" i="12"/>
  <c r="E129" i="12" s="1"/>
  <c r="E130" i="12" s="1"/>
  <c r="G127" i="12"/>
  <c r="BD125" i="28"/>
  <c r="BD126" i="28" s="1"/>
  <c r="BD127" i="28" s="1"/>
  <c r="BF124" i="28"/>
  <c r="AQ122" i="28"/>
  <c r="AQ123" i="28" s="1"/>
  <c r="AQ124" i="28" s="1"/>
  <c r="AS121" i="28"/>
  <c r="E128" i="36"/>
  <c r="E129" i="36" s="1"/>
  <c r="E130" i="36" s="1"/>
  <c r="G127" i="36"/>
  <c r="F127" i="36"/>
  <c r="L128" i="12"/>
  <c r="L129" i="12" s="1"/>
  <c r="L130" i="12" s="1"/>
  <c r="N127" i="12"/>
  <c r="T130" i="36"/>
  <c r="R131" i="36"/>
  <c r="R132" i="36" s="1"/>
  <c r="R133" i="36" s="1"/>
  <c r="N37" i="23"/>
  <c r="D37" i="23"/>
  <c r="I37" i="23"/>
  <c r="L37" i="23"/>
  <c r="J37" i="23"/>
  <c r="H37" i="23"/>
  <c r="F37" i="23"/>
  <c r="E37" i="23"/>
  <c r="M37" i="23"/>
  <c r="E128" i="1"/>
  <c r="E129" i="1" s="1"/>
  <c r="E130" i="1" s="1"/>
  <c r="G127" i="1"/>
  <c r="M128" i="21"/>
  <c r="M129" i="21" s="1"/>
  <c r="M130" i="21" s="1"/>
  <c r="O127" i="21"/>
  <c r="N127" i="26"/>
  <c r="L128" i="26"/>
  <c r="L129" i="26" s="1"/>
  <c r="L130" i="26" s="1"/>
  <c r="CZ35" i="32"/>
  <c r="DL34" i="32"/>
  <c r="DD34" i="32"/>
  <c r="DK34" i="32"/>
  <c r="DC34" i="32"/>
  <c r="DJ34" i="32"/>
  <c r="DB34" i="32"/>
  <c r="DI34" i="32"/>
  <c r="DA34" i="32"/>
  <c r="DP34" i="32"/>
  <c r="DH34" i="32"/>
  <c r="DO34" i="32"/>
  <c r="DG34" i="32"/>
  <c r="DN34" i="32"/>
  <c r="DF34" i="32"/>
  <c r="DM34" i="32"/>
  <c r="DE34" i="32"/>
  <c r="BJ128" i="28"/>
  <c r="BJ129" i="28" s="1"/>
  <c r="BJ130" i="28" s="1"/>
  <c r="BL127" i="28"/>
  <c r="H36" i="23"/>
  <c r="M36" i="23"/>
  <c r="L36" i="23"/>
  <c r="J36" i="23"/>
  <c r="I36" i="23"/>
  <c r="F36" i="23"/>
  <c r="E36" i="23"/>
  <c r="N36" i="23"/>
  <c r="D36" i="23"/>
  <c r="R125" i="25"/>
  <c r="R126" i="25" s="1"/>
  <c r="R127" i="25" s="1"/>
  <c r="T124" i="25"/>
  <c r="S124" i="25"/>
  <c r="J128" i="17"/>
  <c r="J129" i="17" s="1"/>
  <c r="J130" i="17" s="1"/>
  <c r="L127" i="17"/>
  <c r="AL127" i="17"/>
  <c r="AJ128" i="17"/>
  <c r="AJ129" i="17" s="1"/>
  <c r="AJ130" i="17" s="1"/>
  <c r="AD122" i="17"/>
  <c r="AD123" i="17" s="1"/>
  <c r="AD124" i="17" s="1"/>
  <c r="AF121" i="17"/>
  <c r="W128" i="28"/>
  <c r="W129" i="28" s="1"/>
  <c r="W130" i="28" s="1"/>
  <c r="Y127" i="28"/>
  <c r="R128" i="6"/>
  <c r="R129" i="6" s="1"/>
  <c r="R130" i="6" s="1"/>
  <c r="T127" i="6"/>
  <c r="CA130" i="17"/>
  <c r="BZ130" i="17"/>
  <c r="BY131" i="17"/>
  <c r="BY132" i="17" s="1"/>
  <c r="BY133" i="17" s="1"/>
  <c r="G127" i="6"/>
  <c r="E128" i="6"/>
  <c r="E129" i="6" s="1"/>
  <c r="E130" i="6" s="1"/>
  <c r="L128" i="1"/>
  <c r="L129" i="1" s="1"/>
  <c r="L130" i="1" s="1"/>
  <c r="N127" i="1"/>
  <c r="E128" i="21"/>
  <c r="E129" i="21" s="1"/>
  <c r="E130" i="21" s="1"/>
  <c r="G127" i="21"/>
  <c r="L128" i="6"/>
  <c r="L129" i="6" s="1"/>
  <c r="L130" i="6" s="1"/>
  <c r="N127" i="6"/>
  <c r="AY127" i="28"/>
  <c r="AW128" i="28"/>
  <c r="AW129" i="28" s="1"/>
  <c r="AW130" i="28" s="1"/>
  <c r="DR35" i="32"/>
  <c r="EC34" i="32"/>
  <c r="DU34" i="32"/>
  <c r="EB34" i="32"/>
  <c r="DT34" i="32"/>
  <c r="EA34" i="32"/>
  <c r="DS34" i="32"/>
  <c r="EH34" i="32"/>
  <c r="DZ34" i="32"/>
  <c r="EG34" i="32"/>
  <c r="DY34" i="32"/>
  <c r="EF34" i="32"/>
  <c r="DX34" i="32"/>
  <c r="EE34" i="32"/>
  <c r="DW34" i="32"/>
  <c r="ED34" i="32"/>
  <c r="DV34" i="32"/>
  <c r="R128" i="26"/>
  <c r="R129" i="26" s="1"/>
  <c r="R130" i="26" s="1"/>
  <c r="T127" i="26"/>
  <c r="L131" i="35"/>
  <c r="L132" i="35" s="1"/>
  <c r="L133" i="35" s="1"/>
  <c r="N130" i="35"/>
  <c r="A39" i="10"/>
  <c r="G127" i="2"/>
  <c r="E128" i="2"/>
  <c r="E129" i="2" s="1"/>
  <c r="E130" i="2" s="1"/>
  <c r="Y128" i="1"/>
  <c r="Y129" i="1" s="1"/>
  <c r="Y130" i="1" s="1"/>
  <c r="AA127" i="1"/>
  <c r="AF121" i="28"/>
  <c r="AD122" i="28"/>
  <c r="AD123" i="28" s="1"/>
  <c r="AD124" i="28" s="1"/>
  <c r="M124" i="27"/>
  <c r="N124" i="27"/>
  <c r="L125" i="27"/>
  <c r="L126" i="27" s="1"/>
  <c r="L127" i="27" s="1"/>
  <c r="L131" i="36"/>
  <c r="L132" i="36" s="1"/>
  <c r="L133" i="36" s="1"/>
  <c r="N130" i="36"/>
  <c r="E32" i="24" l="1"/>
  <c r="I32" i="24"/>
  <c r="F32" i="24"/>
  <c r="E33" i="24"/>
  <c r="EF35" i="32"/>
  <c r="DX35" i="32"/>
  <c r="DV35" i="32"/>
  <c r="EC35" i="32"/>
  <c r="EA35" i="32"/>
  <c r="EE35" i="32"/>
  <c r="DW35" i="32"/>
  <c r="DR36" i="32"/>
  <c r="ED35" i="32"/>
  <c r="EG35" i="32"/>
  <c r="DU35" i="32"/>
  <c r="DS35" i="32"/>
  <c r="DY35" i="32"/>
  <c r="EB35" i="32"/>
  <c r="DT35" i="32"/>
  <c r="EH35" i="32"/>
  <c r="DZ35" i="32"/>
  <c r="L131" i="1"/>
  <c r="L132" i="1" s="1"/>
  <c r="L133" i="1" s="1"/>
  <c r="N130" i="1"/>
  <c r="BD128" i="28"/>
  <c r="BD129" i="28" s="1"/>
  <c r="BD130" i="28" s="1"/>
  <c r="BF127" i="28"/>
  <c r="CF131" i="28"/>
  <c r="CF132" i="28" s="1"/>
  <c r="CF133" i="28" s="1"/>
  <c r="CG130" i="28"/>
  <c r="CH130" i="28"/>
  <c r="S127" i="17"/>
  <c r="Q128" i="17"/>
  <c r="Q129" i="17" s="1"/>
  <c r="Q130" i="17" s="1"/>
  <c r="T133" i="35"/>
  <c r="R134" i="35"/>
  <c r="R135" i="35" s="1"/>
  <c r="R136" i="35" s="1"/>
  <c r="R131" i="6"/>
  <c r="R132" i="6" s="1"/>
  <c r="R133" i="6" s="1"/>
  <c r="T130" i="6"/>
  <c r="G130" i="2"/>
  <c r="E131" i="2"/>
  <c r="E132" i="2" s="1"/>
  <c r="E133" i="2" s="1"/>
  <c r="AW131" i="28"/>
  <c r="AW132" i="28" s="1"/>
  <c r="AW133" i="28" s="1"/>
  <c r="AX130" i="28"/>
  <c r="AY130" i="28"/>
  <c r="G130" i="6"/>
  <c r="E131" i="6"/>
  <c r="E132" i="6" s="1"/>
  <c r="E133" i="6" s="1"/>
  <c r="Y130" i="28"/>
  <c r="W131" i="28"/>
  <c r="W132" i="28" s="1"/>
  <c r="W133" i="28" s="1"/>
  <c r="X130" i="28"/>
  <c r="Q2" i="23"/>
  <c r="H32" i="24"/>
  <c r="R2" i="23"/>
  <c r="G32" i="24"/>
  <c r="L131" i="12"/>
  <c r="L132" i="12" s="1"/>
  <c r="L133" i="12" s="1"/>
  <c r="N130" i="12"/>
  <c r="T131" i="21"/>
  <c r="T132" i="21" s="1"/>
  <c r="T133" i="21" s="1"/>
  <c r="V130" i="21"/>
  <c r="G130" i="25"/>
  <c r="E131" i="25"/>
  <c r="E132" i="25" s="1"/>
  <c r="E133" i="25" s="1"/>
  <c r="T130" i="26"/>
  <c r="R131" i="26"/>
  <c r="R132" i="26" s="1"/>
  <c r="R133" i="26" s="1"/>
  <c r="Y131" i="1"/>
  <c r="Y132" i="1" s="1"/>
  <c r="Y133" i="1" s="1"/>
  <c r="AA130" i="1"/>
  <c r="A38" i="10"/>
  <c r="T127" i="25"/>
  <c r="R128" i="25"/>
  <c r="R129" i="25" s="1"/>
  <c r="R130" i="25" s="1"/>
  <c r="M131" i="21"/>
  <c r="M132" i="21" s="1"/>
  <c r="M133" i="21" s="1"/>
  <c r="O130" i="21"/>
  <c r="F35" i="24"/>
  <c r="E35" i="24"/>
  <c r="E131" i="12"/>
  <c r="E132" i="12" s="1"/>
  <c r="E133" i="12" s="1"/>
  <c r="G130" i="12"/>
  <c r="L134" i="2"/>
  <c r="L135" i="2" s="1"/>
  <c r="L136" i="2" s="1"/>
  <c r="N133" i="2"/>
  <c r="T130" i="27"/>
  <c r="R131" i="27"/>
  <c r="R132" i="27" s="1"/>
  <c r="R133" i="27" s="1"/>
  <c r="K130" i="17"/>
  <c r="J131" i="17"/>
  <c r="J132" i="17" s="1"/>
  <c r="J133" i="17" s="1"/>
  <c r="L130" i="17"/>
  <c r="L131" i="26"/>
  <c r="L132" i="26" s="1"/>
  <c r="L133" i="26" s="1"/>
  <c r="N130" i="26"/>
  <c r="T130" i="1"/>
  <c r="R131" i="1"/>
  <c r="R132" i="1" s="1"/>
  <c r="R133" i="1" s="1"/>
  <c r="L134" i="36"/>
  <c r="L135" i="36" s="1"/>
  <c r="L136" i="36" s="1"/>
  <c r="N133" i="36"/>
  <c r="BY134" i="17"/>
  <c r="BY135" i="17" s="1"/>
  <c r="BY136" i="17" s="1"/>
  <c r="CA133" i="17"/>
  <c r="AD125" i="17"/>
  <c r="AD126" i="17" s="1"/>
  <c r="AD127" i="17" s="1"/>
  <c r="AF124" i="17"/>
  <c r="EW35" i="32"/>
  <c r="EO35" i="32"/>
  <c r="EU35" i="32"/>
  <c r="EL35" i="32"/>
  <c r="EP35" i="32"/>
  <c r="EJ36" i="32"/>
  <c r="EV35" i="32"/>
  <c r="EN35" i="32"/>
  <c r="EM35" i="32"/>
  <c r="EZ35" i="32"/>
  <c r="ET35" i="32"/>
  <c r="ER35" i="32"/>
  <c r="EX35" i="32"/>
  <c r="ES35" i="32"/>
  <c r="EK35" i="32"/>
  <c r="EY35" i="32"/>
  <c r="EQ35" i="32"/>
  <c r="E134" i="35"/>
  <c r="E135" i="35" s="1"/>
  <c r="E136" i="35" s="1"/>
  <c r="G133" i="35"/>
  <c r="Q128" i="28"/>
  <c r="Q129" i="28" s="1"/>
  <c r="Q130" i="28" s="1"/>
  <c r="S127" i="28"/>
  <c r="E30" i="24"/>
  <c r="I29" i="24"/>
  <c r="H29" i="24"/>
  <c r="G29" i="24"/>
  <c r="BD128" i="17"/>
  <c r="BD129" i="17" s="1"/>
  <c r="BD130" i="17" s="1"/>
  <c r="BF127" i="17"/>
  <c r="N127" i="27"/>
  <c r="L128" i="27"/>
  <c r="L129" i="27" s="1"/>
  <c r="L130" i="27" s="1"/>
  <c r="N130" i="6"/>
  <c r="L131" i="6"/>
  <c r="L132" i="6" s="1"/>
  <c r="L133" i="6" s="1"/>
  <c r="AJ131" i="17"/>
  <c r="AJ132" i="17" s="1"/>
  <c r="AJ133" i="17" s="1"/>
  <c r="AL130" i="17"/>
  <c r="AK130" i="17"/>
  <c r="G130" i="1"/>
  <c r="E131" i="1"/>
  <c r="E132" i="1" s="1"/>
  <c r="E133" i="1" s="1"/>
  <c r="F29" i="24"/>
  <c r="E29" i="24"/>
  <c r="E131" i="36"/>
  <c r="E132" i="36" s="1"/>
  <c r="E133" i="36" s="1"/>
  <c r="G130" i="36"/>
  <c r="BQ134" i="17"/>
  <c r="BQ135" i="17" s="1"/>
  <c r="BQ136" i="17" s="1"/>
  <c r="BS133" i="17"/>
  <c r="T91" i="12"/>
  <c r="R92" i="12"/>
  <c r="R93" i="12" s="1"/>
  <c r="R94" i="12" s="1"/>
  <c r="BY134" i="28"/>
  <c r="BY135" i="28" s="1"/>
  <c r="BY136" i="28" s="1"/>
  <c r="CA133" i="28"/>
  <c r="X130" i="17"/>
  <c r="W131" i="17"/>
  <c r="W132" i="17" s="1"/>
  <c r="W133" i="17" s="1"/>
  <c r="Y130" i="17"/>
  <c r="E137" i="26"/>
  <c r="E138" i="26" s="1"/>
  <c r="E139" i="26" s="1"/>
  <c r="G136" i="26"/>
  <c r="F136" i="26"/>
  <c r="AD125" i="28"/>
  <c r="AD126" i="28" s="1"/>
  <c r="AD127" i="28" s="1"/>
  <c r="AF124" i="28"/>
  <c r="N133" i="35"/>
  <c r="L134" i="35"/>
  <c r="L135" i="35" s="1"/>
  <c r="L136" i="35" s="1"/>
  <c r="BL130" i="28"/>
  <c r="BJ131" i="28"/>
  <c r="BJ132" i="28" s="1"/>
  <c r="BJ133" i="28" s="1"/>
  <c r="BK130" i="28"/>
  <c r="G35" i="24"/>
  <c r="H35" i="24"/>
  <c r="E36" i="24"/>
  <c r="I35" i="24"/>
  <c r="J131" i="28"/>
  <c r="J132" i="28" s="1"/>
  <c r="J133" i="28" s="1"/>
  <c r="K130" i="28"/>
  <c r="L130" i="28"/>
  <c r="BQ131" i="28"/>
  <c r="BQ132" i="28" s="1"/>
  <c r="BQ133" i="28" s="1"/>
  <c r="BS130" i="28"/>
  <c r="BR130" i="28"/>
  <c r="AJ131" i="28"/>
  <c r="AJ132" i="28" s="1"/>
  <c r="AJ133" i="28" s="1"/>
  <c r="AK130" i="28"/>
  <c r="AL130" i="28"/>
  <c r="E131" i="21"/>
  <c r="E132" i="21" s="1"/>
  <c r="E133" i="21" s="1"/>
  <c r="G130" i="21"/>
  <c r="DO35" i="32"/>
  <c r="DG35" i="32"/>
  <c r="DB35" i="32"/>
  <c r="DN35" i="32"/>
  <c r="DF35" i="32"/>
  <c r="DM35" i="32"/>
  <c r="DJ35" i="32"/>
  <c r="DE35" i="32"/>
  <c r="CZ36" i="32"/>
  <c r="DL35" i="32"/>
  <c r="DD35" i="32"/>
  <c r="DK35" i="32"/>
  <c r="DC35" i="32"/>
  <c r="DP35" i="32"/>
  <c r="DI35" i="32"/>
  <c r="DA35" i="32"/>
  <c r="DH35" i="32"/>
  <c r="T133" i="36"/>
  <c r="R134" i="36"/>
  <c r="R135" i="36" s="1"/>
  <c r="R136" i="36" s="1"/>
  <c r="AQ125" i="28"/>
  <c r="AQ126" i="28" s="1"/>
  <c r="AQ127" i="28" s="1"/>
  <c r="AS124" i="28"/>
  <c r="AQ125" i="17"/>
  <c r="AQ126" i="17" s="1"/>
  <c r="AQ127" i="17" s="1"/>
  <c r="AS124" i="17"/>
  <c r="T130" i="2"/>
  <c r="R131" i="2"/>
  <c r="R132" i="2" s="1"/>
  <c r="R133" i="2" s="1"/>
  <c r="CF131" i="17"/>
  <c r="CF132" i="17" s="1"/>
  <c r="CF133" i="17" s="1"/>
  <c r="CH130" i="17"/>
  <c r="CG130" i="17"/>
  <c r="N130" i="25"/>
  <c r="L131" i="25"/>
  <c r="L132" i="25" s="1"/>
  <c r="L133" i="25" s="1"/>
  <c r="G133" i="27"/>
  <c r="E134" i="27"/>
  <c r="E135" i="27" s="1"/>
  <c r="E136" i="27" s="1"/>
  <c r="L137" i="35" l="1"/>
  <c r="L138" i="35" s="1"/>
  <c r="L139" i="35" s="1"/>
  <c r="N136" i="35"/>
  <c r="E134" i="36"/>
  <c r="E135" i="36" s="1"/>
  <c r="E136" i="36" s="1"/>
  <c r="G133" i="36"/>
  <c r="L134" i="6"/>
  <c r="L135" i="6" s="1"/>
  <c r="L136" i="6" s="1"/>
  <c r="N133" i="6"/>
  <c r="AD128" i="17"/>
  <c r="AD129" i="17" s="1"/>
  <c r="AD130" i="17" s="1"/>
  <c r="AF127" i="17"/>
  <c r="N133" i="26"/>
  <c r="L134" i="26"/>
  <c r="L135" i="26" s="1"/>
  <c r="L136" i="26" s="1"/>
  <c r="T134" i="21"/>
  <c r="T135" i="21" s="1"/>
  <c r="T136" i="21" s="1"/>
  <c r="V133" i="21"/>
  <c r="W134" i="28"/>
  <c r="W135" i="28" s="1"/>
  <c r="W136" i="28" s="1"/>
  <c r="Y133" i="28"/>
  <c r="N136" i="2"/>
  <c r="M136" i="2"/>
  <c r="N13" i="33" s="1"/>
  <c r="L137" i="2"/>
  <c r="L138" i="2" s="1"/>
  <c r="L139" i="2" s="1"/>
  <c r="G133" i="2"/>
  <c r="E134" i="2"/>
  <c r="E135" i="2" s="1"/>
  <c r="E136" i="2" s="1"/>
  <c r="DR37" i="32"/>
  <c r="EB36" i="32"/>
  <c r="DT36" i="32"/>
  <c r="DZ36" i="32"/>
  <c r="EA36" i="32"/>
  <c r="DS36" i="32"/>
  <c r="EH36" i="32"/>
  <c r="EG36" i="32"/>
  <c r="EE36" i="32"/>
  <c r="EC36" i="32"/>
  <c r="DW36" i="32"/>
  <c r="DY36" i="32"/>
  <c r="EF36" i="32"/>
  <c r="DX36" i="32"/>
  <c r="DU36" i="32"/>
  <c r="ED36" i="32"/>
  <c r="DV36" i="32"/>
  <c r="AJ134" i="28"/>
  <c r="AJ135" i="28" s="1"/>
  <c r="AJ136" i="28" s="1"/>
  <c r="AL133" i="28"/>
  <c r="EJ37" i="32"/>
  <c r="ES36" i="32"/>
  <c r="EK36" i="32"/>
  <c r="EQ36" i="32"/>
  <c r="EP36" i="32"/>
  <c r="EN36" i="32"/>
  <c r="EZ36" i="32"/>
  <c r="ER36" i="32"/>
  <c r="EY36" i="32"/>
  <c r="EX36" i="32"/>
  <c r="ET36" i="32"/>
  <c r="EL36" i="32"/>
  <c r="EW36" i="32"/>
  <c r="EO36" i="32"/>
  <c r="EV36" i="32"/>
  <c r="EU36" i="32"/>
  <c r="EM36" i="32"/>
  <c r="E134" i="12"/>
  <c r="E135" i="12" s="1"/>
  <c r="E136" i="12" s="1"/>
  <c r="G133" i="12"/>
  <c r="CH133" i="28"/>
  <c r="CF134" i="28"/>
  <c r="CF135" i="28" s="1"/>
  <c r="CF136" i="28" s="1"/>
  <c r="AS127" i="17"/>
  <c r="AQ128" i="17"/>
  <c r="AQ129" i="17" s="1"/>
  <c r="AQ130" i="17" s="1"/>
  <c r="AQ128" i="28"/>
  <c r="AQ129" i="28" s="1"/>
  <c r="AQ130" i="28" s="1"/>
  <c r="AS127" i="28"/>
  <c r="T136" i="36"/>
  <c r="R137" i="36"/>
  <c r="R138" i="36" s="1"/>
  <c r="R139" i="36" s="1"/>
  <c r="AF127" i="28"/>
  <c r="AD128" i="28"/>
  <c r="AD129" i="28" s="1"/>
  <c r="AD130" i="28" s="1"/>
  <c r="CA136" i="28"/>
  <c r="BY137" i="28"/>
  <c r="BY138" i="28" s="1"/>
  <c r="BY139" i="28" s="1"/>
  <c r="L131" i="27"/>
  <c r="L132" i="27" s="1"/>
  <c r="L133" i="27" s="1"/>
  <c r="N130" i="27"/>
  <c r="CA136" i="17"/>
  <c r="BY137" i="17"/>
  <c r="BY138" i="17" s="1"/>
  <c r="BY139" i="17" s="1"/>
  <c r="J134" i="17"/>
  <c r="J135" i="17" s="1"/>
  <c r="J136" i="17" s="1"/>
  <c r="L133" i="17"/>
  <c r="Y134" i="1"/>
  <c r="Y135" i="1" s="1"/>
  <c r="Y136" i="1" s="1"/>
  <c r="AA133" i="1"/>
  <c r="L134" i="12"/>
  <c r="L135" i="12" s="1"/>
  <c r="L136" i="12" s="1"/>
  <c r="N133" i="12"/>
  <c r="E134" i="6"/>
  <c r="E135" i="6" s="1"/>
  <c r="E136" i="6" s="1"/>
  <c r="G133" i="6"/>
  <c r="T133" i="6"/>
  <c r="R134" i="6"/>
  <c r="R135" i="6" s="1"/>
  <c r="R136" i="6" s="1"/>
  <c r="L134" i="25"/>
  <c r="L135" i="25" s="1"/>
  <c r="L136" i="25" s="1"/>
  <c r="N133" i="25"/>
  <c r="L133" i="28"/>
  <c r="J134" i="28"/>
  <c r="J135" i="28" s="1"/>
  <c r="J136" i="28" s="1"/>
  <c r="E134" i="1"/>
  <c r="E135" i="1" s="1"/>
  <c r="E136" i="1" s="1"/>
  <c r="G133" i="1"/>
  <c r="S130" i="28"/>
  <c r="Q131" i="28"/>
  <c r="Q132" i="28" s="1"/>
  <c r="Q133" i="28" s="1"/>
  <c r="R130" i="28"/>
  <c r="R134" i="26"/>
  <c r="R135" i="26" s="1"/>
  <c r="R136" i="26" s="1"/>
  <c r="T133" i="26"/>
  <c r="T136" i="35"/>
  <c r="R137" i="35"/>
  <c r="R138" i="35" s="1"/>
  <c r="R139" i="35" s="1"/>
  <c r="BF130" i="28"/>
  <c r="BD131" i="28"/>
  <c r="BD132" i="28" s="1"/>
  <c r="BD133" i="28" s="1"/>
  <c r="BE130" i="28"/>
  <c r="CH133" i="17"/>
  <c r="CF134" i="17"/>
  <c r="CF135" i="17" s="1"/>
  <c r="CF136" i="17" s="1"/>
  <c r="T94" i="12"/>
  <c r="R95" i="12"/>
  <c r="R96" i="12" s="1"/>
  <c r="R97" i="12" s="1"/>
  <c r="T133" i="2"/>
  <c r="R134" i="2"/>
  <c r="R135" i="2" s="1"/>
  <c r="R136" i="2" s="1"/>
  <c r="CZ37" i="32"/>
  <c r="DK36" i="32"/>
  <c r="DC36" i="32"/>
  <c r="DH36" i="32"/>
  <c r="DD36" i="32"/>
  <c r="DJ36" i="32"/>
  <c r="DB36" i="32"/>
  <c r="DA36" i="32"/>
  <c r="DP36" i="32"/>
  <c r="DF36" i="32"/>
  <c r="DI36" i="32"/>
  <c r="DL36" i="32"/>
  <c r="DO36" i="32"/>
  <c r="DG36" i="32"/>
  <c r="DN36" i="32"/>
  <c r="DM36" i="32"/>
  <c r="DE36" i="32"/>
  <c r="BQ134" i="28"/>
  <c r="BQ135" i="28" s="1"/>
  <c r="BQ136" i="28" s="1"/>
  <c r="BS133" i="28"/>
  <c r="L137" i="36"/>
  <c r="L138" i="36" s="1"/>
  <c r="L139" i="36" s="1"/>
  <c r="N136" i="36"/>
  <c r="T133" i="27"/>
  <c r="R134" i="27"/>
  <c r="R135" i="27" s="1"/>
  <c r="R136" i="27" s="1"/>
  <c r="AJ134" i="17"/>
  <c r="AJ135" i="17" s="1"/>
  <c r="AJ136" i="17" s="1"/>
  <c r="AL133" i="17"/>
  <c r="BL133" i="28"/>
  <c r="BJ134" i="28"/>
  <c r="BJ135" i="28" s="1"/>
  <c r="BJ136" i="28" s="1"/>
  <c r="G139" i="26"/>
  <c r="E140" i="26"/>
  <c r="E141" i="26" s="1"/>
  <c r="E142" i="26" s="1"/>
  <c r="BF130" i="17"/>
  <c r="BE130" i="17"/>
  <c r="BD131" i="17"/>
  <c r="BD132" i="17" s="1"/>
  <c r="BD133" i="17" s="1"/>
  <c r="E137" i="35"/>
  <c r="E138" i="35" s="1"/>
  <c r="E139" i="35" s="1"/>
  <c r="G136" i="35"/>
  <c r="R134" i="1"/>
  <c r="R135" i="1" s="1"/>
  <c r="R136" i="1" s="1"/>
  <c r="T133" i="1"/>
  <c r="M134" i="21"/>
  <c r="M135" i="21" s="1"/>
  <c r="M136" i="21" s="1"/>
  <c r="O133" i="21"/>
  <c r="G133" i="25"/>
  <c r="E134" i="25"/>
  <c r="E135" i="25" s="1"/>
  <c r="E136" i="25" s="1"/>
  <c r="Q131" i="17"/>
  <c r="Q132" i="17" s="1"/>
  <c r="Q133" i="17" s="1"/>
  <c r="S130" i="17"/>
  <c r="R130" i="17"/>
  <c r="L134" i="1"/>
  <c r="L135" i="1" s="1"/>
  <c r="L136" i="1" s="1"/>
  <c r="N133" i="1"/>
  <c r="W134" i="17"/>
  <c r="W135" i="17" s="1"/>
  <c r="W136" i="17" s="1"/>
  <c r="Y133" i="17"/>
  <c r="E137" i="27"/>
  <c r="E138" i="27" s="1"/>
  <c r="E139" i="27" s="1"/>
  <c r="G136" i="27"/>
  <c r="F136" i="27"/>
  <c r="L13" i="33" s="1"/>
  <c r="E134" i="21"/>
  <c r="E135" i="21" s="1"/>
  <c r="E136" i="21" s="1"/>
  <c r="G133" i="21"/>
  <c r="BQ137" i="17"/>
  <c r="BQ138" i="17" s="1"/>
  <c r="BQ139" i="17" s="1"/>
  <c r="BS136" i="17"/>
  <c r="R131" i="25"/>
  <c r="R132" i="25" s="1"/>
  <c r="R133" i="25" s="1"/>
  <c r="T130" i="25"/>
  <c r="A37" i="10"/>
  <c r="AW134" i="28"/>
  <c r="AW135" i="28" s="1"/>
  <c r="AW136" i="28" s="1"/>
  <c r="AY133" i="28"/>
  <c r="Y136" i="17" l="1"/>
  <c r="W137" i="17"/>
  <c r="W138" i="17" s="1"/>
  <c r="W139" i="17" s="1"/>
  <c r="T97" i="12"/>
  <c r="R98" i="12"/>
  <c r="R99" i="12" s="1"/>
  <c r="R100" i="12" s="1"/>
  <c r="J137" i="28"/>
  <c r="J138" i="28" s="1"/>
  <c r="J139" i="28" s="1"/>
  <c r="L136" i="28"/>
  <c r="EW37" i="32"/>
  <c r="EO37" i="32"/>
  <c r="EV37" i="32"/>
  <c r="EN37" i="32"/>
  <c r="ES37" i="32"/>
  <c r="EK37" i="32"/>
  <c r="EJ38" i="32"/>
  <c r="EU37" i="32"/>
  <c r="EM37" i="32"/>
  <c r="EZ37" i="32"/>
  <c r="ER37" i="32"/>
  <c r="EY37" i="32"/>
  <c r="EQ37" i="32"/>
  <c r="ET37" i="32"/>
  <c r="EL37" i="32"/>
  <c r="EX37" i="32"/>
  <c r="EP37" i="32"/>
  <c r="AE130" i="17"/>
  <c r="AD131" i="17"/>
  <c r="AD132" i="17" s="1"/>
  <c r="AD133" i="17" s="1"/>
  <c r="AF130" i="17"/>
  <c r="T133" i="25"/>
  <c r="R134" i="25"/>
  <c r="R135" i="25" s="1"/>
  <c r="R136" i="25" s="1"/>
  <c r="L137" i="12"/>
  <c r="L138" i="12" s="1"/>
  <c r="L139" i="12" s="1"/>
  <c r="N136" i="12"/>
  <c r="M136" i="12"/>
  <c r="L134" i="27"/>
  <c r="L135" i="27" s="1"/>
  <c r="L136" i="27" s="1"/>
  <c r="N133" i="27"/>
  <c r="AS130" i="28"/>
  <c r="AR130" i="28"/>
  <c r="AQ131" i="28"/>
  <c r="AQ132" i="28" s="1"/>
  <c r="AQ133" i="28" s="1"/>
  <c r="E137" i="6"/>
  <c r="E138" i="6" s="1"/>
  <c r="E139" i="6" s="1"/>
  <c r="F137" i="6"/>
  <c r="F136" i="6"/>
  <c r="G136" i="6"/>
  <c r="E137" i="12"/>
  <c r="E138" i="12" s="1"/>
  <c r="E139" i="12" s="1"/>
  <c r="G136" i="12"/>
  <c r="F136" i="12"/>
  <c r="A36" i="10"/>
  <c r="L137" i="1"/>
  <c r="L138" i="1" s="1"/>
  <c r="L139" i="1" s="1"/>
  <c r="N136" i="1"/>
  <c r="M136" i="1"/>
  <c r="M139" i="36"/>
  <c r="L140" i="36"/>
  <c r="L141" i="36" s="1"/>
  <c r="L142" i="36" s="1"/>
  <c r="N139" i="36"/>
  <c r="CF137" i="17"/>
  <c r="CF138" i="17" s="1"/>
  <c r="CF139" i="17" s="1"/>
  <c r="CH136" i="17"/>
  <c r="T136" i="26"/>
  <c r="S136" i="26"/>
  <c r="R137" i="26"/>
  <c r="R138" i="26" s="1"/>
  <c r="R139" i="26" s="1"/>
  <c r="CA139" i="28"/>
  <c r="BY140" i="28"/>
  <c r="BY141" i="28" s="1"/>
  <c r="BY142" i="28" s="1"/>
  <c r="AR130" i="17"/>
  <c r="AQ131" i="17"/>
  <c r="AQ132" i="17" s="1"/>
  <c r="AQ133" i="17" s="1"/>
  <c r="AS130" i="17"/>
  <c r="AJ137" i="28"/>
  <c r="AJ138" i="28" s="1"/>
  <c r="AJ139" i="28" s="1"/>
  <c r="AL136" i="28"/>
  <c r="W137" i="28"/>
  <c r="W138" i="28" s="1"/>
  <c r="W139" i="28" s="1"/>
  <c r="Y136" i="28"/>
  <c r="N136" i="6"/>
  <c r="M137" i="6"/>
  <c r="M136" i="6"/>
  <c r="L137" i="6"/>
  <c r="L138" i="6" s="1"/>
  <c r="L139" i="6" s="1"/>
  <c r="R137" i="1"/>
  <c r="R138" i="1" s="1"/>
  <c r="R139" i="1" s="1"/>
  <c r="T136" i="1"/>
  <c r="S136" i="1"/>
  <c r="BJ137" i="28"/>
  <c r="BJ138" i="28" s="1"/>
  <c r="BJ139" i="28" s="1"/>
  <c r="BL136" i="28"/>
  <c r="L137" i="25"/>
  <c r="L138" i="25" s="1"/>
  <c r="L139" i="25" s="1"/>
  <c r="N136" i="25"/>
  <c r="M136" i="25"/>
  <c r="Y137" i="1"/>
  <c r="Y138" i="1" s="1"/>
  <c r="Y139" i="1" s="1"/>
  <c r="AA136" i="1"/>
  <c r="EF37" i="32"/>
  <c r="DX37" i="32"/>
  <c r="EE37" i="32"/>
  <c r="DW37" i="32"/>
  <c r="EB37" i="32"/>
  <c r="DT37" i="32"/>
  <c r="DR38" i="32"/>
  <c r="ED37" i="32"/>
  <c r="DV37" i="32"/>
  <c r="EA37" i="32"/>
  <c r="DS37" i="32"/>
  <c r="EH37" i="32"/>
  <c r="DZ37" i="32"/>
  <c r="EC37" i="32"/>
  <c r="DU37" i="32"/>
  <c r="EG37" i="32"/>
  <c r="DY37" i="32"/>
  <c r="G136" i="1"/>
  <c r="F136" i="1"/>
  <c r="E137" i="1"/>
  <c r="E138" i="1" s="1"/>
  <c r="E139" i="1" s="1"/>
  <c r="BQ137" i="28"/>
  <c r="BQ138" i="28" s="1"/>
  <c r="BQ139" i="28" s="1"/>
  <c r="BS136" i="28"/>
  <c r="Q134" i="28"/>
  <c r="Q135" i="28" s="1"/>
  <c r="Q136" i="28" s="1"/>
  <c r="S133" i="28"/>
  <c r="S137" i="6"/>
  <c r="S136" i="6"/>
  <c r="R137" i="6"/>
  <c r="R138" i="6" s="1"/>
  <c r="R139" i="6" s="1"/>
  <c r="T136" i="6"/>
  <c r="AE130" i="28"/>
  <c r="AD131" i="28"/>
  <c r="AD132" i="28" s="1"/>
  <c r="AD133" i="28" s="1"/>
  <c r="AF130" i="28"/>
  <c r="CH136" i="28"/>
  <c r="CF137" i="28"/>
  <c r="CF138" i="28" s="1"/>
  <c r="CF139" i="28" s="1"/>
  <c r="F136" i="2"/>
  <c r="K13" i="33" s="1"/>
  <c r="E137" i="2"/>
  <c r="E138" i="2" s="1"/>
  <c r="E139" i="2" s="1"/>
  <c r="G136" i="2"/>
  <c r="V136" i="21"/>
  <c r="T137" i="21"/>
  <c r="T138" i="21" s="1"/>
  <c r="T139" i="21" s="1"/>
  <c r="U136" i="21"/>
  <c r="E137" i="36"/>
  <c r="E138" i="36" s="1"/>
  <c r="E139" i="36" s="1"/>
  <c r="G136" i="36"/>
  <c r="T136" i="27"/>
  <c r="S136" i="27"/>
  <c r="R137" i="27"/>
  <c r="R138" i="27" s="1"/>
  <c r="R139" i="27" s="1"/>
  <c r="BQ140" i="17"/>
  <c r="BQ141" i="17" s="1"/>
  <c r="BQ142" i="17" s="1"/>
  <c r="BS139" i="17"/>
  <c r="O136" i="21"/>
  <c r="M137" i="21"/>
  <c r="M138" i="21" s="1"/>
  <c r="M139" i="21" s="1"/>
  <c r="N136" i="21"/>
  <c r="G136" i="21"/>
  <c r="F136" i="21"/>
  <c r="E137" i="21"/>
  <c r="E138" i="21" s="1"/>
  <c r="E139" i="21" s="1"/>
  <c r="S133" i="17"/>
  <c r="Q134" i="17"/>
  <c r="Q135" i="17" s="1"/>
  <c r="Q136" i="17" s="1"/>
  <c r="G139" i="35"/>
  <c r="F139" i="35"/>
  <c r="E140" i="35"/>
  <c r="E141" i="35" s="1"/>
  <c r="E142" i="35" s="1"/>
  <c r="DO37" i="32"/>
  <c r="DG37" i="32"/>
  <c r="DN37" i="32"/>
  <c r="DF37" i="32"/>
  <c r="DK37" i="32"/>
  <c r="DC37" i="32"/>
  <c r="DM37" i="32"/>
  <c r="DE37" i="32"/>
  <c r="DJ37" i="32"/>
  <c r="DB37" i="32"/>
  <c r="DI37" i="32"/>
  <c r="DA37" i="32"/>
  <c r="CZ38" i="32"/>
  <c r="DL37" i="32"/>
  <c r="DD37" i="32"/>
  <c r="DP37" i="32"/>
  <c r="DH37" i="32"/>
  <c r="BD134" i="28"/>
  <c r="BD135" i="28" s="1"/>
  <c r="BD136" i="28" s="1"/>
  <c r="BF133" i="28"/>
  <c r="J137" i="17"/>
  <c r="J138" i="17" s="1"/>
  <c r="J139" i="17" s="1"/>
  <c r="L136" i="17"/>
  <c r="N136" i="26"/>
  <c r="M136" i="26"/>
  <c r="L137" i="26"/>
  <c r="L138" i="26" s="1"/>
  <c r="L139" i="26" s="1"/>
  <c r="R140" i="35"/>
  <c r="R141" i="35" s="1"/>
  <c r="R142" i="35" s="1"/>
  <c r="S139" i="35"/>
  <c r="T139" i="35"/>
  <c r="G142" i="26"/>
  <c r="E143" i="26"/>
  <c r="E144" i="26" s="1"/>
  <c r="E145" i="26" s="1"/>
  <c r="AY136" i="28"/>
  <c r="AW137" i="28"/>
  <c r="AW138" i="28" s="1"/>
  <c r="AW139" i="28" s="1"/>
  <c r="G139" i="27"/>
  <c r="E140" i="27"/>
  <c r="E141" i="27" s="1"/>
  <c r="E142" i="27" s="1"/>
  <c r="G136" i="25"/>
  <c r="E137" i="25"/>
  <c r="E138" i="25" s="1"/>
  <c r="E139" i="25" s="1"/>
  <c r="F136" i="25"/>
  <c r="BD134" i="17"/>
  <c r="BD135" i="17" s="1"/>
  <c r="BD136" i="17" s="1"/>
  <c r="BF133" i="17"/>
  <c r="AL136" i="17"/>
  <c r="AJ137" i="17"/>
  <c r="AJ138" i="17" s="1"/>
  <c r="AJ139" i="17" s="1"/>
  <c r="S136" i="2"/>
  <c r="M13" i="33" s="1"/>
  <c r="T136" i="2"/>
  <c r="R137" i="2"/>
  <c r="R138" i="2" s="1"/>
  <c r="R139" i="2" s="1"/>
  <c r="CA139" i="17"/>
  <c r="BY140" i="17"/>
  <c r="BY141" i="17" s="1"/>
  <c r="BY142" i="17" s="1"/>
  <c r="T139" i="36"/>
  <c r="R140" i="36"/>
  <c r="R141" i="36" s="1"/>
  <c r="R142" i="36" s="1"/>
  <c r="S139" i="36"/>
  <c r="N139" i="2"/>
  <c r="L140" i="2"/>
  <c r="L141" i="2" s="1"/>
  <c r="L142" i="2" s="1"/>
  <c r="L140" i="35"/>
  <c r="L141" i="35" s="1"/>
  <c r="L142" i="35" s="1"/>
  <c r="N139" i="35"/>
  <c r="M139" i="35"/>
  <c r="R143" i="35" l="1"/>
  <c r="R144" i="35" s="1"/>
  <c r="R145" i="35" s="1"/>
  <c r="T142" i="35"/>
  <c r="A35" i="10"/>
  <c r="G142" i="35"/>
  <c r="E143" i="35"/>
  <c r="E144" i="35" s="1"/>
  <c r="E145" i="35" s="1"/>
  <c r="CH139" i="28"/>
  <c r="CF140" i="28"/>
  <c r="CF141" i="28" s="1"/>
  <c r="CF142" i="28" s="1"/>
  <c r="W140" i="28"/>
  <c r="W141" i="28" s="1"/>
  <c r="W142" i="28" s="1"/>
  <c r="W143" i="28" s="1"/>
  <c r="Y139" i="28"/>
  <c r="R140" i="26"/>
  <c r="R141" i="26" s="1"/>
  <c r="R142" i="26" s="1"/>
  <c r="T139" i="26"/>
  <c r="G142" i="27"/>
  <c r="E143" i="27"/>
  <c r="E144" i="27" s="1"/>
  <c r="E145" i="27" s="1"/>
  <c r="L137" i="27"/>
  <c r="L138" i="27" s="1"/>
  <c r="L139" i="27" s="1"/>
  <c r="N136" i="27"/>
  <c r="M136" i="27"/>
  <c r="AJ140" i="17"/>
  <c r="AJ141" i="17" s="1"/>
  <c r="AJ142" i="17" s="1"/>
  <c r="AL139" i="17"/>
  <c r="N139" i="26"/>
  <c r="L140" i="26"/>
  <c r="L141" i="26" s="1"/>
  <c r="L142" i="26" s="1"/>
  <c r="AY139" i="28"/>
  <c r="AW140" i="28"/>
  <c r="AW141" i="28" s="1"/>
  <c r="AW142" i="28" s="1"/>
  <c r="O139" i="21"/>
  <c r="M140" i="21"/>
  <c r="M141" i="21" s="1"/>
  <c r="M142" i="21" s="1"/>
  <c r="E140" i="36"/>
  <c r="E141" i="36" s="1"/>
  <c r="E142" i="36" s="1"/>
  <c r="G139" i="36"/>
  <c r="F139" i="36"/>
  <c r="T142" i="36"/>
  <c r="R143" i="36"/>
  <c r="R144" i="36" s="1"/>
  <c r="R145" i="36" s="1"/>
  <c r="S136" i="28"/>
  <c r="Q137" i="28"/>
  <c r="Q138" i="28" s="1"/>
  <c r="Q139" i="28" s="1"/>
  <c r="EB38" i="32"/>
  <c r="DT38" i="32"/>
  <c r="EA38" i="32"/>
  <c r="DS38" i="32"/>
  <c r="EH38" i="32"/>
  <c r="DZ38" i="32"/>
  <c r="EC38" i="32"/>
  <c r="DU38" i="32"/>
  <c r="EG38" i="32"/>
  <c r="DY38" i="32"/>
  <c r="EF38" i="32"/>
  <c r="DX38" i="32"/>
  <c r="DR39" i="32"/>
  <c r="EE38" i="32"/>
  <c r="DW38" i="32"/>
  <c r="ED38" i="32"/>
  <c r="DV38" i="32"/>
  <c r="Y140" i="1"/>
  <c r="Y141" i="1" s="1"/>
  <c r="Y142" i="1" s="1"/>
  <c r="AA139" i="1"/>
  <c r="R140" i="1"/>
  <c r="R141" i="1" s="1"/>
  <c r="R142" i="1" s="1"/>
  <c r="T139" i="1"/>
  <c r="AJ140" i="28"/>
  <c r="AJ141" i="28" s="1"/>
  <c r="AJ142" i="28" s="1"/>
  <c r="AL139" i="28"/>
  <c r="N139" i="1"/>
  <c r="L140" i="1"/>
  <c r="L141" i="1" s="1"/>
  <c r="L142" i="1" s="1"/>
  <c r="E140" i="6"/>
  <c r="E141" i="6" s="1"/>
  <c r="E142" i="6" s="1"/>
  <c r="G139" i="6"/>
  <c r="L140" i="12"/>
  <c r="L141" i="12" s="1"/>
  <c r="L142" i="12" s="1"/>
  <c r="N139" i="12"/>
  <c r="ES38" i="32"/>
  <c r="EK38" i="32"/>
  <c r="EZ38" i="32"/>
  <c r="ER38" i="32"/>
  <c r="EY38" i="32"/>
  <c r="EQ38" i="32"/>
  <c r="EJ39" i="32"/>
  <c r="ET38" i="32"/>
  <c r="EL38" i="32"/>
  <c r="EX38" i="32"/>
  <c r="EP38" i="32"/>
  <c r="EW38" i="32"/>
  <c r="EO38" i="32"/>
  <c r="EV38" i="32"/>
  <c r="EN38" i="32"/>
  <c r="EU38" i="32"/>
  <c r="EM38" i="32"/>
  <c r="J140" i="28"/>
  <c r="J141" i="28" s="1"/>
  <c r="J142" i="28" s="1"/>
  <c r="L139" i="28"/>
  <c r="BJ140" i="28"/>
  <c r="BJ141" i="28" s="1"/>
  <c r="BJ142" i="28" s="1"/>
  <c r="BL139" i="28"/>
  <c r="BF136" i="17"/>
  <c r="BD137" i="17"/>
  <c r="BD138" i="17" s="1"/>
  <c r="BD139" i="17" s="1"/>
  <c r="Q137" i="17"/>
  <c r="Q138" i="17" s="1"/>
  <c r="Q139" i="17" s="1"/>
  <c r="S136" i="17"/>
  <c r="V139" i="21"/>
  <c r="T140" i="21"/>
  <c r="T141" i="21" s="1"/>
  <c r="T142" i="21" s="1"/>
  <c r="AF133" i="28"/>
  <c r="AD134" i="28"/>
  <c r="AD135" i="28" s="1"/>
  <c r="AD136" i="28" s="1"/>
  <c r="L140" i="6"/>
  <c r="L141" i="6" s="1"/>
  <c r="L142" i="6" s="1"/>
  <c r="N139" i="6"/>
  <c r="AQ134" i="28"/>
  <c r="AQ135" i="28" s="1"/>
  <c r="AQ136" i="28" s="1"/>
  <c r="AS133" i="28"/>
  <c r="T136" i="25"/>
  <c r="S136" i="25"/>
  <c r="R137" i="25"/>
  <c r="R138" i="25" s="1"/>
  <c r="R139" i="25" s="1"/>
  <c r="T100" i="12"/>
  <c r="R101" i="12"/>
  <c r="R102" i="12" s="1"/>
  <c r="R103" i="12" s="1"/>
  <c r="S100" i="12"/>
  <c r="BY143" i="17"/>
  <c r="BY144" i="17" s="1"/>
  <c r="BY145" i="17" s="1"/>
  <c r="BY146" i="17" s="1"/>
  <c r="BY147" i="17" s="1"/>
  <c r="BY148" i="17" s="1"/>
  <c r="BY149" i="17" s="1"/>
  <c r="BY150" i="17" s="1"/>
  <c r="BY151" i="17" s="1"/>
  <c r="BY152" i="17" s="1"/>
  <c r="BY153" i="17" s="1"/>
  <c r="BY154" i="17" s="1"/>
  <c r="BZ142" i="17"/>
  <c r="CA142" i="17"/>
  <c r="E146" i="26"/>
  <c r="E147" i="26" s="1"/>
  <c r="E148" i="26" s="1"/>
  <c r="G145" i="26"/>
  <c r="DK38" i="32"/>
  <c r="AR18" i="32" s="1" a="1"/>
  <c r="AR18" i="32" s="1"/>
  <c r="DC38" i="32"/>
  <c r="AJ18" i="32" s="1" a="1"/>
  <c r="AJ18" i="32" s="1"/>
  <c r="DJ38" i="32"/>
  <c r="AQ18" i="32" s="1" a="1"/>
  <c r="AQ18" i="32" s="1"/>
  <c r="DB38" i="32"/>
  <c r="AI18" i="32" s="1" a="1"/>
  <c r="AI18" i="32" s="1"/>
  <c r="DI38" i="32"/>
  <c r="AP18" i="32" s="1" a="1"/>
  <c r="AP18" i="32" s="1"/>
  <c r="DA38" i="32"/>
  <c r="DL38" i="32"/>
  <c r="AS18" i="32" s="1" a="1"/>
  <c r="AS18" i="32" s="1"/>
  <c r="DD38" i="32"/>
  <c r="AK18" i="32" s="1" a="1"/>
  <c r="AK18" i="32" s="1"/>
  <c r="DP38" i="32"/>
  <c r="AW18" i="32" s="1" a="1"/>
  <c r="AW18" i="32" s="1"/>
  <c r="DH38" i="32"/>
  <c r="AO18" i="32" s="1" a="1"/>
  <c r="AO18" i="32" s="1"/>
  <c r="DO38" i="32"/>
  <c r="AV18" i="32" s="1" a="1"/>
  <c r="AV18" i="32" s="1"/>
  <c r="DG38" i="32"/>
  <c r="AN18" i="32" s="1" a="1"/>
  <c r="AN18" i="32" s="1"/>
  <c r="DN38" i="32"/>
  <c r="AU18" i="32" s="1" a="1"/>
  <c r="AU18" i="32" s="1"/>
  <c r="DF38" i="32"/>
  <c r="AM18" i="32" s="1" a="1"/>
  <c r="AM18" i="32" s="1"/>
  <c r="DM38" i="32"/>
  <c r="AT18" i="32" s="1" a="1"/>
  <c r="AT18" i="32" s="1"/>
  <c r="DE38" i="32"/>
  <c r="AL18" i="32" s="1" a="1"/>
  <c r="AL18" i="32" s="1"/>
  <c r="L139" i="17"/>
  <c r="J140" i="17"/>
  <c r="J141" i="17" s="1"/>
  <c r="J142" i="17" s="1"/>
  <c r="BQ143" i="17"/>
  <c r="BQ144" i="17" s="1"/>
  <c r="BQ145" i="17" s="1"/>
  <c r="BQ146" i="17" s="1"/>
  <c r="BQ147" i="17" s="1"/>
  <c r="BQ148" i="17" s="1"/>
  <c r="BQ149" i="17" s="1"/>
  <c r="BQ150" i="17" s="1"/>
  <c r="BQ151" i="17" s="1"/>
  <c r="BQ152" i="17" s="1"/>
  <c r="BQ153" i="17" s="1"/>
  <c r="BQ154" i="17" s="1"/>
  <c r="BQ155" i="17" s="1"/>
  <c r="BQ156" i="17" s="1"/>
  <c r="BQ157" i="17" s="1"/>
  <c r="BQ158" i="17" s="1"/>
  <c r="BQ159" i="17" s="1"/>
  <c r="BQ160" i="17" s="1"/>
  <c r="BQ161" i="17" s="1"/>
  <c r="BQ162" i="17" s="1"/>
  <c r="BQ163" i="17" s="1"/>
  <c r="BQ164" i="17" s="1"/>
  <c r="BQ165" i="17" s="1"/>
  <c r="BQ166" i="17" s="1"/>
  <c r="BR142" i="17"/>
  <c r="BS142" i="17"/>
  <c r="BS139" i="28"/>
  <c r="BQ140" i="28"/>
  <c r="BQ141" i="28" s="1"/>
  <c r="BQ142" i="28" s="1"/>
  <c r="AS133" i="17"/>
  <c r="AQ134" i="17"/>
  <c r="AQ135" i="17" s="1"/>
  <c r="AQ136" i="17" s="1"/>
  <c r="CH139" i="17"/>
  <c r="CF140" i="17"/>
  <c r="CF141" i="17" s="1"/>
  <c r="CF142" i="17" s="1"/>
  <c r="R140" i="2"/>
  <c r="R141" i="2" s="1"/>
  <c r="R142" i="2" s="1"/>
  <c r="T139" i="2"/>
  <c r="G139" i="21"/>
  <c r="E140" i="21"/>
  <c r="E141" i="21" s="1"/>
  <c r="E142" i="21" s="1"/>
  <c r="T139" i="27"/>
  <c r="R140" i="27"/>
  <c r="R141" i="27" s="1"/>
  <c r="R142" i="27" s="1"/>
  <c r="E140" i="1"/>
  <c r="E141" i="1" s="1"/>
  <c r="E142" i="1" s="1"/>
  <c r="G139" i="1"/>
  <c r="N139" i="25"/>
  <c r="L140" i="25"/>
  <c r="L141" i="25" s="1"/>
  <c r="L142" i="25" s="1"/>
  <c r="W140" i="17"/>
  <c r="W141" i="17" s="1"/>
  <c r="W142" i="17" s="1"/>
  <c r="Y139" i="17"/>
  <c r="L143" i="35"/>
  <c r="L144" i="35" s="1"/>
  <c r="L145" i="35" s="1"/>
  <c r="N142" i="35"/>
  <c r="E140" i="25"/>
  <c r="E141" i="25" s="1"/>
  <c r="E142" i="25" s="1"/>
  <c r="G139" i="25"/>
  <c r="N142" i="2"/>
  <c r="L143" i="2"/>
  <c r="L144" i="2" s="1"/>
  <c r="L145" i="2" s="1"/>
  <c r="BF136" i="28"/>
  <c r="BD137" i="28"/>
  <c r="BD138" i="28" s="1"/>
  <c r="BD139" i="28" s="1"/>
  <c r="E140" i="2"/>
  <c r="E141" i="2" s="1"/>
  <c r="E142" i="2" s="1"/>
  <c r="G139" i="2"/>
  <c r="R140" i="6"/>
  <c r="R141" i="6" s="1"/>
  <c r="R142" i="6" s="1"/>
  <c r="T139" i="6"/>
  <c r="CA142" i="28"/>
  <c r="BZ142" i="28"/>
  <c r="BY143" i="28"/>
  <c r="BY144" i="28" s="1"/>
  <c r="BY145" i="28" s="1"/>
  <c r="BY146" i="28" s="1"/>
  <c r="BY147" i="28" s="1"/>
  <c r="BY148" i="28" s="1"/>
  <c r="BY149" i="28" s="1"/>
  <c r="BY150" i="28" s="1"/>
  <c r="BY151" i="28" s="1"/>
  <c r="BY152" i="28" s="1"/>
  <c r="BY153" i="28" s="1"/>
  <c r="BY154" i="28" s="1"/>
  <c r="L143" i="36"/>
  <c r="L144" i="36" s="1"/>
  <c r="L145" i="36" s="1"/>
  <c r="N142" i="36"/>
  <c r="E140" i="12"/>
  <c r="E141" i="12" s="1"/>
  <c r="E142" i="12" s="1"/>
  <c r="G139" i="12"/>
  <c r="AD134" i="17"/>
  <c r="AD135" i="17" s="1"/>
  <c r="AD136" i="17" s="1"/>
  <c r="AF133" i="17"/>
  <c r="BS166" i="17" l="1"/>
  <c r="BR166" i="17"/>
  <c r="BS163" i="17"/>
  <c r="BS160" i="17"/>
  <c r="E69" i="31"/>
  <c r="BS157" i="17"/>
  <c r="BZ154" i="28"/>
  <c r="CA154" i="28"/>
  <c r="CA154" i="17"/>
  <c r="BZ154" i="17"/>
  <c r="BS154" i="17"/>
  <c r="BR154" i="17"/>
  <c r="CA151" i="28"/>
  <c r="CA151" i="17"/>
  <c r="BS151" i="17"/>
  <c r="BS148" i="17"/>
  <c r="CA148" i="28"/>
  <c r="CA148" i="17"/>
  <c r="G142" i="2"/>
  <c r="E143" i="2"/>
  <c r="E144" i="2" s="1"/>
  <c r="E145" i="2" s="1"/>
  <c r="W144" i="28"/>
  <c r="W145" i="28" s="1"/>
  <c r="W146" i="28" s="1"/>
  <c r="W147" i="28" s="1"/>
  <c r="W148" i="28" s="1"/>
  <c r="W149" i="28" s="1"/>
  <c r="W150" i="28" s="1"/>
  <c r="W151" i="28" s="1"/>
  <c r="W152" i="28" s="1"/>
  <c r="W153" i="28" s="1"/>
  <c r="W154" i="28" s="1"/>
  <c r="W155" i="28" s="1"/>
  <c r="W156" i="28" s="1"/>
  <c r="W157" i="28" s="1"/>
  <c r="W158" i="28" s="1"/>
  <c r="W159" i="28" s="1"/>
  <c r="W160" i="28" s="1"/>
  <c r="W161" i="28" s="1"/>
  <c r="W162" i="28" s="1"/>
  <c r="W163" i="28" s="1"/>
  <c r="W164" i="28" s="1"/>
  <c r="W165" i="28" s="1"/>
  <c r="W166" i="28" s="1"/>
  <c r="Y142" i="28"/>
  <c r="X142" i="28"/>
  <c r="G142" i="21"/>
  <c r="E143" i="21"/>
  <c r="E144" i="21" s="1"/>
  <c r="E145" i="21" s="1"/>
  <c r="F148" i="26"/>
  <c r="H12" i="33" s="1"/>
  <c r="G148" i="26"/>
  <c r="E149" i="26"/>
  <c r="E150" i="26" s="1"/>
  <c r="E151" i="26" s="1"/>
  <c r="T143" i="21"/>
  <c r="T144" i="21" s="1"/>
  <c r="T145" i="21" s="1"/>
  <c r="V142" i="21"/>
  <c r="S139" i="28"/>
  <c r="Q140" i="28"/>
  <c r="Q141" i="28" s="1"/>
  <c r="Q142" i="28" s="1"/>
  <c r="CF143" i="28"/>
  <c r="CF144" i="28" s="1"/>
  <c r="CF145" i="28" s="1"/>
  <c r="CF146" i="28" s="1"/>
  <c r="CF147" i="28" s="1"/>
  <c r="CF148" i="28" s="1"/>
  <c r="CF149" i="28" s="1"/>
  <c r="CF150" i="28" s="1"/>
  <c r="CF151" i="28" s="1"/>
  <c r="CF152" i="28" s="1"/>
  <c r="CG142" i="28"/>
  <c r="CH142" i="28"/>
  <c r="N142" i="1"/>
  <c r="L143" i="1"/>
  <c r="L144" i="1" s="1"/>
  <c r="L145" i="1" s="1"/>
  <c r="M143" i="21"/>
  <c r="M144" i="21" s="1"/>
  <c r="M145" i="21" s="1"/>
  <c r="O142" i="21"/>
  <c r="L146" i="36"/>
  <c r="L147" i="36" s="1"/>
  <c r="L148" i="36" s="1"/>
  <c r="N145" i="36"/>
  <c r="BD140" i="28"/>
  <c r="BD141" i="28" s="1"/>
  <c r="BD142" i="28" s="1"/>
  <c r="BF139" i="28"/>
  <c r="BQ143" i="28"/>
  <c r="BQ144" i="28" s="1"/>
  <c r="BQ145" i="28" s="1"/>
  <c r="BQ146" i="28" s="1"/>
  <c r="BQ147" i="28" s="1"/>
  <c r="BQ148" i="28" s="1"/>
  <c r="BQ149" i="28" s="1"/>
  <c r="BQ150" i="28" s="1"/>
  <c r="BQ151" i="28" s="1"/>
  <c r="BQ152" i="28" s="1"/>
  <c r="BS142" i="28"/>
  <c r="BR142" i="28"/>
  <c r="CA145" i="28"/>
  <c r="X142" i="17"/>
  <c r="W143" i="17"/>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Y142" i="17"/>
  <c r="J143" i="28"/>
  <c r="J144" i="28" s="1"/>
  <c r="J145" i="28" s="1"/>
  <c r="J146" i="28" s="1"/>
  <c r="J147" i="28" s="1"/>
  <c r="J148" i="28" s="1"/>
  <c r="K142" i="28"/>
  <c r="L142" i="28"/>
  <c r="AY142" i="28"/>
  <c r="AW143" i="28"/>
  <c r="AW144" i="28" s="1"/>
  <c r="AW145" i="28" s="1"/>
  <c r="AW146" i="28" s="1"/>
  <c r="AW147" i="28" s="1"/>
  <c r="AW148" i="28" s="1"/>
  <c r="AW149" i="28" s="1"/>
  <c r="AW150" i="28" s="1"/>
  <c r="AW151" i="28" s="1"/>
  <c r="AW152" i="28" s="1"/>
  <c r="AW153" i="28" s="1"/>
  <c r="AW154" i="28" s="1"/>
  <c r="AW155" i="28" s="1"/>
  <c r="AW156" i="28" s="1"/>
  <c r="AW157" i="28" s="1"/>
  <c r="AW158" i="28" s="1"/>
  <c r="AW159" i="28" s="1"/>
  <c r="AW160" i="28" s="1"/>
  <c r="AW161" i="28" s="1"/>
  <c r="AW162" i="28" s="1"/>
  <c r="AW163" i="28" s="1"/>
  <c r="AW164" i="28" s="1"/>
  <c r="AW165" i="28" s="1"/>
  <c r="AW166" i="28" s="1"/>
  <c r="AX142" i="28"/>
  <c r="L140" i="27"/>
  <c r="L141" i="27" s="1"/>
  <c r="L142" i="27" s="1"/>
  <c r="N139" i="27"/>
  <c r="R140" i="25"/>
  <c r="R141" i="25" s="1"/>
  <c r="R142" i="25" s="1"/>
  <c r="T139" i="25"/>
  <c r="A34" i="10"/>
  <c r="L146" i="2"/>
  <c r="L147" i="2" s="1"/>
  <c r="L148" i="2" s="1"/>
  <c r="N145" i="2"/>
  <c r="AL142" i="28"/>
  <c r="AJ143" i="28"/>
  <c r="AJ144" i="28" s="1"/>
  <c r="AJ145" i="28" s="1"/>
  <c r="AJ146" i="28" s="1"/>
  <c r="AJ147" i="28" s="1"/>
  <c r="AJ148" i="28" s="1"/>
  <c r="AK142" i="28"/>
  <c r="T145" i="36"/>
  <c r="R146" i="36"/>
  <c r="R147" i="36" s="1"/>
  <c r="R148" i="36" s="1"/>
  <c r="E146" i="27"/>
  <c r="E147" i="27" s="1"/>
  <c r="E148" i="27" s="1"/>
  <c r="G145" i="27"/>
  <c r="G145" i="35"/>
  <c r="E146" i="35"/>
  <c r="E147" i="35" s="1"/>
  <c r="E148" i="35" s="1"/>
  <c r="L143" i="25"/>
  <c r="L144" i="25" s="1"/>
  <c r="L145" i="25" s="1"/>
  <c r="N142" i="25"/>
  <c r="R143" i="2"/>
  <c r="R144" i="2" s="1"/>
  <c r="R145" i="2" s="1"/>
  <c r="T142" i="2"/>
  <c r="CA145" i="17"/>
  <c r="AS136" i="28"/>
  <c r="AQ137" i="28"/>
  <c r="AQ138" i="28" s="1"/>
  <c r="AQ139" i="28" s="1"/>
  <c r="Q140" i="17"/>
  <c r="Q141" i="17" s="1"/>
  <c r="Q142" i="17" s="1"/>
  <c r="S139" i="17"/>
  <c r="EF39" i="32"/>
  <c r="DX39" i="32"/>
  <c r="DR40" i="32"/>
  <c r="EE39" i="32"/>
  <c r="DW39" i="32"/>
  <c r="ED39" i="32"/>
  <c r="DV39" i="32"/>
  <c r="EC39" i="32"/>
  <c r="DU39" i="32"/>
  <c r="EA39" i="32"/>
  <c r="DS39" i="32"/>
  <c r="EB39" i="32"/>
  <c r="DT39" i="32"/>
  <c r="EH39" i="32"/>
  <c r="DZ39" i="32"/>
  <c r="EG39" i="32"/>
  <c r="DY39" i="32"/>
  <c r="L143" i="26"/>
  <c r="L144" i="26" s="1"/>
  <c r="L145" i="26" s="1"/>
  <c r="N142" i="26"/>
  <c r="CH142" i="17"/>
  <c r="CG142" i="17"/>
  <c r="CF143" i="17"/>
  <c r="CF144" i="17" s="1"/>
  <c r="CF145" i="17" s="1"/>
  <c r="CF146" i="17" s="1"/>
  <c r="CF147" i="17" s="1"/>
  <c r="CF148" i="17" s="1"/>
  <c r="CF149" i="17" s="1"/>
  <c r="CF150" i="17" s="1"/>
  <c r="CF151" i="17" s="1"/>
  <c r="CF152" i="17" s="1"/>
  <c r="CF153" i="17" s="1"/>
  <c r="CF154" i="17" s="1"/>
  <c r="BS145" i="17"/>
  <c r="BF139" i="17"/>
  <c r="BD140" i="17"/>
  <c r="BD141" i="17" s="1"/>
  <c r="BD142" i="17" s="1"/>
  <c r="EJ40" i="32"/>
  <c r="EW39" i="32"/>
  <c r="EO39" i="32"/>
  <c r="EV39" i="32"/>
  <c r="EN39" i="32"/>
  <c r="EU39" i="32"/>
  <c r="EM39" i="32"/>
  <c r="ET39" i="32"/>
  <c r="EL39" i="32"/>
  <c r="EZ39" i="32"/>
  <c r="ER39" i="32"/>
  <c r="ES39" i="32"/>
  <c r="EK39" i="32"/>
  <c r="EY39" i="32"/>
  <c r="EQ39" i="32"/>
  <c r="EX39" i="32"/>
  <c r="EP39" i="32"/>
  <c r="L143" i="12"/>
  <c r="L144" i="12" s="1"/>
  <c r="L145" i="12" s="1"/>
  <c r="N142" i="12"/>
  <c r="R143" i="1"/>
  <c r="R144" i="1" s="1"/>
  <c r="R145" i="1" s="1"/>
  <c r="T142" i="1"/>
  <c r="G142" i="25"/>
  <c r="E143" i="25"/>
  <c r="E144" i="25" s="1"/>
  <c r="E145" i="25" s="1"/>
  <c r="E143" i="1"/>
  <c r="E144" i="1" s="1"/>
  <c r="E145" i="1" s="1"/>
  <c r="G142" i="1"/>
  <c r="J143" i="17"/>
  <c r="J144" i="17" s="1"/>
  <c r="J145" i="17" s="1"/>
  <c r="J146" i="17" s="1"/>
  <c r="J147" i="17" s="1"/>
  <c r="J148" i="17" s="1"/>
  <c r="J149" i="17" s="1"/>
  <c r="J150" i="17" s="1"/>
  <c r="J151" i="17" s="1"/>
  <c r="J152" i="17" s="1"/>
  <c r="J153" i="17" s="1"/>
  <c r="J154" i="17" s="1"/>
  <c r="J155" i="17" s="1"/>
  <c r="J156" i="17" s="1"/>
  <c r="J157" i="17" s="1"/>
  <c r="J158" i="17" s="1"/>
  <c r="J159" i="17" s="1"/>
  <c r="J160" i="17" s="1"/>
  <c r="J161" i="17" s="1"/>
  <c r="J162" i="17" s="1"/>
  <c r="J163" i="17" s="1"/>
  <c r="J164" i="17" s="1"/>
  <c r="J165" i="17" s="1"/>
  <c r="J166" i="17" s="1"/>
  <c r="L142" i="17"/>
  <c r="K142" i="17"/>
  <c r="T103" i="12"/>
  <c r="R104" i="12"/>
  <c r="R105" i="12" s="1"/>
  <c r="R106" i="12" s="1"/>
  <c r="N142" i="6"/>
  <c r="L143" i="6"/>
  <c r="L144" i="6" s="1"/>
  <c r="L145" i="6" s="1"/>
  <c r="R143" i="26"/>
  <c r="R144" i="26" s="1"/>
  <c r="R145" i="26" s="1"/>
  <c r="T142" i="26"/>
  <c r="L146" i="35"/>
  <c r="L147" i="35" s="1"/>
  <c r="L148" i="35" s="1"/>
  <c r="N145" i="35"/>
  <c r="BL142" i="28"/>
  <c r="BK142" i="28"/>
  <c r="BJ143" i="28"/>
  <c r="BJ144" i="28" s="1"/>
  <c r="BJ145" i="28" s="1"/>
  <c r="BJ146" i="28" s="1"/>
  <c r="BJ147" i="28" s="1"/>
  <c r="BJ148" i="28" s="1"/>
  <c r="BJ149" i="28" s="1"/>
  <c r="BJ150" i="28" s="1"/>
  <c r="BJ151" i="28" s="1"/>
  <c r="BJ152" i="28" s="1"/>
  <c r="BJ153" i="28" s="1"/>
  <c r="BJ154" i="28" s="1"/>
  <c r="BJ155" i="28" s="1"/>
  <c r="BJ156" i="28" s="1"/>
  <c r="BJ157" i="28" s="1"/>
  <c r="BJ158" i="28" s="1"/>
  <c r="BJ159" i="28" s="1"/>
  <c r="BJ160" i="28" s="1"/>
  <c r="BJ161" i="28" s="1"/>
  <c r="BJ162" i="28" s="1"/>
  <c r="BJ163" i="28" s="1"/>
  <c r="BJ164" i="28" s="1"/>
  <c r="BJ165" i="28" s="1"/>
  <c r="BJ166" i="28" s="1"/>
  <c r="AD137" i="17"/>
  <c r="AD138" i="17" s="1"/>
  <c r="AD139" i="17" s="1"/>
  <c r="AF136" i="17"/>
  <c r="T142" i="6"/>
  <c r="R143" i="6"/>
  <c r="R144" i="6" s="1"/>
  <c r="R145" i="6" s="1"/>
  <c r="E143" i="12"/>
  <c r="E144" i="12" s="1"/>
  <c r="E145" i="12" s="1"/>
  <c r="G142" i="12"/>
  <c r="T142" i="27"/>
  <c r="R143" i="27"/>
  <c r="R144" i="27" s="1"/>
  <c r="R145" i="27" s="1"/>
  <c r="AQ137" i="17"/>
  <c r="AQ138" i="17" s="1"/>
  <c r="AQ139" i="17" s="1"/>
  <c r="AS136" i="17"/>
  <c r="AD137" i="28"/>
  <c r="AD138" i="28" s="1"/>
  <c r="AD139" i="28" s="1"/>
  <c r="AF136" i="28"/>
  <c r="G142" i="6"/>
  <c r="E143" i="6"/>
  <c r="E144" i="6" s="1"/>
  <c r="E145" i="6" s="1"/>
  <c r="Y143" i="1"/>
  <c r="Y144" i="1" s="1"/>
  <c r="Y145" i="1" s="1"/>
  <c r="AA142" i="1"/>
  <c r="E143" i="36"/>
  <c r="E144" i="36" s="1"/>
  <c r="E145" i="36" s="1"/>
  <c r="G142" i="36"/>
  <c r="AJ143" i="17"/>
  <c r="AJ144" i="17" s="1"/>
  <c r="AJ145" i="17" s="1"/>
  <c r="AJ146" i="17" s="1"/>
  <c r="AJ147" i="17" s="1"/>
  <c r="AJ148" i="17" s="1"/>
  <c r="AJ149" i="17" s="1"/>
  <c r="AJ150" i="17" s="1"/>
  <c r="AJ151" i="17" s="1"/>
  <c r="AJ152" i="17" s="1"/>
  <c r="AJ153" i="17" s="1"/>
  <c r="AJ154" i="17" s="1"/>
  <c r="AJ155" i="17" s="1"/>
  <c r="AJ156" i="17" s="1"/>
  <c r="AJ157" i="17" s="1"/>
  <c r="AJ158" i="17" s="1"/>
  <c r="AJ159" i="17" s="1"/>
  <c r="AJ160" i="17" s="1"/>
  <c r="AJ161" i="17" s="1"/>
  <c r="AJ162" i="17" s="1"/>
  <c r="AJ163" i="17" s="1"/>
  <c r="AJ164" i="17" s="1"/>
  <c r="AJ165" i="17" s="1"/>
  <c r="AJ166" i="17" s="1"/>
  <c r="AL142" i="17"/>
  <c r="AK142" i="17"/>
  <c r="R146" i="35"/>
  <c r="R147" i="35" s="1"/>
  <c r="R148" i="35" s="1"/>
  <c r="T145" i="35"/>
  <c r="BL166" i="28" l="1"/>
  <c r="BK166" i="28"/>
  <c r="AY166" i="28"/>
  <c r="AX166" i="28"/>
  <c r="AL166" i="17"/>
  <c r="AK166" i="17"/>
  <c r="Y166" i="28"/>
  <c r="X166" i="28"/>
  <c r="Y166" i="17"/>
  <c r="X166" i="17"/>
  <c r="L166" i="17"/>
  <c r="K166" i="17"/>
  <c r="BL163" i="28"/>
  <c r="AY163" i="28"/>
  <c r="AL163" i="17"/>
  <c r="Y163" i="28"/>
  <c r="Y163" i="17"/>
  <c r="L163" i="17"/>
  <c r="BL160" i="28"/>
  <c r="AY160" i="28"/>
  <c r="AL160" i="17"/>
  <c r="Y160" i="28"/>
  <c r="Y160" i="17"/>
  <c r="L160" i="17"/>
  <c r="AY157" i="28"/>
  <c r="Y157" i="28"/>
  <c r="BL157" i="28"/>
  <c r="Y157" i="17"/>
  <c r="E71" i="31"/>
  <c r="AL157" i="17"/>
  <c r="L157" i="17"/>
  <c r="BL154" i="28"/>
  <c r="BK154" i="28"/>
  <c r="AY154" i="28"/>
  <c r="AX154" i="28"/>
  <c r="AK154" i="17"/>
  <c r="AL154" i="17"/>
  <c r="Y154" i="28"/>
  <c r="X154" i="28"/>
  <c r="Y154" i="17"/>
  <c r="X154" i="17"/>
  <c r="K154" i="17"/>
  <c r="L154" i="17"/>
  <c r="CH154" i="17"/>
  <c r="CG154" i="17"/>
  <c r="CF153" i="28"/>
  <c r="BQ153" i="28"/>
  <c r="BL151" i="28"/>
  <c r="AY151" i="28"/>
  <c r="AJ149" i="28"/>
  <c r="AJ150" i="28" s="1"/>
  <c r="AJ151" i="28" s="1"/>
  <c r="AJ152" i="28" s="1"/>
  <c r="AL148" i="28"/>
  <c r="AL151" i="17"/>
  <c r="Y151" i="28"/>
  <c r="Y151" i="17"/>
  <c r="J149" i="28"/>
  <c r="J150" i="28" s="1"/>
  <c r="J151" i="28" s="1"/>
  <c r="J152" i="28" s="1"/>
  <c r="J153" i="28" s="1"/>
  <c r="J154" i="28" s="1"/>
  <c r="J155" i="28" s="1"/>
  <c r="J156" i="28" s="1"/>
  <c r="J157" i="28" s="1"/>
  <c r="J158" i="28" s="1"/>
  <c r="J159" i="28" s="1"/>
  <c r="J160" i="28" s="1"/>
  <c r="J161" i="28" s="1"/>
  <c r="J162" i="28" s="1"/>
  <c r="J163" i="28" s="1"/>
  <c r="J164" i="28" s="1"/>
  <c r="J165" i="28" s="1"/>
  <c r="J166" i="28" s="1"/>
  <c r="L148" i="28"/>
  <c r="L151" i="17"/>
  <c r="BS151" i="28"/>
  <c r="CH151" i="28"/>
  <c r="CH151" i="17"/>
  <c r="BS148" i="28"/>
  <c r="CH148" i="17"/>
  <c r="CH148" i="28"/>
  <c r="BL148" i="28"/>
  <c r="AY148" i="28"/>
  <c r="AL148" i="17"/>
  <c r="Y148" i="28"/>
  <c r="Y148" i="17"/>
  <c r="L148" i="17"/>
  <c r="Y146" i="1"/>
  <c r="Y147" i="1" s="1"/>
  <c r="Y148" i="1" s="1"/>
  <c r="AA145" i="1"/>
  <c r="E146" i="6"/>
  <c r="E147" i="6" s="1"/>
  <c r="E148" i="6" s="1"/>
  <c r="G145" i="6"/>
  <c r="N145" i="25"/>
  <c r="L146" i="25"/>
  <c r="L147" i="25" s="1"/>
  <c r="L148" i="25" s="1"/>
  <c r="BF142" i="28"/>
  <c r="BD143" i="28"/>
  <c r="BD144" i="28" s="1"/>
  <c r="BD145" i="28" s="1"/>
  <c r="BD146" i="28" s="1"/>
  <c r="BD147" i="28" s="1"/>
  <c r="BD148" i="28" s="1"/>
  <c r="BD149" i="28" s="1"/>
  <c r="BD150" i="28" s="1"/>
  <c r="BD151" i="28" s="1"/>
  <c r="BD152" i="28" s="1"/>
  <c r="BE142" i="28"/>
  <c r="R146" i="1"/>
  <c r="R147" i="1" s="1"/>
  <c r="R148" i="1" s="1"/>
  <c r="T145" i="1"/>
  <c r="CH145" i="17"/>
  <c r="AS139" i="28"/>
  <c r="AQ140" i="28"/>
  <c r="AQ141" i="28" s="1"/>
  <c r="AQ142" i="28" s="1"/>
  <c r="G148" i="35"/>
  <c r="E149" i="35"/>
  <c r="E150" i="35" s="1"/>
  <c r="E151" i="35" s="1"/>
  <c r="CH145" i="28"/>
  <c r="G145" i="21"/>
  <c r="F145" i="21"/>
  <c r="E146" i="21"/>
  <c r="E147" i="21" s="1"/>
  <c r="E148" i="21" s="1"/>
  <c r="T106" i="12"/>
  <c r="R107" i="12"/>
  <c r="R108" i="12" s="1"/>
  <c r="R109" i="12" s="1"/>
  <c r="L143" i="27"/>
  <c r="L144" i="27" s="1"/>
  <c r="L145" i="27" s="1"/>
  <c r="N142" i="27"/>
  <c r="L149" i="35"/>
  <c r="L150" i="35" s="1"/>
  <c r="L151" i="35" s="1"/>
  <c r="N148" i="35"/>
  <c r="AY145" i="28"/>
  <c r="L149" i="36"/>
  <c r="L150" i="36" s="1"/>
  <c r="L151" i="36" s="1"/>
  <c r="N148" i="36"/>
  <c r="S142" i="28"/>
  <c r="R142" i="28"/>
  <c r="Q143" i="28"/>
  <c r="Q144" i="28" s="1"/>
  <c r="Q145" i="28" s="1"/>
  <c r="Q146" i="28" s="1"/>
  <c r="Q147" i="28" s="1"/>
  <c r="Q148" i="28" s="1"/>
  <c r="Q149" i="28" s="1"/>
  <c r="Q150" i="28" s="1"/>
  <c r="Q151" i="28" s="1"/>
  <c r="Q152" i="28" s="1"/>
  <c r="Q153" i="28" s="1"/>
  <c r="Q154" i="28" s="1"/>
  <c r="Q155" i="28" s="1"/>
  <c r="Q156" i="28" s="1"/>
  <c r="Q157" i="28" s="1"/>
  <c r="Q158" i="28" s="1"/>
  <c r="Q159" i="28" s="1"/>
  <c r="Q160" i="28" s="1"/>
  <c r="Q161" i="28" s="1"/>
  <c r="Q162" i="28" s="1"/>
  <c r="Q163" i="28" s="1"/>
  <c r="Q164" i="28" s="1"/>
  <c r="Q165" i="28" s="1"/>
  <c r="Q166" i="28" s="1"/>
  <c r="R149" i="35"/>
  <c r="R150" i="35" s="1"/>
  <c r="R151" i="35" s="1"/>
  <c r="T148" i="35"/>
  <c r="S142" i="17"/>
  <c r="R142" i="17"/>
  <c r="Q143" i="17"/>
  <c r="Q144" i="17" s="1"/>
  <c r="Q145" i="17" s="1"/>
  <c r="Q146" i="17" s="1"/>
  <c r="Q147" i="17" s="1"/>
  <c r="Q148" i="17" s="1"/>
  <c r="Q149" i="17" s="1"/>
  <c r="Q150" i="17" s="1"/>
  <c r="Q151" i="17" s="1"/>
  <c r="Q152" i="17" s="1"/>
  <c r="Q153" i="17" s="1"/>
  <c r="Q154" i="17" s="1"/>
  <c r="Q155" i="17" s="1"/>
  <c r="Q156" i="17" s="1"/>
  <c r="Q157" i="17" s="1"/>
  <c r="Q158" i="17" s="1"/>
  <c r="Q159" i="17" s="1"/>
  <c r="Q160" i="17" s="1"/>
  <c r="Q161" i="17" s="1"/>
  <c r="Q162" i="17" s="1"/>
  <c r="Q163" i="17" s="1"/>
  <c r="Q164" i="17" s="1"/>
  <c r="Q165" i="17" s="1"/>
  <c r="Q166" i="17" s="1"/>
  <c r="AL145" i="28"/>
  <c r="Y145" i="17"/>
  <c r="E146" i="12"/>
  <c r="E147" i="12" s="1"/>
  <c r="E148" i="12" s="1"/>
  <c r="G145" i="12"/>
  <c r="AD140" i="28"/>
  <c r="AD141" i="28" s="1"/>
  <c r="AD142" i="28" s="1"/>
  <c r="AF139" i="28"/>
  <c r="L146" i="12"/>
  <c r="L147" i="12" s="1"/>
  <c r="L148" i="12" s="1"/>
  <c r="N145" i="12"/>
  <c r="L149" i="2"/>
  <c r="L150" i="2" s="1"/>
  <c r="L151" i="2" s="1"/>
  <c r="N148" i="2"/>
  <c r="M148" i="2"/>
  <c r="N12" i="33" s="1"/>
  <c r="T145" i="6"/>
  <c r="R146" i="6"/>
  <c r="R147" i="6" s="1"/>
  <c r="R148" i="6" s="1"/>
  <c r="AL145" i="17"/>
  <c r="E62" i="31" s="1"/>
  <c r="L145" i="17"/>
  <c r="R146" i="26"/>
  <c r="R147" i="26" s="1"/>
  <c r="R148" i="26" s="1"/>
  <c r="T145" i="26"/>
  <c r="EZ40" i="32"/>
  <c r="ER40" i="32"/>
  <c r="EY40" i="32"/>
  <c r="EQ40" i="32"/>
  <c r="ET40" i="32"/>
  <c r="EL40" i="32"/>
  <c r="EJ41" i="32"/>
  <c r="EX40" i="32"/>
  <c r="EP40" i="32"/>
  <c r="EW40" i="32"/>
  <c r="EO40" i="32"/>
  <c r="EU40" i="32"/>
  <c r="EV40" i="32"/>
  <c r="EN40" i="32"/>
  <c r="EM40" i="32"/>
  <c r="ES40" i="32"/>
  <c r="EK40" i="32"/>
  <c r="EA40" i="32"/>
  <c r="DS40" i="32"/>
  <c r="EH40" i="32"/>
  <c r="DZ40" i="32"/>
  <c r="EC40" i="32"/>
  <c r="EG40" i="32"/>
  <c r="DY40" i="32"/>
  <c r="DR41" i="32"/>
  <c r="EF40" i="32"/>
  <c r="DX40" i="32"/>
  <c r="ED40" i="32"/>
  <c r="EE40" i="32"/>
  <c r="DW40" i="32"/>
  <c r="DV40" i="32"/>
  <c r="DU40" i="32"/>
  <c r="EB40" i="32"/>
  <c r="DT40" i="32"/>
  <c r="E149" i="27"/>
  <c r="E150" i="27" s="1"/>
  <c r="E151" i="27" s="1"/>
  <c r="F148" i="27"/>
  <c r="L12" i="33" s="1"/>
  <c r="G148" i="27"/>
  <c r="M146" i="21"/>
  <c r="M147" i="21" s="1"/>
  <c r="M148" i="21" s="1"/>
  <c r="O145" i="21"/>
  <c r="N145" i="21"/>
  <c r="E146" i="36"/>
  <c r="E147" i="36" s="1"/>
  <c r="E148" i="36" s="1"/>
  <c r="G145" i="36"/>
  <c r="AQ140" i="17"/>
  <c r="AQ141" i="17" s="1"/>
  <c r="AQ142" i="17" s="1"/>
  <c r="AS139" i="17"/>
  <c r="AF139" i="17"/>
  <c r="AD140" i="17"/>
  <c r="AD141" i="17" s="1"/>
  <c r="AD142" i="17" s="1"/>
  <c r="L146" i="6"/>
  <c r="L147" i="6" s="1"/>
  <c r="L148" i="6" s="1"/>
  <c r="N145" i="6"/>
  <c r="E146" i="1"/>
  <c r="E147" i="1" s="1"/>
  <c r="E148" i="1" s="1"/>
  <c r="G145" i="1"/>
  <c r="BE142" i="17"/>
  <c r="BD143" i="17"/>
  <c r="BD144" i="17" s="1"/>
  <c r="BD145" i="17" s="1"/>
  <c r="BD146" i="17" s="1"/>
  <c r="BD147" i="17" s="1"/>
  <c r="BD148" i="17" s="1"/>
  <c r="BD149" i="17" s="1"/>
  <c r="BD150" i="17" s="1"/>
  <c r="BD151" i="17" s="1"/>
  <c r="BD152" i="17" s="1"/>
  <c r="BD153" i="17" s="1"/>
  <c r="BD154" i="17" s="1"/>
  <c r="BD155" i="17" s="1"/>
  <c r="BD156" i="17" s="1"/>
  <c r="BD157" i="17" s="1"/>
  <c r="BD158" i="17" s="1"/>
  <c r="BD159" i="17" s="1"/>
  <c r="BD160" i="17" s="1"/>
  <c r="BD161" i="17" s="1"/>
  <c r="BD162" i="17" s="1"/>
  <c r="BD163" i="17" s="1"/>
  <c r="BD164" i="17" s="1"/>
  <c r="BD165" i="17" s="1"/>
  <c r="BD166" i="17" s="1"/>
  <c r="BF142" i="17"/>
  <c r="L146" i="26"/>
  <c r="L147" i="26" s="1"/>
  <c r="L148" i="26" s="1"/>
  <c r="N145" i="26"/>
  <c r="T148" i="36"/>
  <c r="R149" i="36"/>
  <c r="R150" i="36" s="1"/>
  <c r="R151" i="36" s="1"/>
  <c r="A33" i="10"/>
  <c r="N145" i="1"/>
  <c r="L146" i="1"/>
  <c r="L147" i="1" s="1"/>
  <c r="L148" i="1" s="1"/>
  <c r="U145" i="21"/>
  <c r="V145" i="21"/>
  <c r="Y145" i="28"/>
  <c r="R146" i="27"/>
  <c r="R147" i="27" s="1"/>
  <c r="R148" i="27" s="1"/>
  <c r="T145" i="27"/>
  <c r="BL145" i="28"/>
  <c r="E70" i="31" s="1"/>
  <c r="E146" i="25"/>
  <c r="E147" i="25" s="1"/>
  <c r="E148" i="25" s="1"/>
  <c r="G145" i="25"/>
  <c r="R146" i="2"/>
  <c r="R147" i="2" s="1"/>
  <c r="R148" i="2" s="1"/>
  <c r="T145" i="2"/>
  <c r="T142" i="25"/>
  <c r="R143" i="25"/>
  <c r="R144" i="25" s="1"/>
  <c r="R145" i="25" s="1"/>
  <c r="L145" i="28"/>
  <c r="BS145" i="28"/>
  <c r="G151" i="26"/>
  <c r="E152" i="26"/>
  <c r="E153" i="26" s="1"/>
  <c r="E154" i="26" s="1"/>
  <c r="G145" i="2"/>
  <c r="E146" i="2"/>
  <c r="E147" i="2" s="1"/>
  <c r="E148" i="2" s="1"/>
  <c r="L166" i="28" l="1"/>
  <c r="K166" i="28"/>
  <c r="S166" i="28"/>
  <c r="R166" i="28"/>
  <c r="BE166" i="17"/>
  <c r="BF166" i="17"/>
  <c r="R166" i="17"/>
  <c r="S166" i="17"/>
  <c r="L163" i="28"/>
  <c r="S163" i="28"/>
  <c r="S163" i="17"/>
  <c r="BF163" i="17"/>
  <c r="L160" i="28"/>
  <c r="S160" i="28"/>
  <c r="S160" i="17"/>
  <c r="BF160" i="17"/>
  <c r="E55" i="31"/>
  <c r="L157" i="28"/>
  <c r="S157" i="28"/>
  <c r="S157" i="17"/>
  <c r="BF157" i="17"/>
  <c r="AJ153" i="28"/>
  <c r="L154" i="28"/>
  <c r="K154" i="28"/>
  <c r="S154" i="28"/>
  <c r="R154" i="28"/>
  <c r="S154" i="17"/>
  <c r="R154" i="17"/>
  <c r="BF154" i="17"/>
  <c r="BE154" i="17"/>
  <c r="BQ154" i="28"/>
  <c r="BQ155" i="28" s="1"/>
  <c r="BQ156" i="28" s="1"/>
  <c r="BQ157" i="28" s="1"/>
  <c r="BQ158" i="28" s="1"/>
  <c r="BQ159" i="28" s="1"/>
  <c r="BQ160" i="28" s="1"/>
  <c r="BQ161" i="28" s="1"/>
  <c r="BQ162" i="28" s="1"/>
  <c r="BQ163" i="28" s="1"/>
  <c r="BQ164" i="28" s="1"/>
  <c r="BQ165" i="28" s="1"/>
  <c r="BQ166" i="28" s="1"/>
  <c r="CF154" i="28"/>
  <c r="BD153" i="28"/>
  <c r="AL151" i="28"/>
  <c r="E56" i="31"/>
  <c r="L151" i="28"/>
  <c r="S151" i="28"/>
  <c r="BF151" i="28"/>
  <c r="S151" i="17"/>
  <c r="BF151" i="17"/>
  <c r="S148" i="17"/>
  <c r="BF148" i="28"/>
  <c r="BF148" i="17"/>
  <c r="S148" i="28"/>
  <c r="S145" i="17"/>
  <c r="T109" i="12"/>
  <c r="R110" i="12"/>
  <c r="R111" i="12" s="1"/>
  <c r="R112" i="12" s="1"/>
  <c r="BF145" i="28"/>
  <c r="G148" i="2"/>
  <c r="F148" i="2"/>
  <c r="K12" i="33" s="1"/>
  <c r="E149" i="2"/>
  <c r="E150" i="2" s="1"/>
  <c r="E151" i="2" s="1"/>
  <c r="R146" i="25"/>
  <c r="R147" i="25" s="1"/>
  <c r="R148" i="25" s="1"/>
  <c r="T145" i="25"/>
  <c r="T148" i="6"/>
  <c r="S148" i="6"/>
  <c r="I12" i="33" s="1"/>
  <c r="R149" i="6"/>
  <c r="R150" i="6" s="1"/>
  <c r="R151" i="6" s="1"/>
  <c r="AE142" i="28"/>
  <c r="AD143" i="28"/>
  <c r="AD144" i="28" s="1"/>
  <c r="AD145" i="28" s="1"/>
  <c r="AD146" i="28" s="1"/>
  <c r="AD147" i="28" s="1"/>
  <c r="AD148" i="28" s="1"/>
  <c r="AD149" i="28" s="1"/>
  <c r="AD150" i="28" s="1"/>
  <c r="AD151" i="28" s="1"/>
  <c r="AD152" i="28" s="1"/>
  <c r="AF142" i="28"/>
  <c r="L152" i="36"/>
  <c r="L153" i="36" s="1"/>
  <c r="L154" i="36" s="1"/>
  <c r="N151" i="36"/>
  <c r="M151" i="36"/>
  <c r="AQ143" i="28"/>
  <c r="AQ144" i="28" s="1"/>
  <c r="AQ145" i="28" s="1"/>
  <c r="AQ146" i="28" s="1"/>
  <c r="AQ147" i="28" s="1"/>
  <c r="AQ148" i="28" s="1"/>
  <c r="AQ149" i="28" s="1"/>
  <c r="AQ150" i="28" s="1"/>
  <c r="AQ151" i="28" s="1"/>
  <c r="AQ152" i="28" s="1"/>
  <c r="AS142" i="28"/>
  <c r="AR142" i="28"/>
  <c r="T151" i="36"/>
  <c r="R152" i="36"/>
  <c r="R153" i="36" s="1"/>
  <c r="R154" i="36" s="1"/>
  <c r="S151" i="36"/>
  <c r="N148" i="25"/>
  <c r="M148" i="25"/>
  <c r="L149" i="25"/>
  <c r="L150" i="25" s="1"/>
  <c r="L151" i="25" s="1"/>
  <c r="AS142" i="17"/>
  <c r="AR142" i="17"/>
  <c r="AQ143" i="17"/>
  <c r="AQ144" i="17" s="1"/>
  <c r="AQ145" i="17" s="1"/>
  <c r="AQ146" i="17" s="1"/>
  <c r="AQ147" i="17" s="1"/>
  <c r="AQ148" i="17" s="1"/>
  <c r="AQ149" i="17" s="1"/>
  <c r="AQ150" i="17" s="1"/>
  <c r="AQ151" i="17" s="1"/>
  <c r="AQ152" i="17" s="1"/>
  <c r="AQ153" i="17" s="1"/>
  <c r="AQ154" i="17" s="1"/>
  <c r="AQ155" i="17" s="1"/>
  <c r="AQ156" i="17" s="1"/>
  <c r="AQ157" i="17" s="1"/>
  <c r="AQ158" i="17" s="1"/>
  <c r="AQ159" i="17" s="1"/>
  <c r="AQ160" i="17" s="1"/>
  <c r="AQ161" i="17" s="1"/>
  <c r="AQ162" i="17" s="1"/>
  <c r="AQ163" i="17" s="1"/>
  <c r="AQ164" i="17" s="1"/>
  <c r="AQ165" i="17" s="1"/>
  <c r="AQ166" i="17" s="1"/>
  <c r="E149" i="36"/>
  <c r="E150" i="36" s="1"/>
  <c r="E151" i="36" s="1"/>
  <c r="G148" i="36"/>
  <c r="G154" i="26"/>
  <c r="E155" i="26"/>
  <c r="E156" i="26" s="1"/>
  <c r="E157" i="26" s="1"/>
  <c r="E149" i="12"/>
  <c r="E150" i="12" s="1"/>
  <c r="E151" i="12" s="1"/>
  <c r="G148" i="12"/>
  <c r="F148" i="12"/>
  <c r="E152" i="27"/>
  <c r="E153" i="27" s="1"/>
  <c r="E154" i="27" s="1"/>
  <c r="G151" i="27"/>
  <c r="DR42" i="32"/>
  <c r="EC41" i="32"/>
  <c r="DU41" i="32"/>
  <c r="EB41" i="32"/>
  <c r="DT41" i="32"/>
  <c r="DW41" i="32"/>
  <c r="EA41" i="32"/>
  <c r="DS41" i="32"/>
  <c r="EH41" i="32"/>
  <c r="DZ41" i="32"/>
  <c r="EF41" i="32"/>
  <c r="EG41" i="32"/>
  <c r="DY41" i="32"/>
  <c r="DX41" i="32"/>
  <c r="EE41" i="32"/>
  <c r="ED41" i="32"/>
  <c r="DV41" i="32"/>
  <c r="A32" i="10"/>
  <c r="T148" i="2"/>
  <c r="S148" i="2"/>
  <c r="M12" i="33" s="1"/>
  <c r="R149" i="2"/>
  <c r="R150" i="2" s="1"/>
  <c r="R151" i="2" s="1"/>
  <c r="L149" i="6"/>
  <c r="L150" i="6" s="1"/>
  <c r="L151" i="6" s="1"/>
  <c r="N148" i="6"/>
  <c r="M148" i="6"/>
  <c r="J12" i="33" s="1"/>
  <c r="ET41" i="32"/>
  <c r="EL41" i="32"/>
  <c r="ES41" i="32"/>
  <c r="EK41" i="32"/>
  <c r="EN41" i="32"/>
  <c r="EZ41" i="32"/>
  <c r="ER41" i="32"/>
  <c r="EJ42" i="32"/>
  <c r="EY41" i="32"/>
  <c r="EQ41" i="32"/>
  <c r="EW41" i="32"/>
  <c r="EX41" i="32"/>
  <c r="EP41" i="32"/>
  <c r="EO41" i="32"/>
  <c r="EV41" i="32"/>
  <c r="EU41" i="32"/>
  <c r="EM41" i="32"/>
  <c r="S148" i="26"/>
  <c r="T148" i="26"/>
  <c r="R149" i="26"/>
  <c r="R150" i="26" s="1"/>
  <c r="R151" i="26" s="1"/>
  <c r="R152" i="35"/>
  <c r="R153" i="35" s="1"/>
  <c r="R154" i="35" s="1"/>
  <c r="T151" i="35"/>
  <c r="S151" i="35"/>
  <c r="R149" i="27"/>
  <c r="R150" i="27" s="1"/>
  <c r="R151" i="27" s="1"/>
  <c r="T148" i="27"/>
  <c r="S148" i="27"/>
  <c r="E149" i="1"/>
  <c r="E150" i="1" s="1"/>
  <c r="E151" i="1" s="1"/>
  <c r="F148" i="1"/>
  <c r="G148" i="1"/>
  <c r="E149" i="21"/>
  <c r="E150" i="21" s="1"/>
  <c r="E151" i="21" s="1"/>
  <c r="G148" i="21"/>
  <c r="F148" i="21"/>
  <c r="L149" i="26"/>
  <c r="L150" i="26" s="1"/>
  <c r="L151" i="26" s="1"/>
  <c r="N148" i="26"/>
  <c r="M148" i="26"/>
  <c r="AD143" i="17"/>
  <c r="AD144" i="17" s="1"/>
  <c r="AD145" i="17" s="1"/>
  <c r="AD146" i="17" s="1"/>
  <c r="AD147" i="17" s="1"/>
  <c r="AD148" i="17" s="1"/>
  <c r="AD149" i="17" s="1"/>
  <c r="AD150" i="17" s="1"/>
  <c r="AD151" i="17" s="1"/>
  <c r="AD152" i="17" s="1"/>
  <c r="AD153" i="17" s="1"/>
  <c r="AD154" i="17" s="1"/>
  <c r="AD155" i="17" s="1"/>
  <c r="AD156" i="17" s="1"/>
  <c r="AD157" i="17" s="1"/>
  <c r="AD158" i="17" s="1"/>
  <c r="AD159" i="17" s="1"/>
  <c r="AD160" i="17" s="1"/>
  <c r="AD161" i="17" s="1"/>
  <c r="AD162" i="17" s="1"/>
  <c r="AD163" i="17" s="1"/>
  <c r="AD164" i="17" s="1"/>
  <c r="AD165" i="17" s="1"/>
  <c r="AD166" i="17" s="1"/>
  <c r="AF142" i="17"/>
  <c r="AE142" i="17"/>
  <c r="O148" i="21"/>
  <c r="N148" i="21"/>
  <c r="M149" i="21"/>
  <c r="M150" i="21" s="1"/>
  <c r="M151" i="21" s="1"/>
  <c r="M152" i="21" s="1"/>
  <c r="M153" i="21" s="1"/>
  <c r="M154" i="21" s="1"/>
  <c r="M155" i="21" s="1"/>
  <c r="M156" i="21" s="1"/>
  <c r="M157" i="21" s="1"/>
  <c r="L152" i="2"/>
  <c r="L153" i="2" s="1"/>
  <c r="L154" i="2" s="1"/>
  <c r="N151" i="2"/>
  <c r="S145" i="28"/>
  <c r="L152" i="35"/>
  <c r="L153" i="35" s="1"/>
  <c r="L154" i="35" s="1"/>
  <c r="N151" i="35"/>
  <c r="M151" i="35"/>
  <c r="G148" i="6"/>
  <c r="F148" i="6"/>
  <c r="G12" i="33" s="1"/>
  <c r="E149" i="6"/>
  <c r="E150" i="6" s="1"/>
  <c r="E151" i="6" s="1"/>
  <c r="G148" i="25"/>
  <c r="E149" i="25"/>
  <c r="E150" i="25" s="1"/>
  <c r="E151" i="25" s="1"/>
  <c r="F148" i="25"/>
  <c r="S148" i="1"/>
  <c r="R149" i="1"/>
  <c r="R150" i="1" s="1"/>
  <c r="R151" i="1" s="1"/>
  <c r="T148" i="1"/>
  <c r="N148" i="1"/>
  <c r="M148" i="1"/>
  <c r="L149" i="1"/>
  <c r="L150" i="1" s="1"/>
  <c r="L151" i="1" s="1"/>
  <c r="BF145" i="17"/>
  <c r="M148" i="12"/>
  <c r="L149" i="12"/>
  <c r="L150" i="12" s="1"/>
  <c r="L151" i="12" s="1"/>
  <c r="N148" i="12"/>
  <c r="N145" i="27"/>
  <c r="L146" i="27"/>
  <c r="L147" i="27" s="1"/>
  <c r="L148" i="27" s="1"/>
  <c r="F151" i="35"/>
  <c r="E152" i="35"/>
  <c r="E153" i="35" s="1"/>
  <c r="E154" i="35" s="1"/>
  <c r="G151" i="35"/>
  <c r="AA148" i="1"/>
  <c r="Y149" i="1"/>
  <c r="Y150" i="1" s="1"/>
  <c r="Y151" i="1" s="1"/>
  <c r="BS166" i="28" l="1"/>
  <c r="BR166" i="28"/>
  <c r="AS166" i="17"/>
  <c r="AR166" i="17"/>
  <c r="AE166" i="17"/>
  <c r="AF166" i="17"/>
  <c r="BS163" i="28"/>
  <c r="AF163" i="17"/>
  <c r="AS163" i="17"/>
  <c r="BS160" i="28"/>
  <c r="AF160" i="17"/>
  <c r="AS160" i="17"/>
  <c r="E57" i="31"/>
  <c r="BS157" i="28"/>
  <c r="AF157" i="17"/>
  <c r="AS157" i="17"/>
  <c r="E58" i="31"/>
  <c r="AJ154" i="28"/>
  <c r="AJ155" i="28" s="1"/>
  <c r="AJ156" i="28" s="1"/>
  <c r="AJ157" i="28" s="1"/>
  <c r="AJ158" i="28" s="1"/>
  <c r="AJ159" i="28" s="1"/>
  <c r="AJ160" i="28" s="1"/>
  <c r="AJ161" i="28" s="1"/>
  <c r="AJ162" i="28" s="1"/>
  <c r="AJ163" i="28" s="1"/>
  <c r="AJ164" i="28" s="1"/>
  <c r="AJ165" i="28" s="1"/>
  <c r="AJ166" i="28" s="1"/>
  <c r="AF154" i="17"/>
  <c r="AE154" i="17"/>
  <c r="AS154" i="17"/>
  <c r="AR154" i="17"/>
  <c r="AD153" i="28"/>
  <c r="AQ153" i="28"/>
  <c r="CH154" i="28"/>
  <c r="CG154" i="28"/>
  <c r="BS154" i="28"/>
  <c r="E72" i="31" s="1"/>
  <c r="BR154" i="28"/>
  <c r="BD154" i="28"/>
  <c r="BD155" i="28" s="1"/>
  <c r="BD156" i="28" s="1"/>
  <c r="BD157" i="28" s="1"/>
  <c r="BD158" i="28" s="1"/>
  <c r="BD159" i="28" s="1"/>
  <c r="BD160" i="28" s="1"/>
  <c r="BD161" i="28" s="1"/>
  <c r="BD162" i="28" s="1"/>
  <c r="BD163" i="28" s="1"/>
  <c r="BD164" i="28" s="1"/>
  <c r="BD165" i="28" s="1"/>
  <c r="BD166" i="28" s="1"/>
  <c r="AF151" i="28"/>
  <c r="AS151" i="28"/>
  <c r="AS151" i="17"/>
  <c r="AF151" i="17"/>
  <c r="AS148" i="17"/>
  <c r="AS148" i="28"/>
  <c r="AF148" i="28"/>
  <c r="AF148" i="17"/>
  <c r="AS145" i="17"/>
  <c r="AF145" i="28"/>
  <c r="L155" i="35"/>
  <c r="L156" i="35" s="1"/>
  <c r="L157" i="35" s="1"/>
  <c r="N154" i="35"/>
  <c r="G151" i="21"/>
  <c r="E152" i="21"/>
  <c r="E153" i="21" s="1"/>
  <c r="E154" i="21" s="1"/>
  <c r="L152" i="6"/>
  <c r="L153" i="6" s="1"/>
  <c r="L154" i="6" s="1"/>
  <c r="N151" i="6"/>
  <c r="G154" i="27"/>
  <c r="E155" i="27"/>
  <c r="E156" i="27" s="1"/>
  <c r="E157" i="27" s="1"/>
  <c r="R152" i="6"/>
  <c r="R153" i="6" s="1"/>
  <c r="R154" i="6" s="1"/>
  <c r="T151" i="6"/>
  <c r="E152" i="12"/>
  <c r="E153" i="12" s="1"/>
  <c r="E154" i="12" s="1"/>
  <c r="G151" i="12"/>
  <c r="L152" i="25"/>
  <c r="L153" i="25" s="1"/>
  <c r="L154" i="25" s="1"/>
  <c r="N151" i="25"/>
  <c r="AS145" i="28"/>
  <c r="E155" i="35"/>
  <c r="E156" i="35" s="1"/>
  <c r="E157" i="35" s="1"/>
  <c r="G154" i="35"/>
  <c r="R152" i="2"/>
  <c r="R153" i="2" s="1"/>
  <c r="R154" i="2" s="1"/>
  <c r="T151" i="2"/>
  <c r="AF145" i="17"/>
  <c r="M148" i="27"/>
  <c r="N148" i="27"/>
  <c r="L149" i="27"/>
  <c r="L150" i="27" s="1"/>
  <c r="L151" i="27" s="1"/>
  <c r="E152" i="6"/>
  <c r="E153" i="6" s="1"/>
  <c r="E154" i="6" s="1"/>
  <c r="G151" i="6"/>
  <c r="E152" i="1"/>
  <c r="E153" i="1" s="1"/>
  <c r="E154" i="1" s="1"/>
  <c r="G151" i="1"/>
  <c r="G157" i="26"/>
  <c r="E158" i="26"/>
  <c r="E159" i="26" s="1"/>
  <c r="E160" i="26" s="1"/>
  <c r="T112" i="12"/>
  <c r="R113" i="12"/>
  <c r="R114" i="12" s="1"/>
  <c r="R115" i="12" s="1"/>
  <c r="S112" i="12"/>
  <c r="G151" i="25"/>
  <c r="E152" i="25"/>
  <c r="E153" i="25" s="1"/>
  <c r="E154" i="25" s="1"/>
  <c r="T154" i="35"/>
  <c r="R155" i="35"/>
  <c r="R156" i="35" s="1"/>
  <c r="R157" i="35" s="1"/>
  <c r="L152" i="1"/>
  <c r="L153" i="1" s="1"/>
  <c r="L154" i="1" s="1"/>
  <c r="N151" i="1"/>
  <c r="T151" i="26"/>
  <c r="R152" i="26"/>
  <c r="R153" i="26" s="1"/>
  <c r="R154" i="26" s="1"/>
  <c r="L155" i="2"/>
  <c r="L156" i="2" s="1"/>
  <c r="L157" i="2" s="1"/>
  <c r="N154" i="2"/>
  <c r="EE42" i="32"/>
  <c r="DW42" i="32"/>
  <c r="EB42" i="32"/>
  <c r="DT42" i="32"/>
  <c r="DR43" i="32"/>
  <c r="EC42" i="32"/>
  <c r="EA42" i="32"/>
  <c r="DU42" i="32"/>
  <c r="DZ42" i="32"/>
  <c r="DY42" i="32"/>
  <c r="EH42" i="32"/>
  <c r="DX42" i="32"/>
  <c r="EG42" i="32"/>
  <c r="DV42" i="32"/>
  <c r="EF42" i="32"/>
  <c r="ED42" i="32"/>
  <c r="DS42" i="32"/>
  <c r="L155" i="36"/>
  <c r="L156" i="36" s="1"/>
  <c r="L157" i="36" s="1"/>
  <c r="N154" i="36"/>
  <c r="R149" i="25"/>
  <c r="R150" i="25" s="1"/>
  <c r="R151" i="25" s="1"/>
  <c r="T148" i="25"/>
  <c r="S148" i="25"/>
  <c r="O157" i="21"/>
  <c r="N157" i="21"/>
  <c r="M158" i="21"/>
  <c r="M159" i="21" s="1"/>
  <c r="M160" i="21" s="1"/>
  <c r="M161" i="21" s="1"/>
  <c r="M162" i="21" s="1"/>
  <c r="L152" i="26"/>
  <c r="L153" i="26" s="1"/>
  <c r="L154" i="26" s="1"/>
  <c r="N151" i="26"/>
  <c r="Y152" i="1"/>
  <c r="Y153" i="1" s="1"/>
  <c r="Y154" i="1" s="1"/>
  <c r="AA151" i="1"/>
  <c r="L152" i="12"/>
  <c r="L153" i="12" s="1"/>
  <c r="L154" i="12" s="1"/>
  <c r="N151" i="12"/>
  <c r="T151" i="1"/>
  <c r="R152" i="1"/>
  <c r="R153" i="1" s="1"/>
  <c r="R154" i="1" s="1"/>
  <c r="R152" i="27"/>
  <c r="R153" i="27" s="1"/>
  <c r="R154" i="27" s="1"/>
  <c r="T151" i="27"/>
  <c r="EV42" i="32"/>
  <c r="EN42" i="32"/>
  <c r="ES42" i="32"/>
  <c r="EK42" i="32"/>
  <c r="EY42" i="32"/>
  <c r="EO42" i="32"/>
  <c r="EX42" i="32"/>
  <c r="EM42" i="32"/>
  <c r="EW42" i="32"/>
  <c r="EL42" i="32"/>
  <c r="EJ43" i="32"/>
  <c r="EU42" i="32"/>
  <c r="ET42" i="32"/>
  <c r="ER42" i="32"/>
  <c r="EQ42" i="32"/>
  <c r="EZ42" i="32"/>
  <c r="EP42" i="32"/>
  <c r="A31" i="10"/>
  <c r="G151" i="36"/>
  <c r="F151" i="36"/>
  <c r="E152" i="36"/>
  <c r="E153" i="36" s="1"/>
  <c r="E154" i="36" s="1"/>
  <c r="T154" i="36"/>
  <c r="R155" i="36"/>
  <c r="R156" i="36" s="1"/>
  <c r="R157" i="36" s="1"/>
  <c r="E152" i="2"/>
  <c r="E153" i="2" s="1"/>
  <c r="E154" i="2" s="1"/>
  <c r="G151" i="2"/>
  <c r="AL166" i="28" l="1"/>
  <c r="AK166" i="28"/>
  <c r="BF166" i="28"/>
  <c r="BE166" i="28"/>
  <c r="AL163" i="28"/>
  <c r="BF163" i="28"/>
  <c r="AL160" i="28"/>
  <c r="BF160" i="28"/>
  <c r="AL157" i="28"/>
  <c r="BF157" i="28"/>
  <c r="E64" i="31"/>
  <c r="AK154" i="28"/>
  <c r="AL154" i="28"/>
  <c r="E63" i="31" s="1"/>
  <c r="AQ154" i="28"/>
  <c r="AQ155" i="28" s="1"/>
  <c r="AQ156" i="28" s="1"/>
  <c r="AQ157" i="28" s="1"/>
  <c r="AQ158" i="28" s="1"/>
  <c r="AQ159" i="28" s="1"/>
  <c r="AQ160" i="28" s="1"/>
  <c r="AQ161" i="28" s="1"/>
  <c r="AQ162" i="28" s="1"/>
  <c r="AQ163" i="28" s="1"/>
  <c r="AQ164" i="28" s="1"/>
  <c r="AQ165" i="28" s="1"/>
  <c r="AQ166" i="28" s="1"/>
  <c r="BF154" i="28"/>
  <c r="BE154" i="28"/>
  <c r="AD154" i="28"/>
  <c r="AD155" i="28" s="1"/>
  <c r="AD156" i="28" s="1"/>
  <c r="AD157" i="28" s="1"/>
  <c r="AD158" i="28" s="1"/>
  <c r="AD159" i="28" s="1"/>
  <c r="AD160" i="28" s="1"/>
  <c r="AD161" i="28" s="1"/>
  <c r="AD162" i="28" s="1"/>
  <c r="AD163" i="28" s="1"/>
  <c r="AD164" i="28" s="1"/>
  <c r="AD165" i="28" s="1"/>
  <c r="AD166" i="28" s="1"/>
  <c r="G154" i="1"/>
  <c r="E155" i="1"/>
  <c r="E156" i="1" s="1"/>
  <c r="E157" i="1" s="1"/>
  <c r="A30" i="10"/>
  <c r="EJ44" i="32"/>
  <c r="EX43" i="32"/>
  <c r="EP43" i="32"/>
  <c r="EU43" i="32"/>
  <c r="EM43" i="32"/>
  <c r="EY43" i="32"/>
  <c r="EN43" i="32"/>
  <c r="EW43" i="32"/>
  <c r="EL43" i="32"/>
  <c r="EV43" i="32"/>
  <c r="EK43" i="32"/>
  <c r="ET43" i="32"/>
  <c r="ES43" i="32"/>
  <c r="ER43" i="32"/>
  <c r="EQ43" i="32"/>
  <c r="EZ43" i="32"/>
  <c r="EO43" i="32"/>
  <c r="L155" i="12"/>
  <c r="L156" i="12" s="1"/>
  <c r="L157" i="12" s="1"/>
  <c r="N154" i="12"/>
  <c r="R155" i="26"/>
  <c r="R156" i="26" s="1"/>
  <c r="R157" i="26" s="1"/>
  <c r="T154" i="26"/>
  <c r="E155" i="6"/>
  <c r="E156" i="6" s="1"/>
  <c r="E157" i="6" s="1"/>
  <c r="G154" i="6"/>
  <c r="N157" i="2"/>
  <c r="L158" i="2"/>
  <c r="L159" i="2" s="1"/>
  <c r="L160" i="2" s="1"/>
  <c r="R155" i="2"/>
  <c r="R156" i="2" s="1"/>
  <c r="R157" i="2" s="1"/>
  <c r="T154" i="2"/>
  <c r="EG43" i="32"/>
  <c r="DY43" i="32"/>
  <c r="ED43" i="32"/>
  <c r="DV43" i="32"/>
  <c r="EB43" i="32"/>
  <c r="EA43" i="32"/>
  <c r="EE43" i="32"/>
  <c r="DZ43" i="32"/>
  <c r="DX43" i="32"/>
  <c r="EH43" i="32"/>
  <c r="DW43" i="32"/>
  <c r="EF43" i="32"/>
  <c r="DU43" i="32"/>
  <c r="DT43" i="32"/>
  <c r="DR44" i="32"/>
  <c r="EC43" i="32"/>
  <c r="DS43" i="32"/>
  <c r="T115" i="12"/>
  <c r="R116" i="12"/>
  <c r="R117" i="12" s="1"/>
  <c r="R118" i="12" s="1"/>
  <c r="N151" i="27"/>
  <c r="L152" i="27"/>
  <c r="L153" i="27" s="1"/>
  <c r="L154" i="27" s="1"/>
  <c r="G157" i="35"/>
  <c r="E158" i="35"/>
  <c r="E159" i="35" s="1"/>
  <c r="E160" i="35" s="1"/>
  <c r="T154" i="6"/>
  <c r="R155" i="6"/>
  <c r="R156" i="6" s="1"/>
  <c r="R157" i="6" s="1"/>
  <c r="L158" i="35"/>
  <c r="L159" i="35" s="1"/>
  <c r="L160" i="35" s="1"/>
  <c r="N157" i="35"/>
  <c r="E155" i="25"/>
  <c r="E156" i="25" s="1"/>
  <c r="E157" i="25" s="1"/>
  <c r="G154" i="25"/>
  <c r="E155" i="12"/>
  <c r="E156" i="12" s="1"/>
  <c r="E157" i="12" s="1"/>
  <c r="G154" i="12"/>
  <c r="Y155" i="1"/>
  <c r="Y156" i="1" s="1"/>
  <c r="Y157" i="1" s="1"/>
  <c r="AA154" i="1"/>
  <c r="T151" i="25"/>
  <c r="R152" i="25"/>
  <c r="R153" i="25" s="1"/>
  <c r="R154" i="25" s="1"/>
  <c r="E158" i="27"/>
  <c r="E159" i="27" s="1"/>
  <c r="E160" i="27" s="1"/>
  <c r="G157" i="27"/>
  <c r="E155" i="21"/>
  <c r="E156" i="21" s="1"/>
  <c r="E157" i="21" s="1"/>
  <c r="G154" i="21"/>
  <c r="G154" i="2"/>
  <c r="E155" i="2"/>
  <c r="E156" i="2" s="1"/>
  <c r="E157" i="2" s="1"/>
  <c r="L155" i="1"/>
  <c r="L156" i="1" s="1"/>
  <c r="L157" i="1" s="1"/>
  <c r="N154" i="1"/>
  <c r="G160" i="26"/>
  <c r="E161" i="26"/>
  <c r="E162" i="26" s="1"/>
  <c r="E163" i="26" s="1"/>
  <c r="F160" i="26"/>
  <c r="H11" i="33" s="1"/>
  <c r="T157" i="36"/>
  <c r="R158" i="36"/>
  <c r="R159" i="36" s="1"/>
  <c r="R160" i="36" s="1"/>
  <c r="T154" i="27"/>
  <c r="R155" i="27"/>
  <c r="R156" i="27" s="1"/>
  <c r="R157" i="27" s="1"/>
  <c r="N154" i="26"/>
  <c r="L155" i="26"/>
  <c r="L156" i="26" s="1"/>
  <c r="L157" i="26" s="1"/>
  <c r="L158" i="36"/>
  <c r="L159" i="36" s="1"/>
  <c r="L160" i="36" s="1"/>
  <c r="N157" i="36"/>
  <c r="R158" i="35"/>
  <c r="R159" i="35" s="1"/>
  <c r="R160" i="35" s="1"/>
  <c r="T157" i="35"/>
  <c r="G154" i="36"/>
  <c r="E155" i="36"/>
  <c r="E156" i="36" s="1"/>
  <c r="E157" i="36" s="1"/>
  <c r="T154" i="1"/>
  <c r="R155" i="1"/>
  <c r="R156" i="1" s="1"/>
  <c r="R157" i="1" s="1"/>
  <c r="N154" i="25"/>
  <c r="L155" i="25"/>
  <c r="L156" i="25" s="1"/>
  <c r="L157" i="25" s="1"/>
  <c r="L155" i="6"/>
  <c r="L156" i="6" s="1"/>
  <c r="L157" i="6" s="1"/>
  <c r="N154" i="6"/>
  <c r="AS166" i="28" l="1"/>
  <c r="AR166" i="28"/>
  <c r="AE166" i="28"/>
  <c r="AF166" i="28"/>
  <c r="AF163" i="28"/>
  <c r="AS163" i="28"/>
  <c r="AF160" i="28"/>
  <c r="AS160" i="28"/>
  <c r="AS157" i="28"/>
  <c r="AF157" i="28"/>
  <c r="AF154" i="28"/>
  <c r="AE154" i="28"/>
  <c r="AS154" i="28"/>
  <c r="AR154" i="28"/>
  <c r="L158" i="1"/>
  <c r="L159" i="1" s="1"/>
  <c r="L160" i="1" s="1"/>
  <c r="N157" i="1"/>
  <c r="E158" i="2"/>
  <c r="E159" i="2" s="1"/>
  <c r="E160" i="2" s="1"/>
  <c r="G157" i="2"/>
  <c r="T157" i="6"/>
  <c r="R158" i="6"/>
  <c r="R159" i="6" s="1"/>
  <c r="R160" i="6" s="1"/>
  <c r="R158" i="26"/>
  <c r="R159" i="26" s="1"/>
  <c r="R160" i="26" s="1"/>
  <c r="T157" i="26"/>
  <c r="G157" i="36"/>
  <c r="E158" i="36"/>
  <c r="E159" i="36" s="1"/>
  <c r="E160" i="36" s="1"/>
  <c r="Y158" i="1"/>
  <c r="Y159" i="1" s="1"/>
  <c r="Y160" i="1" s="1"/>
  <c r="AA157" i="1"/>
  <c r="T160" i="35"/>
  <c r="R161" i="35"/>
  <c r="R162" i="35" s="1"/>
  <c r="R163" i="35" s="1"/>
  <c r="E161" i="35"/>
  <c r="E162" i="35" s="1"/>
  <c r="E163" i="35" s="1"/>
  <c r="G160" i="35"/>
  <c r="EA44" i="32"/>
  <c r="DS44" i="32"/>
  <c r="DR45" i="32"/>
  <c r="EF44" i="32"/>
  <c r="DX44" i="32"/>
  <c r="EB44" i="32"/>
  <c r="DZ44" i="32"/>
  <c r="ED44" i="32"/>
  <c r="DY44" i="32"/>
  <c r="EH44" i="32"/>
  <c r="DW44" i="32"/>
  <c r="EE44" i="32"/>
  <c r="DU44" i="32"/>
  <c r="EG44" i="32"/>
  <c r="DV44" i="32"/>
  <c r="DT44" i="32"/>
  <c r="EC44" i="32"/>
  <c r="R158" i="2"/>
  <c r="R159" i="2" s="1"/>
  <c r="R160" i="2" s="1"/>
  <c r="T157" i="2"/>
  <c r="L158" i="12"/>
  <c r="L159" i="12" s="1"/>
  <c r="L160" i="12" s="1"/>
  <c r="N157" i="12"/>
  <c r="A29" i="10"/>
  <c r="L161" i="35"/>
  <c r="L162" i="35" s="1"/>
  <c r="L163" i="35" s="1"/>
  <c r="N160" i="35"/>
  <c r="G157" i="21"/>
  <c r="F157" i="21"/>
  <c r="E158" i="21"/>
  <c r="E159" i="21" s="1"/>
  <c r="E160" i="21" s="1"/>
  <c r="E161" i="21" s="1"/>
  <c r="E162" i="21" s="1"/>
  <c r="E158" i="12"/>
  <c r="E159" i="12" s="1"/>
  <c r="E160" i="12" s="1"/>
  <c r="G157" i="12"/>
  <c r="N160" i="2"/>
  <c r="M160" i="2"/>
  <c r="N11" i="33" s="1"/>
  <c r="L161" i="2"/>
  <c r="L162" i="2" s="1"/>
  <c r="L163" i="2" s="1"/>
  <c r="EZ44" i="32"/>
  <c r="ER44" i="32"/>
  <c r="EJ45" i="32"/>
  <c r="EW44" i="32"/>
  <c r="EO44" i="32"/>
  <c r="EX44" i="32"/>
  <c r="EM44" i="32"/>
  <c r="EV44" i="32"/>
  <c r="EL44" i="32"/>
  <c r="EU44" i="32"/>
  <c r="EK44" i="32"/>
  <c r="ET44" i="32"/>
  <c r="EQ44" i="32"/>
  <c r="ES44" i="32"/>
  <c r="EP44" i="32"/>
  <c r="EY44" i="32"/>
  <c r="EN44" i="32"/>
  <c r="R158" i="27"/>
  <c r="R159" i="27" s="1"/>
  <c r="R160" i="27" s="1"/>
  <c r="T157" i="27"/>
  <c r="T160" i="36"/>
  <c r="R161" i="36"/>
  <c r="R162" i="36" s="1"/>
  <c r="R163" i="36" s="1"/>
  <c r="L158" i="25"/>
  <c r="L159" i="25" s="1"/>
  <c r="L160" i="25" s="1"/>
  <c r="N157" i="25"/>
  <c r="L161" i="36"/>
  <c r="L162" i="36" s="1"/>
  <c r="L163" i="36" s="1"/>
  <c r="N160" i="36"/>
  <c r="E164" i="26"/>
  <c r="E165" i="26" s="1"/>
  <c r="E166" i="26" s="1"/>
  <c r="G163" i="26"/>
  <c r="L155" i="27"/>
  <c r="L156" i="27" s="1"/>
  <c r="L157" i="27" s="1"/>
  <c r="N154" i="27"/>
  <c r="L158" i="6"/>
  <c r="L159" i="6" s="1"/>
  <c r="L160" i="6" s="1"/>
  <c r="N157" i="6"/>
  <c r="G160" i="27"/>
  <c r="F160" i="27"/>
  <c r="L11" i="33" s="1"/>
  <c r="E161" i="27"/>
  <c r="E162" i="27" s="1"/>
  <c r="E163" i="27" s="1"/>
  <c r="G157" i="25"/>
  <c r="E158" i="25"/>
  <c r="E159" i="25" s="1"/>
  <c r="E160" i="25" s="1"/>
  <c r="G157" i="1"/>
  <c r="E158" i="1"/>
  <c r="E159" i="1" s="1"/>
  <c r="E160" i="1" s="1"/>
  <c r="R158" i="1"/>
  <c r="R159" i="1" s="1"/>
  <c r="R160" i="1" s="1"/>
  <c r="T157" i="1"/>
  <c r="L158" i="26"/>
  <c r="L159" i="26" s="1"/>
  <c r="L160" i="26" s="1"/>
  <c r="N157" i="26"/>
  <c r="R155" i="25"/>
  <c r="R156" i="25" s="1"/>
  <c r="R157" i="25" s="1"/>
  <c r="T154" i="25"/>
  <c r="T118" i="12"/>
  <c r="R119" i="12"/>
  <c r="R120" i="12" s="1"/>
  <c r="R121" i="12" s="1"/>
  <c r="G157" i="6"/>
  <c r="E158" i="6"/>
  <c r="E159" i="6" s="1"/>
  <c r="E160" i="6" s="1"/>
  <c r="E65" i="31" l="1"/>
  <c r="L164" i="2"/>
  <c r="L165" i="2" s="1"/>
  <c r="L166" i="2" s="1"/>
  <c r="N163" i="2"/>
  <c r="L164" i="35"/>
  <c r="L165" i="35" s="1"/>
  <c r="L166" i="35" s="1"/>
  <c r="N163" i="35"/>
  <c r="M163" i="35"/>
  <c r="M164" i="35"/>
  <c r="E164" i="35"/>
  <c r="E165" i="35" s="1"/>
  <c r="E166" i="35" s="1"/>
  <c r="F164" i="35"/>
  <c r="G163" i="35"/>
  <c r="F163" i="35"/>
  <c r="T160" i="26"/>
  <c r="R161" i="26"/>
  <c r="R162" i="26" s="1"/>
  <c r="R163" i="26" s="1"/>
  <c r="S160" i="26"/>
  <c r="G160" i="1"/>
  <c r="F161" i="1"/>
  <c r="F160" i="1"/>
  <c r="E161" i="1"/>
  <c r="E162" i="1" s="1"/>
  <c r="E163" i="1" s="1"/>
  <c r="N160" i="25"/>
  <c r="M161" i="25"/>
  <c r="M160" i="25"/>
  <c r="L161" i="25"/>
  <c r="L162" i="25" s="1"/>
  <c r="L163" i="25" s="1"/>
  <c r="R164" i="35"/>
  <c r="R165" i="35" s="1"/>
  <c r="R166" i="35" s="1"/>
  <c r="T163" i="35"/>
  <c r="S163" i="35"/>
  <c r="S160" i="6"/>
  <c r="I11" i="33" s="1"/>
  <c r="T160" i="6"/>
  <c r="R161" i="6"/>
  <c r="R162" i="6" s="1"/>
  <c r="R163" i="6" s="1"/>
  <c r="E161" i="6"/>
  <c r="E162" i="6" s="1"/>
  <c r="E163" i="6" s="1"/>
  <c r="F160" i="6"/>
  <c r="G11" i="33" s="1"/>
  <c r="G160" i="6"/>
  <c r="N160" i="6"/>
  <c r="L161" i="6"/>
  <c r="L162" i="6" s="1"/>
  <c r="L163" i="6" s="1"/>
  <c r="M160" i="6"/>
  <c r="J11" i="33" s="1"/>
  <c r="R164" i="36"/>
  <c r="R165" i="36" s="1"/>
  <c r="R166" i="36" s="1"/>
  <c r="S163" i="36"/>
  <c r="T163" i="36"/>
  <c r="M160" i="26"/>
  <c r="N160" i="26"/>
  <c r="L161" i="26"/>
  <c r="L162" i="26" s="1"/>
  <c r="L163" i="26" s="1"/>
  <c r="T121" i="12"/>
  <c r="R122" i="12"/>
  <c r="R123" i="12" s="1"/>
  <c r="R124" i="12" s="1"/>
  <c r="N157" i="27"/>
  <c r="L158" i="27"/>
  <c r="L159" i="27" s="1"/>
  <c r="L160" i="27" s="1"/>
  <c r="G160" i="12"/>
  <c r="F160" i="12"/>
  <c r="E161" i="12"/>
  <c r="E162" i="12" s="1"/>
  <c r="E163" i="12" s="1"/>
  <c r="L161" i="12"/>
  <c r="L162" i="12" s="1"/>
  <c r="L163" i="12" s="1"/>
  <c r="N160" i="12"/>
  <c r="M160" i="12"/>
  <c r="L164" i="36"/>
  <c r="L165" i="36" s="1"/>
  <c r="L166" i="36" s="1"/>
  <c r="N163" i="36"/>
  <c r="M163" i="36"/>
  <c r="T160" i="1"/>
  <c r="S160" i="1"/>
  <c r="R161" i="1"/>
  <c r="R162" i="1" s="1"/>
  <c r="R163" i="1" s="1"/>
  <c r="E161" i="25"/>
  <c r="E162" i="25" s="1"/>
  <c r="E163" i="25" s="1"/>
  <c r="F160" i="25"/>
  <c r="F161" i="25"/>
  <c r="G160" i="25"/>
  <c r="T157" i="25"/>
  <c r="R158" i="25"/>
  <c r="R159" i="25" s="1"/>
  <c r="R160" i="25" s="1"/>
  <c r="ET45" i="32"/>
  <c r="EL45" i="32"/>
  <c r="EZ45" i="32"/>
  <c r="ER45" i="32"/>
  <c r="EY45" i="32"/>
  <c r="EQ45" i="32"/>
  <c r="EU45" i="32"/>
  <c r="ES45" i="32"/>
  <c r="EW45" i="32"/>
  <c r="EK45" i="32"/>
  <c r="EP45" i="32"/>
  <c r="EO45" i="32"/>
  <c r="EM45" i="32"/>
  <c r="EJ46" i="32"/>
  <c r="EN45" i="32"/>
  <c r="EX45" i="32"/>
  <c r="EV45" i="32"/>
  <c r="EC45" i="32"/>
  <c r="DU45" i="32"/>
  <c r="EA45" i="32"/>
  <c r="DS45" i="32"/>
  <c r="EH45" i="32"/>
  <c r="DZ45" i="32"/>
  <c r="EF45" i="32"/>
  <c r="DT45" i="32"/>
  <c r="EE45" i="32"/>
  <c r="DW45" i="32"/>
  <c r="ED45" i="32"/>
  <c r="EB45" i="32"/>
  <c r="DY45" i="32"/>
  <c r="DX45" i="32"/>
  <c r="DR46" i="32"/>
  <c r="EG45" i="32"/>
  <c r="DV45" i="32"/>
  <c r="Z161" i="1"/>
  <c r="Y161" i="1"/>
  <c r="Y162" i="1" s="1"/>
  <c r="Y163" i="1" s="1"/>
  <c r="AA160" i="1"/>
  <c r="E161" i="2"/>
  <c r="E162" i="2" s="1"/>
  <c r="E163" i="2" s="1"/>
  <c r="F160" i="2"/>
  <c r="K11" i="33" s="1"/>
  <c r="G160" i="2"/>
  <c r="G163" i="27"/>
  <c r="E164" i="27"/>
  <c r="E165" i="27" s="1"/>
  <c r="E166" i="27" s="1"/>
  <c r="G166" i="26"/>
  <c r="E167" i="26"/>
  <c r="E168" i="26" s="1"/>
  <c r="E169" i="26" s="1"/>
  <c r="S160" i="27"/>
  <c r="T160" i="27"/>
  <c r="R161" i="27"/>
  <c r="R162" i="27" s="1"/>
  <c r="R163" i="27" s="1"/>
  <c r="S160" i="2"/>
  <c r="M11" i="33" s="1"/>
  <c r="T160" i="2"/>
  <c r="R161" i="2"/>
  <c r="R162" i="2" s="1"/>
  <c r="R163" i="2" s="1"/>
  <c r="G160" i="36"/>
  <c r="E161" i="36"/>
  <c r="E162" i="36" s="1"/>
  <c r="E163" i="36" s="1"/>
  <c r="A28" i="10"/>
  <c r="M160" i="1"/>
  <c r="L161" i="1"/>
  <c r="L162" i="1" s="1"/>
  <c r="L163" i="1" s="1"/>
  <c r="N160" i="1"/>
  <c r="M161" i="1"/>
  <c r="E170" i="26" l="1"/>
  <c r="E171" i="26" s="1"/>
  <c r="E172" i="26" s="1"/>
  <c r="G169" i="26"/>
  <c r="G163" i="25"/>
  <c r="E164" i="25"/>
  <c r="E165" i="25" s="1"/>
  <c r="E166" i="25" s="1"/>
  <c r="L164" i="6"/>
  <c r="L165" i="6" s="1"/>
  <c r="L166" i="6" s="1"/>
  <c r="N163" i="6"/>
  <c r="T163" i="2"/>
  <c r="R164" i="2"/>
  <c r="R165" i="2" s="1"/>
  <c r="R166" i="2" s="1"/>
  <c r="G166" i="27"/>
  <c r="E167" i="27"/>
  <c r="E168" i="27" s="1"/>
  <c r="E169" i="27" s="1"/>
  <c r="R164" i="1"/>
  <c r="R165" i="1" s="1"/>
  <c r="R166" i="1" s="1"/>
  <c r="T163" i="1"/>
  <c r="L164" i="12"/>
  <c r="L165" i="12" s="1"/>
  <c r="L166" i="12" s="1"/>
  <c r="N163" i="12"/>
  <c r="N163" i="26"/>
  <c r="L164" i="26"/>
  <c r="L165" i="26" s="1"/>
  <c r="L166" i="26" s="1"/>
  <c r="E167" i="35"/>
  <c r="E168" i="35" s="1"/>
  <c r="E169" i="35" s="1"/>
  <c r="G166" i="35"/>
  <c r="G163" i="12"/>
  <c r="E164" i="12"/>
  <c r="E165" i="12" s="1"/>
  <c r="E166" i="12" s="1"/>
  <c r="T166" i="35"/>
  <c r="R167" i="35"/>
  <c r="R168" i="35" s="1"/>
  <c r="R169" i="35" s="1"/>
  <c r="T160" i="25"/>
  <c r="S160" i="25"/>
  <c r="R161" i="25"/>
  <c r="R162" i="25" s="1"/>
  <c r="R163" i="25" s="1"/>
  <c r="N163" i="25"/>
  <c r="L164" i="25"/>
  <c r="L165" i="25" s="1"/>
  <c r="L166" i="25" s="1"/>
  <c r="A27" i="10"/>
  <c r="E164" i="6"/>
  <c r="E165" i="6" s="1"/>
  <c r="E166" i="6" s="1"/>
  <c r="G163" i="6"/>
  <c r="T163" i="26"/>
  <c r="R164" i="26"/>
  <c r="R165" i="26" s="1"/>
  <c r="R166" i="26" s="1"/>
  <c r="N163" i="1"/>
  <c r="L164" i="1"/>
  <c r="L165" i="1" s="1"/>
  <c r="L166" i="1" s="1"/>
  <c r="E164" i="2"/>
  <c r="E165" i="2" s="1"/>
  <c r="E166" i="2" s="1"/>
  <c r="G163" i="2"/>
  <c r="EV46" i="32"/>
  <c r="EN46" i="32"/>
  <c r="ET46" i="32"/>
  <c r="EL46" i="32"/>
  <c r="ES46" i="32"/>
  <c r="EK46" i="32"/>
  <c r="EQ46" i="32"/>
  <c r="EP46" i="32"/>
  <c r="EU46" i="32"/>
  <c r="EZ46" i="32"/>
  <c r="EO46" i="32"/>
  <c r="EJ47" i="32"/>
  <c r="EY46" i="32"/>
  <c r="EM46" i="32"/>
  <c r="EX46" i="32"/>
  <c r="EW46" i="32"/>
  <c r="ER46" i="32"/>
  <c r="L161" i="27"/>
  <c r="L162" i="27" s="1"/>
  <c r="L163" i="27" s="1"/>
  <c r="N160" i="27"/>
  <c r="M160" i="27"/>
  <c r="R164" i="6"/>
  <c r="R165" i="6" s="1"/>
  <c r="R166" i="6" s="1"/>
  <c r="T163" i="6"/>
  <c r="N166" i="35"/>
  <c r="L167" i="35"/>
  <c r="L168" i="35" s="1"/>
  <c r="L169" i="35" s="1"/>
  <c r="EE46" i="32"/>
  <c r="DW46" i="32"/>
  <c r="EC46" i="32"/>
  <c r="DU46" i="32"/>
  <c r="EB46" i="32"/>
  <c r="DT46" i="32"/>
  <c r="ED46" i="32"/>
  <c r="EA46" i="32"/>
  <c r="DR47" i="32"/>
  <c r="EG46" i="32"/>
  <c r="DZ46" i="32"/>
  <c r="DY46" i="32"/>
  <c r="DV46" i="32"/>
  <c r="DX46" i="32"/>
  <c r="EH46" i="32"/>
  <c r="DS46" i="32"/>
  <c r="EF46" i="32"/>
  <c r="T163" i="27"/>
  <c r="R164" i="27"/>
  <c r="R165" i="27" s="1"/>
  <c r="R166" i="27" s="1"/>
  <c r="L167" i="36"/>
  <c r="L168" i="36" s="1"/>
  <c r="L169" i="36" s="1"/>
  <c r="N166" i="36"/>
  <c r="R167" i="36"/>
  <c r="R168" i="36" s="1"/>
  <c r="R169" i="36" s="1"/>
  <c r="T166" i="36"/>
  <c r="E164" i="36"/>
  <c r="E165" i="36" s="1"/>
  <c r="E166" i="36" s="1"/>
  <c r="F163" i="36"/>
  <c r="G163" i="36"/>
  <c r="Y164" i="1"/>
  <c r="Y165" i="1" s="1"/>
  <c r="Y166" i="1" s="1"/>
  <c r="AA163" i="1"/>
  <c r="T124" i="12"/>
  <c r="R125" i="12"/>
  <c r="R126" i="12" s="1"/>
  <c r="R127" i="12" s="1"/>
  <c r="S124" i="12"/>
  <c r="E164" i="1"/>
  <c r="E165" i="1" s="1"/>
  <c r="E166" i="1" s="1"/>
  <c r="G163" i="1"/>
  <c r="L167" i="2"/>
  <c r="L168" i="2" s="1"/>
  <c r="L169" i="2" s="1"/>
  <c r="N166" i="2"/>
  <c r="L167" i="26" l="1"/>
  <c r="L168" i="26" s="1"/>
  <c r="L169" i="26" s="1"/>
  <c r="N166" i="26"/>
  <c r="AA166" i="1"/>
  <c r="Y167" i="1"/>
  <c r="Y168" i="1" s="1"/>
  <c r="Y169" i="1" s="1"/>
  <c r="T166" i="27"/>
  <c r="R167" i="27"/>
  <c r="R168" i="27" s="1"/>
  <c r="R169" i="27" s="1"/>
  <c r="L170" i="2"/>
  <c r="L171" i="2" s="1"/>
  <c r="L172" i="2" s="1"/>
  <c r="N169" i="2"/>
  <c r="L164" i="27"/>
  <c r="L165" i="27" s="1"/>
  <c r="L166" i="27" s="1"/>
  <c r="N163" i="27"/>
  <c r="T169" i="35"/>
  <c r="R170" i="35"/>
  <c r="R171" i="35" s="1"/>
  <c r="R172" i="35" s="1"/>
  <c r="L170" i="36"/>
  <c r="L171" i="36" s="1"/>
  <c r="L172" i="36" s="1"/>
  <c r="N169" i="36"/>
  <c r="EG47" i="32"/>
  <c r="DY47" i="32"/>
  <c r="EE47" i="32"/>
  <c r="DW47" i="32"/>
  <c r="ED47" i="32"/>
  <c r="DV47" i="32"/>
  <c r="EA47" i="32"/>
  <c r="DZ47" i="32"/>
  <c r="EC47" i="32"/>
  <c r="DX47" i="32"/>
  <c r="DU47" i="32"/>
  <c r="DR48" i="32"/>
  <c r="EH47" i="32"/>
  <c r="DT47" i="32"/>
  <c r="EF47" i="32"/>
  <c r="DS47" i="32"/>
  <c r="EB47" i="32"/>
  <c r="E167" i="6"/>
  <c r="E168" i="6" s="1"/>
  <c r="E169" i="6" s="1"/>
  <c r="G166" i="6"/>
  <c r="L167" i="12"/>
  <c r="L168" i="12" s="1"/>
  <c r="L169" i="12" s="1"/>
  <c r="N166" i="12"/>
  <c r="L167" i="6"/>
  <c r="L168" i="6" s="1"/>
  <c r="L169" i="6" s="1"/>
  <c r="N166" i="6"/>
  <c r="R167" i="26"/>
  <c r="R168" i="26" s="1"/>
  <c r="R169" i="26" s="1"/>
  <c r="T166" i="26"/>
  <c r="L170" i="35"/>
  <c r="L171" i="35" s="1"/>
  <c r="L172" i="35" s="1"/>
  <c r="N169" i="35"/>
  <c r="G166" i="12"/>
  <c r="E167" i="12"/>
  <c r="E168" i="12" s="1"/>
  <c r="E169" i="12" s="1"/>
  <c r="E167" i="25"/>
  <c r="E168" i="25" s="1"/>
  <c r="E169" i="25" s="1"/>
  <c r="G166" i="25"/>
  <c r="EJ48" i="32"/>
  <c r="EX47" i="32"/>
  <c r="EP47" i="32"/>
  <c r="EV47" i="32"/>
  <c r="EN47" i="32"/>
  <c r="EU47" i="32"/>
  <c r="EM47" i="32"/>
  <c r="EO47" i="32"/>
  <c r="EZ47" i="32"/>
  <c r="EL47" i="32"/>
  <c r="ER47" i="32"/>
  <c r="EY47" i="32"/>
  <c r="EK47" i="32"/>
  <c r="EW47" i="32"/>
  <c r="ES47" i="32"/>
  <c r="ET47" i="32"/>
  <c r="EQ47" i="32"/>
  <c r="R167" i="2"/>
  <c r="R168" i="2" s="1"/>
  <c r="R169" i="2" s="1"/>
  <c r="T166" i="2"/>
  <c r="E167" i="1"/>
  <c r="E168" i="1" s="1"/>
  <c r="E169" i="1" s="1"/>
  <c r="G166" i="1"/>
  <c r="E167" i="36"/>
  <c r="E168" i="36" s="1"/>
  <c r="E169" i="36" s="1"/>
  <c r="G166" i="36"/>
  <c r="G166" i="2"/>
  <c r="E167" i="2"/>
  <c r="E168" i="2" s="1"/>
  <c r="E169" i="2" s="1"/>
  <c r="N166" i="25"/>
  <c r="L167" i="25"/>
  <c r="L168" i="25" s="1"/>
  <c r="L169" i="25" s="1"/>
  <c r="R167" i="1"/>
  <c r="R168" i="1" s="1"/>
  <c r="R169" i="1" s="1"/>
  <c r="T166" i="1"/>
  <c r="T127" i="12"/>
  <c r="R128" i="12"/>
  <c r="R129" i="12" s="1"/>
  <c r="R130" i="12" s="1"/>
  <c r="R170" i="36"/>
  <c r="R171" i="36" s="1"/>
  <c r="R172" i="36" s="1"/>
  <c r="T169" i="36"/>
  <c r="N166" i="1"/>
  <c r="L167" i="1"/>
  <c r="L168" i="1" s="1"/>
  <c r="L169" i="1" s="1"/>
  <c r="E170" i="27"/>
  <c r="E171" i="27" s="1"/>
  <c r="E172" i="27" s="1"/>
  <c r="G169" i="27"/>
  <c r="R167" i="6"/>
  <c r="R168" i="6" s="1"/>
  <c r="R169" i="6" s="1"/>
  <c r="T166" i="6"/>
  <c r="A26" i="10"/>
  <c r="R164" i="25"/>
  <c r="R165" i="25" s="1"/>
  <c r="R166" i="25" s="1"/>
  <c r="T163" i="25"/>
  <c r="G169" i="35"/>
  <c r="E170" i="35"/>
  <c r="E171" i="35" s="1"/>
  <c r="E172" i="35" s="1"/>
  <c r="G172" i="26"/>
  <c r="F172" i="26"/>
  <c r="H10" i="33" s="1"/>
  <c r="E173" i="26"/>
  <c r="E174" i="26" s="1"/>
  <c r="E175" i="26" s="1"/>
  <c r="R170" i="2" l="1"/>
  <c r="R171" i="2" s="1"/>
  <c r="R172" i="2" s="1"/>
  <c r="T169" i="2"/>
  <c r="L173" i="2"/>
  <c r="L174" i="2" s="1"/>
  <c r="L175" i="2" s="1"/>
  <c r="N172" i="2"/>
  <c r="M172" i="2"/>
  <c r="N10" i="33" s="1"/>
  <c r="N169" i="25"/>
  <c r="L170" i="25"/>
  <c r="L171" i="25" s="1"/>
  <c r="L172" i="25" s="1"/>
  <c r="R167" i="25"/>
  <c r="R168" i="25" s="1"/>
  <c r="R169" i="25" s="1"/>
  <c r="T166" i="25"/>
  <c r="G169" i="2"/>
  <c r="E170" i="2"/>
  <c r="E171" i="2" s="1"/>
  <c r="E172" i="2" s="1"/>
  <c r="EZ48" i="32"/>
  <c r="ER48" i="32"/>
  <c r="EJ49" i="32"/>
  <c r="EX48" i="32"/>
  <c r="EP48" i="32"/>
  <c r="EW48" i="32"/>
  <c r="EO48" i="32"/>
  <c r="EY48" i="32"/>
  <c r="EL48" i="32"/>
  <c r="EV48" i="32"/>
  <c r="EK48" i="32"/>
  <c r="EN48" i="32"/>
  <c r="EU48" i="32"/>
  <c r="ET48" i="32"/>
  <c r="EQ48" i="32"/>
  <c r="ES48" i="32"/>
  <c r="EM48" i="32"/>
  <c r="R170" i="26"/>
  <c r="R171" i="26" s="1"/>
  <c r="R172" i="26" s="1"/>
  <c r="T169" i="26"/>
  <c r="T169" i="27"/>
  <c r="R170" i="27"/>
  <c r="R171" i="27" s="1"/>
  <c r="R172" i="27" s="1"/>
  <c r="A25" i="10"/>
  <c r="R173" i="36"/>
  <c r="R174" i="36" s="1"/>
  <c r="R175" i="36" s="1"/>
  <c r="T172" i="36"/>
  <c r="L173" i="36"/>
  <c r="L174" i="36" s="1"/>
  <c r="L175" i="36" s="1"/>
  <c r="N172" i="36"/>
  <c r="E170" i="25"/>
  <c r="E171" i="25" s="1"/>
  <c r="E172" i="25" s="1"/>
  <c r="G169" i="25"/>
  <c r="N169" i="6"/>
  <c r="L170" i="6"/>
  <c r="L171" i="6" s="1"/>
  <c r="L172" i="6" s="1"/>
  <c r="T172" i="35"/>
  <c r="R173" i="35"/>
  <c r="R174" i="35" s="1"/>
  <c r="R175" i="35" s="1"/>
  <c r="Y170" i="1"/>
  <c r="Y171" i="1" s="1"/>
  <c r="Y172" i="1" s="1"/>
  <c r="AA169" i="1"/>
  <c r="G169" i="6"/>
  <c r="E170" i="6"/>
  <c r="E171" i="6" s="1"/>
  <c r="E172" i="6" s="1"/>
  <c r="E176" i="26"/>
  <c r="E177" i="26" s="1"/>
  <c r="E178" i="26" s="1"/>
  <c r="G175" i="26"/>
  <c r="T130" i="12"/>
  <c r="R131" i="12"/>
  <c r="R132" i="12" s="1"/>
  <c r="R133" i="12" s="1"/>
  <c r="G169" i="12"/>
  <c r="E170" i="12"/>
  <c r="E171" i="12" s="1"/>
  <c r="E172" i="12" s="1"/>
  <c r="L173" i="35"/>
  <c r="L174" i="35" s="1"/>
  <c r="L175" i="35" s="1"/>
  <c r="N172" i="35"/>
  <c r="T169" i="6"/>
  <c r="R170" i="6"/>
  <c r="R171" i="6" s="1"/>
  <c r="R172" i="6" s="1"/>
  <c r="E170" i="36"/>
  <c r="E171" i="36" s="1"/>
  <c r="E172" i="36" s="1"/>
  <c r="G169" i="36"/>
  <c r="L170" i="12"/>
  <c r="L171" i="12" s="1"/>
  <c r="L172" i="12" s="1"/>
  <c r="N169" i="12"/>
  <c r="EA48" i="32"/>
  <c r="DS48" i="32"/>
  <c r="EG48" i="32"/>
  <c r="DY48" i="32"/>
  <c r="DR49" i="32"/>
  <c r="EF48" i="32"/>
  <c r="DX48" i="32"/>
  <c r="DW48" i="32"/>
  <c r="DV48" i="32"/>
  <c r="EB48" i="32"/>
  <c r="EH48" i="32"/>
  <c r="DU48" i="32"/>
  <c r="EE48" i="32"/>
  <c r="DT48" i="32"/>
  <c r="ED48" i="32"/>
  <c r="EC48" i="32"/>
  <c r="DZ48" i="32"/>
  <c r="L170" i="1"/>
  <c r="L171" i="1" s="1"/>
  <c r="L172" i="1" s="1"/>
  <c r="N169" i="1"/>
  <c r="G172" i="35"/>
  <c r="E173" i="35"/>
  <c r="E174" i="35" s="1"/>
  <c r="E175" i="35" s="1"/>
  <c r="E173" i="27"/>
  <c r="E174" i="27" s="1"/>
  <c r="E175" i="27" s="1"/>
  <c r="G172" i="27"/>
  <c r="F172" i="27"/>
  <c r="L10" i="33" s="1"/>
  <c r="T169" i="1"/>
  <c r="R170" i="1"/>
  <c r="R171" i="1" s="1"/>
  <c r="R172" i="1" s="1"/>
  <c r="E170" i="1"/>
  <c r="E171" i="1" s="1"/>
  <c r="E172" i="1" s="1"/>
  <c r="G169" i="1"/>
  <c r="L167" i="27"/>
  <c r="L168" i="27" s="1"/>
  <c r="L169" i="27" s="1"/>
  <c r="N166" i="27"/>
  <c r="N169" i="26"/>
  <c r="L170" i="26"/>
  <c r="L171" i="26" s="1"/>
  <c r="L172" i="26" s="1"/>
  <c r="R173" i="1" l="1"/>
  <c r="R174" i="1" s="1"/>
  <c r="R175" i="1" s="1"/>
  <c r="T172" i="1"/>
  <c r="S172" i="1"/>
  <c r="N172" i="1"/>
  <c r="M172" i="1"/>
  <c r="F15" i="33" s="1"/>
  <c r="L173" i="1"/>
  <c r="L174" i="1" s="1"/>
  <c r="L175" i="1" s="1"/>
  <c r="G172" i="6"/>
  <c r="E173" i="6"/>
  <c r="E174" i="6" s="1"/>
  <c r="E175" i="6" s="1"/>
  <c r="F172" i="6"/>
  <c r="G10" i="33" s="1"/>
  <c r="A24" i="10"/>
  <c r="M172" i="25"/>
  <c r="L173" i="25"/>
  <c r="L174" i="25" s="1"/>
  <c r="L175" i="25" s="1"/>
  <c r="N172" i="25"/>
  <c r="R170" i="25"/>
  <c r="R171" i="25" s="1"/>
  <c r="R172" i="25" s="1"/>
  <c r="T169" i="25"/>
  <c r="L176" i="35"/>
  <c r="L177" i="35" s="1"/>
  <c r="L178" i="35" s="1"/>
  <c r="N175" i="35"/>
  <c r="M175" i="35"/>
  <c r="E173" i="25"/>
  <c r="E174" i="25" s="1"/>
  <c r="E175" i="25" s="1"/>
  <c r="G172" i="25"/>
  <c r="F172" i="25"/>
  <c r="D15" i="33" s="1"/>
  <c r="ET49" i="32"/>
  <c r="EL49" i="32"/>
  <c r="EZ49" i="32"/>
  <c r="ER49" i="32"/>
  <c r="EY49" i="32"/>
  <c r="EQ49" i="32"/>
  <c r="EV49" i="32"/>
  <c r="EU49" i="32"/>
  <c r="EX49" i="32"/>
  <c r="EM49" i="32"/>
  <c r="ES49" i="32"/>
  <c r="EP49" i="32"/>
  <c r="EJ50" i="32"/>
  <c r="EO49" i="32"/>
  <c r="EN49" i="32"/>
  <c r="EW49" i="32"/>
  <c r="EK49" i="32"/>
  <c r="T172" i="27"/>
  <c r="S172" i="27"/>
  <c r="R173" i="27"/>
  <c r="R174" i="27" s="1"/>
  <c r="R175" i="27" s="1"/>
  <c r="E173" i="12"/>
  <c r="E174" i="12" s="1"/>
  <c r="E175" i="12" s="1"/>
  <c r="F172" i="12"/>
  <c r="G172" i="12"/>
  <c r="R173" i="26"/>
  <c r="R174" i="26" s="1"/>
  <c r="R175" i="26" s="1"/>
  <c r="T172" i="26"/>
  <c r="S172" i="26"/>
  <c r="L173" i="12"/>
  <c r="L174" i="12" s="1"/>
  <c r="L175" i="12" s="1"/>
  <c r="N172" i="12"/>
  <c r="M172" i="12"/>
  <c r="Y173" i="1"/>
  <c r="Y174" i="1" s="1"/>
  <c r="Y175" i="1" s="1"/>
  <c r="AA172" i="1"/>
  <c r="Z172" i="1"/>
  <c r="E15" i="33" s="1"/>
  <c r="N175" i="36"/>
  <c r="M175" i="36"/>
  <c r="L176" i="36"/>
  <c r="L177" i="36" s="1"/>
  <c r="L178" i="36" s="1"/>
  <c r="T133" i="12"/>
  <c r="R134" i="12"/>
  <c r="R135" i="12" s="1"/>
  <c r="R136" i="12" s="1"/>
  <c r="R176" i="35"/>
  <c r="R177" i="35" s="1"/>
  <c r="R178" i="35" s="1"/>
  <c r="T175" i="35"/>
  <c r="S175" i="35"/>
  <c r="G172" i="2"/>
  <c r="F172" i="2"/>
  <c r="K10" i="33" s="1"/>
  <c r="E173" i="2"/>
  <c r="E174" i="2" s="1"/>
  <c r="E175" i="2" s="1"/>
  <c r="N175" i="2"/>
  <c r="L176" i="2"/>
  <c r="L177" i="2" s="1"/>
  <c r="L178" i="2" s="1"/>
  <c r="G175" i="27"/>
  <c r="E176" i="27"/>
  <c r="E177" i="27" s="1"/>
  <c r="E178" i="27" s="1"/>
  <c r="EC49" i="32"/>
  <c r="DU49" i="32"/>
  <c r="EA49" i="32"/>
  <c r="DS49" i="32"/>
  <c r="EH49" i="32"/>
  <c r="DZ49" i="32"/>
  <c r="DR50" i="32"/>
  <c r="EG49" i="32"/>
  <c r="DV49" i="32"/>
  <c r="EF49" i="32"/>
  <c r="DT49" i="32"/>
  <c r="DX49" i="32"/>
  <c r="EE49" i="32"/>
  <c r="ED49" i="32"/>
  <c r="DY49" i="32"/>
  <c r="EB49" i="32"/>
  <c r="DW49" i="32"/>
  <c r="E173" i="36"/>
  <c r="E174" i="36" s="1"/>
  <c r="E175" i="36" s="1"/>
  <c r="G172" i="36"/>
  <c r="T175" i="36"/>
  <c r="R176" i="36"/>
  <c r="R177" i="36" s="1"/>
  <c r="R178" i="36" s="1"/>
  <c r="S175" i="36"/>
  <c r="F172" i="1"/>
  <c r="C15" i="33" s="1"/>
  <c r="G172" i="1"/>
  <c r="E173" i="1"/>
  <c r="E174" i="1" s="1"/>
  <c r="E175" i="1" s="1"/>
  <c r="G178" i="26"/>
  <c r="E179" i="26"/>
  <c r="E180" i="26" s="1"/>
  <c r="E181" i="26" s="1"/>
  <c r="L173" i="26"/>
  <c r="L174" i="26" s="1"/>
  <c r="L175" i="26" s="1"/>
  <c r="N172" i="26"/>
  <c r="M172" i="26"/>
  <c r="N169" i="27"/>
  <c r="L170" i="27"/>
  <c r="L171" i="27" s="1"/>
  <c r="L172" i="27" s="1"/>
  <c r="E176" i="35"/>
  <c r="E177" i="35" s="1"/>
  <c r="E178" i="35" s="1"/>
  <c r="G175" i="35"/>
  <c r="F175" i="35"/>
  <c r="R173" i="6"/>
  <c r="R174" i="6" s="1"/>
  <c r="R175" i="6" s="1"/>
  <c r="S172" i="6"/>
  <c r="I10" i="33" s="1"/>
  <c r="T172" i="6"/>
  <c r="N172" i="6"/>
  <c r="M172" i="6"/>
  <c r="J10" i="33" s="1"/>
  <c r="L173" i="6"/>
  <c r="L174" i="6" s="1"/>
  <c r="L175" i="6" s="1"/>
  <c r="R173" i="2"/>
  <c r="R174" i="2" s="1"/>
  <c r="R175" i="2" s="1"/>
  <c r="T172" i="2"/>
  <c r="S172" i="2"/>
  <c r="M10" i="33" s="1"/>
  <c r="L176" i="12" l="1"/>
  <c r="L177" i="12" s="1"/>
  <c r="L178" i="12" s="1"/>
  <c r="N175" i="12"/>
  <c r="A23" i="10"/>
  <c r="G175" i="6"/>
  <c r="E176" i="6"/>
  <c r="E177" i="6" s="1"/>
  <c r="E178" i="6" s="1"/>
  <c r="E182" i="26"/>
  <c r="E183" i="26" s="1"/>
  <c r="E184" i="26" s="1"/>
  <c r="G181" i="26"/>
  <c r="L176" i="26"/>
  <c r="L177" i="26" s="1"/>
  <c r="L178" i="26" s="1"/>
  <c r="N175" i="26"/>
  <c r="L179" i="35"/>
  <c r="L180" i="35" s="1"/>
  <c r="L181" i="35" s="1"/>
  <c r="N178" i="35"/>
  <c r="R176" i="2"/>
  <c r="R177" i="2" s="1"/>
  <c r="R178" i="2" s="1"/>
  <c r="T175" i="2"/>
  <c r="G175" i="36"/>
  <c r="F175" i="36"/>
  <c r="E176" i="36"/>
  <c r="E177" i="36" s="1"/>
  <c r="E178" i="36" s="1"/>
  <c r="T172" i="25"/>
  <c r="S172" i="25"/>
  <c r="R173" i="25"/>
  <c r="R174" i="25" s="1"/>
  <c r="R175" i="25" s="1"/>
  <c r="N175" i="1"/>
  <c r="L176" i="1"/>
  <c r="L177" i="1" s="1"/>
  <c r="L178" i="1" s="1"/>
  <c r="G175" i="2"/>
  <c r="E176" i="2"/>
  <c r="E177" i="2" s="1"/>
  <c r="E178" i="2" s="1"/>
  <c r="T175" i="26"/>
  <c r="R176" i="26"/>
  <c r="R177" i="26" s="1"/>
  <c r="R178" i="26" s="1"/>
  <c r="M172" i="27"/>
  <c r="L173" i="27"/>
  <c r="L174" i="27" s="1"/>
  <c r="L175" i="27" s="1"/>
  <c r="N172" i="27"/>
  <c r="E179" i="27"/>
  <c r="E180" i="27" s="1"/>
  <c r="E181" i="27" s="1"/>
  <c r="G178" i="27"/>
  <c r="N175" i="25"/>
  <c r="L176" i="25"/>
  <c r="L177" i="25" s="1"/>
  <c r="L178" i="25" s="1"/>
  <c r="E179" i="35"/>
  <c r="E180" i="35" s="1"/>
  <c r="E181" i="35" s="1"/>
  <c r="G178" i="35"/>
  <c r="E176" i="25"/>
  <c r="E177" i="25" s="1"/>
  <c r="E178" i="25" s="1"/>
  <c r="G175" i="25"/>
  <c r="N175" i="6"/>
  <c r="L176" i="6"/>
  <c r="L177" i="6" s="1"/>
  <c r="L178" i="6" s="1"/>
  <c r="E176" i="1"/>
  <c r="E177" i="1" s="1"/>
  <c r="E178" i="1" s="1"/>
  <c r="G175" i="1"/>
  <c r="EE50" i="32"/>
  <c r="DW50" i="32"/>
  <c r="EC50" i="32"/>
  <c r="DU50" i="32"/>
  <c r="EB50" i="32"/>
  <c r="DT50" i="32"/>
  <c r="EF50" i="32"/>
  <c r="ED50" i="32"/>
  <c r="EH50" i="32"/>
  <c r="DV50" i="32"/>
  <c r="EA50" i="32"/>
  <c r="DZ50" i="32"/>
  <c r="DY50" i="32"/>
  <c r="DX50" i="32"/>
  <c r="DR51" i="32"/>
  <c r="EG50" i="32"/>
  <c r="DS50" i="32"/>
  <c r="T178" i="35"/>
  <c r="R179" i="35"/>
  <c r="R180" i="35" s="1"/>
  <c r="R181" i="35" s="1"/>
  <c r="Y176" i="1"/>
  <c r="Y177" i="1" s="1"/>
  <c r="Y178" i="1" s="1"/>
  <c r="AA175" i="1"/>
  <c r="N178" i="2"/>
  <c r="L179" i="2"/>
  <c r="L180" i="2" s="1"/>
  <c r="L181" i="2" s="1"/>
  <c r="R137" i="12"/>
  <c r="R138" i="12" s="1"/>
  <c r="R139" i="12" s="1"/>
  <c r="S136" i="12"/>
  <c r="T136" i="12"/>
  <c r="E176" i="12"/>
  <c r="E177" i="12" s="1"/>
  <c r="E178" i="12" s="1"/>
  <c r="G175" i="12"/>
  <c r="EV50" i="32"/>
  <c r="EN50" i="32"/>
  <c r="ET50" i="32"/>
  <c r="EL50" i="32"/>
  <c r="ES50" i="32"/>
  <c r="EK50" i="32"/>
  <c r="ER50" i="32"/>
  <c r="EQ50" i="32"/>
  <c r="EW50" i="32"/>
  <c r="EP50" i="32"/>
  <c r="EZ50" i="32"/>
  <c r="EO50" i="32"/>
  <c r="EJ51" i="32"/>
  <c r="EY50" i="32"/>
  <c r="EM50" i="32"/>
  <c r="EX50" i="32"/>
  <c r="EU50" i="32"/>
  <c r="T175" i="6"/>
  <c r="R176" i="6"/>
  <c r="R177" i="6" s="1"/>
  <c r="R178" i="6" s="1"/>
  <c r="L179" i="36"/>
  <c r="L180" i="36" s="1"/>
  <c r="L181" i="36" s="1"/>
  <c r="N178" i="36"/>
  <c r="T178" i="36"/>
  <c r="R179" i="36"/>
  <c r="R180" i="36" s="1"/>
  <c r="R181" i="36" s="1"/>
  <c r="R176" i="27"/>
  <c r="R177" i="27" s="1"/>
  <c r="R178" i="27" s="1"/>
  <c r="T175" i="27"/>
  <c r="R176" i="1"/>
  <c r="R177" i="1" s="1"/>
  <c r="R178" i="1" s="1"/>
  <c r="T175" i="1"/>
  <c r="L179" i="25" l="1"/>
  <c r="L180" i="25" s="1"/>
  <c r="L181" i="25" s="1"/>
  <c r="N178" i="25"/>
  <c r="G178" i="36"/>
  <c r="E179" i="36"/>
  <c r="E180" i="36" s="1"/>
  <c r="E181" i="36" s="1"/>
  <c r="N178" i="26"/>
  <c r="L179" i="26"/>
  <c r="L180" i="26" s="1"/>
  <c r="L181" i="26" s="1"/>
  <c r="R179" i="6"/>
  <c r="R180" i="6" s="1"/>
  <c r="R181" i="6" s="1"/>
  <c r="T178" i="6"/>
  <c r="L182" i="2"/>
  <c r="L183" i="2" s="1"/>
  <c r="L184" i="2" s="1"/>
  <c r="N181" i="2"/>
  <c r="EG51" i="32"/>
  <c r="DY51" i="32"/>
  <c r="EE51" i="32"/>
  <c r="DW51" i="32"/>
  <c r="ED51" i="32"/>
  <c r="DV51" i="32"/>
  <c r="EB51" i="32"/>
  <c r="EA51" i="32"/>
  <c r="EF51" i="32"/>
  <c r="DS51" i="32"/>
  <c r="DZ51" i="32"/>
  <c r="DX51" i="32"/>
  <c r="EH51" i="32"/>
  <c r="DU51" i="32"/>
  <c r="DR52" i="32"/>
  <c r="DT51" i="32"/>
  <c r="EC51" i="32"/>
  <c r="E179" i="1"/>
  <c r="E180" i="1" s="1"/>
  <c r="E181" i="1" s="1"/>
  <c r="G178" i="1"/>
  <c r="E179" i="2"/>
  <c r="E180" i="2" s="1"/>
  <c r="E181" i="2" s="1"/>
  <c r="G178" i="2"/>
  <c r="N181" i="36"/>
  <c r="L182" i="36"/>
  <c r="L183" i="36" s="1"/>
  <c r="L184" i="36" s="1"/>
  <c r="N178" i="6"/>
  <c r="L179" i="6"/>
  <c r="L180" i="6" s="1"/>
  <c r="L181" i="6" s="1"/>
  <c r="E182" i="27"/>
  <c r="E183" i="27" s="1"/>
  <c r="E184" i="27" s="1"/>
  <c r="G181" i="27"/>
  <c r="N178" i="1"/>
  <c r="L179" i="1"/>
  <c r="L180" i="1" s="1"/>
  <c r="L181" i="1" s="1"/>
  <c r="E179" i="6"/>
  <c r="E180" i="6" s="1"/>
  <c r="E181" i="6" s="1"/>
  <c r="G178" i="6"/>
  <c r="AA178" i="1"/>
  <c r="Y179" i="1"/>
  <c r="Y180" i="1" s="1"/>
  <c r="Y181" i="1" s="1"/>
  <c r="T178" i="2"/>
  <c r="R179" i="2"/>
  <c r="R180" i="2" s="1"/>
  <c r="R181" i="2" s="1"/>
  <c r="A22" i="10"/>
  <c r="E179" i="12"/>
  <c r="E180" i="12" s="1"/>
  <c r="E181" i="12" s="1"/>
  <c r="G178" i="12"/>
  <c r="R182" i="35"/>
  <c r="R183" i="35" s="1"/>
  <c r="R184" i="35" s="1"/>
  <c r="T181" i="35"/>
  <c r="G178" i="25"/>
  <c r="E179" i="25"/>
  <c r="E180" i="25" s="1"/>
  <c r="E181" i="25" s="1"/>
  <c r="N175" i="27"/>
  <c r="L176" i="27"/>
  <c r="L177" i="27" s="1"/>
  <c r="L178" i="27" s="1"/>
  <c r="R176" i="25"/>
  <c r="R177" i="25" s="1"/>
  <c r="R178" i="25" s="1"/>
  <c r="T175" i="25"/>
  <c r="R179" i="1"/>
  <c r="R180" i="1" s="1"/>
  <c r="R181" i="1" s="1"/>
  <c r="T178" i="1"/>
  <c r="G184" i="26"/>
  <c r="F184" i="26"/>
  <c r="H9" i="33" s="1"/>
  <c r="E185" i="26"/>
  <c r="E186" i="26" s="1"/>
  <c r="E187" i="26" s="1"/>
  <c r="L182" i="35"/>
  <c r="L183" i="35" s="1"/>
  <c r="L184" i="35" s="1"/>
  <c r="N181" i="35"/>
  <c r="R140" i="12"/>
  <c r="R141" i="12" s="1"/>
  <c r="R142" i="12" s="1"/>
  <c r="T139" i="12"/>
  <c r="T178" i="27"/>
  <c r="R179" i="27"/>
  <c r="R180" i="27" s="1"/>
  <c r="R181" i="27" s="1"/>
  <c r="T181" i="36"/>
  <c r="R182" i="36"/>
  <c r="R183" i="36" s="1"/>
  <c r="R184" i="36" s="1"/>
  <c r="EJ52" i="32"/>
  <c r="EX51" i="32"/>
  <c r="EP51" i="32"/>
  <c r="EV51" i="32"/>
  <c r="EN51" i="32"/>
  <c r="EU51" i="32"/>
  <c r="EM51" i="32"/>
  <c r="EQ51" i="32"/>
  <c r="EO51" i="32"/>
  <c r="ES51" i="32"/>
  <c r="EZ51" i="32"/>
  <c r="EL51" i="32"/>
  <c r="EY51" i="32"/>
  <c r="EK51" i="32"/>
  <c r="EW51" i="32"/>
  <c r="ET51" i="32"/>
  <c r="ER51" i="32"/>
  <c r="G181" i="35"/>
  <c r="E182" i="35"/>
  <c r="E183" i="35" s="1"/>
  <c r="E184" i="35" s="1"/>
  <c r="R179" i="26"/>
  <c r="R180" i="26" s="1"/>
  <c r="R181" i="26" s="1"/>
  <c r="T178" i="26"/>
  <c r="L179" i="12"/>
  <c r="L180" i="12" s="1"/>
  <c r="L181" i="12" s="1"/>
  <c r="N178" i="12"/>
  <c r="R182" i="26" l="1"/>
  <c r="R183" i="26" s="1"/>
  <c r="R184" i="26" s="1"/>
  <c r="T181" i="26"/>
  <c r="R143" i="12"/>
  <c r="R144" i="12" s="1"/>
  <c r="R145" i="12" s="1"/>
  <c r="T142" i="12"/>
  <c r="E182" i="6"/>
  <c r="E183" i="6" s="1"/>
  <c r="E184" i="6" s="1"/>
  <c r="G181" i="6"/>
  <c r="R182" i="6"/>
  <c r="R183" i="6" s="1"/>
  <c r="R184" i="6" s="1"/>
  <c r="T181" i="6"/>
  <c r="ES52" i="32"/>
  <c r="EK52" i="32"/>
  <c r="EZ52" i="32"/>
  <c r="ER52" i="32"/>
  <c r="EJ53" i="32"/>
  <c r="EX52" i="32"/>
  <c r="EP52" i="32"/>
  <c r="EW52" i="32"/>
  <c r="EO52" i="32"/>
  <c r="EN52" i="32"/>
  <c r="EM52" i="32"/>
  <c r="ET52" i="32"/>
  <c r="EL52" i="32"/>
  <c r="EY52" i="32"/>
  <c r="EV52" i="32"/>
  <c r="EU52" i="32"/>
  <c r="EQ52" i="32"/>
  <c r="L185" i="35"/>
  <c r="L186" i="35" s="1"/>
  <c r="L187" i="35" s="1"/>
  <c r="N184" i="35"/>
  <c r="L179" i="27"/>
  <c r="L180" i="27" s="1"/>
  <c r="L181" i="27" s="1"/>
  <c r="N178" i="27"/>
  <c r="E182" i="2"/>
  <c r="E183" i="2" s="1"/>
  <c r="E184" i="2" s="1"/>
  <c r="G181" i="2"/>
  <c r="L182" i="26"/>
  <c r="L183" i="26" s="1"/>
  <c r="L184" i="26" s="1"/>
  <c r="N181" i="26"/>
  <c r="E185" i="35"/>
  <c r="E186" i="35" s="1"/>
  <c r="E187" i="35" s="1"/>
  <c r="G184" i="35"/>
  <c r="A21" i="10"/>
  <c r="G181" i="12"/>
  <c r="F181" i="12"/>
  <c r="E182" i="12"/>
  <c r="E183" i="12" s="1"/>
  <c r="E184" i="12" s="1"/>
  <c r="T184" i="36"/>
  <c r="R185" i="36"/>
  <c r="R186" i="36" s="1"/>
  <c r="R187" i="36" s="1"/>
  <c r="E188" i="26"/>
  <c r="E189" i="26" s="1"/>
  <c r="E190" i="26" s="1"/>
  <c r="G187" i="26"/>
  <c r="T181" i="2"/>
  <c r="R182" i="2"/>
  <c r="R183" i="2" s="1"/>
  <c r="R184" i="2" s="1"/>
  <c r="T178" i="25"/>
  <c r="R179" i="25"/>
  <c r="R180" i="25" s="1"/>
  <c r="R181" i="25" s="1"/>
  <c r="G181" i="25"/>
  <c r="E182" i="25"/>
  <c r="E183" i="25" s="1"/>
  <c r="E184" i="25" s="1"/>
  <c r="E185" i="27"/>
  <c r="E186" i="27" s="1"/>
  <c r="E187" i="27" s="1"/>
  <c r="F184" i="27"/>
  <c r="L9" i="33" s="1"/>
  <c r="G184" i="27"/>
  <c r="E182" i="1"/>
  <c r="E183" i="1" s="1"/>
  <c r="E184" i="1" s="1"/>
  <c r="G181" i="1"/>
  <c r="G181" i="36"/>
  <c r="E182" i="36"/>
  <c r="E183" i="36" s="1"/>
  <c r="E184" i="36" s="1"/>
  <c r="L182" i="1"/>
  <c r="L183" i="1" s="1"/>
  <c r="L184" i="1" s="1"/>
  <c r="N181" i="1"/>
  <c r="M181" i="12"/>
  <c r="L182" i="12"/>
  <c r="L183" i="12" s="1"/>
  <c r="L184" i="12" s="1"/>
  <c r="N181" i="12"/>
  <c r="T181" i="27"/>
  <c r="R182" i="27"/>
  <c r="R183" i="27" s="1"/>
  <c r="R184" i="27" s="1"/>
  <c r="Y182" i="1"/>
  <c r="Y183" i="1" s="1"/>
  <c r="Y184" i="1" s="1"/>
  <c r="AA181" i="1"/>
  <c r="L182" i="6"/>
  <c r="L183" i="6" s="1"/>
  <c r="L184" i="6" s="1"/>
  <c r="N181" i="6"/>
  <c r="T181" i="1"/>
  <c r="R182" i="1"/>
  <c r="R183" i="1" s="1"/>
  <c r="R184" i="1" s="1"/>
  <c r="T184" i="35"/>
  <c r="R185" i="35"/>
  <c r="R186" i="35" s="1"/>
  <c r="R187" i="35" s="1"/>
  <c r="L185" i="36"/>
  <c r="L186" i="36" s="1"/>
  <c r="L187" i="36" s="1"/>
  <c r="N184" i="36"/>
  <c r="EA52" i="32"/>
  <c r="DS52" i="32"/>
  <c r="EG52" i="32"/>
  <c r="DY52" i="32"/>
  <c r="DR53" i="32"/>
  <c r="EF52" i="32"/>
  <c r="DX52" i="32"/>
  <c r="DZ52" i="32"/>
  <c r="DW52" i="32"/>
  <c r="EC52" i="32"/>
  <c r="DV52" i="32"/>
  <c r="EH52" i="32"/>
  <c r="DU52" i="32"/>
  <c r="ED52" i="32"/>
  <c r="EE52" i="32"/>
  <c r="DT52" i="32"/>
  <c r="EB52" i="32"/>
  <c r="N184" i="2"/>
  <c r="M184" i="2"/>
  <c r="N9" i="33" s="1"/>
  <c r="L185" i="2"/>
  <c r="L186" i="2" s="1"/>
  <c r="L187" i="2" s="1"/>
  <c r="L182" i="25"/>
  <c r="L183" i="25" s="1"/>
  <c r="L184" i="25" s="1"/>
  <c r="N181" i="25"/>
  <c r="T187" i="35" l="1"/>
  <c r="S187" i="35"/>
  <c r="R188" i="35"/>
  <c r="R189" i="35" s="1"/>
  <c r="R190" i="35" s="1"/>
  <c r="T184" i="27"/>
  <c r="R185" i="27"/>
  <c r="R186" i="27" s="1"/>
  <c r="R187" i="27" s="1"/>
  <c r="S184" i="27"/>
  <c r="T181" i="25"/>
  <c r="R182" i="25"/>
  <c r="R183" i="25" s="1"/>
  <c r="R184" i="25" s="1"/>
  <c r="F184" i="12"/>
  <c r="E185" i="12"/>
  <c r="E186" i="12" s="1"/>
  <c r="E187" i="12" s="1"/>
  <c r="G184" i="12"/>
  <c r="A20" i="10"/>
  <c r="S184" i="6"/>
  <c r="I9" i="33" s="1"/>
  <c r="R185" i="6"/>
  <c r="R186" i="6" s="1"/>
  <c r="R187" i="6" s="1"/>
  <c r="T184" i="6"/>
  <c r="ED53" i="32"/>
  <c r="DV53" i="32"/>
  <c r="EC53" i="32"/>
  <c r="DU53" i="32"/>
  <c r="EA53" i="32"/>
  <c r="DS53" i="32"/>
  <c r="EH53" i="32"/>
  <c r="DZ53" i="32"/>
  <c r="EG53" i="32"/>
  <c r="EF53" i="32"/>
  <c r="DW53" i="32"/>
  <c r="EE53" i="32"/>
  <c r="EB53" i="32"/>
  <c r="DX53" i="32"/>
  <c r="DY53" i="32"/>
  <c r="DR54" i="32"/>
  <c r="DT53" i="32"/>
  <c r="F184" i="2"/>
  <c r="K9" i="33" s="1"/>
  <c r="E185" i="2"/>
  <c r="E186" i="2" s="1"/>
  <c r="E187" i="2" s="1"/>
  <c r="G184" i="2"/>
  <c r="L188" i="36"/>
  <c r="L189" i="36" s="1"/>
  <c r="L190" i="36" s="1"/>
  <c r="N187" i="36"/>
  <c r="M187" i="36"/>
  <c r="F184" i="1"/>
  <c r="C14" i="33" s="1"/>
  <c r="E185" i="1"/>
  <c r="E186" i="1" s="1"/>
  <c r="E187" i="1" s="1"/>
  <c r="G184" i="1"/>
  <c r="T184" i="2"/>
  <c r="S184" i="2"/>
  <c r="M9" i="33" s="1"/>
  <c r="R185" i="2"/>
  <c r="R186" i="2" s="1"/>
  <c r="R187" i="2" s="1"/>
  <c r="EU53" i="32"/>
  <c r="EM53" i="32"/>
  <c r="ET53" i="32"/>
  <c r="EL53" i="32"/>
  <c r="EZ53" i="32"/>
  <c r="ER53" i="32"/>
  <c r="EY53" i="32"/>
  <c r="EQ53" i="32"/>
  <c r="EX53" i="32"/>
  <c r="EW53" i="32"/>
  <c r="EN53" i="32"/>
  <c r="EV53" i="32"/>
  <c r="ES53" i="32"/>
  <c r="EJ54" i="32"/>
  <c r="EP53" i="32"/>
  <c r="EO53" i="32"/>
  <c r="EK53" i="32"/>
  <c r="E185" i="6"/>
  <c r="E186" i="6" s="1"/>
  <c r="E187" i="6" s="1"/>
  <c r="G184" i="6"/>
  <c r="F184" i="6"/>
  <c r="G9" i="33" s="1"/>
  <c r="L185" i="26"/>
  <c r="L186" i="26" s="1"/>
  <c r="L187" i="26" s="1"/>
  <c r="N184" i="26"/>
  <c r="M184" i="26"/>
  <c r="L185" i="12"/>
  <c r="L186" i="12" s="1"/>
  <c r="L187" i="12" s="1"/>
  <c r="N184" i="12"/>
  <c r="M184" i="12"/>
  <c r="L182" i="27"/>
  <c r="L183" i="27" s="1"/>
  <c r="L184" i="27" s="1"/>
  <c r="N181" i="27"/>
  <c r="Y185" i="1"/>
  <c r="Y186" i="1" s="1"/>
  <c r="Y187" i="1" s="1"/>
  <c r="AA184" i="1"/>
  <c r="Z184" i="1"/>
  <c r="E14" i="33" s="1"/>
  <c r="R185" i="1"/>
  <c r="R186" i="1" s="1"/>
  <c r="R187" i="1" s="1"/>
  <c r="T184" i="1"/>
  <c r="S184" i="1"/>
  <c r="R146" i="12"/>
  <c r="R147" i="12" s="1"/>
  <c r="R148" i="12" s="1"/>
  <c r="T145" i="12"/>
  <c r="G184" i="36"/>
  <c r="E185" i="36"/>
  <c r="E186" i="36" s="1"/>
  <c r="E187" i="36" s="1"/>
  <c r="L185" i="25"/>
  <c r="L186" i="25" s="1"/>
  <c r="L187" i="25" s="1"/>
  <c r="N184" i="25"/>
  <c r="M184" i="25"/>
  <c r="N184" i="6"/>
  <c r="L185" i="6"/>
  <c r="L186" i="6" s="1"/>
  <c r="L187" i="6" s="1"/>
  <c r="M184" i="6"/>
  <c r="J9" i="33" s="1"/>
  <c r="E188" i="27"/>
  <c r="E189" i="27" s="1"/>
  <c r="E190" i="27" s="1"/>
  <c r="G187" i="27"/>
  <c r="E191" i="26"/>
  <c r="E192" i="26" s="1"/>
  <c r="E193" i="26" s="1"/>
  <c r="G190" i="26"/>
  <c r="E188" i="35"/>
  <c r="E189" i="35" s="1"/>
  <c r="E190" i="35" s="1"/>
  <c r="G187" i="35"/>
  <c r="F187" i="35"/>
  <c r="N187" i="35"/>
  <c r="L188" i="35"/>
  <c r="L189" i="35" s="1"/>
  <c r="L190" i="35" s="1"/>
  <c r="M187" i="35"/>
  <c r="L188" i="2"/>
  <c r="L189" i="2" s="1"/>
  <c r="L190" i="2" s="1"/>
  <c r="N187" i="2"/>
  <c r="N184" i="1"/>
  <c r="M184" i="1"/>
  <c r="F14" i="33" s="1"/>
  <c r="L185" i="1"/>
  <c r="L186" i="1" s="1"/>
  <c r="L187" i="1" s="1"/>
  <c r="E185" i="25"/>
  <c r="E186" i="25" s="1"/>
  <c r="E187" i="25" s="1"/>
  <c r="G184" i="25"/>
  <c r="F184" i="25"/>
  <c r="D14" i="33" s="1"/>
  <c r="R188" i="36"/>
  <c r="R189" i="36" s="1"/>
  <c r="R190" i="36" s="1"/>
  <c r="S187" i="36"/>
  <c r="T187" i="36"/>
  <c r="S184" i="26"/>
  <c r="R185" i="26"/>
  <c r="R186" i="26" s="1"/>
  <c r="R187" i="26" s="1"/>
  <c r="T184" i="26"/>
  <c r="L185" i="27" l="1"/>
  <c r="L186" i="27" s="1"/>
  <c r="L187" i="27" s="1"/>
  <c r="N184" i="27"/>
  <c r="M184" i="27"/>
  <c r="DR55" i="32"/>
  <c r="EF54" i="32"/>
  <c r="DX54" i="32"/>
  <c r="EE54" i="32"/>
  <c r="DW54" i="32"/>
  <c r="EC54" i="32"/>
  <c r="DU54" i="32"/>
  <c r="EB54" i="32"/>
  <c r="DT54" i="32"/>
  <c r="EA54" i="32"/>
  <c r="DZ54" i="32"/>
  <c r="DY54" i="32"/>
  <c r="DV54" i="32"/>
  <c r="EH54" i="32"/>
  <c r="DS54" i="32"/>
  <c r="EG54" i="32"/>
  <c r="ED54" i="32"/>
  <c r="G187" i="25"/>
  <c r="E188" i="25"/>
  <c r="E189" i="25" s="1"/>
  <c r="E190" i="25" s="1"/>
  <c r="E188" i="1"/>
  <c r="E189" i="1" s="1"/>
  <c r="E190" i="1" s="1"/>
  <c r="G187" i="1"/>
  <c r="A19" i="10"/>
  <c r="L188" i="6"/>
  <c r="L189" i="6" s="1"/>
  <c r="L190" i="6" s="1"/>
  <c r="N187" i="6"/>
  <c r="E188" i="6"/>
  <c r="E189" i="6" s="1"/>
  <c r="E190" i="6" s="1"/>
  <c r="G187" i="6"/>
  <c r="R188" i="6"/>
  <c r="R189" i="6" s="1"/>
  <c r="R190" i="6" s="1"/>
  <c r="T187" i="6"/>
  <c r="T184" i="25"/>
  <c r="R185" i="25"/>
  <c r="R186" i="25" s="1"/>
  <c r="R187" i="25" s="1"/>
  <c r="S184" i="25"/>
  <c r="T148" i="12"/>
  <c r="R149" i="12"/>
  <c r="R150" i="12" s="1"/>
  <c r="R151" i="12" s="1"/>
  <c r="S148" i="12"/>
  <c r="R188" i="27"/>
  <c r="R189" i="27" s="1"/>
  <c r="R190" i="27" s="1"/>
  <c r="T187" i="27"/>
  <c r="N187" i="1"/>
  <c r="L188" i="1"/>
  <c r="L189" i="1" s="1"/>
  <c r="L190" i="1" s="1"/>
  <c r="E191" i="35"/>
  <c r="E192" i="35" s="1"/>
  <c r="E193" i="35" s="1"/>
  <c r="G190" i="35"/>
  <c r="T187" i="1"/>
  <c r="R188" i="1"/>
  <c r="R189" i="1" s="1"/>
  <c r="R190" i="1" s="1"/>
  <c r="L188" i="12"/>
  <c r="L189" i="12" s="1"/>
  <c r="L190" i="12" s="1"/>
  <c r="N187" i="12"/>
  <c r="T187" i="2"/>
  <c r="R188" i="2"/>
  <c r="R189" i="2" s="1"/>
  <c r="R190" i="2" s="1"/>
  <c r="L191" i="36"/>
  <c r="L192" i="36" s="1"/>
  <c r="L193" i="36" s="1"/>
  <c r="N190" i="36"/>
  <c r="L191" i="2"/>
  <c r="L192" i="2" s="1"/>
  <c r="L193" i="2" s="1"/>
  <c r="N190" i="2"/>
  <c r="L188" i="25"/>
  <c r="L189" i="25" s="1"/>
  <c r="L190" i="25" s="1"/>
  <c r="N187" i="25"/>
  <c r="R191" i="35"/>
  <c r="R192" i="35" s="1"/>
  <c r="R193" i="35" s="1"/>
  <c r="T190" i="35"/>
  <c r="F187" i="36"/>
  <c r="E188" i="36"/>
  <c r="E189" i="36" s="1"/>
  <c r="E190" i="36" s="1"/>
  <c r="G187" i="36"/>
  <c r="EW54" i="32"/>
  <c r="EO54" i="32"/>
  <c r="EV54" i="32"/>
  <c r="EN54" i="32"/>
  <c r="ET54" i="32"/>
  <c r="EL54" i="32"/>
  <c r="ES54" i="32"/>
  <c r="EK54" i="32"/>
  <c r="ER54" i="32"/>
  <c r="EQ54" i="32"/>
  <c r="EJ55" i="32"/>
  <c r="EP54" i="32"/>
  <c r="EM54" i="32"/>
  <c r="EZ54" i="32"/>
  <c r="EY54" i="32"/>
  <c r="EX54" i="32"/>
  <c r="EU54" i="32"/>
  <c r="E188" i="2"/>
  <c r="E189" i="2" s="1"/>
  <c r="E190" i="2" s="1"/>
  <c r="G187" i="2"/>
  <c r="E188" i="12"/>
  <c r="E189" i="12" s="1"/>
  <c r="E190" i="12" s="1"/>
  <c r="G187" i="12"/>
  <c r="T187" i="26"/>
  <c r="R188" i="26"/>
  <c r="R189" i="26" s="1"/>
  <c r="R190" i="26" s="1"/>
  <c r="R191" i="36"/>
  <c r="R192" i="36" s="1"/>
  <c r="R193" i="36" s="1"/>
  <c r="T190" i="36"/>
  <c r="E194" i="26"/>
  <c r="E195" i="26" s="1"/>
  <c r="E196" i="26" s="1"/>
  <c r="G193" i="26"/>
  <c r="N190" i="35"/>
  <c r="L191" i="35"/>
  <c r="L192" i="35" s="1"/>
  <c r="L193" i="35" s="1"/>
  <c r="G190" i="27"/>
  <c r="E191" i="27"/>
  <c r="E192" i="27" s="1"/>
  <c r="E193" i="27" s="1"/>
  <c r="Y188" i="1"/>
  <c r="Y189" i="1" s="1"/>
  <c r="Y190" i="1" s="1"/>
  <c r="AA187" i="1"/>
  <c r="N187" i="26"/>
  <c r="L188" i="26"/>
  <c r="L189" i="26" s="1"/>
  <c r="L190" i="26" s="1"/>
  <c r="T193" i="35" l="1"/>
  <c r="R194" i="35"/>
  <c r="R195" i="35" s="1"/>
  <c r="R196" i="35" s="1"/>
  <c r="N190" i="26"/>
  <c r="L191" i="26"/>
  <c r="L192" i="26" s="1"/>
  <c r="L193" i="26" s="1"/>
  <c r="EY55" i="32"/>
  <c r="EQ55" i="32"/>
  <c r="EJ56" i="32"/>
  <c r="EX55" i="32"/>
  <c r="EP55" i="32"/>
  <c r="EV55" i="32"/>
  <c r="EN55" i="32"/>
  <c r="EU55" i="32"/>
  <c r="EM55" i="32"/>
  <c r="EL55" i="32"/>
  <c r="EK55" i="32"/>
  <c r="EZ55" i="32"/>
  <c r="EW55" i="32"/>
  <c r="ES55" i="32"/>
  <c r="ET55" i="32"/>
  <c r="ER55" i="32"/>
  <c r="EO55" i="32"/>
  <c r="E191" i="1"/>
  <c r="E192" i="1" s="1"/>
  <c r="E193" i="1" s="1"/>
  <c r="G190" i="1"/>
  <c r="L191" i="12"/>
  <c r="L192" i="12" s="1"/>
  <c r="L193" i="12" s="1"/>
  <c r="N190" i="12"/>
  <c r="E191" i="12"/>
  <c r="E192" i="12" s="1"/>
  <c r="E193" i="12" s="1"/>
  <c r="G190" i="12"/>
  <c r="G190" i="2"/>
  <c r="E191" i="2"/>
  <c r="E192" i="2" s="1"/>
  <c r="E193" i="2" s="1"/>
  <c r="R191" i="6"/>
  <c r="R192" i="6" s="1"/>
  <c r="R193" i="6" s="1"/>
  <c r="T190" i="6"/>
  <c r="T190" i="1"/>
  <c r="R191" i="1"/>
  <c r="R192" i="1" s="1"/>
  <c r="R193" i="1" s="1"/>
  <c r="R194" i="36"/>
  <c r="R195" i="36" s="1"/>
  <c r="R196" i="36" s="1"/>
  <c r="T193" i="36"/>
  <c r="T151" i="12"/>
  <c r="R152" i="12"/>
  <c r="R153" i="12" s="1"/>
  <c r="R154" i="12" s="1"/>
  <c r="G190" i="6"/>
  <c r="E191" i="6"/>
  <c r="E192" i="6" s="1"/>
  <c r="E193" i="6" s="1"/>
  <c r="EH55" i="32"/>
  <c r="DZ55" i="32"/>
  <c r="EG55" i="32"/>
  <c r="DY55" i="32"/>
  <c r="EE55" i="32"/>
  <c r="DW55" i="32"/>
  <c r="ED55" i="32"/>
  <c r="DV55" i="32"/>
  <c r="DU55" i="32"/>
  <c r="DT55" i="32"/>
  <c r="DS55" i="32"/>
  <c r="EF55" i="32"/>
  <c r="EC55" i="32"/>
  <c r="EB55" i="32"/>
  <c r="EA55" i="32"/>
  <c r="DR56" i="32"/>
  <c r="DX55" i="32"/>
  <c r="E197" i="26"/>
  <c r="E198" i="26" s="1"/>
  <c r="E199" i="26" s="1"/>
  <c r="G196" i="26"/>
  <c r="F196" i="26"/>
  <c r="H8" i="33" s="1"/>
  <c r="T190" i="27"/>
  <c r="R191" i="27"/>
  <c r="R192" i="27" s="1"/>
  <c r="R193" i="27" s="1"/>
  <c r="E191" i="25"/>
  <c r="E192" i="25" s="1"/>
  <c r="E193" i="25" s="1"/>
  <c r="G190" i="25"/>
  <c r="E191" i="36"/>
  <c r="E192" i="36" s="1"/>
  <c r="E193" i="36" s="1"/>
  <c r="G190" i="36"/>
  <c r="N190" i="25"/>
  <c r="L191" i="25"/>
  <c r="L192" i="25" s="1"/>
  <c r="L193" i="25" s="1"/>
  <c r="AA190" i="1"/>
  <c r="Y191" i="1"/>
  <c r="Y192" i="1" s="1"/>
  <c r="Y193" i="1" s="1"/>
  <c r="N193" i="2"/>
  <c r="L194" i="2"/>
  <c r="L195" i="2" s="1"/>
  <c r="L196" i="2" s="1"/>
  <c r="R191" i="26"/>
  <c r="R192" i="26" s="1"/>
  <c r="R193" i="26" s="1"/>
  <c r="T190" i="26"/>
  <c r="L194" i="36"/>
  <c r="L195" i="36" s="1"/>
  <c r="L196" i="36" s="1"/>
  <c r="N193" i="36"/>
  <c r="E194" i="35"/>
  <c r="E195" i="35" s="1"/>
  <c r="E196" i="35" s="1"/>
  <c r="G193" i="35"/>
  <c r="N190" i="6"/>
  <c r="L191" i="6"/>
  <c r="L192" i="6" s="1"/>
  <c r="L193" i="6" s="1"/>
  <c r="A18" i="10"/>
  <c r="G193" i="27"/>
  <c r="E194" i="27"/>
  <c r="E195" i="27" s="1"/>
  <c r="E196" i="27" s="1"/>
  <c r="L194" i="35"/>
  <c r="L195" i="35" s="1"/>
  <c r="L196" i="35" s="1"/>
  <c r="N193" i="35"/>
  <c r="R191" i="2"/>
  <c r="R192" i="2" s="1"/>
  <c r="R193" i="2" s="1"/>
  <c r="T190" i="2"/>
  <c r="N190" i="1"/>
  <c r="L191" i="1"/>
  <c r="L192" i="1" s="1"/>
  <c r="L193" i="1" s="1"/>
  <c r="T187" i="25"/>
  <c r="R188" i="25"/>
  <c r="R189" i="25" s="1"/>
  <c r="R190" i="25" s="1"/>
  <c r="N187" i="27"/>
  <c r="L188" i="27"/>
  <c r="L189" i="27" s="1"/>
  <c r="L190" i="27" s="1"/>
  <c r="T193" i="26" l="1"/>
  <c r="R194" i="26"/>
  <c r="R195" i="26" s="1"/>
  <c r="R196" i="26" s="1"/>
  <c r="E194" i="36"/>
  <c r="E195" i="36" s="1"/>
  <c r="E196" i="36" s="1"/>
  <c r="G193" i="36"/>
  <c r="L194" i="12"/>
  <c r="L195" i="12" s="1"/>
  <c r="L196" i="12" s="1"/>
  <c r="N193" i="12"/>
  <c r="N193" i="6"/>
  <c r="L194" i="6"/>
  <c r="L195" i="6" s="1"/>
  <c r="L196" i="6" s="1"/>
  <c r="L197" i="2"/>
  <c r="L198" i="2" s="1"/>
  <c r="L199" i="2" s="1"/>
  <c r="N196" i="2"/>
  <c r="M196" i="2"/>
  <c r="N8" i="33" s="1"/>
  <c r="EB56" i="32"/>
  <c r="DT56" i="32"/>
  <c r="EA56" i="32"/>
  <c r="DS56" i="32"/>
  <c r="EG56" i="32"/>
  <c r="DY56" i="32"/>
  <c r="DR57" i="32"/>
  <c r="EF56" i="32"/>
  <c r="DX56" i="32"/>
  <c r="EE56" i="32"/>
  <c r="ED56" i="32"/>
  <c r="EC56" i="32"/>
  <c r="DZ56" i="32"/>
  <c r="DV56" i="32"/>
  <c r="DW56" i="32"/>
  <c r="DU56" i="32"/>
  <c r="EH56" i="32"/>
  <c r="G193" i="6"/>
  <c r="E194" i="6"/>
  <c r="E195" i="6" s="1"/>
  <c r="E196" i="6" s="1"/>
  <c r="ES56" i="32"/>
  <c r="EK56" i="32"/>
  <c r="EZ56" i="32"/>
  <c r="ER56" i="32"/>
  <c r="EJ57" i="32"/>
  <c r="EX56" i="32"/>
  <c r="EP56" i="32"/>
  <c r="EW56" i="32"/>
  <c r="EO56" i="32"/>
  <c r="EV56" i="32"/>
  <c r="EU56" i="32"/>
  <c r="ET56" i="32"/>
  <c r="EQ56" i="32"/>
  <c r="EN56" i="32"/>
  <c r="EM56" i="32"/>
  <c r="EL56" i="32"/>
  <c r="EY56" i="32"/>
  <c r="A17" i="10"/>
  <c r="E194" i="25"/>
  <c r="E195" i="25" s="1"/>
  <c r="E196" i="25" s="1"/>
  <c r="G193" i="25"/>
  <c r="T193" i="6"/>
  <c r="R194" i="6"/>
  <c r="R195" i="6" s="1"/>
  <c r="R196" i="6" s="1"/>
  <c r="E194" i="1"/>
  <c r="E195" i="1" s="1"/>
  <c r="E196" i="1" s="1"/>
  <c r="G193" i="1"/>
  <c r="L194" i="1"/>
  <c r="L195" i="1" s="1"/>
  <c r="L196" i="1" s="1"/>
  <c r="N193" i="1"/>
  <c r="T193" i="27"/>
  <c r="R194" i="27"/>
  <c r="R195" i="27" s="1"/>
  <c r="R196" i="27" s="1"/>
  <c r="T154" i="12"/>
  <c r="R155" i="12"/>
  <c r="R156" i="12" s="1"/>
  <c r="R157" i="12" s="1"/>
  <c r="G193" i="2"/>
  <c r="E194" i="2"/>
  <c r="E195" i="2" s="1"/>
  <c r="E196" i="2" s="1"/>
  <c r="R194" i="2"/>
  <c r="R195" i="2" s="1"/>
  <c r="R196" i="2" s="1"/>
  <c r="T193" i="2"/>
  <c r="Y194" i="1"/>
  <c r="Y195" i="1" s="1"/>
  <c r="Y196" i="1" s="1"/>
  <c r="AA193" i="1"/>
  <c r="L191" i="27"/>
  <c r="L192" i="27" s="1"/>
  <c r="L193" i="27" s="1"/>
  <c r="N190" i="27"/>
  <c r="E197" i="35"/>
  <c r="E198" i="35" s="1"/>
  <c r="E199" i="35" s="1"/>
  <c r="G196" i="35"/>
  <c r="N193" i="26"/>
  <c r="L194" i="26"/>
  <c r="L195" i="26" s="1"/>
  <c r="L196" i="26" s="1"/>
  <c r="N193" i="25"/>
  <c r="L194" i="25"/>
  <c r="L195" i="25" s="1"/>
  <c r="L196" i="25" s="1"/>
  <c r="F196" i="27"/>
  <c r="L8" i="33" s="1"/>
  <c r="G196" i="27"/>
  <c r="E197" i="27"/>
  <c r="E198" i="27" s="1"/>
  <c r="E199" i="27" s="1"/>
  <c r="L197" i="36"/>
  <c r="L198" i="36" s="1"/>
  <c r="L199" i="36" s="1"/>
  <c r="N196" i="36"/>
  <c r="R197" i="36"/>
  <c r="R198" i="36" s="1"/>
  <c r="R199" i="36" s="1"/>
  <c r="T196" i="36"/>
  <c r="E194" i="12"/>
  <c r="E195" i="12" s="1"/>
  <c r="E196" i="12" s="1"/>
  <c r="G193" i="12"/>
  <c r="R197" i="35"/>
  <c r="R198" i="35" s="1"/>
  <c r="R199" i="35" s="1"/>
  <c r="T196" i="35"/>
  <c r="N196" i="35"/>
  <c r="L197" i="35"/>
  <c r="L198" i="35" s="1"/>
  <c r="L199" i="35" s="1"/>
  <c r="R191" i="25"/>
  <c r="R192" i="25" s="1"/>
  <c r="R193" i="25" s="1"/>
  <c r="T190" i="25"/>
  <c r="G199" i="26"/>
  <c r="E200" i="26"/>
  <c r="E201" i="26" s="1"/>
  <c r="E202" i="26" s="1"/>
  <c r="T193" i="1"/>
  <c r="R194" i="1"/>
  <c r="R195" i="1" s="1"/>
  <c r="R196" i="1" s="1"/>
  <c r="M196" i="6" l="1"/>
  <c r="J8" i="33" s="1"/>
  <c r="L197" i="6"/>
  <c r="L198" i="6" s="1"/>
  <c r="L199" i="6" s="1"/>
  <c r="N196" i="6"/>
  <c r="N199" i="35"/>
  <c r="L200" i="35"/>
  <c r="L201" i="35" s="1"/>
  <c r="L202" i="35" s="1"/>
  <c r="M199" i="35"/>
  <c r="R197" i="2"/>
  <c r="R198" i="2" s="1"/>
  <c r="R199" i="2" s="1"/>
  <c r="T196" i="2"/>
  <c r="S196" i="2"/>
  <c r="M8" i="33" s="1"/>
  <c r="N196" i="1"/>
  <c r="M196" i="1"/>
  <c r="F13" i="33" s="1"/>
  <c r="L197" i="1"/>
  <c r="L198" i="1" s="1"/>
  <c r="L199" i="1" s="1"/>
  <c r="T199" i="36"/>
  <c r="R200" i="36"/>
  <c r="R201" i="36" s="1"/>
  <c r="R202" i="36" s="1"/>
  <c r="S199" i="36"/>
  <c r="N199" i="36"/>
  <c r="M199" i="36"/>
  <c r="L200" i="36"/>
  <c r="L201" i="36" s="1"/>
  <c r="L202" i="36" s="1"/>
  <c r="G196" i="2"/>
  <c r="F196" i="2"/>
  <c r="K8" i="33" s="1"/>
  <c r="E197" i="2"/>
  <c r="E198" i="2" s="1"/>
  <c r="E199" i="2" s="1"/>
  <c r="A16" i="10"/>
  <c r="E197" i="6"/>
  <c r="E198" i="6" s="1"/>
  <c r="E199" i="6" s="1"/>
  <c r="G196" i="6"/>
  <c r="F196" i="6"/>
  <c r="G8" i="33" s="1"/>
  <c r="S196" i="1"/>
  <c r="R197" i="1"/>
  <c r="R198" i="1" s="1"/>
  <c r="R199" i="1" s="1"/>
  <c r="T196" i="1"/>
  <c r="G199" i="27"/>
  <c r="E200" i="27"/>
  <c r="E201" i="27" s="1"/>
  <c r="E202" i="27" s="1"/>
  <c r="G199" i="35"/>
  <c r="F199" i="35"/>
  <c r="E200" i="35"/>
  <c r="E201" i="35" s="1"/>
  <c r="E202" i="35" s="1"/>
  <c r="G196" i="1"/>
  <c r="E197" i="1"/>
  <c r="E198" i="1" s="1"/>
  <c r="E199" i="1" s="1"/>
  <c r="F196" i="1"/>
  <c r="C13" i="33" s="1"/>
  <c r="N196" i="12"/>
  <c r="M196" i="12"/>
  <c r="L197" i="12"/>
  <c r="L198" i="12" s="1"/>
  <c r="L199" i="12" s="1"/>
  <c r="T157" i="12"/>
  <c r="R158" i="12"/>
  <c r="R159" i="12" s="1"/>
  <c r="R160" i="12" s="1"/>
  <c r="R197" i="6"/>
  <c r="R198" i="6" s="1"/>
  <c r="R199" i="6" s="1"/>
  <c r="T196" i="6"/>
  <c r="S196" i="6"/>
  <c r="I8" i="33" s="1"/>
  <c r="R194" i="25"/>
  <c r="R195" i="25" s="1"/>
  <c r="R196" i="25" s="1"/>
  <c r="T193" i="25"/>
  <c r="EU57" i="32"/>
  <c r="EM57" i="32"/>
  <c r="ET57" i="32"/>
  <c r="EL57" i="32"/>
  <c r="EZ57" i="32"/>
  <c r="ER57" i="32"/>
  <c r="EY57" i="32"/>
  <c r="EQ57" i="32"/>
  <c r="EJ58" i="32"/>
  <c r="EP57" i="32"/>
  <c r="EO57" i="32"/>
  <c r="EN57" i="32"/>
  <c r="EK57" i="32"/>
  <c r="EW57" i="32"/>
  <c r="EX57" i="32"/>
  <c r="EV57" i="32"/>
  <c r="ES57" i="32"/>
  <c r="E197" i="36"/>
  <c r="E198" i="36" s="1"/>
  <c r="E199" i="36" s="1"/>
  <c r="G196" i="36"/>
  <c r="R200" i="35"/>
  <c r="R201" i="35" s="1"/>
  <c r="R202" i="35" s="1"/>
  <c r="S199" i="35"/>
  <c r="T199" i="35"/>
  <c r="E203" i="26"/>
  <c r="E204" i="26" s="1"/>
  <c r="E205" i="26" s="1"/>
  <c r="G202" i="26"/>
  <c r="L194" i="27"/>
  <c r="L195" i="27" s="1"/>
  <c r="L196" i="27" s="1"/>
  <c r="N193" i="27"/>
  <c r="E197" i="12"/>
  <c r="E198" i="12" s="1"/>
  <c r="E199" i="12" s="1"/>
  <c r="G196" i="12"/>
  <c r="F196" i="12"/>
  <c r="M196" i="25"/>
  <c r="L197" i="25"/>
  <c r="L198" i="25" s="1"/>
  <c r="L199" i="25" s="1"/>
  <c r="N196" i="25"/>
  <c r="R197" i="27"/>
  <c r="R198" i="27" s="1"/>
  <c r="R199" i="27" s="1"/>
  <c r="S196" i="27"/>
  <c r="T196" i="27"/>
  <c r="ED57" i="32"/>
  <c r="DV57" i="32"/>
  <c r="EC57" i="32"/>
  <c r="DU57" i="32"/>
  <c r="EA57" i="32"/>
  <c r="DS57" i="32"/>
  <c r="EH57" i="32"/>
  <c r="DZ57" i="32"/>
  <c r="DY57" i="32"/>
  <c r="DR58" i="32"/>
  <c r="DX57" i="32"/>
  <c r="DW57" i="32"/>
  <c r="DT57" i="32"/>
  <c r="EG57" i="32"/>
  <c r="EF57" i="32"/>
  <c r="EE57" i="32"/>
  <c r="EB57" i="32"/>
  <c r="T196" i="26"/>
  <c r="S196" i="26"/>
  <c r="R197" i="26"/>
  <c r="R198" i="26" s="1"/>
  <c r="R199" i="26" s="1"/>
  <c r="M196" i="26"/>
  <c r="L197" i="26"/>
  <c r="L198" i="26" s="1"/>
  <c r="L199" i="26" s="1"/>
  <c r="N196" i="26"/>
  <c r="Y197" i="1"/>
  <c r="Y198" i="1" s="1"/>
  <c r="Y199" i="1" s="1"/>
  <c r="AA196" i="1"/>
  <c r="Z196" i="1"/>
  <c r="E13" i="33" s="1"/>
  <c r="E197" i="25"/>
  <c r="E198" i="25" s="1"/>
  <c r="E199" i="25" s="1"/>
  <c r="G196" i="25"/>
  <c r="F196" i="25"/>
  <c r="D13" i="33" s="1"/>
  <c r="N199" i="2"/>
  <c r="L200" i="2"/>
  <c r="L201" i="2" s="1"/>
  <c r="L202" i="2" s="1"/>
  <c r="N202" i="2" l="1"/>
  <c r="L203" i="2"/>
  <c r="L204" i="2" s="1"/>
  <c r="L205" i="2" s="1"/>
  <c r="E200" i="36"/>
  <c r="E201" i="36" s="1"/>
  <c r="E202" i="36" s="1"/>
  <c r="G199" i="36"/>
  <c r="F199" i="36"/>
  <c r="L200" i="26"/>
  <c r="L201" i="26" s="1"/>
  <c r="L202" i="26" s="1"/>
  <c r="N199" i="26"/>
  <c r="R200" i="27"/>
  <c r="R201" i="27" s="1"/>
  <c r="R202" i="27" s="1"/>
  <c r="T199" i="27"/>
  <c r="L197" i="27"/>
  <c r="L198" i="27" s="1"/>
  <c r="L199" i="27" s="1"/>
  <c r="N196" i="27"/>
  <c r="M196" i="27"/>
  <c r="EW58" i="32"/>
  <c r="EO58" i="32"/>
  <c r="EV58" i="32"/>
  <c r="EN58" i="32"/>
  <c r="ET58" i="32"/>
  <c r="EL58" i="32"/>
  <c r="ES58" i="32"/>
  <c r="EK58" i="32"/>
  <c r="EZ58" i="32"/>
  <c r="EJ59" i="32"/>
  <c r="EY58" i="32"/>
  <c r="EX58" i="32"/>
  <c r="EU58" i="32"/>
  <c r="EQ58" i="32"/>
  <c r="ER58" i="32"/>
  <c r="EP58" i="32"/>
  <c r="EM58" i="32"/>
  <c r="L200" i="12"/>
  <c r="L201" i="12" s="1"/>
  <c r="L202" i="12" s="1"/>
  <c r="N199" i="12"/>
  <c r="G199" i="6"/>
  <c r="E200" i="6"/>
  <c r="E201" i="6" s="1"/>
  <c r="E202" i="6" s="1"/>
  <c r="R200" i="2"/>
  <c r="R201" i="2" s="1"/>
  <c r="R202" i="2" s="1"/>
  <c r="T199" i="2"/>
  <c r="G202" i="27"/>
  <c r="E203" i="27"/>
  <c r="E204" i="27" s="1"/>
  <c r="E205" i="27" s="1"/>
  <c r="I14" i="10"/>
  <c r="H14" i="10"/>
  <c r="H16" i="10" s="1"/>
  <c r="G14" i="10"/>
  <c r="G16" i="10" s="1"/>
  <c r="F14" i="10"/>
  <c r="E14" i="10"/>
  <c r="D14" i="10"/>
  <c r="D16" i="10" s="1"/>
  <c r="T202" i="36"/>
  <c r="R203" i="36"/>
  <c r="R204" i="36" s="1"/>
  <c r="R205" i="36" s="1"/>
  <c r="T199" i="26"/>
  <c r="R200" i="26"/>
  <c r="R201" i="26" s="1"/>
  <c r="R202" i="26" s="1"/>
  <c r="N199" i="25"/>
  <c r="L200" i="25"/>
  <c r="L201" i="25" s="1"/>
  <c r="L202" i="25" s="1"/>
  <c r="E206" i="26"/>
  <c r="E207" i="26" s="1"/>
  <c r="E208" i="26" s="1"/>
  <c r="G205" i="26"/>
  <c r="T196" i="25"/>
  <c r="S196" i="25"/>
  <c r="R197" i="25"/>
  <c r="R198" i="25" s="1"/>
  <c r="R199" i="25" s="1"/>
  <c r="G199" i="2"/>
  <c r="E200" i="2"/>
  <c r="E201" i="2" s="1"/>
  <c r="E202" i="2" s="1"/>
  <c r="N202" i="35"/>
  <c r="L203" i="35"/>
  <c r="L204" i="35" s="1"/>
  <c r="L205" i="35" s="1"/>
  <c r="E200" i="25"/>
  <c r="E201" i="25" s="1"/>
  <c r="E202" i="25" s="1"/>
  <c r="G199" i="25"/>
  <c r="N199" i="1"/>
  <c r="L200" i="1"/>
  <c r="L201" i="1" s="1"/>
  <c r="L202" i="1" s="1"/>
  <c r="E200" i="1"/>
  <c r="E201" i="1" s="1"/>
  <c r="E202" i="1" s="1"/>
  <c r="G199" i="1"/>
  <c r="R200" i="1"/>
  <c r="R201" i="1" s="1"/>
  <c r="R202" i="1" s="1"/>
  <c r="T199" i="1"/>
  <c r="DR59" i="32"/>
  <c r="EF58" i="32"/>
  <c r="DX58" i="32"/>
  <c r="EE58" i="32"/>
  <c r="DW58" i="32"/>
  <c r="EC58" i="32"/>
  <c r="DU58" i="32"/>
  <c r="EB58" i="32"/>
  <c r="DT58" i="32"/>
  <c r="DS58" i="32"/>
  <c r="EH58" i="32"/>
  <c r="EG58" i="32"/>
  <c r="ED58" i="32"/>
  <c r="DZ58" i="32"/>
  <c r="EA58" i="32"/>
  <c r="DY58" i="32"/>
  <c r="DV58" i="32"/>
  <c r="R203" i="35"/>
  <c r="R204" i="35" s="1"/>
  <c r="R205" i="35" s="1"/>
  <c r="T202" i="35"/>
  <c r="T199" i="6"/>
  <c r="R200" i="6"/>
  <c r="R201" i="6" s="1"/>
  <c r="R202" i="6" s="1"/>
  <c r="L203" i="36"/>
  <c r="L204" i="36" s="1"/>
  <c r="L205" i="36" s="1"/>
  <c r="N202" i="36"/>
  <c r="N199" i="6"/>
  <c r="L200" i="6"/>
  <c r="L201" i="6" s="1"/>
  <c r="L202" i="6" s="1"/>
  <c r="Y200" i="1"/>
  <c r="Y201" i="1" s="1"/>
  <c r="Y202" i="1" s="1"/>
  <c r="AA199" i="1"/>
  <c r="E200" i="12"/>
  <c r="E201" i="12" s="1"/>
  <c r="E202" i="12" s="1"/>
  <c r="G199" i="12"/>
  <c r="R161" i="12"/>
  <c r="R162" i="12" s="1"/>
  <c r="R163" i="12" s="1"/>
  <c r="S160" i="12"/>
  <c r="T160" i="12"/>
  <c r="E203" i="35"/>
  <c r="E204" i="35" s="1"/>
  <c r="E205" i="35" s="1"/>
  <c r="G202" i="35"/>
  <c r="N202" i="1" l="1"/>
  <c r="L203" i="1"/>
  <c r="L204" i="1" s="1"/>
  <c r="L205" i="1" s="1"/>
  <c r="R200" i="25"/>
  <c r="R201" i="25" s="1"/>
  <c r="R202" i="25" s="1"/>
  <c r="T199" i="25"/>
  <c r="R203" i="27"/>
  <c r="R204" i="27" s="1"/>
  <c r="R205" i="27" s="1"/>
  <c r="T202" i="27"/>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13" i="10" s="1"/>
  <c r="I51" i="10"/>
  <c r="I50" i="10"/>
  <c r="I49" i="10"/>
  <c r="I48" i="10"/>
  <c r="I47" i="10"/>
  <c r="I46" i="10"/>
  <c r="I31" i="10"/>
  <c r="I30" i="10"/>
  <c r="I29" i="10"/>
  <c r="I28" i="10"/>
  <c r="I27" i="10"/>
  <c r="I26" i="10"/>
  <c r="I25" i="10"/>
  <c r="I24" i="10"/>
  <c r="I23" i="10"/>
  <c r="I22" i="10"/>
  <c r="I21" i="10"/>
  <c r="I20" i="10"/>
  <c r="I19" i="10"/>
  <c r="I18" i="10"/>
  <c r="I17" i="10"/>
  <c r="R203" i="6"/>
  <c r="R204" i="6" s="1"/>
  <c r="R205" i="6" s="1"/>
  <c r="T202" i="6"/>
  <c r="E34" i="10"/>
  <c r="E33" i="10"/>
  <c r="E32" i="10"/>
  <c r="E31" i="10"/>
  <c r="E30" i="10"/>
  <c r="E29" i="10"/>
  <c r="E28" i="10"/>
  <c r="E27" i="10"/>
  <c r="E26" i="10"/>
  <c r="E25" i="10"/>
  <c r="E24" i="10"/>
  <c r="E23" i="10"/>
  <c r="E22" i="10"/>
  <c r="E21" i="10"/>
  <c r="E20" i="10"/>
  <c r="E19" i="10"/>
  <c r="E18" i="10"/>
  <c r="E17" i="10"/>
  <c r="AA202" i="1"/>
  <c r="Y203" i="1"/>
  <c r="Y204" i="1" s="1"/>
  <c r="Y205" i="1" s="1"/>
  <c r="R206" i="35"/>
  <c r="R207" i="35" s="1"/>
  <c r="R208" i="35" s="1"/>
  <c r="T205" i="35"/>
  <c r="L203" i="12"/>
  <c r="L204" i="12" s="1"/>
  <c r="L205" i="12" s="1"/>
  <c r="N202" i="12"/>
  <c r="EY59" i="32"/>
  <c r="EQ59" i="32"/>
  <c r="EJ60" i="32"/>
  <c r="EX59" i="32"/>
  <c r="EP59" i="32"/>
  <c r="EV59" i="32"/>
  <c r="EN59" i="32"/>
  <c r="EU59" i="32"/>
  <c r="EM59" i="32"/>
  <c r="ES59" i="32"/>
  <c r="EK59" i="32"/>
  <c r="EL59" i="32"/>
  <c r="EZ59" i="32"/>
  <c r="EW59" i="32"/>
  <c r="ET59" i="32"/>
  <c r="ER59" i="32"/>
  <c r="EO59" i="32"/>
  <c r="N202" i="26"/>
  <c r="L203" i="26"/>
  <c r="L204" i="26" s="1"/>
  <c r="L205" i="26" s="1"/>
  <c r="T205" i="36"/>
  <c r="R206" i="36"/>
  <c r="R207" i="36" s="1"/>
  <c r="R208" i="36" s="1"/>
  <c r="N202" i="6"/>
  <c r="L203" i="6"/>
  <c r="L204" i="6" s="1"/>
  <c r="L205" i="6" s="1"/>
  <c r="G202" i="25"/>
  <c r="E203" i="25"/>
  <c r="E204" i="25" s="1"/>
  <c r="E205" i="25" s="1"/>
  <c r="D31" i="10"/>
  <c r="D30" i="10"/>
  <c r="D29" i="10"/>
  <c r="D28" i="10"/>
  <c r="D27" i="10"/>
  <c r="D26" i="10"/>
  <c r="D25" i="10"/>
  <c r="D24" i="10"/>
  <c r="D23" i="10"/>
  <c r="D22" i="10"/>
  <c r="D21" i="10"/>
  <c r="D20" i="10"/>
  <c r="D19" i="10"/>
  <c r="D18" i="10"/>
  <c r="D17" i="10"/>
  <c r="F76" i="10"/>
  <c r="F75" i="10"/>
  <c r="F74" i="10"/>
  <c r="F32" i="10"/>
  <c r="F31" i="10"/>
  <c r="F30" i="10"/>
  <c r="F29" i="10"/>
  <c r="F28" i="10"/>
  <c r="F27" i="10"/>
  <c r="F26" i="10"/>
  <c r="F25" i="10"/>
  <c r="F24" i="10"/>
  <c r="F23" i="10"/>
  <c r="F22" i="10"/>
  <c r="F21" i="10"/>
  <c r="F20" i="10"/>
  <c r="F19" i="10"/>
  <c r="F18" i="10"/>
  <c r="F17" i="10"/>
  <c r="E206" i="27"/>
  <c r="E207" i="27" s="1"/>
  <c r="E208" i="27" s="1"/>
  <c r="G205" i="27"/>
  <c r="N205" i="35"/>
  <c r="L206" i="35"/>
  <c r="L207" i="35" s="1"/>
  <c r="L208" i="35" s="1"/>
  <c r="E209" i="26"/>
  <c r="E210" i="26" s="1"/>
  <c r="E211" i="26" s="1"/>
  <c r="F208" i="26"/>
  <c r="H7" i="33" s="1"/>
  <c r="G208" i="26"/>
  <c r="E16" i="10"/>
  <c r="E206" i="35"/>
  <c r="E207" i="35" s="1"/>
  <c r="E208" i="35" s="1"/>
  <c r="G205" i="35"/>
  <c r="T202" i="1"/>
  <c r="R203" i="1"/>
  <c r="R204" i="1" s="1"/>
  <c r="R205" i="1" s="1"/>
  <c r="L203" i="25"/>
  <c r="L204" i="25" s="1"/>
  <c r="L205" i="25" s="1"/>
  <c r="N202" i="25"/>
  <c r="G76" i="10"/>
  <c r="G75" i="10"/>
  <c r="G74" i="10"/>
  <c r="G34" i="10"/>
  <c r="G33" i="10"/>
  <c r="G32" i="10"/>
  <c r="G31" i="10"/>
  <c r="G30" i="10"/>
  <c r="G29" i="10"/>
  <c r="G28" i="10"/>
  <c r="G27" i="10"/>
  <c r="G26" i="10"/>
  <c r="G25" i="10"/>
  <c r="G24" i="10"/>
  <c r="G23" i="10"/>
  <c r="G22" i="10"/>
  <c r="G21" i="10"/>
  <c r="G20" i="10"/>
  <c r="G19" i="10"/>
  <c r="G18" i="10"/>
  <c r="G17" i="10"/>
  <c r="E203" i="36"/>
  <c r="E204" i="36" s="1"/>
  <c r="E205" i="36" s="1"/>
  <c r="G202" i="36"/>
  <c r="E203" i="12"/>
  <c r="E204" i="12" s="1"/>
  <c r="E205" i="12" s="1"/>
  <c r="G202" i="12"/>
  <c r="EH59" i="32"/>
  <c r="DZ59" i="32"/>
  <c r="EG59" i="32"/>
  <c r="DY59" i="32"/>
  <c r="EE59" i="32"/>
  <c r="DW59" i="32"/>
  <c r="ED59" i="32"/>
  <c r="DV59" i="32"/>
  <c r="EB59" i="32"/>
  <c r="DT59" i="32"/>
  <c r="EF59" i="32"/>
  <c r="DR60" i="32"/>
  <c r="EC59" i="32"/>
  <c r="DX59" i="32"/>
  <c r="EA59" i="32"/>
  <c r="DU59" i="32"/>
  <c r="DS59" i="32"/>
  <c r="R164" i="12"/>
  <c r="R165" i="12" s="1"/>
  <c r="R166" i="12" s="1"/>
  <c r="T163" i="12"/>
  <c r="L206" i="36"/>
  <c r="L207" i="36" s="1"/>
  <c r="L208" i="36" s="1"/>
  <c r="N205" i="36"/>
  <c r="E203" i="2"/>
  <c r="E204" i="2" s="1"/>
  <c r="E205" i="2" s="1"/>
  <c r="D34" i="10" s="1"/>
  <c r="G202" i="2"/>
  <c r="I16" i="10"/>
  <c r="F16" i="10"/>
  <c r="T202" i="2"/>
  <c r="R203" i="2"/>
  <c r="R204" i="2" s="1"/>
  <c r="R205" i="2" s="1"/>
  <c r="L200" i="27"/>
  <c r="L201" i="27" s="1"/>
  <c r="L202" i="27" s="1"/>
  <c r="N199" i="27"/>
  <c r="L206" i="2"/>
  <c r="L207" i="2" s="1"/>
  <c r="L208" i="2" s="1"/>
  <c r="E37" i="10" s="1"/>
  <c r="N205" i="2"/>
  <c r="E203" i="1"/>
  <c r="E204" i="1" s="1"/>
  <c r="E205" i="1" s="1"/>
  <c r="G202" i="1"/>
  <c r="R203" i="26"/>
  <c r="R204" i="26" s="1"/>
  <c r="R205" i="26" s="1"/>
  <c r="T202" i="26"/>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13" i="10" s="1"/>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E203" i="6"/>
  <c r="E204" i="6" s="1"/>
  <c r="E205" i="6" s="1"/>
  <c r="F34" i="10" s="1"/>
  <c r="G202" i="6"/>
  <c r="T205" i="26" l="1"/>
  <c r="R206" i="26"/>
  <c r="R207" i="26" s="1"/>
  <c r="R208" i="26" s="1"/>
  <c r="R167" i="12"/>
  <c r="R168" i="12" s="1"/>
  <c r="R169" i="12" s="1"/>
  <c r="T166" i="12"/>
  <c r="F33" i="10"/>
  <c r="G205" i="25"/>
  <c r="E206" i="25"/>
  <c r="E207" i="25" s="1"/>
  <c r="E208" i="25" s="1"/>
  <c r="E35" i="10"/>
  <c r="L206" i="6"/>
  <c r="N205" i="6"/>
  <c r="N205" i="12"/>
  <c r="L206" i="12"/>
  <c r="E36" i="10"/>
  <c r="R206" i="27"/>
  <c r="R207" i="27" s="1"/>
  <c r="R208" i="27" s="1"/>
  <c r="T205" i="27"/>
  <c r="E206" i="6"/>
  <c r="G205" i="6"/>
  <c r="E206" i="1"/>
  <c r="E207" i="1" s="1"/>
  <c r="E208" i="1" s="1"/>
  <c r="G205" i="1"/>
  <c r="G205" i="12"/>
  <c r="F205" i="12"/>
  <c r="L206" i="25"/>
  <c r="L207" i="25" s="1"/>
  <c r="L208" i="25" s="1"/>
  <c r="N205" i="25"/>
  <c r="E212" i="26"/>
  <c r="E213" i="26" s="1"/>
  <c r="E214" i="26" s="1"/>
  <c r="G211" i="26"/>
  <c r="D32" i="10"/>
  <c r="T205" i="2"/>
  <c r="R206" i="2"/>
  <c r="R207" i="2" s="1"/>
  <c r="R208" i="2" s="1"/>
  <c r="E209" i="35"/>
  <c r="E210" i="35" s="1"/>
  <c r="E211" i="35" s="1"/>
  <c r="G208" i="35"/>
  <c r="E209" i="27"/>
  <c r="E210" i="27" s="1"/>
  <c r="E211" i="27" s="1"/>
  <c r="F208" i="27"/>
  <c r="L7" i="33" s="1"/>
  <c r="G208" i="27"/>
  <c r="D33" i="10"/>
  <c r="T208" i="36"/>
  <c r="R209" i="36"/>
  <c r="R210" i="36" s="1"/>
  <c r="R211" i="36" s="1"/>
  <c r="R209" i="35"/>
  <c r="R210" i="35" s="1"/>
  <c r="R211" i="35" s="1"/>
  <c r="T208" i="35"/>
  <c r="R206" i="6"/>
  <c r="R207" i="6" s="1"/>
  <c r="R208" i="6" s="1"/>
  <c r="T205" i="6"/>
  <c r="I32" i="10"/>
  <c r="T202" i="25"/>
  <c r="R203" i="25"/>
  <c r="R204" i="25" s="1"/>
  <c r="R205" i="25" s="1"/>
  <c r="N208" i="2"/>
  <c r="M208" i="2"/>
  <c r="N7" i="33" s="1"/>
  <c r="L209" i="2"/>
  <c r="N208" i="35"/>
  <c r="L209" i="35"/>
  <c r="L210" i="35" s="1"/>
  <c r="L211" i="35" s="1"/>
  <c r="E206" i="36"/>
  <c r="E207" i="36" s="1"/>
  <c r="E208" i="36" s="1"/>
  <c r="G205" i="36"/>
  <c r="Y206" i="1"/>
  <c r="Y207" i="1" s="1"/>
  <c r="Y208" i="1" s="1"/>
  <c r="AA205" i="1"/>
  <c r="I33" i="10"/>
  <c r="L206" i="1"/>
  <c r="L207" i="1" s="1"/>
  <c r="L208" i="1" s="1"/>
  <c r="N205" i="1"/>
  <c r="E206" i="2"/>
  <c r="G205" i="2"/>
  <c r="T205" i="1"/>
  <c r="R206" i="1"/>
  <c r="R207" i="1" s="1"/>
  <c r="R208" i="1" s="1"/>
  <c r="L203" i="27"/>
  <c r="L204" i="27" s="1"/>
  <c r="L205" i="27" s="1"/>
  <c r="N202" i="27"/>
  <c r="L209" i="36"/>
  <c r="L210" i="36" s="1"/>
  <c r="L211" i="36" s="1"/>
  <c r="N208" i="36"/>
  <c r="EB60" i="32"/>
  <c r="DT60" i="32"/>
  <c r="EA60" i="32"/>
  <c r="DS60" i="32"/>
  <c r="EG60" i="32"/>
  <c r="DY60" i="32"/>
  <c r="DR61" i="32"/>
  <c r="EF60" i="32"/>
  <c r="DX60" i="32"/>
  <c r="ED60" i="32"/>
  <c r="DV60" i="32"/>
  <c r="DZ60" i="32"/>
  <c r="DW60" i="32"/>
  <c r="DU60" i="32"/>
  <c r="EH60" i="32"/>
  <c r="EE60" i="32"/>
  <c r="EC60" i="32"/>
  <c r="L206" i="26"/>
  <c r="L207" i="26" s="1"/>
  <c r="L208" i="26" s="1"/>
  <c r="N205" i="26"/>
  <c r="ES60" i="32"/>
  <c r="EK60" i="32"/>
  <c r="EZ60" i="32"/>
  <c r="ER60" i="32"/>
  <c r="EJ61" i="32"/>
  <c r="EX60" i="32"/>
  <c r="EP60" i="32"/>
  <c r="EW60" i="32"/>
  <c r="EO60" i="32"/>
  <c r="EU60" i="32"/>
  <c r="EM60" i="32"/>
  <c r="EV60" i="32"/>
  <c r="ET60" i="32"/>
  <c r="EQ60" i="32"/>
  <c r="EN60" i="32"/>
  <c r="EL60" i="32"/>
  <c r="EY60" i="32"/>
  <c r="I34" i="10"/>
  <c r="E207" i="2" l="1"/>
  <c r="D35" i="10"/>
  <c r="N211" i="35"/>
  <c r="M211" i="35"/>
  <c r="L212" i="35"/>
  <c r="L213" i="35" s="1"/>
  <c r="L214" i="35" s="1"/>
  <c r="E215" i="26"/>
  <c r="E216" i="26" s="1"/>
  <c r="E217" i="26" s="1"/>
  <c r="G214" i="26"/>
  <c r="E207" i="6"/>
  <c r="F35" i="10"/>
  <c r="L210" i="2"/>
  <c r="E38" i="10"/>
  <c r="F211" i="35"/>
  <c r="E212" i="35"/>
  <c r="E213" i="35" s="1"/>
  <c r="E214" i="35" s="1"/>
  <c r="G211" i="35"/>
  <c r="EU61" i="32"/>
  <c r="EM61" i="32"/>
  <c r="ET61" i="32"/>
  <c r="EL61" i="32"/>
  <c r="EZ61" i="32"/>
  <c r="ER61" i="32"/>
  <c r="EY61" i="32"/>
  <c r="EQ61" i="32"/>
  <c r="EW61" i="32"/>
  <c r="EO61" i="32"/>
  <c r="EK61" i="32"/>
  <c r="EX61" i="32"/>
  <c r="EJ62" i="32"/>
  <c r="EV61" i="32"/>
  <c r="ES61" i="32"/>
  <c r="EP61" i="32"/>
  <c r="EN61" i="32"/>
  <c r="S208" i="6"/>
  <c r="I7" i="33" s="1"/>
  <c r="R209" i="6"/>
  <c r="R210" i="6" s="1"/>
  <c r="R211" i="6" s="1"/>
  <c r="T208" i="6"/>
  <c r="E212" i="27"/>
  <c r="E213" i="27" s="1"/>
  <c r="E214" i="27" s="1"/>
  <c r="G211" i="27"/>
  <c r="E209" i="25"/>
  <c r="E210" i="25" s="1"/>
  <c r="E211" i="25" s="1"/>
  <c r="G208" i="25"/>
  <c r="F208" i="25"/>
  <c r="D12" i="33" s="1"/>
  <c r="N208" i="1"/>
  <c r="M208" i="1"/>
  <c r="F12" i="33" s="1"/>
  <c r="L209" i="1"/>
  <c r="L210" i="1" s="1"/>
  <c r="L211" i="1" s="1"/>
  <c r="L206" i="27"/>
  <c r="L207" i="27" s="1"/>
  <c r="L208" i="27" s="1"/>
  <c r="N205" i="27"/>
  <c r="T211" i="36"/>
  <c r="R212" i="36"/>
  <c r="R213" i="36" s="1"/>
  <c r="R214" i="36" s="1"/>
  <c r="S211" i="36"/>
  <c r="T208" i="2"/>
  <c r="S208" i="2"/>
  <c r="M7" i="33" s="1"/>
  <c r="R209" i="2"/>
  <c r="R210" i="2" s="1"/>
  <c r="R211" i="2" s="1"/>
  <c r="L207" i="12"/>
  <c r="I35" i="10"/>
  <c r="ED61" i="32"/>
  <c r="DV61" i="32"/>
  <c r="EC61" i="32"/>
  <c r="DU61" i="32"/>
  <c r="EA61" i="32"/>
  <c r="DS61" i="32"/>
  <c r="EH61" i="32"/>
  <c r="DZ61" i="32"/>
  <c r="DR62" i="32"/>
  <c r="EF61" i="32"/>
  <c r="DX61" i="32"/>
  <c r="EG61" i="32"/>
  <c r="EE61" i="32"/>
  <c r="EB61" i="32"/>
  <c r="DW61" i="32"/>
  <c r="DY61" i="32"/>
  <c r="DT61" i="32"/>
  <c r="T208" i="27"/>
  <c r="R209" i="27"/>
  <c r="R210" i="27" s="1"/>
  <c r="R211" i="27" s="1"/>
  <c r="S208" i="27"/>
  <c r="R209" i="1"/>
  <c r="R210" i="1" s="1"/>
  <c r="R211" i="1" s="1"/>
  <c r="T208" i="1"/>
  <c r="S208" i="1"/>
  <c r="Y209" i="1"/>
  <c r="Y210" i="1" s="1"/>
  <c r="Y211" i="1" s="1"/>
  <c r="AA208" i="1"/>
  <c r="Z208" i="1"/>
  <c r="E12" i="33" s="1"/>
  <c r="T205" i="25"/>
  <c r="R206" i="25"/>
  <c r="R207" i="25" s="1"/>
  <c r="R208" i="25" s="1"/>
  <c r="R170" i="12"/>
  <c r="R171" i="12" s="1"/>
  <c r="R172" i="12" s="1"/>
  <c r="T169" i="12"/>
  <c r="L212" i="36"/>
  <c r="L213" i="36" s="1"/>
  <c r="L214" i="36" s="1"/>
  <c r="M211" i="36"/>
  <c r="N211" i="36"/>
  <c r="E209" i="1"/>
  <c r="E210" i="1" s="1"/>
  <c r="E211" i="1" s="1"/>
  <c r="F208" i="1"/>
  <c r="C12" i="33" s="1"/>
  <c r="G208" i="1"/>
  <c r="T208" i="26"/>
  <c r="S208" i="26"/>
  <c r="R209" i="26"/>
  <c r="R210" i="26" s="1"/>
  <c r="R211" i="26" s="1"/>
  <c r="L209" i="25"/>
  <c r="L210" i="25" s="1"/>
  <c r="L211" i="25" s="1"/>
  <c r="N208" i="25"/>
  <c r="M208" i="25"/>
  <c r="T211" i="35"/>
  <c r="R212" i="35"/>
  <c r="R213" i="35" s="1"/>
  <c r="R214" i="35" s="1"/>
  <c r="S211" i="35"/>
  <c r="L209" i="26"/>
  <c r="L210" i="26" s="1"/>
  <c r="L211" i="26" s="1"/>
  <c r="N208" i="26"/>
  <c r="M208" i="26"/>
  <c r="E209" i="36"/>
  <c r="E210" i="36" s="1"/>
  <c r="E211" i="36" s="1"/>
  <c r="G208" i="36"/>
  <c r="L207" i="6"/>
  <c r="G35" i="10"/>
  <c r="T214" i="35" l="1"/>
  <c r="R215" i="35"/>
  <c r="R216" i="35" s="1"/>
  <c r="R217" i="35" s="1"/>
  <c r="T208" i="25"/>
  <c r="R209" i="25"/>
  <c r="R210" i="25" s="1"/>
  <c r="R211" i="25" s="1"/>
  <c r="S208" i="25"/>
  <c r="E208" i="6"/>
  <c r="F36" i="10"/>
  <c r="L208" i="6"/>
  <c r="G36" i="10"/>
  <c r="T211" i="27"/>
  <c r="R212" i="27"/>
  <c r="R213" i="27" s="1"/>
  <c r="R214" i="27" s="1"/>
  <c r="G211" i="1"/>
  <c r="E212" i="1"/>
  <c r="E213" i="1" s="1"/>
  <c r="E214" i="1" s="1"/>
  <c r="G211" i="36"/>
  <c r="F211" i="36"/>
  <c r="E212" i="36"/>
  <c r="E213" i="36" s="1"/>
  <c r="E214" i="36" s="1"/>
  <c r="EF62" i="32"/>
  <c r="DX62" i="32"/>
  <c r="AM19" i="32" s="1" a="1"/>
  <c r="AM19" i="32" s="1"/>
  <c r="EE62" i="32"/>
  <c r="AT19" i="32" s="1" a="1"/>
  <c r="AT19" i="32" s="1"/>
  <c r="DW62" i="32"/>
  <c r="AL19" i="32" s="1" a="1"/>
  <c r="AL19" i="32" s="1"/>
  <c r="EC62" i="32"/>
  <c r="AR19" i="32" s="1" a="1"/>
  <c r="AR19" i="32" s="1"/>
  <c r="DU62" i="32"/>
  <c r="AJ19" i="32" s="1" a="1"/>
  <c r="AJ19" i="32" s="1"/>
  <c r="EB62" i="32"/>
  <c r="AQ19" i="32" s="1" a="1"/>
  <c r="AQ19" i="32" s="1"/>
  <c r="DT62" i="32"/>
  <c r="AI19" i="32" s="1" a="1"/>
  <c r="AI19" i="32" s="1"/>
  <c r="EH62" i="32"/>
  <c r="DZ62" i="32"/>
  <c r="AO19" i="32" s="1" a="1"/>
  <c r="AO19" i="32" s="1"/>
  <c r="DY62" i="32"/>
  <c r="AN19" i="32" s="1" a="1"/>
  <c r="AN19" i="32" s="1"/>
  <c r="DV62" i="32"/>
  <c r="AK19" i="32" s="1" a="1"/>
  <c r="AK19" i="32" s="1"/>
  <c r="DS62" i="32"/>
  <c r="EG62" i="32"/>
  <c r="ED62" i="32"/>
  <c r="AS19" i="32" s="1" a="1"/>
  <c r="AS19" i="32" s="1"/>
  <c r="EA62" i="32"/>
  <c r="AP19" i="32" s="1" a="1"/>
  <c r="AP19" i="32" s="1"/>
  <c r="G211" i="25"/>
  <c r="E212" i="25"/>
  <c r="E213" i="25" s="1"/>
  <c r="E214" i="25" s="1"/>
  <c r="N214" i="35"/>
  <c r="L215" i="35"/>
  <c r="L216" i="35" s="1"/>
  <c r="L217" i="35" s="1"/>
  <c r="AA211" i="1"/>
  <c r="Y212" i="1"/>
  <c r="Y213" i="1" s="1"/>
  <c r="Y214" i="1" s="1"/>
  <c r="T214" i="36"/>
  <c r="R215" i="36"/>
  <c r="R216" i="36" s="1"/>
  <c r="R217" i="36" s="1"/>
  <c r="L212" i="25"/>
  <c r="L213" i="25" s="1"/>
  <c r="L214" i="25" s="1"/>
  <c r="N211" i="25"/>
  <c r="R212" i="26"/>
  <c r="R213" i="26" s="1"/>
  <c r="R214" i="26" s="1"/>
  <c r="T211" i="26"/>
  <c r="L215" i="36"/>
  <c r="L216" i="36" s="1"/>
  <c r="L217" i="36" s="1"/>
  <c r="N214" i="36"/>
  <c r="L208" i="12"/>
  <c r="I36" i="10"/>
  <c r="M208" i="27"/>
  <c r="L209" i="27"/>
  <c r="L210" i="27" s="1"/>
  <c r="L211" i="27" s="1"/>
  <c r="N208" i="27"/>
  <c r="E215" i="27"/>
  <c r="E216" i="27" s="1"/>
  <c r="E217" i="27" s="1"/>
  <c r="G214" i="27"/>
  <c r="EJ63" i="32"/>
  <c r="EW62" i="32"/>
  <c r="EO62" i="32"/>
  <c r="EV62" i="32"/>
  <c r="EN62" i="32"/>
  <c r="ET62" i="32"/>
  <c r="EL62" i="32"/>
  <c r="ES62" i="32"/>
  <c r="EK62" i="32"/>
  <c r="EY62" i="32"/>
  <c r="EQ62" i="32"/>
  <c r="EU62" i="32"/>
  <c r="ER62" i="32"/>
  <c r="EP62" i="32"/>
  <c r="EM62" i="32"/>
  <c r="EZ62" i="32"/>
  <c r="EX62" i="32"/>
  <c r="G217" i="26"/>
  <c r="E218" i="26"/>
  <c r="E219" i="26" s="1"/>
  <c r="E220" i="26" s="1"/>
  <c r="E215" i="35"/>
  <c r="E216" i="35" s="1"/>
  <c r="E217" i="35" s="1"/>
  <c r="G214" i="35"/>
  <c r="N211" i="26"/>
  <c r="L212" i="26"/>
  <c r="L213" i="26" s="1"/>
  <c r="L214" i="26" s="1"/>
  <c r="T211" i="2"/>
  <c r="R212" i="2"/>
  <c r="R213" i="2" s="1"/>
  <c r="R214" i="2" s="1"/>
  <c r="L212" i="1"/>
  <c r="L213" i="1" s="1"/>
  <c r="L214" i="1" s="1"/>
  <c r="N211" i="1"/>
  <c r="L211" i="2"/>
  <c r="E39" i="10"/>
  <c r="T172" i="12"/>
  <c r="R173" i="12"/>
  <c r="R174" i="12" s="1"/>
  <c r="R175" i="12" s="1"/>
  <c r="S172" i="12"/>
  <c r="R212" i="1"/>
  <c r="R213" i="1" s="1"/>
  <c r="R214" i="1" s="1"/>
  <c r="T211" i="1"/>
  <c r="R212" i="6"/>
  <c r="R213" i="6" s="1"/>
  <c r="R214" i="6" s="1"/>
  <c r="T211" i="6"/>
  <c r="E208" i="2"/>
  <c r="D36" i="10"/>
  <c r="R215" i="6" l="1"/>
  <c r="R216" i="6" s="1"/>
  <c r="R217" i="6" s="1"/>
  <c r="T214" i="6"/>
  <c r="G220" i="26"/>
  <c r="F220" i="26"/>
  <c r="H6" i="33" s="1"/>
  <c r="E221" i="26"/>
  <c r="E222" i="26" s="1"/>
  <c r="E223" i="26" s="1"/>
  <c r="T217" i="36"/>
  <c r="R218" i="36"/>
  <c r="R219" i="36" s="1"/>
  <c r="R220" i="36" s="1"/>
  <c r="E215" i="36"/>
  <c r="E216" i="36" s="1"/>
  <c r="E217" i="36" s="1"/>
  <c r="G214" i="36"/>
  <c r="N208" i="6"/>
  <c r="L209" i="6"/>
  <c r="M208" i="6"/>
  <c r="J7" i="33" s="1"/>
  <c r="G37" i="10"/>
  <c r="EZ63" i="32"/>
  <c r="ER63" i="32"/>
  <c r="EY63" i="32"/>
  <c r="EQ63" i="32"/>
  <c r="EJ64" i="32"/>
  <c r="EW63" i="32"/>
  <c r="EO63" i="32"/>
  <c r="EV63" i="32"/>
  <c r="EN63" i="32"/>
  <c r="ET63" i="32"/>
  <c r="EL63" i="32"/>
  <c r="EX63" i="32"/>
  <c r="EU63" i="32"/>
  <c r="ES63" i="32"/>
  <c r="EP63" i="32"/>
  <c r="EM63" i="32"/>
  <c r="EK63" i="32"/>
  <c r="Y215" i="1"/>
  <c r="Y216" i="1" s="1"/>
  <c r="Y217" i="1" s="1"/>
  <c r="AA214" i="1"/>
  <c r="L218" i="36"/>
  <c r="L219" i="36" s="1"/>
  <c r="L220" i="36" s="1"/>
  <c r="N217" i="36"/>
  <c r="E218" i="27"/>
  <c r="E219" i="27" s="1"/>
  <c r="E220" i="27" s="1"/>
  <c r="G217" i="27"/>
  <c r="L218" i="35"/>
  <c r="L219" i="35" s="1"/>
  <c r="L220" i="35" s="1"/>
  <c r="N217" i="35"/>
  <c r="T211" i="25"/>
  <c r="R212" i="25"/>
  <c r="R213" i="25" s="1"/>
  <c r="R214" i="25" s="1"/>
  <c r="G214" i="1"/>
  <c r="E215" i="1"/>
  <c r="E216" i="1" s="1"/>
  <c r="E217" i="1" s="1"/>
  <c r="T175" i="12"/>
  <c r="R176" i="12"/>
  <c r="R177" i="12" s="1"/>
  <c r="R178" i="12" s="1"/>
  <c r="R215" i="26"/>
  <c r="R216" i="26" s="1"/>
  <c r="R217" i="26" s="1"/>
  <c r="T214" i="26"/>
  <c r="R215" i="27"/>
  <c r="R216" i="27" s="1"/>
  <c r="R217" i="27" s="1"/>
  <c r="T214" i="27"/>
  <c r="L215" i="1"/>
  <c r="L216" i="1" s="1"/>
  <c r="L217" i="1" s="1"/>
  <c r="N214" i="1"/>
  <c r="R215" i="1"/>
  <c r="R216" i="1" s="1"/>
  <c r="R217" i="1" s="1"/>
  <c r="T214" i="1"/>
  <c r="N214" i="26"/>
  <c r="L215" i="26"/>
  <c r="L216" i="26" s="1"/>
  <c r="L217" i="26" s="1"/>
  <c r="F208" i="2"/>
  <c r="K7" i="33" s="1"/>
  <c r="E209" i="2"/>
  <c r="G208" i="2"/>
  <c r="D37" i="10"/>
  <c r="L212" i="27"/>
  <c r="L213" i="27" s="1"/>
  <c r="L214" i="27" s="1"/>
  <c r="N211" i="27"/>
  <c r="G214" i="25"/>
  <c r="E215" i="25"/>
  <c r="E216" i="25" s="1"/>
  <c r="E217" i="25" s="1"/>
  <c r="T217" i="35"/>
  <c r="R218" i="35"/>
  <c r="R219" i="35" s="1"/>
  <c r="R220" i="35" s="1"/>
  <c r="L209" i="12"/>
  <c r="N208" i="12"/>
  <c r="M208" i="12"/>
  <c r="I37" i="10"/>
  <c r="R215" i="2"/>
  <c r="R216" i="2" s="1"/>
  <c r="R217" i="2" s="1"/>
  <c r="T214" i="2"/>
  <c r="E209" i="6"/>
  <c r="G208" i="6"/>
  <c r="F208" i="6"/>
  <c r="G7" i="33" s="1"/>
  <c r="F37" i="10"/>
  <c r="L212" i="2"/>
  <c r="N211" i="2"/>
  <c r="E40" i="10"/>
  <c r="E218" i="35"/>
  <c r="E219" i="35" s="1"/>
  <c r="E220" i="35" s="1"/>
  <c r="G217" i="35"/>
  <c r="L215" i="25"/>
  <c r="L216" i="25" s="1"/>
  <c r="L217" i="25" s="1"/>
  <c r="N214" i="25"/>
  <c r="L218" i="25" l="1"/>
  <c r="L219" i="25" s="1"/>
  <c r="L220" i="25" s="1"/>
  <c r="N217" i="25"/>
  <c r="T220" i="35"/>
  <c r="R221" i="35"/>
  <c r="R222" i="35" s="1"/>
  <c r="R223" i="35" s="1"/>
  <c r="E210" i="2"/>
  <c r="D38" i="10"/>
  <c r="T214" i="25"/>
  <c r="R215" i="25"/>
  <c r="R216" i="25" s="1"/>
  <c r="R217" i="25" s="1"/>
  <c r="E218" i="36"/>
  <c r="E219" i="36" s="1"/>
  <c r="E220" i="36" s="1"/>
  <c r="G217" i="36"/>
  <c r="N217" i="26"/>
  <c r="L218" i="26"/>
  <c r="L219" i="26" s="1"/>
  <c r="L220" i="26" s="1"/>
  <c r="E210" i="6"/>
  <c r="F38" i="10"/>
  <c r="T217" i="27"/>
  <c r="R218" i="27"/>
  <c r="R219" i="27" s="1"/>
  <c r="R220" i="27" s="1"/>
  <c r="Y218" i="1"/>
  <c r="Y219" i="1" s="1"/>
  <c r="Y220" i="1" s="1"/>
  <c r="AA217" i="1"/>
  <c r="T220" i="36"/>
  <c r="R221" i="36"/>
  <c r="R222" i="36" s="1"/>
  <c r="R223" i="36" s="1"/>
  <c r="E221" i="35"/>
  <c r="E222" i="35" s="1"/>
  <c r="E223" i="35" s="1"/>
  <c r="G220" i="35"/>
  <c r="R218" i="2"/>
  <c r="R219" i="2" s="1"/>
  <c r="R220" i="2" s="1"/>
  <c r="T217" i="2"/>
  <c r="L221" i="35"/>
  <c r="L222" i="35" s="1"/>
  <c r="L223" i="35" s="1"/>
  <c r="N220" i="35"/>
  <c r="E224" i="26"/>
  <c r="E225" i="26" s="1"/>
  <c r="E226" i="26" s="1"/>
  <c r="G223" i="26"/>
  <c r="T178" i="12"/>
  <c r="R179" i="12"/>
  <c r="R180" i="12" s="1"/>
  <c r="R181" i="12" s="1"/>
  <c r="N214" i="27"/>
  <c r="L215" i="27"/>
  <c r="L216" i="27" s="1"/>
  <c r="L217" i="27" s="1"/>
  <c r="T217" i="1"/>
  <c r="R218" i="1"/>
  <c r="R219" i="1" s="1"/>
  <c r="R220" i="1" s="1"/>
  <c r="E221" i="27"/>
  <c r="E222" i="27" s="1"/>
  <c r="E223" i="27" s="1"/>
  <c r="G220" i="27"/>
  <c r="F220" i="27"/>
  <c r="L6" i="33" s="1"/>
  <c r="L210" i="6"/>
  <c r="G38" i="10"/>
  <c r="G217" i="1"/>
  <c r="E218" i="1"/>
  <c r="E219" i="1" s="1"/>
  <c r="E220" i="1" s="1"/>
  <c r="EU64" i="32"/>
  <c r="EM64" i="32"/>
  <c r="ET64" i="32"/>
  <c r="EL64" i="32"/>
  <c r="EZ64" i="32"/>
  <c r="ER64" i="32"/>
  <c r="EY64" i="32"/>
  <c r="EQ64" i="32"/>
  <c r="EJ65" i="32"/>
  <c r="EW64" i="32"/>
  <c r="EO64" i="32"/>
  <c r="EK64" i="32"/>
  <c r="EX64" i="32"/>
  <c r="ES64" i="32"/>
  <c r="EV64" i="32"/>
  <c r="EP64" i="32"/>
  <c r="EN64" i="32"/>
  <c r="E218" i="25"/>
  <c r="E219" i="25" s="1"/>
  <c r="E220" i="25" s="1"/>
  <c r="G217" i="25"/>
  <c r="R218" i="26"/>
  <c r="R219" i="26" s="1"/>
  <c r="R220" i="26" s="1"/>
  <c r="T217" i="26"/>
  <c r="L213" i="2"/>
  <c r="E41" i="10"/>
  <c r="L210" i="12"/>
  <c r="I38" i="10"/>
  <c r="L218" i="1"/>
  <c r="L219" i="1" s="1"/>
  <c r="L220" i="1" s="1"/>
  <c r="N217" i="1"/>
  <c r="L221" i="36"/>
  <c r="L222" i="36" s="1"/>
  <c r="L223" i="36" s="1"/>
  <c r="N220" i="36"/>
  <c r="T217" i="6"/>
  <c r="R218" i="6"/>
  <c r="R219" i="6" s="1"/>
  <c r="R220" i="6" s="1"/>
  <c r="L211" i="6" l="1"/>
  <c r="G39" i="10"/>
  <c r="R221" i="6"/>
  <c r="R222" i="6" s="1"/>
  <c r="R223" i="6" s="1"/>
  <c r="S220" i="6"/>
  <c r="I6" i="33" s="1"/>
  <c r="T220" i="6"/>
  <c r="L218" i="27"/>
  <c r="L219" i="27" s="1"/>
  <c r="L220" i="27" s="1"/>
  <c r="N217" i="27"/>
  <c r="T220" i="27"/>
  <c r="S220" i="27"/>
  <c r="R221" i="27"/>
  <c r="R222" i="27" s="1"/>
  <c r="R223" i="27" s="1"/>
  <c r="T217" i="25"/>
  <c r="R218" i="25"/>
  <c r="R219" i="25" s="1"/>
  <c r="R220" i="25" s="1"/>
  <c r="L214" i="2"/>
  <c r="E42" i="10"/>
  <c r="R221" i="2"/>
  <c r="R222" i="2" s="1"/>
  <c r="R223" i="2" s="1"/>
  <c r="T220" i="2"/>
  <c r="S220" i="2"/>
  <c r="M6" i="33" s="1"/>
  <c r="T181" i="12"/>
  <c r="R182" i="12"/>
  <c r="R183" i="12" s="1"/>
  <c r="R184" i="12" s="1"/>
  <c r="L224" i="36"/>
  <c r="L225" i="36" s="1"/>
  <c r="L226" i="36" s="1"/>
  <c r="N223" i="36"/>
  <c r="M223" i="36"/>
  <c r="E211" i="2"/>
  <c r="D39" i="10"/>
  <c r="R224" i="36"/>
  <c r="R225" i="36" s="1"/>
  <c r="R226" i="36" s="1"/>
  <c r="S223" i="36"/>
  <c r="T223" i="36"/>
  <c r="M220" i="26"/>
  <c r="N220" i="26"/>
  <c r="L221" i="26"/>
  <c r="L222" i="26" s="1"/>
  <c r="L223" i="26" s="1"/>
  <c r="R224" i="35"/>
  <c r="R225" i="35" s="1"/>
  <c r="R226" i="35" s="1"/>
  <c r="T223" i="35"/>
  <c r="S223" i="35"/>
  <c r="S220" i="26"/>
  <c r="R221" i="26"/>
  <c r="R222" i="26" s="1"/>
  <c r="R223" i="26" s="1"/>
  <c r="T220" i="26"/>
  <c r="E224" i="35"/>
  <c r="E225" i="35" s="1"/>
  <c r="E226" i="35" s="1"/>
  <c r="F223" i="35"/>
  <c r="N220" i="1"/>
  <c r="L221" i="1"/>
  <c r="L222" i="1" s="1"/>
  <c r="L223" i="1" s="1"/>
  <c r="M220" i="1"/>
  <c r="F11" i="33" s="1"/>
  <c r="E224" i="27"/>
  <c r="E225" i="27" s="1"/>
  <c r="E226" i="27" s="1"/>
  <c r="G223" i="27"/>
  <c r="E227" i="26"/>
  <c r="E228" i="26" s="1"/>
  <c r="E229" i="26" s="1"/>
  <c r="G226" i="26"/>
  <c r="E211" i="6"/>
  <c r="F39" i="10"/>
  <c r="F220" i="25"/>
  <c r="D11" i="33" s="1"/>
  <c r="E221" i="25"/>
  <c r="E222" i="25" s="1"/>
  <c r="E223" i="25" s="1"/>
  <c r="EX65" i="32"/>
  <c r="EP65" i="32"/>
  <c r="EJ66" i="32"/>
  <c r="EW65" i="32"/>
  <c r="EO65" i="32"/>
  <c r="EU65" i="32"/>
  <c r="EM65" i="32"/>
  <c r="ET65" i="32"/>
  <c r="EL65" i="32"/>
  <c r="EZ65" i="32"/>
  <c r="ER65" i="32"/>
  <c r="EQ65" i="32"/>
  <c r="EN65" i="32"/>
  <c r="EK65" i="32"/>
  <c r="EY65" i="32"/>
  <c r="EV65" i="32"/>
  <c r="ES65" i="32"/>
  <c r="T220" i="1"/>
  <c r="S220" i="1"/>
  <c r="R221" i="1"/>
  <c r="R222" i="1" s="1"/>
  <c r="R223" i="1" s="1"/>
  <c r="L211" i="12"/>
  <c r="I39" i="10"/>
  <c r="E221" i="1"/>
  <c r="E222" i="1" s="1"/>
  <c r="E223" i="1" s="1"/>
  <c r="F220" i="1"/>
  <c r="C11" i="33" s="1"/>
  <c r="N223" i="35"/>
  <c r="L224" i="35"/>
  <c r="L225" i="35" s="1"/>
  <c r="L226" i="35" s="1"/>
  <c r="M223" i="35"/>
  <c r="Y221" i="1"/>
  <c r="Y222" i="1" s="1"/>
  <c r="Y223" i="1" s="1"/>
  <c r="AA220" i="1"/>
  <c r="Z220" i="1"/>
  <c r="E11" i="33" s="1"/>
  <c r="E221" i="36"/>
  <c r="E222" i="36" s="1"/>
  <c r="E223" i="36" s="1"/>
  <c r="G220" i="36"/>
  <c r="N220" i="25"/>
  <c r="M220" i="25"/>
  <c r="L221" i="25"/>
  <c r="L222" i="25" s="1"/>
  <c r="L223" i="25" s="1"/>
  <c r="E224" i="36" l="1"/>
  <c r="E225" i="36" s="1"/>
  <c r="E226" i="36" s="1"/>
  <c r="F223" i="36"/>
  <c r="G223" i="1"/>
  <c r="E224" i="1"/>
  <c r="E225" i="1" s="1"/>
  <c r="E226" i="1" s="1"/>
  <c r="L224" i="1"/>
  <c r="L225" i="1" s="1"/>
  <c r="L226" i="1" s="1"/>
  <c r="N223" i="1"/>
  <c r="T226" i="35"/>
  <c r="R227" i="35"/>
  <c r="R228" i="35" s="1"/>
  <c r="R229" i="35" s="1"/>
  <c r="E212" i="2"/>
  <c r="G211" i="2"/>
  <c r="D40" i="10"/>
  <c r="R224" i="2"/>
  <c r="R225" i="2" s="1"/>
  <c r="R226" i="2" s="1"/>
  <c r="T223" i="2"/>
  <c r="E227" i="35"/>
  <c r="E228" i="35" s="1"/>
  <c r="E229" i="35" s="1"/>
  <c r="G226" i="35"/>
  <c r="L215" i="2"/>
  <c r="N214" i="2"/>
  <c r="E43" i="10"/>
  <c r="L224" i="25"/>
  <c r="L225" i="25" s="1"/>
  <c r="L226" i="25" s="1"/>
  <c r="N223" i="25"/>
  <c r="ES66" i="32"/>
  <c r="EK66" i="32"/>
  <c r="EZ66" i="32"/>
  <c r="ER66" i="32"/>
  <c r="EX66" i="32"/>
  <c r="EP66" i="32"/>
  <c r="EJ67" i="32"/>
  <c r="EW66" i="32"/>
  <c r="EO66" i="32"/>
  <c r="EU66" i="32"/>
  <c r="EM66" i="32"/>
  <c r="EV66" i="32"/>
  <c r="ET66" i="32"/>
  <c r="EQ66" i="32"/>
  <c r="EN66" i="32"/>
  <c r="EL66" i="32"/>
  <c r="EY66" i="32"/>
  <c r="E230" i="26"/>
  <c r="E231" i="26" s="1"/>
  <c r="E232" i="26" s="1"/>
  <c r="G229" i="26"/>
  <c r="L227" i="36"/>
  <c r="L228" i="36" s="1"/>
  <c r="L229" i="36" s="1"/>
  <c r="N226" i="36"/>
  <c r="R221" i="25"/>
  <c r="R222" i="25" s="1"/>
  <c r="R223" i="25" s="1"/>
  <c r="T220" i="25"/>
  <c r="S220" i="25"/>
  <c r="E212" i="6"/>
  <c r="G211" i="6"/>
  <c r="F40" i="10"/>
  <c r="L221" i="27"/>
  <c r="L222" i="27" s="1"/>
  <c r="L223" i="27" s="1"/>
  <c r="N220" i="27"/>
  <c r="M220" i="27"/>
  <c r="L227" i="35"/>
  <c r="L228" i="35" s="1"/>
  <c r="L229" i="35" s="1"/>
  <c r="N226" i="35"/>
  <c r="T223" i="26"/>
  <c r="R224" i="26"/>
  <c r="R225" i="26" s="1"/>
  <c r="R226" i="26" s="1"/>
  <c r="T184" i="12"/>
  <c r="R185" i="12"/>
  <c r="R186" i="12" s="1"/>
  <c r="R187" i="12" s="1"/>
  <c r="S184" i="12"/>
  <c r="T223" i="6"/>
  <c r="R224" i="6"/>
  <c r="R225" i="6" s="1"/>
  <c r="R226" i="6" s="1"/>
  <c r="L212" i="12"/>
  <c r="N211" i="12"/>
  <c r="I40" i="10"/>
  <c r="L224" i="26"/>
  <c r="L225" i="26" s="1"/>
  <c r="L226" i="26" s="1"/>
  <c r="N223" i="26"/>
  <c r="AA223" i="1"/>
  <c r="Y224" i="1"/>
  <c r="Y225" i="1" s="1"/>
  <c r="Y226" i="1" s="1"/>
  <c r="T223" i="1"/>
  <c r="R224" i="1"/>
  <c r="R225" i="1" s="1"/>
  <c r="R226" i="1" s="1"/>
  <c r="E227" i="27"/>
  <c r="E228" i="27" s="1"/>
  <c r="E229" i="27" s="1"/>
  <c r="G226" i="27"/>
  <c r="R224" i="27"/>
  <c r="R225" i="27" s="1"/>
  <c r="R226" i="27" s="1"/>
  <c r="T223" i="27"/>
  <c r="G223" i="25"/>
  <c r="E224" i="25"/>
  <c r="E225" i="25" s="1"/>
  <c r="E226" i="25" s="1"/>
  <c r="R227" i="36"/>
  <c r="R228" i="36" s="1"/>
  <c r="R229" i="36" s="1"/>
  <c r="T226" i="36"/>
  <c r="L212" i="6"/>
  <c r="N211" i="6"/>
  <c r="G40" i="10"/>
  <c r="L216" i="2" l="1"/>
  <c r="E44" i="10"/>
  <c r="R230" i="35"/>
  <c r="R231" i="35" s="1"/>
  <c r="R232" i="35" s="1"/>
  <c r="T229" i="35"/>
  <c r="R227" i="27"/>
  <c r="R228" i="27" s="1"/>
  <c r="R229" i="27" s="1"/>
  <c r="T226" i="27"/>
  <c r="N226" i="26"/>
  <c r="L227" i="26"/>
  <c r="L228" i="26" s="1"/>
  <c r="L229" i="26" s="1"/>
  <c r="E230" i="35"/>
  <c r="E231" i="35" s="1"/>
  <c r="E232" i="35" s="1"/>
  <c r="G229" i="35"/>
  <c r="L213" i="6"/>
  <c r="G41" i="10"/>
  <c r="R227" i="1"/>
  <c r="R228" i="1" s="1"/>
  <c r="R229" i="1" s="1"/>
  <c r="T226" i="1"/>
  <c r="L213" i="12"/>
  <c r="I41" i="10"/>
  <c r="R227" i="2"/>
  <c r="R228" i="2" s="1"/>
  <c r="R229" i="2" s="1"/>
  <c r="T226" i="2"/>
  <c r="G226" i="1"/>
  <c r="E227" i="1"/>
  <c r="E228" i="1" s="1"/>
  <c r="E229" i="1" s="1"/>
  <c r="N223" i="27"/>
  <c r="L224" i="27"/>
  <c r="L225" i="27" s="1"/>
  <c r="L226" i="27" s="1"/>
  <c r="E213" i="6"/>
  <c r="F41" i="10"/>
  <c r="T226" i="6"/>
  <c r="R227" i="6"/>
  <c r="R228" i="6" s="1"/>
  <c r="R229" i="6" s="1"/>
  <c r="N229" i="35"/>
  <c r="L230" i="35"/>
  <c r="L231" i="35" s="1"/>
  <c r="L232" i="35" s="1"/>
  <c r="EV67" i="32"/>
  <c r="EN67" i="32"/>
  <c r="EU67" i="32"/>
  <c r="EM67" i="32"/>
  <c r="ES67" i="32"/>
  <c r="EK67" i="32"/>
  <c r="EZ67" i="32"/>
  <c r="ER67" i="32"/>
  <c r="EX67" i="32"/>
  <c r="EP67" i="32"/>
  <c r="EJ68" i="32"/>
  <c r="EY67" i="32"/>
  <c r="EW67" i="32"/>
  <c r="ET67" i="32"/>
  <c r="EQ67" i="32"/>
  <c r="EO67" i="32"/>
  <c r="EL67" i="32"/>
  <c r="L227" i="25"/>
  <c r="L228" i="25" s="1"/>
  <c r="L229" i="25" s="1"/>
  <c r="N226" i="25"/>
  <c r="T187" i="12"/>
  <c r="R188" i="12"/>
  <c r="R189" i="12" s="1"/>
  <c r="R190" i="12" s="1"/>
  <c r="E233" i="26"/>
  <c r="E234" i="26" s="1"/>
  <c r="E235" i="26" s="1"/>
  <c r="G232" i="26"/>
  <c r="F232" i="26"/>
  <c r="H5" i="33" s="1"/>
  <c r="E230" i="27"/>
  <c r="E231" i="27" s="1"/>
  <c r="E232" i="27" s="1"/>
  <c r="G229" i="27"/>
  <c r="R230" i="36"/>
  <c r="R231" i="36" s="1"/>
  <c r="R232" i="36" s="1"/>
  <c r="T229" i="36"/>
  <c r="Y227" i="1"/>
  <c r="Y228" i="1" s="1"/>
  <c r="Y229" i="1" s="1"/>
  <c r="AA226" i="1"/>
  <c r="L230" i="36"/>
  <c r="L231" i="36" s="1"/>
  <c r="L232" i="36" s="1"/>
  <c r="N229" i="36"/>
  <c r="T226" i="26"/>
  <c r="R227" i="26"/>
  <c r="R228" i="26" s="1"/>
  <c r="R229" i="26" s="1"/>
  <c r="N226" i="1"/>
  <c r="L227" i="1"/>
  <c r="L228" i="1" s="1"/>
  <c r="L229" i="1" s="1"/>
  <c r="G226" i="25"/>
  <c r="E227" i="25"/>
  <c r="E228" i="25" s="1"/>
  <c r="E229" i="25" s="1"/>
  <c r="T223" i="25"/>
  <c r="R224" i="25"/>
  <c r="R225" i="25" s="1"/>
  <c r="R226" i="25" s="1"/>
  <c r="E213" i="2"/>
  <c r="D41" i="10"/>
  <c r="E227" i="36"/>
  <c r="E228" i="36" s="1"/>
  <c r="E229" i="36" s="1"/>
  <c r="G226" i="36"/>
  <c r="L230" i="26" l="1"/>
  <c r="L231" i="26" s="1"/>
  <c r="L232" i="26" s="1"/>
  <c r="N229" i="26"/>
  <c r="T229" i="26"/>
  <c r="R230" i="26"/>
  <c r="R231" i="26" s="1"/>
  <c r="R232" i="26" s="1"/>
  <c r="N229" i="1"/>
  <c r="L230" i="1"/>
  <c r="L231" i="1" s="1"/>
  <c r="L232" i="1" s="1"/>
  <c r="E230" i="36"/>
  <c r="E231" i="36" s="1"/>
  <c r="E232" i="36" s="1"/>
  <c r="G229" i="36"/>
  <c r="R233" i="36"/>
  <c r="R234" i="36" s="1"/>
  <c r="R235" i="36" s="1"/>
  <c r="T232" i="36"/>
  <c r="EY68" i="32"/>
  <c r="EQ68" i="32"/>
  <c r="EX68" i="32"/>
  <c r="EP68" i="32"/>
  <c r="EV68" i="32"/>
  <c r="EN68" i="32"/>
  <c r="EU68" i="32"/>
  <c r="EM68" i="32"/>
  <c r="ES68" i="32"/>
  <c r="EK68" i="32"/>
  <c r="EL68" i="32"/>
  <c r="EJ69" i="32"/>
  <c r="EZ68" i="32"/>
  <c r="EW68" i="32"/>
  <c r="ET68" i="32"/>
  <c r="ER68" i="32"/>
  <c r="EO68" i="32"/>
  <c r="E214" i="6"/>
  <c r="F42" i="10"/>
  <c r="L214" i="12"/>
  <c r="I42" i="10"/>
  <c r="N226" i="27"/>
  <c r="L227" i="27"/>
  <c r="L228" i="27" s="1"/>
  <c r="L229" i="27" s="1"/>
  <c r="E214" i="2"/>
  <c r="D42" i="10"/>
  <c r="T229" i="27"/>
  <c r="R230" i="27"/>
  <c r="R231" i="27" s="1"/>
  <c r="R232" i="27" s="1"/>
  <c r="E230" i="1"/>
  <c r="E231" i="1" s="1"/>
  <c r="E232" i="1" s="1"/>
  <c r="G229" i="1"/>
  <c r="L233" i="36"/>
  <c r="L234" i="36" s="1"/>
  <c r="L235" i="36" s="1"/>
  <c r="N232" i="36"/>
  <c r="L214" i="6"/>
  <c r="G42" i="10"/>
  <c r="T232" i="35"/>
  <c r="R233" i="35"/>
  <c r="R234" i="35" s="1"/>
  <c r="R235" i="35" s="1"/>
  <c r="N229" i="25"/>
  <c r="L230" i="25"/>
  <c r="L231" i="25" s="1"/>
  <c r="L232" i="25" s="1"/>
  <c r="E233" i="27"/>
  <c r="E234" i="27" s="1"/>
  <c r="E235" i="27" s="1"/>
  <c r="F232" i="27"/>
  <c r="L5" i="33" s="1"/>
  <c r="G232" i="27"/>
  <c r="T229" i="1"/>
  <c r="R230" i="1"/>
  <c r="R231" i="1" s="1"/>
  <c r="R232" i="1" s="1"/>
  <c r="R227" i="25"/>
  <c r="R228" i="25" s="1"/>
  <c r="R229" i="25" s="1"/>
  <c r="T226" i="25"/>
  <c r="E236" i="26"/>
  <c r="E237" i="26" s="1"/>
  <c r="E238" i="26" s="1"/>
  <c r="G235" i="26"/>
  <c r="T229" i="6"/>
  <c r="R230" i="6"/>
  <c r="R231" i="6" s="1"/>
  <c r="R232" i="6" s="1"/>
  <c r="L233" i="35"/>
  <c r="L234" i="35" s="1"/>
  <c r="L235" i="35" s="1"/>
  <c r="N232" i="35"/>
  <c r="E230" i="25"/>
  <c r="E231" i="25" s="1"/>
  <c r="E232" i="25" s="1"/>
  <c r="G229" i="25"/>
  <c r="Y230" i="1"/>
  <c r="Y231" i="1" s="1"/>
  <c r="Y232" i="1" s="1"/>
  <c r="AA229" i="1"/>
  <c r="T190" i="12"/>
  <c r="R191" i="12"/>
  <c r="R192" i="12" s="1"/>
  <c r="R193" i="12" s="1"/>
  <c r="R230" i="2"/>
  <c r="R231" i="2" s="1"/>
  <c r="R232" i="2" s="1"/>
  <c r="T229" i="2"/>
  <c r="E233" i="35"/>
  <c r="E234" i="35" s="1"/>
  <c r="E235" i="35" s="1"/>
  <c r="G232" i="35"/>
  <c r="L217" i="2"/>
  <c r="E45" i="10"/>
  <c r="G235" i="35" l="1"/>
  <c r="F235" i="35"/>
  <c r="E236" i="35"/>
  <c r="E237" i="35" s="1"/>
  <c r="E238" i="35" s="1"/>
  <c r="T232" i="6"/>
  <c r="S232" i="6"/>
  <c r="I5" i="33" s="1"/>
  <c r="R233" i="6"/>
  <c r="R234" i="6" s="1"/>
  <c r="R235" i="6" s="1"/>
  <c r="G214" i="2"/>
  <c r="E215" i="2"/>
  <c r="D43" i="10"/>
  <c r="E236" i="27"/>
  <c r="E237" i="27" s="1"/>
  <c r="E238" i="27" s="1"/>
  <c r="G235" i="27"/>
  <c r="N235" i="36"/>
  <c r="M235" i="36"/>
  <c r="L236" i="36"/>
  <c r="L237" i="36" s="1"/>
  <c r="L238" i="36" s="1"/>
  <c r="N214" i="12"/>
  <c r="L215" i="12"/>
  <c r="I43" i="10"/>
  <c r="T193" i="12"/>
  <c r="R194" i="12"/>
  <c r="R195" i="12" s="1"/>
  <c r="R196" i="12" s="1"/>
  <c r="N217" i="2"/>
  <c r="L218" i="2"/>
  <c r="E46" i="10"/>
  <c r="Y233" i="1"/>
  <c r="Y234" i="1" s="1"/>
  <c r="Y235" i="1" s="1"/>
  <c r="AA232" i="1"/>
  <c r="Z232" i="1"/>
  <c r="E10" i="33" s="1"/>
  <c r="E239" i="26"/>
  <c r="E240" i="26" s="1"/>
  <c r="E241" i="26" s="1"/>
  <c r="G238" i="26"/>
  <c r="M232" i="25"/>
  <c r="L233" i="25"/>
  <c r="L234" i="25" s="1"/>
  <c r="L235" i="25" s="1"/>
  <c r="N232" i="25"/>
  <c r="E233" i="36"/>
  <c r="E234" i="36" s="1"/>
  <c r="E235" i="36" s="1"/>
  <c r="G232" i="36"/>
  <c r="R236" i="35"/>
  <c r="R237" i="35" s="1"/>
  <c r="R238" i="35" s="1"/>
  <c r="S235" i="35"/>
  <c r="T235" i="35"/>
  <c r="G232" i="25"/>
  <c r="E233" i="25"/>
  <c r="E234" i="25" s="1"/>
  <c r="E235" i="25" s="1"/>
  <c r="F232" i="25"/>
  <c r="D10" i="33" s="1"/>
  <c r="S232" i="1"/>
  <c r="R233" i="1"/>
  <c r="R234" i="1" s="1"/>
  <c r="R235" i="1" s="1"/>
  <c r="T232" i="1"/>
  <c r="G214" i="6"/>
  <c r="E215" i="6"/>
  <c r="F43" i="10"/>
  <c r="R233" i="26"/>
  <c r="R234" i="26" s="1"/>
  <c r="R235" i="26" s="1"/>
  <c r="T232" i="26"/>
  <c r="S232" i="26"/>
  <c r="R230" i="25"/>
  <c r="R231" i="25" s="1"/>
  <c r="R232" i="25" s="1"/>
  <c r="T229" i="25"/>
  <c r="R233" i="27"/>
  <c r="R234" i="27" s="1"/>
  <c r="R235" i="27" s="1"/>
  <c r="T232" i="27"/>
  <c r="S232" i="27"/>
  <c r="T232" i="2"/>
  <c r="S232" i="2"/>
  <c r="M5" i="33" s="1"/>
  <c r="R233" i="2"/>
  <c r="R234" i="2" s="1"/>
  <c r="R235" i="2" s="1"/>
  <c r="N235" i="35"/>
  <c r="L236" i="35"/>
  <c r="L237" i="35" s="1"/>
  <c r="L238" i="35" s="1"/>
  <c r="M235" i="35"/>
  <c r="G232" i="1"/>
  <c r="F232" i="1"/>
  <c r="C10" i="33" s="1"/>
  <c r="E233" i="1"/>
  <c r="E234" i="1" s="1"/>
  <c r="E235" i="1" s="1"/>
  <c r="ET69" i="32"/>
  <c r="EL69" i="32"/>
  <c r="ES69" i="32"/>
  <c r="EK69" i="32"/>
  <c r="EY69" i="32"/>
  <c r="EQ69" i="32"/>
  <c r="EX69" i="32"/>
  <c r="EP69" i="32"/>
  <c r="EV69" i="32"/>
  <c r="EN69" i="32"/>
  <c r="ER69" i="32"/>
  <c r="EO69" i="32"/>
  <c r="EM69" i="32"/>
  <c r="EJ70" i="32"/>
  <c r="EZ69" i="32"/>
  <c r="EW69" i="32"/>
  <c r="EU69" i="32"/>
  <c r="M232" i="1"/>
  <c r="F10" i="33" s="1"/>
  <c r="L233" i="1"/>
  <c r="L234" i="1" s="1"/>
  <c r="L235" i="1" s="1"/>
  <c r="N232" i="1"/>
  <c r="N214" i="6"/>
  <c r="L215" i="6"/>
  <c r="G43" i="10"/>
  <c r="N229" i="27"/>
  <c r="L230" i="27"/>
  <c r="L231" i="27" s="1"/>
  <c r="L232" i="27" s="1"/>
  <c r="T235" i="36"/>
  <c r="R236" i="36"/>
  <c r="R237" i="36" s="1"/>
  <c r="R238" i="36" s="1"/>
  <c r="S235" i="36"/>
  <c r="M232" i="26"/>
  <c r="L233" i="26"/>
  <c r="L234" i="26" s="1"/>
  <c r="L235" i="26" s="1"/>
  <c r="N232" i="26"/>
  <c r="R233" i="25" l="1"/>
  <c r="R234" i="25" s="1"/>
  <c r="R235" i="25" s="1"/>
  <c r="T232" i="25"/>
  <c r="S232" i="25"/>
  <c r="T235" i="1"/>
  <c r="R236" i="1"/>
  <c r="R237" i="1" s="1"/>
  <c r="R238" i="1" s="1"/>
  <c r="L216" i="12"/>
  <c r="I44" i="10"/>
  <c r="E216" i="2"/>
  <c r="D44" i="10"/>
  <c r="T235" i="2"/>
  <c r="R236" i="2"/>
  <c r="R237" i="2" s="1"/>
  <c r="R238" i="2" s="1"/>
  <c r="E236" i="36"/>
  <c r="E237" i="36" s="1"/>
  <c r="E238" i="36" s="1"/>
  <c r="G235" i="36"/>
  <c r="F235" i="36"/>
  <c r="Y236" i="1"/>
  <c r="Y237" i="1" s="1"/>
  <c r="Y238" i="1" s="1"/>
  <c r="AA235" i="1"/>
  <c r="G235" i="1"/>
  <c r="E236" i="1"/>
  <c r="E237" i="1" s="1"/>
  <c r="E238" i="1" s="1"/>
  <c r="R236" i="26"/>
  <c r="R237" i="26" s="1"/>
  <c r="R238" i="26" s="1"/>
  <c r="T235" i="26"/>
  <c r="N235" i="25"/>
  <c r="L236" i="25"/>
  <c r="L237" i="25" s="1"/>
  <c r="L238" i="25" s="1"/>
  <c r="L219" i="2"/>
  <c r="E47" i="10"/>
  <c r="L236" i="1"/>
  <c r="L237" i="1" s="1"/>
  <c r="L238" i="1" s="1"/>
  <c r="N235" i="1"/>
  <c r="T235" i="6"/>
  <c r="R236" i="6"/>
  <c r="R237" i="6" s="1"/>
  <c r="R238" i="6" s="1"/>
  <c r="E236" i="25"/>
  <c r="E237" i="25" s="1"/>
  <c r="E238" i="25" s="1"/>
  <c r="G235" i="25"/>
  <c r="N235" i="26"/>
  <c r="L236" i="26"/>
  <c r="L237" i="26" s="1"/>
  <c r="L238" i="26" s="1"/>
  <c r="L216" i="6"/>
  <c r="G44" i="10"/>
  <c r="EJ71" i="32"/>
  <c r="EW70" i="32"/>
  <c r="EO70" i="32"/>
  <c r="EV70" i="32"/>
  <c r="EN70" i="32"/>
  <c r="ET70" i="32"/>
  <c r="EL70" i="32"/>
  <c r="ES70" i="32"/>
  <c r="EK70" i="32"/>
  <c r="EY70" i="32"/>
  <c r="EQ70" i="32"/>
  <c r="EX70" i="32"/>
  <c r="EU70" i="32"/>
  <c r="ER70" i="32"/>
  <c r="EP70" i="32"/>
  <c r="EM70" i="32"/>
  <c r="EZ70" i="32"/>
  <c r="E216" i="6"/>
  <c r="F44" i="10"/>
  <c r="T196" i="12"/>
  <c r="R197" i="12"/>
  <c r="R198" i="12" s="1"/>
  <c r="R199" i="12" s="1"/>
  <c r="S196" i="12"/>
  <c r="E239" i="35"/>
  <c r="E240" i="35" s="1"/>
  <c r="E241" i="35" s="1"/>
  <c r="G238" i="35"/>
  <c r="L239" i="36"/>
  <c r="L240" i="36" s="1"/>
  <c r="L241" i="36" s="1"/>
  <c r="N238" i="36"/>
  <c r="T235" i="27"/>
  <c r="R236" i="27"/>
  <c r="R237" i="27" s="1"/>
  <c r="R238" i="27" s="1"/>
  <c r="G241" i="26"/>
  <c r="E242" i="26"/>
  <c r="E243" i="26" s="1"/>
  <c r="E244" i="26" s="1"/>
  <c r="G238" i="27"/>
  <c r="E239" i="27"/>
  <c r="E240" i="27" s="1"/>
  <c r="E241" i="27" s="1"/>
  <c r="T238" i="36"/>
  <c r="R239" i="36"/>
  <c r="R240" i="36" s="1"/>
  <c r="R241" i="36" s="1"/>
  <c r="N232" i="27"/>
  <c r="M232" i="27"/>
  <c r="L233" i="27"/>
  <c r="L234" i="27" s="1"/>
  <c r="L235" i="27" s="1"/>
  <c r="N238" i="35"/>
  <c r="L239" i="35"/>
  <c r="L240" i="35" s="1"/>
  <c r="L241" i="35" s="1"/>
  <c r="R239" i="35"/>
  <c r="R240" i="35" s="1"/>
  <c r="R241" i="35" s="1"/>
  <c r="T238" i="35"/>
  <c r="N235" i="27" l="1"/>
  <c r="L236" i="27"/>
  <c r="L237" i="27" s="1"/>
  <c r="L238" i="27" s="1"/>
  <c r="T199" i="12"/>
  <c r="R200" i="12"/>
  <c r="R201" i="12" s="1"/>
  <c r="R202" i="12" s="1"/>
  <c r="L220" i="2"/>
  <c r="E48" i="10"/>
  <c r="AA238" i="1"/>
  <c r="Y239" i="1"/>
  <c r="Y240" i="1" s="1"/>
  <c r="Y241" i="1" s="1"/>
  <c r="G244" i="26"/>
  <c r="E11" i="31" s="1"/>
  <c r="F244" i="26"/>
  <c r="H4" i="33" s="1"/>
  <c r="L239" i="26"/>
  <c r="L240" i="26" s="1"/>
  <c r="L241" i="26" s="1"/>
  <c r="N238" i="26"/>
  <c r="E217" i="2"/>
  <c r="D45" i="10"/>
  <c r="L239" i="25"/>
  <c r="L240" i="25" s="1"/>
  <c r="L241" i="25" s="1"/>
  <c r="N238" i="25"/>
  <c r="M216" i="12"/>
  <c r="I45" i="10"/>
  <c r="E239" i="25"/>
  <c r="E240" i="25" s="1"/>
  <c r="E241" i="25" s="1"/>
  <c r="G238" i="25"/>
  <c r="R239" i="1"/>
  <c r="R240" i="1" s="1"/>
  <c r="R241" i="1" s="1"/>
  <c r="T238" i="1"/>
  <c r="R239" i="27"/>
  <c r="R240" i="27" s="1"/>
  <c r="R241" i="27" s="1"/>
  <c r="T238" i="27"/>
  <c r="E217" i="6"/>
  <c r="F45" i="10"/>
  <c r="R239" i="6"/>
  <c r="R240" i="6" s="1"/>
  <c r="R241" i="6" s="1"/>
  <c r="T238" i="6"/>
  <c r="E239" i="36"/>
  <c r="E240" i="36" s="1"/>
  <c r="E241" i="36" s="1"/>
  <c r="G238" i="36"/>
  <c r="L242" i="36"/>
  <c r="L243" i="36" s="1"/>
  <c r="L244" i="36" s="1"/>
  <c r="N241" i="36"/>
  <c r="EZ71" i="32"/>
  <c r="ER71" i="32"/>
  <c r="EY71" i="32"/>
  <c r="EQ71" i="32"/>
  <c r="EJ72" i="32"/>
  <c r="EW71" i="32"/>
  <c r="EO71" i="32"/>
  <c r="EV71" i="32"/>
  <c r="EN71" i="32"/>
  <c r="ET71" i="32"/>
  <c r="EL71" i="32"/>
  <c r="EX71" i="32"/>
  <c r="EU71" i="32"/>
  <c r="ES71" i="32"/>
  <c r="EP71" i="32"/>
  <c r="EM71" i="32"/>
  <c r="EK71" i="32"/>
  <c r="T238" i="26"/>
  <c r="R239" i="26"/>
  <c r="R240" i="26" s="1"/>
  <c r="R241" i="26" s="1"/>
  <c r="R239" i="2"/>
  <c r="R240" i="2" s="1"/>
  <c r="R241" i="2" s="1"/>
  <c r="T238" i="2"/>
  <c r="T241" i="36"/>
  <c r="R242" i="36"/>
  <c r="R243" i="36" s="1"/>
  <c r="R244" i="36" s="1"/>
  <c r="R242" i="35"/>
  <c r="R243" i="35" s="1"/>
  <c r="R244" i="35" s="1"/>
  <c r="T241" i="35"/>
  <c r="G241" i="27"/>
  <c r="E242" i="27"/>
  <c r="E243" i="27" s="1"/>
  <c r="E244" i="27" s="1"/>
  <c r="G238" i="1"/>
  <c r="E239" i="1"/>
  <c r="E240" i="1" s="1"/>
  <c r="E241" i="1" s="1"/>
  <c r="N241" i="35"/>
  <c r="L242" i="35"/>
  <c r="L243" i="35" s="1"/>
  <c r="L244" i="35" s="1"/>
  <c r="E242" i="35"/>
  <c r="E243" i="35" s="1"/>
  <c r="E244" i="35" s="1"/>
  <c r="G241" i="35"/>
  <c r="L217" i="6"/>
  <c r="G45" i="10"/>
  <c r="N238" i="1"/>
  <c r="L239" i="1"/>
  <c r="L240" i="1" s="1"/>
  <c r="L241" i="1" s="1"/>
  <c r="R236" i="25"/>
  <c r="R237" i="25" s="1"/>
  <c r="R238" i="25" s="1"/>
  <c r="T235" i="25"/>
  <c r="L245" i="35" l="1"/>
  <c r="L246" i="35" s="1"/>
  <c r="L247" i="35" s="1"/>
  <c r="N244" i="35"/>
  <c r="T244" i="36"/>
  <c r="R245" i="36"/>
  <c r="R246" i="36" s="1"/>
  <c r="R247" i="36" s="1"/>
  <c r="L245" i="36"/>
  <c r="L246" i="36" s="1"/>
  <c r="L247" i="36" s="1"/>
  <c r="N244" i="36"/>
  <c r="R242" i="27"/>
  <c r="R243" i="27" s="1"/>
  <c r="R244" i="27" s="1"/>
  <c r="T241" i="27"/>
  <c r="L242" i="25"/>
  <c r="L243" i="25" s="1"/>
  <c r="L244" i="25" s="1"/>
  <c r="N241" i="25"/>
  <c r="E242" i="1"/>
  <c r="E243" i="1" s="1"/>
  <c r="E244" i="1" s="1"/>
  <c r="G241" i="1"/>
  <c r="EU72" i="32"/>
  <c r="EM72" i="32"/>
  <c r="ET72" i="32"/>
  <c r="EL72" i="32"/>
  <c r="EZ72" i="32"/>
  <c r="ER72" i="32"/>
  <c r="EY72" i="32"/>
  <c r="EQ72" i="32"/>
  <c r="EJ73" i="32"/>
  <c r="EW72" i="32"/>
  <c r="EO72" i="32"/>
  <c r="EN72" i="32"/>
  <c r="EK72" i="32"/>
  <c r="EX72" i="32"/>
  <c r="EV72" i="32"/>
  <c r="ES72" i="32"/>
  <c r="EP72" i="32"/>
  <c r="E242" i="36"/>
  <c r="E243" i="36" s="1"/>
  <c r="E244" i="36" s="1"/>
  <c r="G241" i="36"/>
  <c r="T241" i="1"/>
  <c r="R242" i="1"/>
  <c r="R243" i="1" s="1"/>
  <c r="R244" i="1" s="1"/>
  <c r="G217" i="2"/>
  <c r="E218" i="2"/>
  <c r="D46" i="10"/>
  <c r="M220" i="2"/>
  <c r="N6" i="33" s="1"/>
  <c r="L221" i="2"/>
  <c r="N220" i="2"/>
  <c r="E49" i="10"/>
  <c r="Y242" i="1"/>
  <c r="Y243" i="1" s="1"/>
  <c r="Y244" i="1" s="1"/>
  <c r="AA241" i="1"/>
  <c r="N241" i="1"/>
  <c r="L242" i="1"/>
  <c r="L243" i="1" s="1"/>
  <c r="L244" i="1" s="1"/>
  <c r="T241" i="2"/>
  <c r="R242" i="2"/>
  <c r="R243" i="2" s="1"/>
  <c r="R244" i="2" s="1"/>
  <c r="T202" i="12"/>
  <c r="R203" i="12"/>
  <c r="R204" i="12" s="1"/>
  <c r="R205" i="12" s="1"/>
  <c r="T238" i="25"/>
  <c r="R239" i="25"/>
  <c r="R240" i="25" s="1"/>
  <c r="R241" i="25" s="1"/>
  <c r="G244" i="27"/>
  <c r="F244" i="27"/>
  <c r="L4" i="33" s="1"/>
  <c r="E245" i="27"/>
  <c r="E246" i="27" s="1"/>
  <c r="E247" i="27" s="1"/>
  <c r="E248" i="27" s="1"/>
  <c r="E249" i="27" s="1"/>
  <c r="E250" i="27" s="1"/>
  <c r="E251" i="27" s="1"/>
  <c r="E252" i="27" s="1"/>
  <c r="E253" i="27" s="1"/>
  <c r="E254" i="27" s="1"/>
  <c r="E255" i="27" s="1"/>
  <c r="E256" i="27" s="1"/>
  <c r="E257" i="27" s="1"/>
  <c r="E258" i="27" s="1"/>
  <c r="E259" i="27" s="1"/>
  <c r="E260" i="27" s="1"/>
  <c r="E261" i="27" s="1"/>
  <c r="E262" i="27" s="1"/>
  <c r="E263" i="27" s="1"/>
  <c r="E264" i="27" s="1"/>
  <c r="E265" i="27" s="1"/>
  <c r="T241" i="26"/>
  <c r="R242" i="26"/>
  <c r="R243" i="26" s="1"/>
  <c r="R244" i="26" s="1"/>
  <c r="T241" i="6"/>
  <c r="R242" i="6"/>
  <c r="R243" i="6" s="1"/>
  <c r="R244" i="6" s="1"/>
  <c r="G241" i="25"/>
  <c r="E242" i="25"/>
  <c r="E243" i="25" s="1"/>
  <c r="E244" i="25" s="1"/>
  <c r="L242" i="26"/>
  <c r="L243" i="26" s="1"/>
  <c r="L244" i="26" s="1"/>
  <c r="N241" i="26"/>
  <c r="G244" i="35"/>
  <c r="E245" i="35"/>
  <c r="E246" i="35" s="1"/>
  <c r="E247" i="35" s="1"/>
  <c r="N217" i="6"/>
  <c r="L218" i="6"/>
  <c r="G46" i="10"/>
  <c r="L239" i="27"/>
  <c r="L240" i="27" s="1"/>
  <c r="L241" i="27" s="1"/>
  <c r="N238" i="27"/>
  <c r="R245" i="35"/>
  <c r="R246" i="35" s="1"/>
  <c r="R247" i="35" s="1"/>
  <c r="T244" i="35"/>
  <c r="G217" i="6"/>
  <c r="E218" i="6"/>
  <c r="F46" i="10"/>
  <c r="D17" i="30"/>
  <c r="E31" i="31"/>
  <c r="G265" i="27" l="1"/>
  <c r="F265" i="27"/>
  <c r="G262" i="27"/>
  <c r="G259" i="27"/>
  <c r="G256" i="27"/>
  <c r="F256" i="27"/>
  <c r="L3" i="33" s="1"/>
  <c r="G253" i="27"/>
  <c r="G250" i="27"/>
  <c r="G247" i="27"/>
  <c r="E21" i="31" s="1"/>
  <c r="T205" i="12"/>
  <c r="R206" i="12"/>
  <c r="R207" i="12" s="1"/>
  <c r="R208" i="12" s="1"/>
  <c r="E245" i="36"/>
  <c r="E246" i="36" s="1"/>
  <c r="E247" i="36" s="1"/>
  <c r="G244" i="36"/>
  <c r="E219" i="6"/>
  <c r="F47" i="10"/>
  <c r="F247" i="35"/>
  <c r="G247" i="35"/>
  <c r="E248" i="35"/>
  <c r="E249" i="35" s="1"/>
  <c r="E250" i="35" s="1"/>
  <c r="T244" i="26"/>
  <c r="S244" i="26"/>
  <c r="T244" i="27"/>
  <c r="S244" i="27"/>
  <c r="R245" i="27"/>
  <c r="R246" i="27" s="1"/>
  <c r="R247" i="27" s="1"/>
  <c r="R248" i="27" s="1"/>
  <c r="R249" i="27" s="1"/>
  <c r="R250" i="27" s="1"/>
  <c r="R251" i="27" s="1"/>
  <c r="R252" i="27" s="1"/>
  <c r="R253" i="27" s="1"/>
  <c r="R254" i="27" s="1"/>
  <c r="R255" i="27" s="1"/>
  <c r="R256" i="27" s="1"/>
  <c r="R257" i="27" s="1"/>
  <c r="R258" i="27" s="1"/>
  <c r="R259" i="27" s="1"/>
  <c r="R260" i="27" s="1"/>
  <c r="R261" i="27" s="1"/>
  <c r="R262" i="27" s="1"/>
  <c r="R263" i="27" s="1"/>
  <c r="R264" i="27" s="1"/>
  <c r="R265" i="27" s="1"/>
  <c r="R266" i="27" s="1"/>
  <c r="R267" i="27" s="1"/>
  <c r="R268" i="27" s="1"/>
  <c r="EX73" i="32"/>
  <c r="EP73" i="32"/>
  <c r="EJ74" i="32"/>
  <c r="EW73" i="32"/>
  <c r="EO73" i="32"/>
  <c r="EU73" i="32"/>
  <c r="EM73" i="32"/>
  <c r="ET73" i="32"/>
  <c r="EL73" i="32"/>
  <c r="EZ73" i="32"/>
  <c r="ER73" i="32"/>
  <c r="ES73" i="32"/>
  <c r="EQ73" i="32"/>
  <c r="EN73" i="32"/>
  <c r="EK73" i="32"/>
  <c r="EY73" i="32"/>
  <c r="EV73" i="32"/>
  <c r="N244" i="26"/>
  <c r="M244" i="26"/>
  <c r="N244" i="1"/>
  <c r="L245" i="1"/>
  <c r="L246" i="1" s="1"/>
  <c r="L247" i="1" s="1"/>
  <c r="M244" i="1"/>
  <c r="F9" i="33" s="1"/>
  <c r="T247" i="36"/>
  <c r="R248" i="36"/>
  <c r="R249" i="36" s="1"/>
  <c r="R250" i="36" s="1"/>
  <c r="S247" i="36"/>
  <c r="T244" i="2"/>
  <c r="S244" i="2"/>
  <c r="M4" i="33" s="1"/>
  <c r="R245" i="2"/>
  <c r="R246" i="2" s="1"/>
  <c r="R247" i="2" s="1"/>
  <c r="R248" i="2" s="1"/>
  <c r="R249" i="2" s="1"/>
  <c r="R250" i="2" s="1"/>
  <c r="R251" i="2" s="1"/>
  <c r="R252" i="2" s="1"/>
  <c r="R253" i="2" s="1"/>
  <c r="R254" i="2" s="1"/>
  <c r="R255" i="2" s="1"/>
  <c r="R256" i="2" s="1"/>
  <c r="R257" i="2" s="1"/>
  <c r="R258" i="2" s="1"/>
  <c r="R259" i="2" s="1"/>
  <c r="R260" i="2" s="1"/>
  <c r="R261" i="2" s="1"/>
  <c r="R262" i="2" s="1"/>
  <c r="R263" i="2" s="1"/>
  <c r="R264" i="2" s="1"/>
  <c r="R265" i="2" s="1"/>
  <c r="R266" i="2" s="1"/>
  <c r="R267" i="2" s="1"/>
  <c r="R268" i="2" s="1"/>
  <c r="L222" i="2"/>
  <c r="E50" i="10"/>
  <c r="R248" i="35"/>
  <c r="R249" i="35" s="1"/>
  <c r="R250" i="35" s="1"/>
  <c r="T247" i="35"/>
  <c r="S247" i="35"/>
  <c r="G244" i="25"/>
  <c r="F244" i="25"/>
  <c r="D9" i="33" s="1"/>
  <c r="E245" i="25"/>
  <c r="E246" i="25" s="1"/>
  <c r="E247" i="25" s="1"/>
  <c r="E219" i="2"/>
  <c r="D47" i="10"/>
  <c r="G244" i="1"/>
  <c r="F244" i="1"/>
  <c r="C9" i="33" s="1"/>
  <c r="E245" i="1"/>
  <c r="E246" i="1" s="1"/>
  <c r="E247" i="1" s="1"/>
  <c r="T241" i="25"/>
  <c r="R242" i="25"/>
  <c r="R243" i="25" s="1"/>
  <c r="R244" i="25" s="1"/>
  <c r="L248" i="36"/>
  <c r="L249" i="36" s="1"/>
  <c r="L250" i="36" s="1"/>
  <c r="M247" i="36"/>
  <c r="N247" i="36"/>
  <c r="L242" i="27"/>
  <c r="L243" i="27" s="1"/>
  <c r="L244" i="27" s="1"/>
  <c r="N241" i="27"/>
  <c r="L219" i="6"/>
  <c r="G47" i="10"/>
  <c r="T244" i="6"/>
  <c r="S244" i="6"/>
  <c r="I4" i="33" s="1"/>
  <c r="Y245" i="1"/>
  <c r="Y246" i="1" s="1"/>
  <c r="Y247" i="1" s="1"/>
  <c r="AA244" i="1"/>
  <c r="Z244" i="1"/>
  <c r="E9" i="33" s="1"/>
  <c r="S244" i="1"/>
  <c r="R245" i="1"/>
  <c r="R246" i="1" s="1"/>
  <c r="R247" i="1" s="1"/>
  <c r="T244" i="1"/>
  <c r="L245" i="25"/>
  <c r="L246" i="25" s="1"/>
  <c r="L247" i="25" s="1"/>
  <c r="N244" i="25"/>
  <c r="M244" i="25"/>
  <c r="N247" i="35"/>
  <c r="M247" i="35"/>
  <c r="L248" i="35"/>
  <c r="L249" i="35" s="1"/>
  <c r="L250" i="35" s="1"/>
  <c r="S268" i="27" l="1"/>
  <c r="T268" i="27"/>
  <c r="T268" i="2"/>
  <c r="S268" i="2"/>
  <c r="T265" i="27"/>
  <c r="S265" i="27"/>
  <c r="T265" i="2"/>
  <c r="T262" i="27"/>
  <c r="T262" i="2"/>
  <c r="T259" i="27"/>
  <c r="T259" i="2"/>
  <c r="T256" i="2"/>
  <c r="S256" i="2"/>
  <c r="M3" i="33" s="1"/>
  <c r="T256" i="27"/>
  <c r="S256" i="27"/>
  <c r="T253" i="27"/>
  <c r="T253" i="2"/>
  <c r="T250" i="27"/>
  <c r="T250" i="2"/>
  <c r="L220" i="6"/>
  <c r="G48" i="10"/>
  <c r="T250" i="36"/>
  <c r="R251" i="36"/>
  <c r="R252" i="36" s="1"/>
  <c r="R253" i="36" s="1"/>
  <c r="T247" i="27"/>
  <c r="E248" i="1"/>
  <c r="E249" i="1" s="1"/>
  <c r="E250" i="1" s="1"/>
  <c r="G247" i="1"/>
  <c r="B14" i="10"/>
  <c r="N250" i="35"/>
  <c r="L251" i="35"/>
  <c r="L252" i="35" s="1"/>
  <c r="L253" i="35" s="1"/>
  <c r="L245" i="27"/>
  <c r="L246" i="27" s="1"/>
  <c r="L247" i="27" s="1"/>
  <c r="L248" i="27" s="1"/>
  <c r="L249" i="27" s="1"/>
  <c r="L250" i="27" s="1"/>
  <c r="L251" i="27" s="1"/>
  <c r="L252" i="27" s="1"/>
  <c r="L253" i="27" s="1"/>
  <c r="L254" i="27" s="1"/>
  <c r="L255" i="27" s="1"/>
  <c r="L256" i="27" s="1"/>
  <c r="L257" i="27" s="1"/>
  <c r="L258" i="27" s="1"/>
  <c r="L259" i="27" s="1"/>
  <c r="L260" i="27" s="1"/>
  <c r="L261" i="27" s="1"/>
  <c r="L262" i="27" s="1"/>
  <c r="L263" i="27" s="1"/>
  <c r="L264" i="27" s="1"/>
  <c r="L265" i="27" s="1"/>
  <c r="L266" i="27" s="1"/>
  <c r="L267" i="27" s="1"/>
  <c r="L268" i="27" s="1"/>
  <c r="M244" i="27"/>
  <c r="N244" i="27"/>
  <c r="T250" i="35"/>
  <c r="R251" i="35"/>
  <c r="R252" i="35" s="1"/>
  <c r="R253" i="35" s="1"/>
  <c r="E220" i="6"/>
  <c r="F48" i="10"/>
  <c r="Y248" i="1"/>
  <c r="Y249" i="1" s="1"/>
  <c r="Y250" i="1" s="1"/>
  <c r="AA247" i="1"/>
  <c r="E220" i="2"/>
  <c r="D48" i="10"/>
  <c r="L223" i="2"/>
  <c r="E51" i="10"/>
  <c r="N247" i="1"/>
  <c r="L248" i="1"/>
  <c r="L249" i="1" s="1"/>
  <c r="L250" i="1" s="1"/>
  <c r="C14" i="10"/>
  <c r="G247" i="36"/>
  <c r="F247" i="36"/>
  <c r="E248" i="36"/>
  <c r="E249" i="36" s="1"/>
  <c r="E250" i="36" s="1"/>
  <c r="L251" i="36"/>
  <c r="L252" i="36" s="1"/>
  <c r="L253" i="36" s="1"/>
  <c r="N250" i="36"/>
  <c r="E248" i="25"/>
  <c r="E249" i="25" s="1"/>
  <c r="E250" i="25" s="1"/>
  <c r="G247" i="25"/>
  <c r="T247" i="2"/>
  <c r="E22" i="31" s="1"/>
  <c r="T208" i="12"/>
  <c r="R209" i="12"/>
  <c r="R210" i="12" s="1"/>
  <c r="R211" i="12" s="1"/>
  <c r="S208" i="12"/>
  <c r="D16" i="30"/>
  <c r="E32" i="31"/>
  <c r="S244" i="25"/>
  <c r="R245" i="25"/>
  <c r="R246" i="25" s="1"/>
  <c r="R247" i="25" s="1"/>
  <c r="T244" i="25"/>
  <c r="ES74" i="32"/>
  <c r="EK74" i="32"/>
  <c r="EZ74" i="32"/>
  <c r="ER74" i="32"/>
  <c r="EY74" i="32"/>
  <c r="EQ74" i="32"/>
  <c r="EX74" i="32"/>
  <c r="EP74" i="32"/>
  <c r="EJ75" i="32"/>
  <c r="EW74" i="32"/>
  <c r="EO74" i="32"/>
  <c r="EU74" i="32"/>
  <c r="EM74" i="32"/>
  <c r="EV74" i="32"/>
  <c r="ET74" i="32"/>
  <c r="EN74" i="32"/>
  <c r="EL74" i="32"/>
  <c r="G250" i="35"/>
  <c r="E251" i="35"/>
  <c r="E252" i="35" s="1"/>
  <c r="E253" i="35" s="1"/>
  <c r="L248" i="25"/>
  <c r="L249" i="25" s="1"/>
  <c r="L250" i="25" s="1"/>
  <c r="N247" i="25"/>
  <c r="T247" i="1"/>
  <c r="R248" i="1"/>
  <c r="R249" i="1" s="1"/>
  <c r="R250" i="1" s="1"/>
  <c r="D27" i="30"/>
  <c r="E40" i="31"/>
  <c r="M268" i="27" l="1"/>
  <c r="N268" i="27"/>
  <c r="N265" i="27"/>
  <c r="M265" i="27"/>
  <c r="N262" i="27"/>
  <c r="N259" i="27"/>
  <c r="N256" i="27"/>
  <c r="M256" i="27"/>
  <c r="N253" i="27"/>
  <c r="N250" i="27"/>
  <c r="N250" i="25"/>
  <c r="L251" i="25"/>
  <c r="L252" i="25" s="1"/>
  <c r="L253" i="25" s="1"/>
  <c r="T253" i="35"/>
  <c r="R254" i="35"/>
  <c r="R255" i="35" s="1"/>
  <c r="R256" i="35" s="1"/>
  <c r="G253" i="35"/>
  <c r="E254" i="35"/>
  <c r="E255" i="35" s="1"/>
  <c r="E256" i="35" s="1"/>
  <c r="L254" i="36"/>
  <c r="L255" i="36" s="1"/>
  <c r="L256" i="36" s="1"/>
  <c r="N253" i="36"/>
  <c r="N223" i="2"/>
  <c r="L224" i="2"/>
  <c r="E52" i="10"/>
  <c r="E13" i="10" s="1"/>
  <c r="E251" i="1"/>
  <c r="E252" i="1" s="1"/>
  <c r="E253" i="1" s="1"/>
  <c r="G250" i="1"/>
  <c r="EV75" i="32"/>
  <c r="EN75" i="32"/>
  <c r="EU75" i="32"/>
  <c r="EM75" i="32"/>
  <c r="ET75" i="32"/>
  <c r="EL75" i="32"/>
  <c r="ES75" i="32"/>
  <c r="EK75" i="32"/>
  <c r="EZ75" i="32"/>
  <c r="ER75" i="32"/>
  <c r="EX75" i="32"/>
  <c r="EP75" i="32"/>
  <c r="EY75" i="32"/>
  <c r="EW75" i="32"/>
  <c r="EQ75" i="32"/>
  <c r="EJ76" i="32"/>
  <c r="EO75" i="32"/>
  <c r="G220" i="2"/>
  <c r="F220" i="2"/>
  <c r="K6" i="33" s="1"/>
  <c r="E221" i="2"/>
  <c r="D49" i="10"/>
  <c r="E251" i="36"/>
  <c r="E252" i="36" s="1"/>
  <c r="E253" i="36" s="1"/>
  <c r="G250" i="36"/>
  <c r="N247" i="27"/>
  <c r="T253" i="36"/>
  <c r="R254" i="36"/>
  <c r="R255" i="36" s="1"/>
  <c r="R256" i="36" s="1"/>
  <c r="C22" i="10"/>
  <c r="C21" i="10"/>
  <c r="C19" i="10"/>
  <c r="C18" i="10"/>
  <c r="C17" i="10"/>
  <c r="C16" i="10"/>
  <c r="Y251" i="1"/>
  <c r="Y252" i="1" s="1"/>
  <c r="Y253" i="1" s="1"/>
  <c r="AA250" i="1"/>
  <c r="N253" i="35"/>
  <c r="L254" i="35"/>
  <c r="L255" i="35" s="1"/>
  <c r="L256" i="35" s="1"/>
  <c r="R251" i="1"/>
  <c r="R252" i="1" s="1"/>
  <c r="R253" i="1" s="1"/>
  <c r="T250" i="1"/>
  <c r="T247" i="25"/>
  <c r="R248" i="25"/>
  <c r="R249" i="25" s="1"/>
  <c r="R250" i="25" s="1"/>
  <c r="N250" i="1"/>
  <c r="L251" i="1"/>
  <c r="L252" i="1" s="1"/>
  <c r="L253" i="1" s="1"/>
  <c r="D26" i="30"/>
  <c r="E41" i="31"/>
  <c r="E251" i="25"/>
  <c r="E252" i="25" s="1"/>
  <c r="E253" i="25" s="1"/>
  <c r="G250" i="25"/>
  <c r="G220" i="6"/>
  <c r="E221" i="6"/>
  <c r="F220" i="6"/>
  <c r="G6" i="33" s="1"/>
  <c r="F49" i="10"/>
  <c r="B22" i="10"/>
  <c r="B21" i="10"/>
  <c r="B20" i="10"/>
  <c r="B19" i="10"/>
  <c r="B18" i="10"/>
  <c r="B17" i="10"/>
  <c r="B16" i="10"/>
  <c r="N220" i="6"/>
  <c r="M220" i="6"/>
  <c r="J6" i="33" s="1"/>
  <c r="L221" i="6"/>
  <c r="G49" i="10"/>
  <c r="L257" i="36" l="1"/>
  <c r="L258" i="36" s="1"/>
  <c r="L259" i="36" s="1"/>
  <c r="N256" i="36"/>
  <c r="T256" i="36"/>
  <c r="R257" i="36"/>
  <c r="R258" i="36" s="1"/>
  <c r="R259" i="36" s="1"/>
  <c r="E222" i="6"/>
  <c r="F50" i="10"/>
  <c r="R251" i="25"/>
  <c r="R252" i="25" s="1"/>
  <c r="R253" i="25" s="1"/>
  <c r="T250" i="25"/>
  <c r="EY76" i="32"/>
  <c r="EQ76" i="32"/>
  <c r="EX76" i="32"/>
  <c r="EP76" i="32"/>
  <c r="EJ77" i="32"/>
  <c r="EW76" i="32"/>
  <c r="EO76" i="32"/>
  <c r="EV76" i="32"/>
  <c r="EN76" i="32"/>
  <c r="EU76" i="32"/>
  <c r="EM76" i="32"/>
  <c r="ES76" i="32"/>
  <c r="EK76" i="32"/>
  <c r="ET76" i="32"/>
  <c r="ER76" i="32"/>
  <c r="EL76" i="32"/>
  <c r="EZ76" i="32"/>
  <c r="L222" i="6"/>
  <c r="G50" i="10"/>
  <c r="G256" i="35"/>
  <c r="E257" i="35"/>
  <c r="E258" i="35" s="1"/>
  <c r="E259" i="35" s="1"/>
  <c r="E254" i="1"/>
  <c r="G253" i="1"/>
  <c r="R257" i="35"/>
  <c r="R258" i="35" s="1"/>
  <c r="R259" i="35" s="1"/>
  <c r="T256" i="35"/>
  <c r="N253" i="1"/>
  <c r="L254" i="1"/>
  <c r="E254" i="36"/>
  <c r="E255" i="36" s="1"/>
  <c r="E256" i="36" s="1"/>
  <c r="G253" i="36"/>
  <c r="AA253" i="1"/>
  <c r="Y254" i="1"/>
  <c r="Y255" i="1" s="1"/>
  <c r="Y256" i="1" s="1"/>
  <c r="E254" i="25"/>
  <c r="E255" i="25" s="1"/>
  <c r="E256" i="25" s="1"/>
  <c r="G253" i="25"/>
  <c r="R254" i="1"/>
  <c r="R255" i="1" s="1"/>
  <c r="R256" i="1" s="1"/>
  <c r="T253" i="1"/>
  <c r="L225" i="2"/>
  <c r="E53" i="10"/>
  <c r="N253" i="25"/>
  <c r="L254" i="25"/>
  <c r="L255" i="25" s="1"/>
  <c r="L256" i="25" s="1"/>
  <c r="N256" i="35"/>
  <c r="L257" i="35"/>
  <c r="L258" i="35" s="1"/>
  <c r="L259" i="35" s="1"/>
  <c r="C20" i="10"/>
  <c r="E222" i="2"/>
  <c r="D50" i="10"/>
  <c r="G256" i="25" l="1"/>
  <c r="F256" i="25"/>
  <c r="D8" i="33" s="1"/>
  <c r="E257" i="25"/>
  <c r="E258" i="25" s="1"/>
  <c r="E259" i="25" s="1"/>
  <c r="T259" i="35"/>
  <c r="S259" i="35"/>
  <c r="R260" i="35"/>
  <c r="R261" i="35" s="1"/>
  <c r="R262" i="35" s="1"/>
  <c r="L257" i="25"/>
  <c r="L258" i="25" s="1"/>
  <c r="L259" i="25" s="1"/>
  <c r="N256" i="25"/>
  <c r="M256" i="25"/>
  <c r="Y257" i="1"/>
  <c r="Y258" i="1" s="1"/>
  <c r="Y259" i="1" s="1"/>
  <c r="AA256" i="1"/>
  <c r="Z256" i="1"/>
  <c r="E8" i="33" s="1"/>
  <c r="R254" i="25"/>
  <c r="R255" i="25" s="1"/>
  <c r="R256" i="25" s="1"/>
  <c r="T253" i="25"/>
  <c r="L226" i="2"/>
  <c r="E54" i="10"/>
  <c r="E257" i="36"/>
  <c r="E258" i="36" s="1"/>
  <c r="E259" i="36" s="1"/>
  <c r="G256" i="36"/>
  <c r="T259" i="36"/>
  <c r="R260" i="36"/>
  <c r="R261" i="36" s="1"/>
  <c r="R262" i="36" s="1"/>
  <c r="S259" i="36"/>
  <c r="E255" i="1"/>
  <c r="B23" i="10"/>
  <c r="F259" i="35"/>
  <c r="E260" i="35"/>
  <c r="E261" i="35" s="1"/>
  <c r="E262" i="35" s="1"/>
  <c r="G259" i="35"/>
  <c r="ET77" i="32"/>
  <c r="EL77" i="32"/>
  <c r="ES77" i="32"/>
  <c r="EK77" i="32"/>
  <c r="EZ77" i="32"/>
  <c r="ER77" i="32"/>
  <c r="EY77" i="32"/>
  <c r="EQ77" i="32"/>
  <c r="EX77" i="32"/>
  <c r="EP77" i="32"/>
  <c r="EV77" i="32"/>
  <c r="EN77" i="32"/>
  <c r="EJ78" i="32"/>
  <c r="EO77" i="32"/>
  <c r="EM77" i="32"/>
  <c r="EW77" i="32"/>
  <c r="EU77" i="32"/>
  <c r="E223" i="6"/>
  <c r="F51" i="10"/>
  <c r="E223" i="2"/>
  <c r="D51" i="10"/>
  <c r="L255" i="1"/>
  <c r="C23" i="10"/>
  <c r="R257" i="1"/>
  <c r="R258" i="1" s="1"/>
  <c r="R259" i="1" s="1"/>
  <c r="T256" i="1"/>
  <c r="S256" i="1"/>
  <c r="L223" i="6"/>
  <c r="G51" i="10"/>
  <c r="N259" i="35"/>
  <c r="M259" i="35"/>
  <c r="L260" i="35"/>
  <c r="L261" i="35" s="1"/>
  <c r="L262" i="35" s="1"/>
  <c r="L260" i="36"/>
  <c r="L261" i="36" s="1"/>
  <c r="L262" i="36" s="1"/>
  <c r="N259" i="36"/>
  <c r="M259" i="36"/>
  <c r="EJ79" i="32" l="1"/>
  <c r="EW78" i="32"/>
  <c r="EO78" i="32"/>
  <c r="EV78" i="32"/>
  <c r="EN78" i="32"/>
  <c r="EU78" i="32"/>
  <c r="EM78" i="32"/>
  <c r="ET78" i="32"/>
  <c r="EL78" i="32"/>
  <c r="ES78" i="32"/>
  <c r="EK78" i="32"/>
  <c r="EY78" i="32"/>
  <c r="EQ78" i="32"/>
  <c r="EZ78" i="32"/>
  <c r="EX78" i="32"/>
  <c r="ER78" i="32"/>
  <c r="EP78" i="32"/>
  <c r="L227" i="2"/>
  <c r="N226" i="2"/>
  <c r="E55" i="10"/>
  <c r="L260" i="25"/>
  <c r="L261" i="25" s="1"/>
  <c r="L262" i="25" s="1"/>
  <c r="N259" i="25"/>
  <c r="N262" i="35"/>
  <c r="L263" i="35"/>
  <c r="L264" i="35" s="1"/>
  <c r="L265" i="35" s="1"/>
  <c r="T262" i="35"/>
  <c r="R263" i="35"/>
  <c r="R264" i="35" s="1"/>
  <c r="R265" i="35" s="1"/>
  <c r="T256" i="25"/>
  <c r="S256" i="25"/>
  <c r="R257" i="25"/>
  <c r="R258" i="25" s="1"/>
  <c r="R259" i="25" s="1"/>
  <c r="E224" i="6"/>
  <c r="G223" i="6"/>
  <c r="F52" i="10"/>
  <c r="F13" i="10" s="1"/>
  <c r="T262" i="36"/>
  <c r="R263" i="36"/>
  <c r="R264" i="36" s="1"/>
  <c r="R265" i="36" s="1"/>
  <c r="G259" i="25"/>
  <c r="E260" i="25"/>
  <c r="E261" i="25" s="1"/>
  <c r="E262" i="25" s="1"/>
  <c r="L256" i="1"/>
  <c r="C24" i="10"/>
  <c r="E224" i="2"/>
  <c r="G223" i="2"/>
  <c r="D52" i="10"/>
  <c r="D13" i="10" s="1"/>
  <c r="E256" i="1"/>
  <c r="B24" i="10"/>
  <c r="N223" i="6"/>
  <c r="L224" i="6"/>
  <c r="G52" i="10"/>
  <c r="G13" i="10" s="1"/>
  <c r="L263" i="36"/>
  <c r="L264" i="36" s="1"/>
  <c r="L265" i="36" s="1"/>
  <c r="N262" i="36"/>
  <c r="T259" i="1"/>
  <c r="R260" i="1"/>
  <c r="R261" i="1" s="1"/>
  <c r="R262" i="1" s="1"/>
  <c r="AA259" i="1"/>
  <c r="Y260" i="1"/>
  <c r="Y261" i="1" s="1"/>
  <c r="Y262" i="1" s="1"/>
  <c r="G262" i="35"/>
  <c r="E263" i="35"/>
  <c r="E264" i="35" s="1"/>
  <c r="E265" i="35" s="1"/>
  <c r="E260" i="36"/>
  <c r="E261" i="36" s="1"/>
  <c r="E262" i="36" s="1"/>
  <c r="G259" i="36"/>
  <c r="F259" i="36"/>
  <c r="N265" i="35" l="1"/>
  <c r="L266" i="35"/>
  <c r="L267" i="35" s="1"/>
  <c r="L268" i="35" s="1"/>
  <c r="E263" i="36"/>
  <c r="E264" i="36" s="1"/>
  <c r="E265" i="36" s="1"/>
  <c r="G262" i="36"/>
  <c r="L266" i="36"/>
  <c r="L267" i="36" s="1"/>
  <c r="L268" i="36" s="1"/>
  <c r="N265" i="36"/>
  <c r="E225" i="2"/>
  <c r="D53" i="10"/>
  <c r="L225" i="6"/>
  <c r="G53" i="10"/>
  <c r="N256" i="1"/>
  <c r="M256" i="1"/>
  <c r="F8" i="33" s="1"/>
  <c r="L257" i="1"/>
  <c r="C25" i="10"/>
  <c r="T259" i="25"/>
  <c r="R260" i="25"/>
  <c r="R261" i="25" s="1"/>
  <c r="R262" i="25" s="1"/>
  <c r="L263" i="25"/>
  <c r="L264" i="25" s="1"/>
  <c r="L265" i="25" s="1"/>
  <c r="N262" i="25"/>
  <c r="AA262" i="1"/>
  <c r="Y263" i="1"/>
  <c r="Y264" i="1" s="1"/>
  <c r="Y265" i="1" s="1"/>
  <c r="R263" i="1"/>
  <c r="R264" i="1" s="1"/>
  <c r="R265" i="1" s="1"/>
  <c r="T262" i="1"/>
  <c r="T265" i="36"/>
  <c r="R266" i="36"/>
  <c r="R267" i="36" s="1"/>
  <c r="R268" i="36" s="1"/>
  <c r="L228" i="2"/>
  <c r="E56" i="10"/>
  <c r="G265" i="35"/>
  <c r="E266" i="35"/>
  <c r="E267" i="35" s="1"/>
  <c r="E268" i="35" s="1"/>
  <c r="E225" i="6"/>
  <c r="F53" i="10"/>
  <c r="E263" i="25"/>
  <c r="E264" i="25" s="1"/>
  <c r="E265" i="25" s="1"/>
  <c r="G262" i="25"/>
  <c r="F256" i="1"/>
  <c r="C8" i="33" s="1"/>
  <c r="E257" i="1"/>
  <c r="G256" i="1"/>
  <c r="B25" i="10"/>
  <c r="T265" i="35"/>
  <c r="R266" i="35"/>
  <c r="R267" i="35" s="1"/>
  <c r="R268" i="35" s="1"/>
  <c r="EZ79" i="32"/>
  <c r="ER79" i="32"/>
  <c r="EY79" i="32"/>
  <c r="EQ79" i="32"/>
  <c r="EX79" i="32"/>
  <c r="EP79" i="32"/>
  <c r="EJ80" i="32"/>
  <c r="EW79" i="32"/>
  <c r="EO79" i="32"/>
  <c r="EV79" i="32"/>
  <c r="EN79" i="32"/>
  <c r="ET79" i="32"/>
  <c r="EL79" i="32"/>
  <c r="EU79" i="32"/>
  <c r="ES79" i="32"/>
  <c r="EM79" i="32"/>
  <c r="EK79" i="32"/>
  <c r="T268" i="36" l="1"/>
  <c r="R269" i="36"/>
  <c r="R270" i="36" s="1"/>
  <c r="R271" i="36" s="1"/>
  <c r="T262" i="25"/>
  <c r="R263" i="25"/>
  <c r="R264" i="25" s="1"/>
  <c r="R265" i="25" s="1"/>
  <c r="E266" i="25"/>
  <c r="E267" i="25" s="1"/>
  <c r="E268" i="25" s="1"/>
  <c r="G265" i="25"/>
  <c r="E226" i="2"/>
  <c r="D54" i="10"/>
  <c r="EU80" i="32"/>
  <c r="EM80" i="32"/>
  <c r="ET80" i="32"/>
  <c r="EL80" i="32"/>
  <c r="ES80" i="32"/>
  <c r="EK80" i="32"/>
  <c r="EZ80" i="32"/>
  <c r="ER80" i="32"/>
  <c r="EY80" i="32"/>
  <c r="EQ80" i="32"/>
  <c r="EJ81" i="32"/>
  <c r="EW80" i="32"/>
  <c r="EO80" i="32"/>
  <c r="EX80" i="32"/>
  <c r="EV80" i="32"/>
  <c r="EP80" i="32"/>
  <c r="EN80" i="32"/>
  <c r="E226" i="6"/>
  <c r="F54" i="10"/>
  <c r="T265" i="1"/>
  <c r="R266" i="1"/>
  <c r="R267" i="1" s="1"/>
  <c r="R268" i="1" s="1"/>
  <c r="L258" i="1"/>
  <c r="C26" i="10"/>
  <c r="L269" i="36"/>
  <c r="L270" i="36" s="1"/>
  <c r="L271" i="36" s="1"/>
  <c r="N268" i="36"/>
  <c r="T268" i="35"/>
  <c r="R269" i="35"/>
  <c r="R270" i="35" s="1"/>
  <c r="R271" i="35" s="1"/>
  <c r="G268" i="35"/>
  <c r="E269" i="35"/>
  <c r="E270" i="35" s="1"/>
  <c r="E271" i="35" s="1"/>
  <c r="Y266" i="1"/>
  <c r="Y267" i="1" s="1"/>
  <c r="Y268" i="1" s="1"/>
  <c r="AA265" i="1"/>
  <c r="E266" i="36"/>
  <c r="E267" i="36" s="1"/>
  <c r="E268" i="36" s="1"/>
  <c r="G265" i="36"/>
  <c r="L269" i="35"/>
  <c r="L270" i="35" s="1"/>
  <c r="L271" i="35" s="1"/>
  <c r="N268" i="35"/>
  <c r="E258" i="1"/>
  <c r="B26" i="10"/>
  <c r="L229" i="2"/>
  <c r="E57" i="10"/>
  <c r="N265" i="25"/>
  <c r="L266" i="25"/>
  <c r="L267" i="25" s="1"/>
  <c r="L268" i="25" s="1"/>
  <c r="L226" i="6"/>
  <c r="G54" i="10"/>
  <c r="M271" i="36" l="1"/>
  <c r="L272" i="36"/>
  <c r="L273" i="36" s="1"/>
  <c r="L274" i="36" s="1"/>
  <c r="N271" i="36"/>
  <c r="E227" i="2"/>
  <c r="G226" i="2"/>
  <c r="D55" i="10"/>
  <c r="E269" i="36"/>
  <c r="E270" i="36" s="1"/>
  <c r="E271" i="36" s="1"/>
  <c r="G268" i="36"/>
  <c r="G268" i="25"/>
  <c r="E269" i="25"/>
  <c r="E270" i="25" s="1"/>
  <c r="E271" i="25" s="1"/>
  <c r="F268" i="25"/>
  <c r="D7" i="33" s="1"/>
  <c r="Y269" i="1"/>
  <c r="Y270" i="1" s="1"/>
  <c r="Y271" i="1" s="1"/>
  <c r="AA268" i="1"/>
  <c r="Z268" i="1"/>
  <c r="E7" i="33" s="1"/>
  <c r="L259" i="1"/>
  <c r="C27" i="10"/>
  <c r="F271" i="35"/>
  <c r="E272" i="35"/>
  <c r="E273" i="35" s="1"/>
  <c r="E274" i="35" s="1"/>
  <c r="G271" i="35"/>
  <c r="S268" i="1"/>
  <c r="R269" i="1"/>
  <c r="R270" i="1" s="1"/>
  <c r="R271" i="1" s="1"/>
  <c r="T268" i="1"/>
  <c r="E259" i="1"/>
  <c r="B27" i="10"/>
  <c r="R266" i="25"/>
  <c r="R267" i="25" s="1"/>
  <c r="R268" i="25" s="1"/>
  <c r="T265" i="25"/>
  <c r="L230" i="2"/>
  <c r="N229" i="2"/>
  <c r="E58" i="10"/>
  <c r="T271" i="35"/>
  <c r="S271" i="35"/>
  <c r="R272" i="35"/>
  <c r="R273" i="35" s="1"/>
  <c r="R274" i="35" s="1"/>
  <c r="EX81" i="32"/>
  <c r="EP81" i="32"/>
  <c r="EJ82" i="32"/>
  <c r="EW81" i="32"/>
  <c r="EO81" i="32"/>
  <c r="EV81" i="32"/>
  <c r="EN81" i="32"/>
  <c r="EU81" i="32"/>
  <c r="EM81" i="32"/>
  <c r="ET81" i="32"/>
  <c r="EL81" i="32"/>
  <c r="EZ81" i="32"/>
  <c r="ER81" i="32"/>
  <c r="EY81" i="32"/>
  <c r="ES81" i="32"/>
  <c r="EQ81" i="32"/>
  <c r="EK81" i="32"/>
  <c r="N226" i="6"/>
  <c r="L227" i="6"/>
  <c r="G55" i="10"/>
  <c r="E227" i="6"/>
  <c r="G226" i="6"/>
  <c r="F55" i="10"/>
  <c r="T271" i="36"/>
  <c r="R272" i="36"/>
  <c r="R273" i="36" s="1"/>
  <c r="R274" i="36" s="1"/>
  <c r="S271" i="36"/>
  <c r="M271" i="35"/>
  <c r="L272" i="35"/>
  <c r="L273" i="35" s="1"/>
  <c r="L274" i="35" s="1"/>
  <c r="N271" i="35"/>
  <c r="M268" i="25"/>
  <c r="L269" i="25"/>
  <c r="L270" i="25" s="1"/>
  <c r="L271" i="25" s="1"/>
  <c r="N268" i="25"/>
  <c r="N271" i="25" l="1"/>
  <c r="L272" i="25"/>
  <c r="L273" i="25" s="1"/>
  <c r="L274" i="25" s="1"/>
  <c r="G259" i="1"/>
  <c r="E260" i="1"/>
  <c r="B28" i="10"/>
  <c r="L260" i="1"/>
  <c r="N259" i="1"/>
  <c r="C28" i="10"/>
  <c r="E272" i="36"/>
  <c r="E273" i="36" s="1"/>
  <c r="E274" i="36" s="1"/>
  <c r="G271" i="36"/>
  <c r="F271" i="36"/>
  <c r="R275" i="35"/>
  <c r="R276" i="35" s="1"/>
  <c r="R277" i="35" s="1"/>
  <c r="T274" i="35"/>
  <c r="E228" i="6"/>
  <c r="F56" i="10"/>
  <c r="R272" i="1"/>
  <c r="R273" i="1" s="1"/>
  <c r="R274" i="1" s="1"/>
  <c r="T271" i="1"/>
  <c r="AA271" i="1"/>
  <c r="Y272" i="1"/>
  <c r="Y273" i="1" s="1"/>
  <c r="Y274" i="1" s="1"/>
  <c r="E228" i="2"/>
  <c r="D56" i="10"/>
  <c r="L275" i="35"/>
  <c r="L276" i="35" s="1"/>
  <c r="L277" i="35" s="1"/>
  <c r="N274" i="35"/>
  <c r="L228" i="6"/>
  <c r="G56" i="10"/>
  <c r="L231" i="2"/>
  <c r="E59" i="10"/>
  <c r="ES82" i="32"/>
  <c r="EK82" i="32"/>
  <c r="EZ82" i="32"/>
  <c r="ER82" i="32"/>
  <c r="EY82" i="32"/>
  <c r="EQ82" i="32"/>
  <c r="EX82" i="32"/>
  <c r="EP82" i="32"/>
  <c r="EJ83" i="32"/>
  <c r="EW82" i="32"/>
  <c r="EO82" i="32"/>
  <c r="EU82" i="32"/>
  <c r="EM82" i="32"/>
  <c r="EV82" i="32"/>
  <c r="ET82" i="32"/>
  <c r="EN82" i="32"/>
  <c r="EL82" i="32"/>
  <c r="E275" i="35"/>
  <c r="E276" i="35" s="1"/>
  <c r="E277" i="35" s="1"/>
  <c r="G274" i="35"/>
  <c r="E272" i="25"/>
  <c r="E273" i="25" s="1"/>
  <c r="E274" i="25" s="1"/>
  <c r="G271" i="25"/>
  <c r="L275" i="36"/>
  <c r="L276" i="36" s="1"/>
  <c r="L277" i="36" s="1"/>
  <c r="N274" i="36"/>
  <c r="T274" i="36"/>
  <c r="R275" i="36"/>
  <c r="R276" i="36" s="1"/>
  <c r="R277" i="36" s="1"/>
  <c r="R269" i="25"/>
  <c r="R270" i="25" s="1"/>
  <c r="R271" i="25" s="1"/>
  <c r="T268" i="25"/>
  <c r="S268" i="25"/>
  <c r="G274" i="25" l="1"/>
  <c r="E275" i="25"/>
  <c r="E276" i="25" s="1"/>
  <c r="E277" i="25" s="1"/>
  <c r="E278" i="35"/>
  <c r="E279" i="35" s="1"/>
  <c r="E280" i="35" s="1"/>
  <c r="G277" i="35"/>
  <c r="T277" i="36"/>
  <c r="R278" i="36"/>
  <c r="R279" i="36" s="1"/>
  <c r="R280" i="36" s="1"/>
  <c r="EV83" i="32"/>
  <c r="EN83" i="32"/>
  <c r="EU83" i="32"/>
  <c r="EM83" i="32"/>
  <c r="ET83" i="32"/>
  <c r="EL83" i="32"/>
  <c r="ES83" i="32"/>
  <c r="EK83" i="32"/>
  <c r="EZ83" i="32"/>
  <c r="ER83" i="32"/>
  <c r="EX83" i="32"/>
  <c r="EP83" i="32"/>
  <c r="EQ83" i="32"/>
  <c r="EJ84" i="32"/>
  <c r="EO83" i="32"/>
  <c r="EY83" i="32"/>
  <c r="EW83" i="32"/>
  <c r="E229" i="2"/>
  <c r="D57" i="10"/>
  <c r="T277" i="35"/>
  <c r="R278" i="35"/>
  <c r="R279" i="35" s="1"/>
  <c r="R280" i="35" s="1"/>
  <c r="E261" i="1"/>
  <c r="B29" i="10"/>
  <c r="L229" i="6"/>
  <c r="G57" i="10"/>
  <c r="L278" i="35"/>
  <c r="L279" i="35" s="1"/>
  <c r="L280" i="35" s="1"/>
  <c r="N277" i="35"/>
  <c r="E229" i="6"/>
  <c r="F57" i="10"/>
  <c r="Y275" i="1"/>
  <c r="Y276" i="1" s="1"/>
  <c r="Y277" i="1" s="1"/>
  <c r="AA274" i="1"/>
  <c r="R272" i="25"/>
  <c r="R273" i="25" s="1"/>
  <c r="R274" i="25" s="1"/>
  <c r="T271" i="25"/>
  <c r="L232" i="2"/>
  <c r="E60" i="10"/>
  <c r="L275" i="25"/>
  <c r="L276" i="25" s="1"/>
  <c r="L277" i="25" s="1"/>
  <c r="N274" i="25"/>
  <c r="R275" i="1"/>
  <c r="R276" i="1" s="1"/>
  <c r="R277" i="1" s="1"/>
  <c r="T274" i="1"/>
  <c r="L261" i="1"/>
  <c r="C29" i="10"/>
  <c r="L278" i="36"/>
  <c r="L279" i="36" s="1"/>
  <c r="L280" i="36" s="1"/>
  <c r="N277" i="36"/>
  <c r="E275" i="36"/>
  <c r="E276" i="36" s="1"/>
  <c r="E277" i="36" s="1"/>
  <c r="G274" i="36"/>
  <c r="L262" i="1" l="1"/>
  <c r="C30" i="10"/>
  <c r="T280" i="36"/>
  <c r="R281" i="36"/>
  <c r="R282" i="36" s="1"/>
  <c r="R283" i="36" s="1"/>
  <c r="G229" i="6"/>
  <c r="E230" i="6"/>
  <c r="F58" i="10"/>
  <c r="L281" i="36"/>
  <c r="L282" i="36" s="1"/>
  <c r="L283" i="36" s="1"/>
  <c r="N280" i="36"/>
  <c r="M232" i="2"/>
  <c r="N5" i="33" s="1"/>
  <c r="L233" i="2"/>
  <c r="N232" i="2"/>
  <c r="E61" i="10"/>
  <c r="L281" i="35"/>
  <c r="L282" i="35" s="1"/>
  <c r="L283" i="35" s="1"/>
  <c r="N280" i="35"/>
  <c r="E230" i="2"/>
  <c r="G229" i="2"/>
  <c r="D58" i="10"/>
  <c r="E278" i="36"/>
  <c r="E279" i="36" s="1"/>
  <c r="E280" i="36" s="1"/>
  <c r="G277" i="36"/>
  <c r="R278" i="1"/>
  <c r="R279" i="1" s="1"/>
  <c r="R280" i="1" s="1"/>
  <c r="T277" i="1"/>
  <c r="AA277" i="1"/>
  <c r="Y278" i="1"/>
  <c r="Y279" i="1" s="1"/>
  <c r="Y280" i="1" s="1"/>
  <c r="E262" i="1"/>
  <c r="B30" i="10"/>
  <c r="EY84" i="32"/>
  <c r="EQ84" i="32"/>
  <c r="EX84" i="32"/>
  <c r="EP84" i="32"/>
  <c r="EJ85" i="32"/>
  <c r="EW84" i="32"/>
  <c r="EO84" i="32"/>
  <c r="EV84" i="32"/>
  <c r="EN84" i="32"/>
  <c r="EU84" i="32"/>
  <c r="EM84" i="32"/>
  <c r="ES84" i="32"/>
  <c r="EK84" i="32"/>
  <c r="EL84" i="32"/>
  <c r="EZ84" i="32"/>
  <c r="ET84" i="32"/>
  <c r="ER84" i="32"/>
  <c r="R275" i="25"/>
  <c r="R276" i="25" s="1"/>
  <c r="R277" i="25" s="1"/>
  <c r="T274" i="25"/>
  <c r="T280" i="35"/>
  <c r="R281" i="35"/>
  <c r="R282" i="35" s="1"/>
  <c r="R283" i="35" s="1"/>
  <c r="E281" i="35"/>
  <c r="E282" i="35" s="1"/>
  <c r="E283" i="35" s="1"/>
  <c r="G280" i="35"/>
  <c r="L230" i="6"/>
  <c r="N229" i="6"/>
  <c r="G58" i="10"/>
  <c r="N277" i="25"/>
  <c r="L278" i="25"/>
  <c r="L279" i="25" s="1"/>
  <c r="L280" i="25" s="1"/>
  <c r="E278" i="25"/>
  <c r="E279" i="25" s="1"/>
  <c r="E280" i="25" s="1"/>
  <c r="G277" i="25"/>
  <c r="E284" i="35" l="1"/>
  <c r="E285" i="35" s="1"/>
  <c r="E286" i="35" s="1"/>
  <c r="G283" i="35"/>
  <c r="F283" i="35"/>
  <c r="Y281" i="1"/>
  <c r="Y282" i="1" s="1"/>
  <c r="Y283" i="1" s="1"/>
  <c r="Z280" i="1"/>
  <c r="E6" i="33" s="1"/>
  <c r="AA280" i="1"/>
  <c r="E231" i="2"/>
  <c r="D59" i="10"/>
  <c r="L284" i="36"/>
  <c r="L285" i="36" s="1"/>
  <c r="L286" i="36" s="1"/>
  <c r="N283" i="36"/>
  <c r="M283" i="36"/>
  <c r="G280" i="25"/>
  <c r="F280" i="25"/>
  <c r="D6" i="33" s="1"/>
  <c r="E281" i="25"/>
  <c r="E282" i="25" s="1"/>
  <c r="E283" i="25" s="1"/>
  <c r="T283" i="35"/>
  <c r="R284" i="35"/>
  <c r="R285" i="35" s="1"/>
  <c r="R286" i="35" s="1"/>
  <c r="S283" i="35"/>
  <c r="ET85" i="32"/>
  <c r="EL85" i="32"/>
  <c r="ES85" i="32"/>
  <c r="EK85" i="32"/>
  <c r="EZ85" i="32"/>
  <c r="ER85" i="32"/>
  <c r="EY85" i="32"/>
  <c r="EQ85" i="32"/>
  <c r="EX85" i="32"/>
  <c r="EP85" i="32"/>
  <c r="EV85" i="32"/>
  <c r="EN85" i="32"/>
  <c r="EW85" i="32"/>
  <c r="EU85" i="32"/>
  <c r="EJ86" i="32"/>
  <c r="EO85" i="32"/>
  <c r="EM85" i="32"/>
  <c r="R278" i="25"/>
  <c r="R279" i="25" s="1"/>
  <c r="R280" i="25" s="1"/>
  <c r="T277" i="25"/>
  <c r="T283" i="36"/>
  <c r="R284" i="36"/>
  <c r="R285" i="36" s="1"/>
  <c r="R286" i="36" s="1"/>
  <c r="S283" i="36"/>
  <c r="L281" i="25"/>
  <c r="L282" i="25" s="1"/>
  <c r="L283" i="25" s="1"/>
  <c r="N280" i="25"/>
  <c r="M280" i="25"/>
  <c r="M283" i="35"/>
  <c r="N283" i="35"/>
  <c r="L284" i="35"/>
  <c r="L285" i="35" s="1"/>
  <c r="L286" i="35" s="1"/>
  <c r="S280" i="1"/>
  <c r="R281" i="1"/>
  <c r="R282" i="1" s="1"/>
  <c r="R283" i="1" s="1"/>
  <c r="T280" i="1"/>
  <c r="E281" i="36"/>
  <c r="E282" i="36" s="1"/>
  <c r="E283" i="36" s="1"/>
  <c r="G280" i="36"/>
  <c r="L234" i="2"/>
  <c r="E62" i="10"/>
  <c r="E231" i="6"/>
  <c r="F59" i="10"/>
  <c r="L231" i="6"/>
  <c r="G59" i="10"/>
  <c r="E263" i="1"/>
  <c r="G262" i="1"/>
  <c r="B31" i="10"/>
  <c r="N262" i="1"/>
  <c r="L263" i="1"/>
  <c r="C31" i="10"/>
  <c r="L284" i="25" l="1"/>
  <c r="L285" i="25" s="1"/>
  <c r="L286" i="25" s="1"/>
  <c r="N283" i="25"/>
  <c r="EW86" i="32"/>
  <c r="EO86" i="32"/>
  <c r="EV86" i="32"/>
  <c r="EN86" i="32"/>
  <c r="EU86" i="32"/>
  <c r="EM86" i="32"/>
  <c r="ET86" i="32"/>
  <c r="EL86" i="32"/>
  <c r="EJ87" i="32"/>
  <c r="ES86" i="32"/>
  <c r="EK86" i="32"/>
  <c r="EY86" i="32"/>
  <c r="EQ86" i="32"/>
  <c r="EZ86" i="32"/>
  <c r="EX86" i="32"/>
  <c r="ER86" i="32"/>
  <c r="EP86" i="32"/>
  <c r="T286" i="35"/>
  <c r="R287" i="35"/>
  <c r="R288" i="35" s="1"/>
  <c r="R289" i="35" s="1"/>
  <c r="E284" i="25"/>
  <c r="E285" i="25" s="1"/>
  <c r="E286" i="25" s="1"/>
  <c r="G283" i="25"/>
  <c r="E232" i="6"/>
  <c r="F60" i="10"/>
  <c r="G283" i="36"/>
  <c r="F283" i="36"/>
  <c r="E284" i="36"/>
  <c r="E285" i="36" s="1"/>
  <c r="E286" i="36" s="1"/>
  <c r="L232" i="6"/>
  <c r="G60" i="10"/>
  <c r="R284" i="1"/>
  <c r="R285" i="1" s="1"/>
  <c r="R286" i="1" s="1"/>
  <c r="T283" i="1"/>
  <c r="E232" i="2"/>
  <c r="D60" i="10"/>
  <c r="AA283" i="1"/>
  <c r="Y284" i="1"/>
  <c r="Y285" i="1" s="1"/>
  <c r="Y286" i="1" s="1"/>
  <c r="L235" i="2"/>
  <c r="E63" i="10"/>
  <c r="R281" i="25"/>
  <c r="R282" i="25" s="1"/>
  <c r="R283" i="25" s="1"/>
  <c r="T280" i="25"/>
  <c r="S280" i="25"/>
  <c r="L264" i="1"/>
  <c r="C32" i="10"/>
  <c r="T286" i="36"/>
  <c r="R287" i="36"/>
  <c r="R288" i="36" s="1"/>
  <c r="R289" i="36" s="1"/>
  <c r="N286" i="35"/>
  <c r="L287" i="35"/>
  <c r="L288" i="35" s="1"/>
  <c r="L289" i="35" s="1"/>
  <c r="E264" i="1"/>
  <c r="B32" i="10"/>
  <c r="L287" i="36"/>
  <c r="L288" i="36" s="1"/>
  <c r="L289" i="36" s="1"/>
  <c r="N286" i="36"/>
  <c r="E287" i="35"/>
  <c r="E288" i="35" s="1"/>
  <c r="E289" i="35" s="1"/>
  <c r="G286" i="35"/>
  <c r="G232" i="6" l="1"/>
  <c r="F232" i="6"/>
  <c r="G5" i="33" s="1"/>
  <c r="E233" i="6"/>
  <c r="F61" i="10"/>
  <c r="L290" i="35"/>
  <c r="L291" i="35" s="1"/>
  <c r="L292" i="35" s="1"/>
  <c r="N289" i="35"/>
  <c r="R284" i="25"/>
  <c r="R285" i="25" s="1"/>
  <c r="R286" i="25" s="1"/>
  <c r="T283" i="25"/>
  <c r="R287" i="1"/>
  <c r="R288" i="1" s="1"/>
  <c r="R289" i="1" s="1"/>
  <c r="T286" i="1"/>
  <c r="E265" i="1"/>
  <c r="B33" i="10"/>
  <c r="N232" i="6"/>
  <c r="M232" i="6"/>
  <c r="J5" i="33" s="1"/>
  <c r="L233" i="6"/>
  <c r="G61" i="10"/>
  <c r="L236" i="2"/>
  <c r="N235" i="2"/>
  <c r="E64" i="10"/>
  <c r="E290" i="35"/>
  <c r="E291" i="35" s="1"/>
  <c r="E292" i="35" s="1"/>
  <c r="G289" i="35"/>
  <c r="Y287" i="1"/>
  <c r="Y288" i="1" s="1"/>
  <c r="Y289" i="1" s="1"/>
  <c r="AA286" i="1"/>
  <c r="G286" i="36"/>
  <c r="E287" i="36"/>
  <c r="E288" i="36" s="1"/>
  <c r="E289" i="36" s="1"/>
  <c r="G286" i="25"/>
  <c r="E287" i="25"/>
  <c r="E288" i="25" s="1"/>
  <c r="E289" i="25" s="1"/>
  <c r="T289" i="36"/>
  <c r="R290" i="36"/>
  <c r="R291" i="36" s="1"/>
  <c r="R292" i="36" s="1"/>
  <c r="T289" i="35"/>
  <c r="R290" i="35"/>
  <c r="R291" i="35" s="1"/>
  <c r="R292" i="35" s="1"/>
  <c r="EY87" i="32"/>
  <c r="EQ87" i="32"/>
  <c r="EX87" i="32"/>
  <c r="EP87" i="32"/>
  <c r="EZ87" i="32"/>
  <c r="EN87" i="32"/>
  <c r="EW87" i="32"/>
  <c r="EM87" i="32"/>
  <c r="EJ88" i="32"/>
  <c r="EV87" i="32"/>
  <c r="EL87" i="32"/>
  <c r="EU87" i="32"/>
  <c r="EK87" i="32"/>
  <c r="ET87" i="32"/>
  <c r="ER87" i="32"/>
  <c r="ES87" i="32"/>
  <c r="EO87" i="32"/>
  <c r="L290" i="36"/>
  <c r="L291" i="36" s="1"/>
  <c r="L292" i="36" s="1"/>
  <c r="N289" i="36"/>
  <c r="L265" i="1"/>
  <c r="C33" i="10"/>
  <c r="G232" i="2"/>
  <c r="F232" i="2"/>
  <c r="K5" i="33" s="1"/>
  <c r="E233" i="2"/>
  <c r="D61" i="10"/>
  <c r="L287" i="25"/>
  <c r="L288" i="25" s="1"/>
  <c r="L289" i="25" s="1"/>
  <c r="N286" i="25"/>
  <c r="L290" i="25" l="1"/>
  <c r="L291" i="25" s="1"/>
  <c r="L292" i="25" s="1"/>
  <c r="N289" i="25"/>
  <c r="L293" i="36"/>
  <c r="L294" i="36" s="1"/>
  <c r="L295" i="36" s="1"/>
  <c r="N292" i="36"/>
  <c r="G289" i="36"/>
  <c r="E290" i="36"/>
  <c r="E291" i="36" s="1"/>
  <c r="E292" i="36" s="1"/>
  <c r="L237" i="2"/>
  <c r="R290" i="1"/>
  <c r="R291" i="1" s="1"/>
  <c r="R292" i="1" s="1"/>
  <c r="T289" i="1"/>
  <c r="ET88" i="32"/>
  <c r="EL88" i="32"/>
  <c r="ES88" i="32"/>
  <c r="EK88" i="32"/>
  <c r="EX88" i="32"/>
  <c r="EP88" i="32"/>
  <c r="EZ88" i="32"/>
  <c r="EN88" i="32"/>
  <c r="EY88" i="32"/>
  <c r="EM88" i="32"/>
  <c r="EW88" i="32"/>
  <c r="EJ89" i="32"/>
  <c r="EV88" i="32"/>
  <c r="EU88" i="32"/>
  <c r="EQ88" i="32"/>
  <c r="ER88" i="32"/>
  <c r="EO88" i="32"/>
  <c r="E234" i="2"/>
  <c r="D62" i="10"/>
  <c r="T292" i="35"/>
  <c r="R293" i="35"/>
  <c r="R294" i="35" s="1"/>
  <c r="R295" i="35" s="1"/>
  <c r="L234" i="6"/>
  <c r="G62" i="10"/>
  <c r="R287" i="25"/>
  <c r="R288" i="25" s="1"/>
  <c r="R289" i="25" s="1"/>
  <c r="T286" i="25"/>
  <c r="E293" i="35"/>
  <c r="E294" i="35" s="1"/>
  <c r="E295" i="35" s="1"/>
  <c r="G292" i="35"/>
  <c r="AA289" i="1"/>
  <c r="Y290" i="1"/>
  <c r="Y291" i="1" s="1"/>
  <c r="Y292" i="1" s="1"/>
  <c r="T292" i="36"/>
  <c r="R293" i="36"/>
  <c r="R294" i="36" s="1"/>
  <c r="R295" i="36" s="1"/>
  <c r="N292" i="35"/>
  <c r="L293" i="35"/>
  <c r="L294" i="35" s="1"/>
  <c r="L295" i="35" s="1"/>
  <c r="L266" i="1"/>
  <c r="N265" i="1"/>
  <c r="C34" i="10"/>
  <c r="E290" i="25"/>
  <c r="E291" i="25" s="1"/>
  <c r="E292" i="25" s="1"/>
  <c r="G289" i="25"/>
  <c r="E266" i="1"/>
  <c r="G265" i="1"/>
  <c r="B34" i="10"/>
  <c r="E234" i="6"/>
  <c r="F62" i="10"/>
  <c r="E235" i="6" l="1"/>
  <c r="F63" i="10"/>
  <c r="L267" i="1"/>
  <c r="C35" i="10"/>
  <c r="G295" i="35"/>
  <c r="E296" i="35"/>
  <c r="E297" i="35" s="1"/>
  <c r="E298" i="35" s="1"/>
  <c r="F295" i="35"/>
  <c r="P5" i="33" s="1"/>
  <c r="E235" i="2"/>
  <c r="D63" i="10"/>
  <c r="L296" i="35"/>
  <c r="L297" i="35" s="1"/>
  <c r="L298" i="35" s="1"/>
  <c r="N295" i="35"/>
  <c r="M295" i="35"/>
  <c r="L296" i="36"/>
  <c r="L297" i="36" s="1"/>
  <c r="L298" i="36" s="1"/>
  <c r="N295" i="36"/>
  <c r="M295" i="36"/>
  <c r="L235" i="6"/>
  <c r="G63" i="10"/>
  <c r="G292" i="25"/>
  <c r="F292" i="25"/>
  <c r="D5" i="33" s="1"/>
  <c r="E293" i="25"/>
  <c r="E294" i="25" s="1"/>
  <c r="E295" i="25" s="1"/>
  <c r="T295" i="35"/>
  <c r="R296" i="35"/>
  <c r="R297" i="35" s="1"/>
  <c r="R298" i="35" s="1"/>
  <c r="S295" i="35"/>
  <c r="L238" i="2"/>
  <c r="EJ90" i="32"/>
  <c r="EW89" i="32"/>
  <c r="EO89" i="32"/>
  <c r="EV89" i="32"/>
  <c r="EN89" i="32"/>
  <c r="ES89" i="32"/>
  <c r="EK89" i="32"/>
  <c r="EP89" i="32"/>
  <c r="EZ89" i="32"/>
  <c r="EM89" i="32"/>
  <c r="EY89" i="32"/>
  <c r="EL89" i="32"/>
  <c r="EX89" i="32"/>
  <c r="EU89" i="32"/>
  <c r="ER89" i="32"/>
  <c r="ET89" i="32"/>
  <c r="EQ89" i="32"/>
  <c r="G292" i="36"/>
  <c r="E293" i="36"/>
  <c r="E294" i="36" s="1"/>
  <c r="E295" i="36" s="1"/>
  <c r="R290" i="25"/>
  <c r="R291" i="25" s="1"/>
  <c r="R292" i="25" s="1"/>
  <c r="T289" i="25"/>
  <c r="Y293" i="1"/>
  <c r="Y294" i="1" s="1"/>
  <c r="Y295" i="1" s="1"/>
  <c r="AA292" i="1"/>
  <c r="Z292" i="1"/>
  <c r="E5" i="33" s="1"/>
  <c r="E267" i="1"/>
  <c r="B35" i="10"/>
  <c r="R296" i="36"/>
  <c r="R297" i="36" s="1"/>
  <c r="R298" i="36" s="1"/>
  <c r="S295" i="36"/>
  <c r="T295" i="36"/>
  <c r="T292" i="1"/>
  <c r="R293" i="1"/>
  <c r="R294" i="1" s="1"/>
  <c r="R295" i="1" s="1"/>
  <c r="S292" i="1"/>
  <c r="L293" i="25"/>
  <c r="L294" i="25" s="1"/>
  <c r="L295" i="25" s="1"/>
  <c r="N292" i="25"/>
  <c r="M292" i="25"/>
  <c r="Y296" i="1" l="1"/>
  <c r="Y297" i="1" s="1"/>
  <c r="Y298" i="1" s="1"/>
  <c r="AA295" i="1"/>
  <c r="E236" i="2"/>
  <c r="G235" i="2"/>
  <c r="D64" i="10"/>
  <c r="T298" i="35"/>
  <c r="R299" i="35"/>
  <c r="R300" i="35" s="1"/>
  <c r="R301" i="35" s="1"/>
  <c r="G298" i="35"/>
  <c r="E299" i="35"/>
  <c r="E300" i="35" s="1"/>
  <c r="E301" i="35" s="1"/>
  <c r="S292" i="25"/>
  <c r="R293" i="25"/>
  <c r="R294" i="25" s="1"/>
  <c r="R295" i="25" s="1"/>
  <c r="T292" i="25"/>
  <c r="L299" i="36"/>
  <c r="L300" i="36" s="1"/>
  <c r="L301" i="36" s="1"/>
  <c r="N298" i="36"/>
  <c r="R299" i="36"/>
  <c r="R300" i="36" s="1"/>
  <c r="R301" i="36" s="1"/>
  <c r="T298" i="36"/>
  <c r="E296" i="36"/>
  <c r="E297" i="36" s="1"/>
  <c r="E298" i="36" s="1"/>
  <c r="F295" i="36"/>
  <c r="O5" i="33" s="1"/>
  <c r="G295" i="36"/>
  <c r="G295" i="25"/>
  <c r="E296" i="25"/>
  <c r="E297" i="25" s="1"/>
  <c r="E298" i="25" s="1"/>
  <c r="N235" i="6"/>
  <c r="L236" i="6"/>
  <c r="G64" i="10"/>
  <c r="L268" i="1"/>
  <c r="C36" i="10"/>
  <c r="R296" i="1"/>
  <c r="R297" i="1" s="1"/>
  <c r="R298" i="1" s="1"/>
  <c r="T295" i="1"/>
  <c r="N238" i="2"/>
  <c r="L239" i="2"/>
  <c r="N295" i="25"/>
  <c r="L296" i="25"/>
  <c r="L297" i="25" s="1"/>
  <c r="L298" i="25" s="1"/>
  <c r="E268" i="1"/>
  <c r="B36" i="10"/>
  <c r="EZ90" i="32"/>
  <c r="ER90" i="32"/>
  <c r="EY90" i="32"/>
  <c r="EQ90" i="32"/>
  <c r="EV90" i="32"/>
  <c r="EN90" i="32"/>
  <c r="EP90" i="32"/>
  <c r="EO90" i="32"/>
  <c r="EM90" i="32"/>
  <c r="EX90" i="32"/>
  <c r="EL90" i="32"/>
  <c r="EW90" i="32"/>
  <c r="EK90" i="32"/>
  <c r="ET90" i="32"/>
  <c r="EU90" i="32"/>
  <c r="ES90" i="32"/>
  <c r="EJ91" i="32"/>
  <c r="L299" i="35"/>
  <c r="L300" i="35" s="1"/>
  <c r="L301" i="35" s="1"/>
  <c r="N298" i="35"/>
  <c r="E236" i="6"/>
  <c r="G235" i="6"/>
  <c r="F64" i="10"/>
  <c r="L237" i="6" l="1"/>
  <c r="G65" i="10"/>
  <c r="R302" i="36"/>
  <c r="R303" i="36" s="1"/>
  <c r="R304" i="36" s="1"/>
  <c r="T301" i="36"/>
  <c r="T301" i="35"/>
  <c r="R302" i="35"/>
  <c r="R303" i="35" s="1"/>
  <c r="R304" i="35" s="1"/>
  <c r="L240" i="2"/>
  <c r="E237" i="6"/>
  <c r="F65" i="10"/>
  <c r="G298" i="25"/>
  <c r="E299" i="25"/>
  <c r="E300" i="25" s="1"/>
  <c r="E301" i="25" s="1"/>
  <c r="L302" i="36"/>
  <c r="L303" i="36" s="1"/>
  <c r="L304" i="36" s="1"/>
  <c r="N301" i="36"/>
  <c r="L302" i="35"/>
  <c r="L303" i="35" s="1"/>
  <c r="L304" i="35" s="1"/>
  <c r="N301" i="35"/>
  <c r="EU91" i="32"/>
  <c r="EM91" i="32"/>
  <c r="ET91" i="32"/>
  <c r="EL91" i="32"/>
  <c r="EY91" i="32"/>
  <c r="EQ91" i="32"/>
  <c r="ER91" i="32"/>
  <c r="EP91" i="32"/>
  <c r="EO91" i="32"/>
  <c r="EZ91" i="32"/>
  <c r="EN91" i="32"/>
  <c r="EX91" i="32"/>
  <c r="EK91" i="32"/>
  <c r="EJ92" i="32"/>
  <c r="EV91" i="32"/>
  <c r="EW91" i="32"/>
  <c r="ES91" i="32"/>
  <c r="R299" i="1"/>
  <c r="R300" i="1" s="1"/>
  <c r="R301" i="1" s="1"/>
  <c r="T298" i="1"/>
  <c r="R296" i="25"/>
  <c r="R297" i="25" s="1"/>
  <c r="R298" i="25" s="1"/>
  <c r="T295" i="25"/>
  <c r="E237" i="2"/>
  <c r="D65" i="10"/>
  <c r="G268" i="1"/>
  <c r="E269" i="1"/>
  <c r="F268" i="1"/>
  <c r="C7" i="33" s="1"/>
  <c r="B37" i="10"/>
  <c r="N298" i="25"/>
  <c r="L299" i="25"/>
  <c r="L300" i="25" s="1"/>
  <c r="L301" i="25" s="1"/>
  <c r="L269" i="1"/>
  <c r="N268" i="1"/>
  <c r="M268" i="1"/>
  <c r="F7" i="33" s="1"/>
  <c r="C37" i="10"/>
  <c r="E299" i="36"/>
  <c r="E300" i="36" s="1"/>
  <c r="E301" i="36" s="1"/>
  <c r="G298" i="36"/>
  <c r="G301" i="35"/>
  <c r="E302" i="35"/>
  <c r="E303" i="35" s="1"/>
  <c r="E304" i="35" s="1"/>
  <c r="Y299" i="1"/>
  <c r="Y300" i="1" s="1"/>
  <c r="Y301" i="1" s="1"/>
  <c r="AA298" i="1"/>
  <c r="Y302" i="1" l="1"/>
  <c r="Y303" i="1" s="1"/>
  <c r="Y304" i="1" s="1"/>
  <c r="AA301" i="1"/>
  <c r="E238" i="2"/>
  <c r="D66" i="10"/>
  <c r="EX92" i="32"/>
  <c r="EP92" i="32"/>
  <c r="EJ93" i="32"/>
  <c r="EW92" i="32"/>
  <c r="EO92" i="32"/>
  <c r="ET92" i="32"/>
  <c r="EL92" i="32"/>
  <c r="ES92" i="32"/>
  <c r="ER92" i="32"/>
  <c r="EQ92" i="32"/>
  <c r="EN92" i="32"/>
  <c r="EZ92" i="32"/>
  <c r="EM92" i="32"/>
  <c r="EV92" i="32"/>
  <c r="EK92" i="32"/>
  <c r="EY92" i="32"/>
  <c r="EU92" i="32"/>
  <c r="T304" i="35"/>
  <c r="R305" i="35"/>
  <c r="R306" i="35" s="1"/>
  <c r="R307" i="35" s="1"/>
  <c r="L305" i="35"/>
  <c r="L306" i="35" s="1"/>
  <c r="L307" i="35" s="1"/>
  <c r="N304" i="35"/>
  <c r="L241" i="2"/>
  <c r="L270" i="1"/>
  <c r="C38" i="10"/>
  <c r="G304" i="35"/>
  <c r="E305" i="35"/>
  <c r="E306" i="35" s="1"/>
  <c r="E307" i="35" s="1"/>
  <c r="N301" i="25"/>
  <c r="L302" i="25"/>
  <c r="L303" i="25" s="1"/>
  <c r="L304" i="25" s="1"/>
  <c r="L305" i="36"/>
  <c r="L306" i="36" s="1"/>
  <c r="L307" i="36" s="1"/>
  <c r="N304" i="36"/>
  <c r="R299" i="25"/>
  <c r="R300" i="25" s="1"/>
  <c r="R301" i="25" s="1"/>
  <c r="T298" i="25"/>
  <c r="G301" i="25"/>
  <c r="E302" i="25"/>
  <c r="E303" i="25" s="1"/>
  <c r="E304" i="25" s="1"/>
  <c r="R305" i="36"/>
  <c r="R306" i="36" s="1"/>
  <c r="R307" i="36" s="1"/>
  <c r="T304" i="36"/>
  <c r="E302" i="36"/>
  <c r="E303" i="36" s="1"/>
  <c r="E304" i="36" s="1"/>
  <c r="G301" i="36"/>
  <c r="R302" i="1"/>
  <c r="R303" i="1" s="1"/>
  <c r="R304" i="1" s="1"/>
  <c r="T301" i="1"/>
  <c r="E270" i="1"/>
  <c r="B38" i="10"/>
  <c r="E238" i="6"/>
  <c r="F66" i="10"/>
  <c r="L238" i="6"/>
  <c r="G66" i="10"/>
  <c r="T307" i="35" l="1"/>
  <c r="S307" i="35"/>
  <c r="R308" i="35"/>
  <c r="R309" i="35" s="1"/>
  <c r="R310" i="35" s="1"/>
  <c r="R311" i="35" s="1"/>
  <c r="R312" i="35" s="1"/>
  <c r="R313" i="35" s="1"/>
  <c r="ES93" i="32"/>
  <c r="EK93" i="32"/>
  <c r="EZ93" i="32"/>
  <c r="ER93" i="32"/>
  <c r="EJ94" i="32"/>
  <c r="EW93" i="32"/>
  <c r="EO93" i="32"/>
  <c r="EU93" i="32"/>
  <c r="ET93" i="32"/>
  <c r="EQ93" i="32"/>
  <c r="EP93" i="32"/>
  <c r="EN93" i="32"/>
  <c r="EX93" i="32"/>
  <c r="EL93" i="32"/>
  <c r="EY93" i="32"/>
  <c r="EV93" i="32"/>
  <c r="EM93" i="32"/>
  <c r="E271" i="1"/>
  <c r="B39" i="10"/>
  <c r="E308" i="35"/>
  <c r="E309" i="35" s="1"/>
  <c r="E310" i="35" s="1"/>
  <c r="F307" i="35"/>
  <c r="P4" i="33" s="1"/>
  <c r="G307" i="35"/>
  <c r="T307" i="36"/>
  <c r="R308" i="36"/>
  <c r="R309" i="36" s="1"/>
  <c r="R310" i="36" s="1"/>
  <c r="R311" i="36" s="1"/>
  <c r="R312" i="36" s="1"/>
  <c r="R313" i="36" s="1"/>
  <c r="S307" i="36"/>
  <c r="E305" i="25"/>
  <c r="E306" i="25" s="1"/>
  <c r="E307" i="25" s="1"/>
  <c r="E308" i="25" s="1"/>
  <c r="E309" i="25" s="1"/>
  <c r="E310" i="25" s="1"/>
  <c r="E311" i="25" s="1"/>
  <c r="E312" i="25" s="1"/>
  <c r="E313" i="25" s="1"/>
  <c r="E314" i="25" s="1"/>
  <c r="E315" i="25" s="1"/>
  <c r="E316" i="25" s="1"/>
  <c r="E317" i="25" s="1"/>
  <c r="E318" i="25" s="1"/>
  <c r="E319" i="25" s="1"/>
  <c r="E320" i="25" s="1"/>
  <c r="E321" i="25" s="1"/>
  <c r="E322" i="25" s="1"/>
  <c r="E323" i="25" s="1"/>
  <c r="E324" i="25" s="1"/>
  <c r="E325" i="25" s="1"/>
  <c r="F304" i="25"/>
  <c r="D4" i="33" s="1"/>
  <c r="G304" i="25"/>
  <c r="L308" i="35"/>
  <c r="L309" i="35" s="1"/>
  <c r="L310" i="35" s="1"/>
  <c r="L311" i="35" s="1"/>
  <c r="L312" i="35" s="1"/>
  <c r="L313" i="35" s="1"/>
  <c r="L314" i="35" s="1"/>
  <c r="L315" i="35" s="1"/>
  <c r="L316" i="35" s="1"/>
  <c r="L317" i="35" s="1"/>
  <c r="L318" i="35" s="1"/>
  <c r="L319" i="35" s="1"/>
  <c r="L320" i="35" s="1"/>
  <c r="L321" i="35" s="1"/>
  <c r="L322" i="35" s="1"/>
  <c r="L323" i="35" s="1"/>
  <c r="L324" i="35" s="1"/>
  <c r="L325" i="35" s="1"/>
  <c r="L326" i="35" s="1"/>
  <c r="L327" i="35" s="1"/>
  <c r="L328" i="35" s="1"/>
  <c r="N307" i="35"/>
  <c r="M307" i="35"/>
  <c r="R302" i="25"/>
  <c r="R303" i="25" s="1"/>
  <c r="R304" i="25" s="1"/>
  <c r="T301" i="25"/>
  <c r="E239" i="2"/>
  <c r="G238" i="2"/>
  <c r="D67" i="10"/>
  <c r="G238" i="6"/>
  <c r="E239" i="6"/>
  <c r="F67" i="10"/>
  <c r="N238" i="6"/>
  <c r="L239" i="6"/>
  <c r="G67" i="10"/>
  <c r="E305" i="36"/>
  <c r="E306" i="36" s="1"/>
  <c r="E307" i="36" s="1"/>
  <c r="G304" i="36"/>
  <c r="N307" i="36"/>
  <c r="M307" i="36"/>
  <c r="L308" i="36"/>
  <c r="L309" i="36" s="1"/>
  <c r="L310" i="36" s="1"/>
  <c r="L311" i="36" s="1"/>
  <c r="L312" i="36" s="1"/>
  <c r="L313" i="36" s="1"/>
  <c r="L242" i="2"/>
  <c r="N241" i="2"/>
  <c r="R305" i="1"/>
  <c r="R306" i="1" s="1"/>
  <c r="R307" i="1" s="1"/>
  <c r="T304" i="1"/>
  <c r="S304" i="1"/>
  <c r="L271" i="1"/>
  <c r="C39" i="10"/>
  <c r="L305" i="25"/>
  <c r="L306" i="25" s="1"/>
  <c r="L307" i="25" s="1"/>
  <c r="L308" i="25" s="1"/>
  <c r="L309" i="25" s="1"/>
  <c r="L310" i="25" s="1"/>
  <c r="L311" i="25" s="1"/>
  <c r="L312" i="25" s="1"/>
  <c r="L313" i="25" s="1"/>
  <c r="L314" i="25" s="1"/>
  <c r="L315" i="25" s="1"/>
  <c r="L316" i="25" s="1"/>
  <c r="L317" i="25" s="1"/>
  <c r="L318" i="25" s="1"/>
  <c r="L319" i="25" s="1"/>
  <c r="L320" i="25" s="1"/>
  <c r="L321" i="25" s="1"/>
  <c r="L322" i="25" s="1"/>
  <c r="L323" i="25" s="1"/>
  <c r="L324" i="25" s="1"/>
  <c r="L325" i="25" s="1"/>
  <c r="N304" i="25"/>
  <c r="M304" i="25"/>
  <c r="AA304" i="1"/>
  <c r="Z304" i="1"/>
  <c r="E4" i="33" s="1"/>
  <c r="Y305" i="1"/>
  <c r="Y306" i="1" s="1"/>
  <c r="Y307" i="1" s="1"/>
  <c r="N325" i="25" l="1"/>
  <c r="R314" i="35"/>
  <c r="R315" i="35" s="1"/>
  <c r="R316" i="35" s="1"/>
  <c r="T313" i="35"/>
  <c r="M328" i="35"/>
  <c r="N328" i="35"/>
  <c r="R314" i="36"/>
  <c r="R315" i="36" s="1"/>
  <c r="R316" i="36" s="1"/>
  <c r="T313" i="36"/>
  <c r="G325" i="25"/>
  <c r="N325" i="35"/>
  <c r="N322" i="25"/>
  <c r="G322" i="25"/>
  <c r="N322" i="35"/>
  <c r="G319" i="25"/>
  <c r="N319" i="25"/>
  <c r="N316" i="25"/>
  <c r="M316" i="25"/>
  <c r="F316" i="25"/>
  <c r="D3" i="33" s="1"/>
  <c r="G316" i="25"/>
  <c r="L314" i="36"/>
  <c r="L315" i="36" s="1"/>
  <c r="L316" i="36" s="1"/>
  <c r="N313" i="36"/>
  <c r="M319" i="35"/>
  <c r="N319" i="35"/>
  <c r="N316" i="35"/>
  <c r="N313" i="25"/>
  <c r="G313" i="25"/>
  <c r="N313" i="35"/>
  <c r="G310" i="25"/>
  <c r="N310" i="25"/>
  <c r="G310" i="35"/>
  <c r="E16" i="31" s="1"/>
  <c r="E240" i="2"/>
  <c r="D68" i="10"/>
  <c r="G307" i="25"/>
  <c r="E272" i="1"/>
  <c r="G271" i="1"/>
  <c r="B40" i="10"/>
  <c r="AA307" i="1"/>
  <c r="E7" i="31" s="1"/>
  <c r="D5" i="30" s="1"/>
  <c r="L240" i="6"/>
  <c r="G68" i="10"/>
  <c r="EV94" i="32"/>
  <c r="EN94" i="32"/>
  <c r="EU94" i="32"/>
  <c r="EM94" i="32"/>
  <c r="EZ94" i="32"/>
  <c r="ER94" i="32"/>
  <c r="EW94" i="32"/>
  <c r="EJ95" i="32"/>
  <c r="ET94" i="32"/>
  <c r="ES94" i="32"/>
  <c r="EQ94" i="32"/>
  <c r="EP94" i="32"/>
  <c r="EY94" i="32"/>
  <c r="EL94" i="32"/>
  <c r="EX94" i="32"/>
  <c r="EO94" i="32"/>
  <c r="EK94" i="32"/>
  <c r="T307" i="1"/>
  <c r="C14" i="22" s="1"/>
  <c r="T304" i="25"/>
  <c r="S304" i="25"/>
  <c r="R305" i="25"/>
  <c r="R306" i="25" s="1"/>
  <c r="R307" i="25" s="1"/>
  <c r="R308" i="25" s="1"/>
  <c r="R309" i="25" s="1"/>
  <c r="R310" i="25" s="1"/>
  <c r="R311" i="25" s="1"/>
  <c r="R312" i="25" s="1"/>
  <c r="R313" i="25" s="1"/>
  <c r="R314" i="25" s="1"/>
  <c r="R315" i="25" s="1"/>
  <c r="R316" i="25" s="1"/>
  <c r="R317" i="25" s="1"/>
  <c r="R318" i="25" s="1"/>
  <c r="R319" i="25" s="1"/>
  <c r="R320" i="25" s="1"/>
  <c r="R321" i="25" s="1"/>
  <c r="R322" i="25" s="1"/>
  <c r="R323" i="25" s="1"/>
  <c r="R324" i="25" s="1"/>
  <c r="R325" i="25" s="1"/>
  <c r="R326" i="25" s="1"/>
  <c r="R327" i="25" s="1"/>
  <c r="R328" i="25" s="1"/>
  <c r="T310" i="36"/>
  <c r="T310" i="35"/>
  <c r="N310" i="35"/>
  <c r="N307" i="25"/>
  <c r="N310" i="36"/>
  <c r="G307" i="36"/>
  <c r="F307" i="36"/>
  <c r="O4" i="33" s="1"/>
  <c r="E308" i="36"/>
  <c r="E309" i="36" s="1"/>
  <c r="E310" i="36" s="1"/>
  <c r="E311" i="36" s="1"/>
  <c r="E312" i="36" s="1"/>
  <c r="E313" i="36" s="1"/>
  <c r="E314" i="36" s="1"/>
  <c r="E315" i="36" s="1"/>
  <c r="E316" i="36" s="1"/>
  <c r="E317" i="36" s="1"/>
  <c r="E318" i="36" s="1"/>
  <c r="E319" i="36" s="1"/>
  <c r="E320" i="36" s="1"/>
  <c r="E321" i="36" s="1"/>
  <c r="E322" i="36" s="1"/>
  <c r="E323" i="36" s="1"/>
  <c r="E324" i="36" s="1"/>
  <c r="E325" i="36" s="1"/>
  <c r="E326" i="36" s="1"/>
  <c r="E327" i="36" s="1"/>
  <c r="E328" i="36" s="1"/>
  <c r="E329" i="36" s="1"/>
  <c r="E330" i="36" s="1"/>
  <c r="E331" i="36" s="1"/>
  <c r="L243" i="2"/>
  <c r="L272" i="1"/>
  <c r="N271" i="1"/>
  <c r="C40" i="10"/>
  <c r="E240" i="6"/>
  <c r="F68" i="10"/>
  <c r="T328" i="25" l="1"/>
  <c r="S328" i="25"/>
  <c r="G331" i="36"/>
  <c r="F331" i="36"/>
  <c r="T325" i="25"/>
  <c r="R317" i="35"/>
  <c r="R318" i="35" s="1"/>
  <c r="R319" i="35" s="1"/>
  <c r="T316" i="35"/>
  <c r="R317" i="36"/>
  <c r="R318" i="36" s="1"/>
  <c r="R319" i="36" s="1"/>
  <c r="T316" i="36"/>
  <c r="G328" i="36"/>
  <c r="T322" i="25"/>
  <c r="G325" i="36"/>
  <c r="T319" i="25"/>
  <c r="G322" i="36"/>
  <c r="T316" i="25"/>
  <c r="S316" i="25"/>
  <c r="L317" i="36"/>
  <c r="L318" i="36" s="1"/>
  <c r="L319" i="36" s="1"/>
  <c r="L320" i="36" s="1"/>
  <c r="L321" i="36" s="1"/>
  <c r="L322" i="36" s="1"/>
  <c r="N316" i="36"/>
  <c r="G319" i="36"/>
  <c r="F319" i="36"/>
  <c r="O3" i="33" s="1"/>
  <c r="T313" i="25"/>
  <c r="E6" i="31"/>
  <c r="D6" i="30" s="1"/>
  <c r="G316" i="36"/>
  <c r="T310" i="25"/>
  <c r="G313" i="36"/>
  <c r="E273" i="1"/>
  <c r="B41" i="10"/>
  <c r="E241" i="6"/>
  <c r="F69" i="10"/>
  <c r="G310" i="36"/>
  <c r="EY95" i="32"/>
  <c r="EQ95" i="32"/>
  <c r="EX95" i="32"/>
  <c r="EP95" i="32"/>
  <c r="EU95" i="32"/>
  <c r="EM95" i="32"/>
  <c r="EW95" i="32"/>
  <c r="EK95" i="32"/>
  <c r="EJ96" i="32"/>
  <c r="EV95" i="32"/>
  <c r="ET95" i="32"/>
  <c r="ES95" i="32"/>
  <c r="ER95" i="32"/>
  <c r="EN95" i="32"/>
  <c r="EZ95" i="32"/>
  <c r="EO95" i="32"/>
  <c r="EL95" i="32"/>
  <c r="L241" i="6"/>
  <c r="G69" i="10"/>
  <c r="E241" i="2"/>
  <c r="D69" i="10"/>
  <c r="L273" i="1"/>
  <c r="C41" i="10"/>
  <c r="T307" i="25"/>
  <c r="L244" i="2"/>
  <c r="D41" i="30"/>
  <c r="E49" i="31"/>
  <c r="L323" i="36" l="1"/>
  <c r="L324" i="36" s="1"/>
  <c r="L325" i="36" s="1"/>
  <c r="N322" i="36"/>
  <c r="R320" i="35"/>
  <c r="R321" i="35" s="1"/>
  <c r="R322" i="35" s="1"/>
  <c r="T319" i="35"/>
  <c r="S319" i="35"/>
  <c r="R320" i="36"/>
  <c r="R321" i="36" s="1"/>
  <c r="R322" i="36" s="1"/>
  <c r="S319" i="36"/>
  <c r="T319" i="36"/>
  <c r="N319" i="36"/>
  <c r="M319" i="36"/>
  <c r="E15" i="31"/>
  <c r="D39" i="30" s="1"/>
  <c r="ET96" i="32"/>
  <c r="EL96" i="32"/>
  <c r="ES96" i="32"/>
  <c r="EK96" i="32"/>
  <c r="EX96" i="32"/>
  <c r="EP96" i="32"/>
  <c r="EY96" i="32"/>
  <c r="EM96" i="32"/>
  <c r="EW96" i="32"/>
  <c r="EJ97" i="32"/>
  <c r="EV96" i="32"/>
  <c r="EU96" i="32"/>
  <c r="ER96" i="32"/>
  <c r="EO96" i="32"/>
  <c r="EQ96" i="32"/>
  <c r="EN96" i="32"/>
  <c r="EZ96" i="32"/>
  <c r="N241" i="6"/>
  <c r="L242" i="6"/>
  <c r="G70" i="10"/>
  <c r="L274" i="1"/>
  <c r="C42" i="10"/>
  <c r="E242" i="6"/>
  <c r="G241" i="6"/>
  <c r="F70" i="10"/>
  <c r="L245" i="2"/>
  <c r="N244" i="2"/>
  <c r="M244" i="2"/>
  <c r="N4" i="33" s="1"/>
  <c r="E242" i="2"/>
  <c r="G241" i="2"/>
  <c r="D70" i="10"/>
  <c r="E274" i="1"/>
  <c r="B42" i="10"/>
  <c r="N325" i="36" l="1"/>
  <c r="L326" i="36"/>
  <c r="L327" i="36" s="1"/>
  <c r="L328" i="36" s="1"/>
  <c r="R323" i="35"/>
  <c r="R324" i="35" s="1"/>
  <c r="R325" i="35" s="1"/>
  <c r="T322" i="35"/>
  <c r="R323" i="36"/>
  <c r="R324" i="36" s="1"/>
  <c r="R325" i="36" s="1"/>
  <c r="T322" i="36"/>
  <c r="E48" i="31"/>
  <c r="E243" i="2"/>
  <c r="D71" i="10"/>
  <c r="L243" i="6"/>
  <c r="G71" i="10"/>
  <c r="EJ98" i="32"/>
  <c r="EW97" i="32"/>
  <c r="EO97" i="32"/>
  <c r="EV97" i="32"/>
  <c r="EN97" i="32"/>
  <c r="ES97" i="32"/>
  <c r="EK97" i="32"/>
  <c r="EZ97" i="32"/>
  <c r="EM97" i="32"/>
  <c r="EY97" i="32"/>
  <c r="EL97" i="32"/>
  <c r="EX97" i="32"/>
  <c r="EU97" i="32"/>
  <c r="ET97" i="32"/>
  <c r="EQ97" i="32"/>
  <c r="ER97" i="32"/>
  <c r="EP97" i="32"/>
  <c r="L275" i="1"/>
  <c r="N274" i="1"/>
  <c r="C43" i="10"/>
  <c r="L246" i="2"/>
  <c r="G274" i="1"/>
  <c r="E275" i="1"/>
  <c r="B43" i="10"/>
  <c r="E243" i="6"/>
  <c r="F71" i="10"/>
  <c r="N328" i="36" l="1"/>
  <c r="L329" i="36"/>
  <c r="L330" i="36" s="1"/>
  <c r="L331" i="36" s="1"/>
  <c r="R326" i="35"/>
  <c r="R327" i="35" s="1"/>
  <c r="R328" i="35" s="1"/>
  <c r="S325" i="35"/>
  <c r="T325" i="35"/>
  <c r="R326" i="36"/>
  <c r="R327" i="36" s="1"/>
  <c r="R328" i="36" s="1"/>
  <c r="R329" i="36" s="1"/>
  <c r="R330" i="36" s="1"/>
  <c r="R331" i="36" s="1"/>
  <c r="T325" i="36"/>
  <c r="E244" i="6"/>
  <c r="F72" i="10"/>
  <c r="EV98" i="32"/>
  <c r="ER98" i="32"/>
  <c r="EZ98" i="32"/>
  <c r="EQ98" i="32"/>
  <c r="EW98" i="32"/>
  <c r="EN98" i="32"/>
  <c r="EO98" i="32"/>
  <c r="EM98" i="32"/>
  <c r="EY98" i="32"/>
  <c r="EL98" i="32"/>
  <c r="EX98" i="32"/>
  <c r="EK98" i="32"/>
  <c r="EU98" i="32"/>
  <c r="ES98" i="32"/>
  <c r="EJ99" i="32"/>
  <c r="ET98" i="32"/>
  <c r="EP98" i="32"/>
  <c r="E276" i="1"/>
  <c r="B44" i="10"/>
  <c r="L244" i="6"/>
  <c r="G72" i="10"/>
  <c r="L276" i="1"/>
  <c r="C44" i="10"/>
  <c r="L247" i="2"/>
  <c r="E244" i="2"/>
  <c r="D72" i="10"/>
  <c r="N331" i="36" l="1"/>
  <c r="M331" i="36"/>
  <c r="T331" i="36"/>
  <c r="S331" i="36"/>
  <c r="S328" i="35"/>
  <c r="T328" i="35"/>
  <c r="T328" i="36"/>
  <c r="S328" i="36"/>
  <c r="L248" i="2"/>
  <c r="L277" i="1"/>
  <c r="C45" i="10"/>
  <c r="E245" i="2"/>
  <c r="G244" i="2"/>
  <c r="F244" i="2"/>
  <c r="K4" i="33" s="1"/>
  <c r="D73" i="10"/>
  <c r="E277" i="1"/>
  <c r="B45" i="10"/>
  <c r="M244" i="6"/>
  <c r="J4" i="33" s="1"/>
  <c r="N244" i="6"/>
  <c r="G73" i="10"/>
  <c r="N247" i="2"/>
  <c r="EY99" i="32"/>
  <c r="EQ99" i="32"/>
  <c r="ER99" i="32"/>
  <c r="EZ99" i="32"/>
  <c r="EP99" i="32"/>
  <c r="EV99" i="32"/>
  <c r="EM99" i="32"/>
  <c r="EU99" i="32"/>
  <c r="ET99" i="32"/>
  <c r="EJ100" i="32"/>
  <c r="ES99" i="32"/>
  <c r="EO99" i="32"/>
  <c r="EN99" i="32"/>
  <c r="EX99" i="32"/>
  <c r="EK99" i="32"/>
  <c r="EL99" i="32"/>
  <c r="EW99" i="32"/>
  <c r="G244" i="6"/>
  <c r="F244" i="6"/>
  <c r="G4" i="33" s="1"/>
  <c r="F73" i="10"/>
  <c r="L249" i="2" l="1"/>
  <c r="G277" i="1"/>
  <c r="E278" i="1"/>
  <c r="B46" i="10"/>
  <c r="D14" i="30"/>
  <c r="E30" i="31"/>
  <c r="E246" i="2"/>
  <c r="D74" i="10"/>
  <c r="ET100" i="32"/>
  <c r="EL100" i="32"/>
  <c r="EJ101" i="32"/>
  <c r="EZ100" i="32"/>
  <c r="EQ100" i="32"/>
  <c r="EY100" i="32"/>
  <c r="EP100" i="32"/>
  <c r="EV100" i="32"/>
  <c r="EM100" i="32"/>
  <c r="EN100" i="32"/>
  <c r="EK100" i="32"/>
  <c r="EX100" i="32"/>
  <c r="EW100" i="32"/>
  <c r="EU100" i="32"/>
  <c r="ER100" i="32"/>
  <c r="ES100" i="32"/>
  <c r="EO100" i="32"/>
  <c r="N277" i="1"/>
  <c r="L278" i="1"/>
  <c r="C46" i="10"/>
  <c r="L250" i="2" l="1"/>
  <c r="E247" i="2"/>
  <c r="D75" i="10"/>
  <c r="EJ102" i="32"/>
  <c r="EW101" i="32"/>
  <c r="EO101" i="32"/>
  <c r="ES101" i="32"/>
  <c r="EK101" i="32"/>
  <c r="EU101" i="32"/>
  <c r="ET101" i="32"/>
  <c r="EZ101" i="32"/>
  <c r="EP101" i="32"/>
  <c r="EY101" i="32"/>
  <c r="EX101" i="32"/>
  <c r="EV101" i="32"/>
  <c r="ER101" i="32"/>
  <c r="EQ101" i="32"/>
  <c r="EM101" i="32"/>
  <c r="EN101" i="32"/>
  <c r="EL101" i="32"/>
  <c r="L279" i="1"/>
  <c r="C47" i="10"/>
  <c r="D15" i="30"/>
  <c r="E33" i="31"/>
  <c r="O25" i="31" s="1"/>
  <c r="D40" i="30"/>
  <c r="E50" i="31"/>
  <c r="E279" i="1"/>
  <c r="B47" i="10"/>
  <c r="L251" i="2" l="1"/>
  <c r="N250" i="2"/>
  <c r="G247" i="2"/>
  <c r="D76" i="10"/>
  <c r="L280" i="1"/>
  <c r="C48" i="10"/>
  <c r="EZ102" i="32"/>
  <c r="ER102" i="32"/>
  <c r="EV102" i="32"/>
  <c r="EN102" i="32"/>
  <c r="EP102" i="32"/>
  <c r="EJ103" i="32"/>
  <c r="EY102" i="32"/>
  <c r="EO102" i="32"/>
  <c r="EU102" i="32"/>
  <c r="EK102" i="32"/>
  <c r="EW102" i="32"/>
  <c r="ET102" i="32"/>
  <c r="ES102" i="32"/>
  <c r="EQ102" i="32"/>
  <c r="EM102" i="32"/>
  <c r="EX102" i="32"/>
  <c r="EL102" i="32"/>
  <c r="E280" i="1"/>
  <c r="B48" i="10"/>
  <c r="L252" i="2" l="1"/>
  <c r="F280" i="1"/>
  <c r="C6" i="33" s="1"/>
  <c r="E281" i="1"/>
  <c r="G280" i="1"/>
  <c r="B49" i="10"/>
  <c r="L281" i="1"/>
  <c r="M280" i="1"/>
  <c r="F6" i="33" s="1"/>
  <c r="N280" i="1"/>
  <c r="C49" i="10"/>
  <c r="EU103" i="32"/>
  <c r="EM103" i="32"/>
  <c r="EY103" i="32"/>
  <c r="EQ103" i="32"/>
  <c r="EV103" i="32"/>
  <c r="EK103" i="32"/>
  <c r="ET103" i="32"/>
  <c r="ER103" i="32"/>
  <c r="EP103" i="32"/>
  <c r="EJ104" i="32"/>
  <c r="EZ103" i="32"/>
  <c r="EX103" i="32"/>
  <c r="EW103" i="32"/>
  <c r="ES103" i="32"/>
  <c r="EO103" i="32"/>
  <c r="EL103" i="32"/>
  <c r="EN103" i="32"/>
  <c r="B15" i="22"/>
  <c r="E20" i="31"/>
  <c r="L253" i="2" l="1"/>
  <c r="D24" i="30"/>
  <c r="E39" i="31"/>
  <c r="L282" i="1"/>
  <c r="C50" i="10"/>
  <c r="J11" i="22"/>
  <c r="EX104" i="32"/>
  <c r="EP104" i="32"/>
  <c r="EJ105" i="32"/>
  <c r="ET104" i="32"/>
  <c r="EL104" i="32"/>
  <c r="EQ104" i="32"/>
  <c r="EZ104" i="32"/>
  <c r="EO104" i="32"/>
  <c r="EW104" i="32"/>
  <c r="EM104" i="32"/>
  <c r="EV104" i="32"/>
  <c r="EK104" i="32"/>
  <c r="EY104" i="32"/>
  <c r="EU104" i="32"/>
  <c r="ER104" i="32"/>
  <c r="ES104" i="32"/>
  <c r="EN104" i="32"/>
  <c r="E282" i="1"/>
  <c r="B50" i="10"/>
  <c r="L254" i="2" l="1"/>
  <c r="N253" i="2"/>
  <c r="L283" i="1"/>
  <c r="C51" i="10"/>
  <c r="ES105" i="32"/>
  <c r="EK105" i="32"/>
  <c r="EZ105" i="32"/>
  <c r="ER105" i="32"/>
  <c r="EJ106" i="32"/>
  <c r="EW105" i="32"/>
  <c r="EO105" i="32"/>
  <c r="EY105" i="32"/>
  <c r="EM105" i="32"/>
  <c r="EX105" i="32"/>
  <c r="EL105" i="32"/>
  <c r="EU105" i="32"/>
  <c r="ET105" i="32"/>
  <c r="EQ105" i="32"/>
  <c r="EP105" i="32"/>
  <c r="EN105" i="32"/>
  <c r="EV105" i="32"/>
  <c r="E283" i="1"/>
  <c r="B51" i="10"/>
  <c r="L255" i="2" l="1"/>
  <c r="EV106" i="32"/>
  <c r="EN106" i="32"/>
  <c r="EU106" i="32"/>
  <c r="EM106" i="32"/>
  <c r="EZ106" i="32"/>
  <c r="ER106" i="32"/>
  <c r="EO106" i="32"/>
  <c r="EY106" i="32"/>
  <c r="EL106" i="32"/>
  <c r="EW106" i="32"/>
  <c r="EJ107" i="32"/>
  <c r="ET106" i="32"/>
  <c r="EX106" i="32"/>
  <c r="ES106" i="32"/>
  <c r="EP106" i="32"/>
  <c r="EQ106" i="32"/>
  <c r="EK106" i="32"/>
  <c r="G283" i="1"/>
  <c r="E284" i="1"/>
  <c r="B52" i="10"/>
  <c r="B13" i="10" s="1"/>
  <c r="N283" i="1"/>
  <c r="L284" i="1"/>
  <c r="C52" i="10"/>
  <c r="C13" i="10" s="1"/>
  <c r="L256" i="2" l="1"/>
  <c r="L285" i="1"/>
  <c r="C53" i="10"/>
  <c r="E285" i="1"/>
  <c r="B53" i="10"/>
  <c r="EY107" i="32"/>
  <c r="EQ107" i="32"/>
  <c r="EX107" i="32"/>
  <c r="EP107" i="32"/>
  <c r="EU107" i="32"/>
  <c r="EM107" i="32"/>
  <c r="EO107" i="32"/>
  <c r="EN107" i="32"/>
  <c r="EW107" i="32"/>
  <c r="EK107" i="32"/>
  <c r="EJ108" i="32"/>
  <c r="EV107" i="32"/>
  <c r="ET107" i="32"/>
  <c r="ES107" i="32"/>
  <c r="ER107" i="32"/>
  <c r="EL107" i="32"/>
  <c r="EZ107" i="32"/>
  <c r="L257" i="2" l="1"/>
  <c r="E65" i="10" s="1"/>
  <c r="N256" i="2"/>
  <c r="M256" i="2"/>
  <c r="N3" i="33" s="1"/>
  <c r="ET108" i="32"/>
  <c r="EL108" i="32"/>
  <c r="ES108" i="32"/>
  <c r="EK108" i="32"/>
  <c r="EX108" i="32"/>
  <c r="EP108" i="32"/>
  <c r="EQ108" i="32"/>
  <c r="EO108" i="32"/>
  <c r="EY108" i="32"/>
  <c r="EM108" i="32"/>
  <c r="EW108" i="32"/>
  <c r="EZ108" i="32"/>
  <c r="EJ109" i="32"/>
  <c r="EV108" i="32"/>
  <c r="ER108" i="32"/>
  <c r="EU108" i="32"/>
  <c r="EN108" i="32"/>
  <c r="E286" i="1"/>
  <c r="B54" i="10"/>
  <c r="L286" i="1"/>
  <c r="C54" i="10"/>
  <c r="L258" i="2" l="1"/>
  <c r="E66" i="10" s="1"/>
  <c r="EJ110" i="32"/>
  <c r="EW109" i="32"/>
  <c r="EO109" i="32"/>
  <c r="EV109" i="32"/>
  <c r="EN109" i="32"/>
  <c r="ES109" i="32"/>
  <c r="EK109" i="32"/>
  <c r="ER109" i="32"/>
  <c r="EQ109" i="32"/>
  <c r="EZ109" i="32"/>
  <c r="EM109" i="32"/>
  <c r="EY109" i="32"/>
  <c r="EL109" i="32"/>
  <c r="EX109" i="32"/>
  <c r="EU109" i="32"/>
  <c r="ET109" i="32"/>
  <c r="EP109" i="32"/>
  <c r="L287" i="1"/>
  <c r="N286" i="1"/>
  <c r="C55" i="10"/>
  <c r="G286" i="1"/>
  <c r="E287" i="1"/>
  <c r="B55" i="10"/>
  <c r="L259" i="2" l="1"/>
  <c r="E288" i="1"/>
  <c r="B56" i="10"/>
  <c r="L288" i="1"/>
  <c r="C56" i="10"/>
  <c r="EZ110" i="32"/>
  <c r="ER110" i="32"/>
  <c r="EY110" i="32"/>
  <c r="EQ110" i="32"/>
  <c r="EV110" i="32"/>
  <c r="EN110" i="32"/>
  <c r="ET110" i="32"/>
  <c r="ES110" i="32"/>
  <c r="EO110" i="32"/>
  <c r="EM110" i="32"/>
  <c r="EL110" i="32"/>
  <c r="EK110" i="32"/>
  <c r="EX110" i="32"/>
  <c r="EJ111" i="32"/>
  <c r="EU110" i="32"/>
  <c r="EW110" i="32"/>
  <c r="EP110" i="32"/>
  <c r="E67" i="10" l="1"/>
  <c r="L260" i="2"/>
  <c r="N259" i="2"/>
  <c r="L289" i="1"/>
  <c r="C57" i="10"/>
  <c r="EU111" i="32"/>
  <c r="EM111" i="32"/>
  <c r="ET111" i="32"/>
  <c r="EL111" i="32"/>
  <c r="EY111" i="32"/>
  <c r="EQ111" i="32"/>
  <c r="EJ112" i="32"/>
  <c r="EV111" i="32"/>
  <c r="ES111" i="32"/>
  <c r="EP111" i="32"/>
  <c r="EO111" i="32"/>
  <c r="EZ111" i="32"/>
  <c r="EX111" i="32"/>
  <c r="EW111" i="32"/>
  <c r="ER111" i="32"/>
  <c r="EN111" i="32"/>
  <c r="EK111" i="32"/>
  <c r="E289" i="1"/>
  <c r="B57" i="10"/>
  <c r="E68" i="10" l="1"/>
  <c r="L261" i="2"/>
  <c r="E290" i="1"/>
  <c r="G289" i="1"/>
  <c r="B58" i="10"/>
  <c r="EX112" i="32"/>
  <c r="EP112" i="32"/>
  <c r="EJ113" i="32"/>
  <c r="EW112" i="32"/>
  <c r="EO112" i="32"/>
  <c r="ET112" i="32"/>
  <c r="EL112" i="32"/>
  <c r="EV112" i="32"/>
  <c r="EU112" i="32"/>
  <c r="ER112" i="32"/>
  <c r="EQ112" i="32"/>
  <c r="EN112" i="32"/>
  <c r="EM112" i="32"/>
  <c r="EK112" i="32"/>
  <c r="EY112" i="32"/>
  <c r="EZ112" i="32"/>
  <c r="ES112" i="32"/>
  <c r="N289" i="1"/>
  <c r="L290" i="1"/>
  <c r="C58" i="10"/>
  <c r="E69" i="10" l="1"/>
  <c r="L262" i="2"/>
  <c r="E70" i="10" s="1"/>
  <c r="L291" i="1"/>
  <c r="C59" i="10"/>
  <c r="ES113" i="32"/>
  <c r="EK113" i="32"/>
  <c r="EZ113" i="32"/>
  <c r="ER113" i="32"/>
  <c r="EJ114" i="32"/>
  <c r="EW113" i="32"/>
  <c r="EO113" i="32"/>
  <c r="EX113" i="32"/>
  <c r="EL113" i="32"/>
  <c r="EV113" i="32"/>
  <c r="ET113" i="32"/>
  <c r="EQ113" i="32"/>
  <c r="EY113" i="32"/>
  <c r="EU113" i="32"/>
  <c r="EP113" i="32"/>
  <c r="EM113" i="32"/>
  <c r="EN113" i="32"/>
  <c r="E291" i="1"/>
  <c r="B59" i="10"/>
  <c r="L263" i="2" l="1"/>
  <c r="E71" i="10" s="1"/>
  <c r="N262" i="2"/>
  <c r="E292" i="1"/>
  <c r="B60" i="10"/>
  <c r="EV114" i="32"/>
  <c r="EN114" i="32"/>
  <c r="EU114" i="32"/>
  <c r="EM114" i="32"/>
  <c r="EZ114" i="32"/>
  <c r="ER114" i="32"/>
  <c r="EY114" i="32"/>
  <c r="EL114" i="32"/>
  <c r="EX114" i="32"/>
  <c r="EK114" i="32"/>
  <c r="EJ115" i="32"/>
  <c r="ET114" i="32"/>
  <c r="ES114" i="32"/>
  <c r="EQ114" i="32"/>
  <c r="EP114" i="32"/>
  <c r="EO114" i="32"/>
  <c r="EW114" i="32"/>
  <c r="L292" i="1"/>
  <c r="C60" i="10"/>
  <c r="L264" i="2" l="1"/>
  <c r="E72" i="10" s="1"/>
  <c r="EY115" i="32"/>
  <c r="EQ115" i="32"/>
  <c r="EX115" i="32"/>
  <c r="EP115" i="32"/>
  <c r="EU115" i="32"/>
  <c r="EM115" i="32"/>
  <c r="EN115" i="32"/>
  <c r="EZ115" i="32"/>
  <c r="EL115" i="32"/>
  <c r="EJ116" i="32"/>
  <c r="EV115" i="32"/>
  <c r="ET115" i="32"/>
  <c r="EW115" i="32"/>
  <c r="ES115" i="32"/>
  <c r="EO115" i="32"/>
  <c r="ER115" i="32"/>
  <c r="EK115" i="32"/>
  <c r="L293" i="1"/>
  <c r="N292" i="1"/>
  <c r="M292" i="1"/>
  <c r="F5" i="33" s="1"/>
  <c r="C61" i="10"/>
  <c r="G292" i="1"/>
  <c r="E293" i="1"/>
  <c r="F292" i="1"/>
  <c r="C5" i="33" s="1"/>
  <c r="B61" i="10"/>
  <c r="L265" i="2" l="1"/>
  <c r="L294" i="1"/>
  <c r="C62" i="10"/>
  <c r="ET116" i="32"/>
  <c r="EL116" i="32"/>
  <c r="ES116" i="32"/>
  <c r="EK116" i="32"/>
  <c r="EX116" i="32"/>
  <c r="EP116" i="32"/>
  <c r="EO116" i="32"/>
  <c r="EZ116" i="32"/>
  <c r="EN116" i="32"/>
  <c r="EW116" i="32"/>
  <c r="EJ117" i="32"/>
  <c r="EV116" i="32"/>
  <c r="EU116" i="32"/>
  <c r="ER116" i="32"/>
  <c r="EQ116" i="32"/>
  <c r="EM116" i="32"/>
  <c r="EY116" i="32"/>
  <c r="E294" i="1"/>
  <c r="B62" i="10"/>
  <c r="L266" i="2" l="1"/>
  <c r="E73" i="10"/>
  <c r="N265" i="2"/>
  <c r="EJ118" i="32"/>
  <c r="EW117" i="32"/>
  <c r="EO117" i="32"/>
  <c r="EV117" i="32"/>
  <c r="EN117" i="32"/>
  <c r="ES117" i="32"/>
  <c r="EK117" i="32"/>
  <c r="EQ117" i="32"/>
  <c r="EP117" i="32"/>
  <c r="EY117" i="32"/>
  <c r="EL117" i="32"/>
  <c r="EX117" i="32"/>
  <c r="EZ117" i="32"/>
  <c r="EU117" i="32"/>
  <c r="ER117" i="32"/>
  <c r="ET117" i="32"/>
  <c r="EM117" i="32"/>
  <c r="E295" i="1"/>
  <c r="B63" i="10"/>
  <c r="L295" i="1"/>
  <c r="C63" i="10"/>
  <c r="L267" i="2" l="1"/>
  <c r="E74" i="10"/>
  <c r="L296" i="1"/>
  <c r="N295" i="1"/>
  <c r="C64" i="10"/>
  <c r="E296" i="1"/>
  <c r="G295" i="1"/>
  <c r="B64" i="10"/>
  <c r="EZ118" i="32"/>
  <c r="ER118" i="32"/>
  <c r="EY118" i="32"/>
  <c r="EQ118" i="32"/>
  <c r="EV118" i="32"/>
  <c r="EN118" i="32"/>
  <c r="ES118" i="32"/>
  <c r="EP118" i="32"/>
  <c r="EM118" i="32"/>
  <c r="EX118" i="32"/>
  <c r="EL118" i="32"/>
  <c r="EW118" i="32"/>
  <c r="EJ119" i="32"/>
  <c r="EU118" i="32"/>
  <c r="ET118" i="32"/>
  <c r="EO118" i="32"/>
  <c r="EK118" i="32"/>
  <c r="L268" i="2" l="1"/>
  <c r="E75" i="10"/>
  <c r="E297" i="1"/>
  <c r="EU119" i="32"/>
  <c r="EM119" i="32"/>
  <c r="ET119" i="32"/>
  <c r="EL119" i="32"/>
  <c r="EY119" i="32"/>
  <c r="EQ119" i="32"/>
  <c r="ES119" i="32"/>
  <c r="ER119" i="32"/>
  <c r="EO119" i="32"/>
  <c r="EZ119" i="32"/>
  <c r="EN119" i="32"/>
  <c r="EK119" i="32"/>
  <c r="EX119" i="32"/>
  <c r="EJ120" i="32"/>
  <c r="EV119" i="32"/>
  <c r="EW119" i="32"/>
  <c r="EP119" i="32"/>
  <c r="L297" i="1"/>
  <c r="C65" i="10"/>
  <c r="M268" i="2" l="1"/>
  <c r="N268" i="2"/>
  <c r="E76" i="10"/>
  <c r="L298" i="1"/>
  <c r="C66" i="10"/>
  <c r="EX120" i="32"/>
  <c r="EP120" i="32"/>
  <c r="EJ121" i="32"/>
  <c r="EW120" i="32"/>
  <c r="EO120" i="32"/>
  <c r="ET120" i="32"/>
  <c r="EL120" i="32"/>
  <c r="EU120" i="32"/>
  <c r="ES120" i="32"/>
  <c r="EQ120" i="32"/>
  <c r="EN120" i="32"/>
  <c r="EZ120" i="32"/>
  <c r="EY120" i="32"/>
  <c r="EV120" i="32"/>
  <c r="ER120" i="32"/>
  <c r="EM120" i="32"/>
  <c r="EK120" i="32"/>
  <c r="E298" i="1"/>
  <c r="C15" i="22" l="1"/>
  <c r="E23" i="31"/>
  <c r="ES121" i="32"/>
  <c r="EK121" i="32"/>
  <c r="EZ121" i="32"/>
  <c r="ER121" i="32"/>
  <c r="EJ122" i="32"/>
  <c r="EW121" i="32"/>
  <c r="EO121" i="32"/>
  <c r="EV121" i="32"/>
  <c r="EU121" i="32"/>
  <c r="EQ121" i="32"/>
  <c r="EP121" i="32"/>
  <c r="EN121" i="32"/>
  <c r="EM121" i="32"/>
  <c r="EL121" i="32"/>
  <c r="EX121" i="32"/>
  <c r="EY121" i="32"/>
  <c r="ET121" i="32"/>
  <c r="E299" i="1"/>
  <c r="G298" i="1"/>
  <c r="L299" i="1"/>
  <c r="N298" i="1"/>
  <c r="C67" i="10"/>
  <c r="E42" i="31" l="1"/>
  <c r="D25" i="30"/>
  <c r="J12" i="22"/>
  <c r="J13" i="22" s="1"/>
  <c r="D15" i="22"/>
  <c r="E15" i="22"/>
  <c r="L300" i="1"/>
  <c r="C68" i="10"/>
  <c r="EV122" i="32"/>
  <c r="AS20" i="32" s="1" a="1"/>
  <c r="AS20" i="32" s="1"/>
  <c r="EN122" i="32"/>
  <c r="AK20" i="32" s="1" a="1"/>
  <c r="AK20" i="32" s="1"/>
  <c r="EU122" i="32"/>
  <c r="AR20" i="32" s="1" a="1"/>
  <c r="AR20" i="32" s="1"/>
  <c r="EM122" i="32"/>
  <c r="AJ20" i="32" s="1" a="1"/>
  <c r="AJ20" i="32" s="1"/>
  <c r="EZ122" i="32"/>
  <c r="ER122" i="32"/>
  <c r="EX122" i="32"/>
  <c r="EK122" i="32"/>
  <c r="EW122" i="32"/>
  <c r="AT20" i="32" s="1" a="1"/>
  <c r="AT20" i="32" s="1"/>
  <c r="ES122" i="32"/>
  <c r="AP20" i="32" s="1" a="1"/>
  <c r="AP20" i="32" s="1"/>
  <c r="EQ122" i="32"/>
  <c r="AN20" i="32" s="1" a="1"/>
  <c r="AN20" i="32" s="1"/>
  <c r="EY122" i="32"/>
  <c r="ET122" i="32"/>
  <c r="AQ20" i="32" s="1" a="1"/>
  <c r="AQ20" i="32" s="1"/>
  <c r="EP122" i="32"/>
  <c r="AM20" i="32" s="1" a="1"/>
  <c r="AM20" i="32" s="1"/>
  <c r="EL122" i="32"/>
  <c r="AI20" i="32" s="1" a="1"/>
  <c r="AI20" i="32" s="1"/>
  <c r="EO122" i="32"/>
  <c r="AL20" i="32" s="1" a="1"/>
  <c r="AL20" i="32" s="1"/>
  <c r="E300" i="1"/>
  <c r="O28" i="31" l="1"/>
  <c r="M37" i="31"/>
  <c r="E301" i="1"/>
  <c r="L301" i="1"/>
  <c r="C69" i="10"/>
  <c r="L302" i="1" l="1"/>
  <c r="N301" i="1"/>
  <c r="C70" i="10"/>
  <c r="E302" i="1"/>
  <c r="G301" i="1"/>
  <c r="E303" i="1" l="1"/>
  <c r="L303" i="1"/>
  <c r="C71" i="10"/>
  <c r="L304" i="1" l="1"/>
  <c r="C72" i="10"/>
  <c r="E304" i="1"/>
  <c r="G304" i="1" l="1"/>
  <c r="F304" i="1"/>
  <c r="C4" i="33" s="1"/>
  <c r="E305" i="1"/>
  <c r="B65" i="10" s="1"/>
  <c r="N304" i="1"/>
  <c r="M304" i="1"/>
  <c r="F4" i="33" s="1"/>
  <c r="L305" i="1"/>
  <c r="C73" i="10"/>
  <c r="L306" i="1" l="1"/>
  <c r="C74" i="10"/>
  <c r="E306" i="1"/>
  <c r="B66" i="10" s="1"/>
  <c r="E307" i="1" l="1"/>
  <c r="L307" i="1"/>
  <c r="C75" i="10"/>
  <c r="E308" i="1" l="1"/>
  <c r="B67" i="10"/>
  <c r="N307" i="1"/>
  <c r="C76" i="10"/>
  <c r="G307" i="1"/>
  <c r="E309" i="1" l="1"/>
  <c r="B68" i="10"/>
  <c r="C13" i="22"/>
  <c r="J6" i="22" s="1"/>
  <c r="E8" i="31"/>
  <c r="D4" i="30" s="1"/>
  <c r="E310" i="1" l="1"/>
  <c r="B69" i="10"/>
  <c r="E311" i="1" l="1"/>
  <c r="G310" i="1"/>
  <c r="B70" i="10"/>
  <c r="AA9" i="41"/>
  <c r="Z9" i="41" a="1"/>
  <c r="Z9" i="41" s="1"/>
  <c r="AB9" i="41"/>
  <c r="U9" i="41"/>
  <c r="T9" i="41" a="1"/>
  <c r="T9" i="41" s="1"/>
  <c r="V9" i="41"/>
  <c r="H9" i="41"/>
  <c r="G9" i="41"/>
  <c r="D9" i="41" a="1"/>
  <c r="D9" i="41" s="1"/>
  <c r="F9" i="41"/>
  <c r="P9" i="41"/>
  <c r="Q9" i="41"/>
  <c r="M9" i="41" a="1"/>
  <c r="M9" i="41" s="1"/>
  <c r="O9" i="41"/>
  <c r="E312" i="1" l="1"/>
  <c r="B71" i="10"/>
  <c r="E9" i="41"/>
  <c r="N9" i="41"/>
  <c r="V8" i="40"/>
  <c r="U8" i="40"/>
  <c r="T8" i="40" a="1"/>
  <c r="T8" i="40" s="1"/>
  <c r="H8" i="40"/>
  <c r="F8" i="40"/>
  <c r="D8" i="40" a="1"/>
  <c r="D8" i="40" s="1"/>
  <c r="G8" i="40"/>
  <c r="E313" i="1" l="1"/>
  <c r="B72" i="10"/>
  <c r="N8" i="40"/>
  <c r="E8" i="40"/>
  <c r="L8" i="39"/>
  <c r="K8" i="39" a="1"/>
  <c r="K8" i="39" s="1"/>
  <c r="M8" i="39"/>
  <c r="S8" i="39"/>
  <c r="Q8" i="39" a="1"/>
  <c r="Q8" i="39" s="1"/>
  <c r="R8" i="39"/>
  <c r="F8" i="39"/>
  <c r="G8" i="39"/>
  <c r="D8" i="39" a="1"/>
  <c r="D8" i="39" s="1"/>
  <c r="H8" i="39"/>
  <c r="E314" i="1" l="1"/>
  <c r="G313" i="1"/>
  <c r="B73" i="10"/>
  <c r="E8" i="39"/>
  <c r="L8" i="38"/>
  <c r="K8" i="38" a="1"/>
  <c r="K8" i="38" s="1"/>
  <c r="M8" i="38"/>
  <c r="H8" i="38"/>
  <c r="G8" i="38"/>
  <c r="D8" i="38" a="1"/>
  <c r="D8" i="38" s="1"/>
  <c r="F8" i="38"/>
  <c r="S8" i="37"/>
  <c r="Q8" i="37" a="1"/>
  <c r="Q8" i="37" s="1"/>
  <c r="R8" i="37"/>
  <c r="M8" i="37"/>
  <c r="K8" i="37" a="1"/>
  <c r="K8" i="37" s="1"/>
  <c r="L8" i="37"/>
  <c r="H8" i="37"/>
  <c r="G8" i="37"/>
  <c r="D8" i="37" a="1"/>
  <c r="D8" i="37" s="1"/>
  <c r="F8" i="37"/>
  <c r="E315" i="1" l="1"/>
  <c r="B74" i="10"/>
  <c r="E8" i="37"/>
  <c r="E8" i="38"/>
  <c r="E316" i="1" l="1"/>
  <c r="B75" i="10"/>
  <c r="G316" i="1" l="1"/>
  <c r="F316" i="1"/>
  <c r="B76" i="10"/>
  <c r="B13" i="22" l="1"/>
  <c r="E5" i="31"/>
  <c r="B14" i="22"/>
  <c r="D3" i="30" l="1"/>
  <c r="O23" i="31"/>
  <c r="D14" i="22"/>
  <c r="E14" i="22"/>
  <c r="E13" i="22"/>
  <c r="J5" i="22"/>
  <c r="J7" i="22" s="1"/>
  <c r="D13" i="22"/>
  <c r="K5" i="1" l="1" a="1"/>
  <c r="K5" i="1" s="1"/>
  <c r="X5" i="1" a="1"/>
  <c r="X5" i="1" s="1"/>
  <c r="Q5" i="1" a="1"/>
  <c r="Q5" i="1" s="1"/>
  <c r="D5" i="1" a="1"/>
  <c r="D5" i="1" s="1"/>
  <c r="F5" i="31" s="1"/>
  <c r="L5" i="1"/>
  <c r="F5" i="1"/>
  <c r="G5" i="1" a="1"/>
  <c r="G5" i="1" s="1"/>
  <c r="T5" i="1" a="1"/>
  <c r="T5" i="1" s="1"/>
  <c r="H5" i="1"/>
  <c r="U5" i="1"/>
  <c r="M5" i="1"/>
  <c r="S5" i="1"/>
  <c r="Z5" i="1"/>
  <c r="AA5" i="1"/>
  <c r="E17" i="24" l="1"/>
  <c r="E5" i="1"/>
  <c r="B21" i="22"/>
  <c r="B22" i="22"/>
  <c r="C22" i="22"/>
  <c r="R5" i="1"/>
  <c r="Y5" i="1"/>
  <c r="F7" i="31"/>
  <c r="E5" i="30" s="1"/>
  <c r="C21" i="22"/>
  <c r="K6" i="22" s="1"/>
  <c r="E19" i="24"/>
  <c r="K5" i="22" l="1"/>
  <c r="K7" i="22" s="1"/>
  <c r="D21" i="22"/>
  <c r="E21" i="22"/>
  <c r="E22" i="22"/>
  <c r="D22" i="22"/>
  <c r="F8" i="31"/>
  <c r="E4" i="30" s="1"/>
  <c r="E3" i="30"/>
  <c r="U10" i="41" l="1"/>
  <c r="T10" i="41" a="1"/>
  <c r="T10" i="41" s="1"/>
  <c r="V10" i="41"/>
  <c r="O10" i="41"/>
  <c r="P10" i="41"/>
  <c r="Q10" i="41"/>
  <c r="M10" i="41" a="1"/>
  <c r="M10" i="41" s="1"/>
  <c r="G10" i="41"/>
  <c r="F10" i="41"/>
  <c r="D10" i="41" a="1"/>
  <c r="D10" i="41" s="1"/>
  <c r="H10" i="41"/>
  <c r="AB10" i="41"/>
  <c r="Z10" i="41" a="1"/>
  <c r="Z10" i="41" s="1"/>
  <c r="AA10" i="41"/>
  <c r="E10" i="41" l="1"/>
  <c r="N10" i="41"/>
  <c r="H9" i="40"/>
  <c r="G9" i="40"/>
  <c r="F9" i="40"/>
  <c r="D9" i="40" a="1"/>
  <c r="D9" i="40" s="1"/>
  <c r="U9" i="40"/>
  <c r="T9" i="40" a="1"/>
  <c r="T9" i="40" s="1"/>
  <c r="V9" i="40"/>
  <c r="S9" i="39"/>
  <c r="Q9" i="39" a="1"/>
  <c r="Q9" i="39" s="1"/>
  <c r="R9" i="39"/>
  <c r="H9" i="39"/>
  <c r="F9" i="39"/>
  <c r="G9" i="39"/>
  <c r="D9" i="39" a="1"/>
  <c r="D9" i="39" s="1"/>
  <c r="L9" i="39"/>
  <c r="K9" i="39" a="1"/>
  <c r="K9" i="39" s="1"/>
  <c r="M9" i="39"/>
  <c r="S10" i="39" l="1"/>
  <c r="R10" i="39"/>
  <c r="H10" i="39"/>
  <c r="G10" i="39"/>
  <c r="F10" i="39"/>
  <c r="M10" i="39"/>
  <c r="L10" i="39"/>
  <c r="N9" i="40"/>
  <c r="E9" i="40"/>
  <c r="E9" i="39"/>
  <c r="Q10" i="40"/>
  <c r="U10" i="40"/>
  <c r="P10" i="40"/>
  <c r="O10" i="40"/>
  <c r="N10" i="40"/>
  <c r="V10" i="40"/>
  <c r="E10" i="40"/>
  <c r="H10" i="40"/>
  <c r="F10" i="40"/>
  <c r="G10"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hardendl</author>
  </authors>
  <commentList>
    <comment ref="C13" authorId="0" shapeId="0" xr:uid="{00000000-0006-0000-0600-000001000000}">
      <text>
        <r>
          <rPr>
            <b/>
            <sz val="9"/>
            <color rgb="FF000000"/>
            <rFont val="Tahoma"/>
            <family val="2"/>
          </rPr>
          <t>First Full Month of Live Performance</t>
        </r>
      </text>
    </comment>
    <comment ref="J13" authorId="0" shapeId="0" xr:uid="{00000000-0006-0000-0600-000002000000}">
      <text>
        <r>
          <rPr>
            <b/>
            <sz val="9"/>
            <color rgb="FF000000"/>
            <rFont val="Tahoma"/>
            <family val="2"/>
          </rPr>
          <t>First Full Month of Live Performance</t>
        </r>
      </text>
    </comment>
    <comment ref="P13" authorId="0" shapeId="0" xr:uid="{00000000-0006-0000-0600-000004000000}">
      <text>
        <r>
          <rPr>
            <b/>
            <sz val="9"/>
            <color indexed="81"/>
            <rFont val="Tahoma"/>
            <family val="2"/>
          </rPr>
          <t>First Full Month of Live Performance</t>
        </r>
      </text>
    </comment>
    <comment ref="W13" authorId="0" shapeId="0" xr:uid="{1336337D-6684-7448-99AD-78750FEEDD47}">
      <text>
        <r>
          <rPr>
            <b/>
            <sz val="9"/>
            <color indexed="81"/>
            <rFont val="Tahoma"/>
            <family val="2"/>
          </rPr>
          <t>First Full Month of Live Performance</t>
        </r>
      </text>
    </comment>
    <comment ref="D149" authorId="0" shapeId="0" xr:uid="{7C4D5430-3409-439D-A83C-FC7109E06614}">
      <text>
        <r>
          <rPr>
            <b/>
            <sz val="9"/>
            <color rgb="FF000000"/>
            <rFont val="Tahoma"/>
            <family val="2"/>
          </rPr>
          <t>Used 12/31/10 holdings and ran performance in Bloomberg</t>
        </r>
      </text>
    </comment>
    <comment ref="C150" authorId="0" shapeId="0" xr:uid="{00000000-0006-0000-0600-000006000000}">
      <text>
        <r>
          <rPr>
            <b/>
            <sz val="9"/>
            <color rgb="FF000000"/>
            <rFont val="Tahoma"/>
            <family val="2"/>
          </rPr>
          <t>New Inception = 2/1/12 or beginning of first full month of performance</t>
        </r>
      </text>
    </comment>
    <comment ref="F161" authorId="0" shapeId="0" xr:uid="{00000000-0006-0000-0600-000007000000}">
      <text>
        <r>
          <rPr>
            <b/>
            <sz val="9"/>
            <color rgb="FF000000"/>
            <rFont val="Tahoma"/>
            <family val="2"/>
          </rPr>
          <t>Inception YTD</t>
        </r>
      </text>
    </comment>
    <comment ref="M161" authorId="0" shapeId="0" xr:uid="{00000000-0006-0000-0600-000008000000}">
      <text>
        <r>
          <rPr>
            <b/>
            <sz val="9"/>
            <color rgb="FF000000"/>
            <rFont val="Tahoma"/>
            <family val="2"/>
          </rPr>
          <t>Inception YTD</t>
        </r>
      </text>
    </comment>
    <comment ref="Z161" authorId="0" shapeId="0" xr:uid="{00000000-0006-0000-0600-00000A000000}">
      <text>
        <r>
          <rPr>
            <b/>
            <sz val="9"/>
            <color rgb="FF000000"/>
            <rFont val="Tahoma"/>
            <family val="2"/>
          </rPr>
          <t>Inception YTD</t>
        </r>
      </text>
    </comment>
    <comment ref="C163" authorId="0" shapeId="0" xr:uid="{00000000-0006-0000-0600-00000B000000}">
      <text>
        <r>
          <rPr>
            <b/>
            <sz val="9"/>
            <color indexed="81"/>
            <rFont val="Tahoma"/>
            <family val="2"/>
          </rPr>
          <t>SILVX had only SPY ETF so not in composite until invested in stocks on 5/31/12</t>
        </r>
      </text>
    </comment>
    <comment ref="C165" authorId="0" shapeId="0" xr:uid="{00000000-0006-0000-0600-00000C000000}">
      <text>
        <r>
          <rPr>
            <b/>
            <sz val="9"/>
            <color indexed="81"/>
            <rFont val="Tahoma"/>
            <family val="2"/>
          </rPr>
          <t>$1.45 mln was moved from Presidium SMA's to mutual fund at end of May (SILVX had 0.1 Mln before that) but Highlander SMA remained opened for May composite performance, and was invested in SILVX at the beginning of June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hardendl</author>
  </authors>
  <commentList>
    <comment ref="C13" authorId="0" shapeId="0" xr:uid="{00000000-0006-0000-0700-000001000000}">
      <text>
        <r>
          <rPr>
            <b/>
            <sz val="9"/>
            <color rgb="FF000000"/>
            <rFont val="Tahoma"/>
            <family val="2"/>
          </rPr>
          <t>First Full Month of Live Performance</t>
        </r>
      </text>
    </comment>
    <comment ref="J13" authorId="0" shapeId="0" xr:uid="{00000000-0006-0000-0700-000002000000}">
      <text>
        <r>
          <rPr>
            <b/>
            <sz val="9"/>
            <color indexed="81"/>
            <rFont val="Tahoma"/>
            <family val="2"/>
          </rPr>
          <t>First Full Month of Live Performance</t>
        </r>
      </text>
    </comment>
    <comment ref="P13" authorId="0" shapeId="0" xr:uid="{00000000-0006-0000-0700-000004000000}">
      <text>
        <r>
          <rPr>
            <b/>
            <sz val="9"/>
            <color rgb="FF000000"/>
            <rFont val="Tahoma"/>
            <family val="2"/>
          </rPr>
          <t>First Full Month of Live Performance</t>
        </r>
      </text>
    </comment>
    <comment ref="W13" authorId="0" shapeId="0" xr:uid="{3535DDDC-F505-2641-8962-444F62E3E35C}">
      <text>
        <r>
          <rPr>
            <b/>
            <sz val="9"/>
            <color rgb="FF000000"/>
            <rFont val="Tahoma"/>
            <family val="2"/>
          </rPr>
          <t>First Full Month of Live Performance</t>
        </r>
      </text>
    </comment>
    <comment ref="D149" authorId="0" shapeId="0" xr:uid="{B6F9FE8F-575F-4427-9637-E2D0F0CAA229}">
      <text>
        <r>
          <rPr>
            <b/>
            <sz val="9"/>
            <color indexed="81"/>
            <rFont val="Tahoma"/>
            <family val="2"/>
          </rPr>
          <t>Used 12/31/10 holdings and ran performance in Bloomberg</t>
        </r>
      </text>
    </comment>
    <comment ref="C150" authorId="0" shapeId="0" xr:uid="{00000000-0006-0000-0700-000006000000}">
      <text>
        <r>
          <rPr>
            <b/>
            <sz val="9"/>
            <color indexed="81"/>
            <rFont val="Tahoma"/>
            <family val="2"/>
          </rPr>
          <t>New Inception = 2/1/12 or beginning of first full month of performance</t>
        </r>
      </text>
    </comment>
    <comment ref="F161" authorId="0" shapeId="0" xr:uid="{00000000-0006-0000-0700-000007000000}">
      <text>
        <r>
          <rPr>
            <b/>
            <sz val="9"/>
            <color indexed="81"/>
            <rFont val="Tahoma"/>
            <family val="2"/>
          </rPr>
          <t>Inception YTD</t>
        </r>
      </text>
    </comment>
    <comment ref="M161" authorId="0" shapeId="0" xr:uid="{00000000-0006-0000-0700-000008000000}">
      <text>
        <r>
          <rPr>
            <b/>
            <sz val="9"/>
            <color indexed="81"/>
            <rFont val="Tahoma"/>
            <family val="2"/>
          </rPr>
          <t>Inception YTD</t>
        </r>
      </text>
    </comment>
    <comment ref="Z161" authorId="0" shapeId="0" xr:uid="{00000000-0006-0000-0700-00000A000000}">
      <text>
        <r>
          <rPr>
            <b/>
            <sz val="9"/>
            <color indexed="81"/>
            <rFont val="Tahoma"/>
            <family val="2"/>
          </rPr>
          <t>Inception YTD</t>
        </r>
      </text>
    </comment>
    <comment ref="C163" authorId="0" shapeId="0" xr:uid="{00000000-0006-0000-0700-00000B000000}">
      <text>
        <r>
          <rPr>
            <b/>
            <sz val="9"/>
            <color indexed="81"/>
            <rFont val="Tahoma"/>
            <family val="2"/>
          </rPr>
          <t>SILVX had only SPY ETF so not in composite until invested in stocks on 5/31/12</t>
        </r>
      </text>
    </comment>
    <comment ref="C165" authorId="0" shapeId="0" xr:uid="{00000000-0006-0000-0700-00000C000000}">
      <text>
        <r>
          <rPr>
            <b/>
            <sz val="9"/>
            <color indexed="81"/>
            <rFont val="Tahoma"/>
            <family val="2"/>
          </rPr>
          <t>$1.45 mln was moved from Presidium SMA's to mutual fund at end of May (SILVX had 0.1 Mln before that) but Highlander SMA remained opened for May composite performance, and was invested in SILVX at the beginning of June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hardendl</author>
  </authors>
  <commentList>
    <comment ref="F113" authorId="0" shapeId="0" xr:uid="{00000000-0006-0000-0A00-000001000000}">
      <text>
        <r>
          <rPr>
            <b/>
            <sz val="9"/>
            <color rgb="FF000000"/>
            <rFont val="Tahoma"/>
            <family val="2"/>
          </rPr>
          <t>Inception YTD</t>
        </r>
      </text>
    </comment>
    <comment ref="M113" authorId="0" shapeId="0" xr:uid="{00000000-0006-0000-0A00-000002000000}">
      <text>
        <r>
          <rPr>
            <b/>
            <sz val="9"/>
            <color rgb="FF000000"/>
            <rFont val="Tahoma"/>
            <family val="2"/>
          </rPr>
          <t>Inception YTD</t>
        </r>
      </text>
    </comment>
    <comment ref="S113" authorId="0" shapeId="0" xr:uid="{BCF95C2E-D4F9-3E46-8F7E-CFCAE60268B0}">
      <text>
        <r>
          <rPr>
            <b/>
            <sz val="9"/>
            <color rgb="FF000000"/>
            <rFont val="Tahoma"/>
            <family val="2"/>
          </rPr>
          <t>Inception YTD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hardendl</author>
  </authors>
  <commentList>
    <comment ref="F113" authorId="0" shapeId="0" xr:uid="{00000000-0006-0000-0B00-000001000000}">
      <text>
        <r>
          <rPr>
            <b/>
            <sz val="9"/>
            <color indexed="81"/>
            <rFont val="Tahoma"/>
            <family val="2"/>
          </rPr>
          <t>Inception YTD</t>
        </r>
      </text>
    </comment>
    <comment ref="M113" authorId="0" shapeId="0" xr:uid="{00000000-0006-0000-0B00-000002000000}">
      <text>
        <r>
          <rPr>
            <b/>
            <sz val="9"/>
            <color indexed="81"/>
            <rFont val="Tahoma"/>
            <family val="2"/>
          </rPr>
          <t>Inception YTD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hardendl</author>
  </authors>
  <commentList>
    <comment ref="D152" authorId="0" shapeId="0" xr:uid="{AD89E30F-1F9D-41C8-905C-EB31471CB2A6}">
      <text>
        <r>
          <rPr>
            <b/>
            <sz val="9"/>
            <color indexed="81"/>
            <rFont val="Tahoma"/>
            <family val="2"/>
          </rPr>
          <t>Used 12/31/10 holdings and ran performance in Bloomberg</t>
        </r>
      </text>
    </comment>
    <comment ref="C153" authorId="0" shapeId="0" xr:uid="{2E54EF85-B2D3-4AC5-A971-A2A8C01EF3BD}">
      <text>
        <r>
          <rPr>
            <b/>
            <sz val="9"/>
            <color indexed="81"/>
            <rFont val="Tahoma"/>
            <family val="2"/>
          </rPr>
          <t>New Inception = 2/1/12 or beginning of first full month of performance</t>
        </r>
      </text>
    </comment>
    <comment ref="F164" authorId="0" shapeId="0" xr:uid="{2559A576-D1A8-4BE6-85B7-A0574080A8DD}">
      <text>
        <r>
          <rPr>
            <b/>
            <sz val="9"/>
            <color rgb="FF000000"/>
            <rFont val="Tahoma"/>
            <family val="2"/>
          </rPr>
          <t>Inception YTD</t>
        </r>
      </text>
    </comment>
    <comment ref="M164" authorId="0" shapeId="0" xr:uid="{AE1022D1-1C9F-4529-A407-D9AED404E8B1}">
      <text>
        <r>
          <rPr>
            <b/>
            <sz val="9"/>
            <color indexed="81"/>
            <rFont val="Tahoma"/>
            <family val="2"/>
          </rPr>
          <t>Inception YTD</t>
        </r>
      </text>
    </comment>
    <comment ref="C166" authorId="0" shapeId="0" xr:uid="{CB20968D-278B-4803-9913-828CFC31A5AC}">
      <text>
        <r>
          <rPr>
            <b/>
            <sz val="9"/>
            <color indexed="81"/>
            <rFont val="Tahoma"/>
            <family val="2"/>
          </rPr>
          <t>SILVX had only SPY ETF so not in composite until invested in stocks on 5/31/12</t>
        </r>
      </text>
    </comment>
    <comment ref="C168" authorId="0" shapeId="0" xr:uid="{2ED3F645-4E67-45E7-A700-34865610CCF2}">
      <text>
        <r>
          <rPr>
            <b/>
            <sz val="9"/>
            <color indexed="81"/>
            <rFont val="Tahoma"/>
            <family val="2"/>
          </rPr>
          <t>$1.45 mln was moved from Presidium SMA's to mutual fund at end of May (SILVX had 0.1 Mln before that) but Highlander SMA remained opened for May composite performance, and was invested in SILVX at the beginning of June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Richard Thawley II</author>
  </authors>
  <commentList>
    <comment ref="BK106" authorId="0" shapeId="0" xr:uid="{867413B4-099A-CE44-AA74-07C1968AAEE4}">
      <text>
        <r>
          <rPr>
            <b/>
            <sz val="10"/>
            <color rgb="FF000000"/>
            <rFont val="Tahoma"/>
            <family val="2"/>
          </rPr>
          <t>Richard Thawley II:</t>
        </r>
        <r>
          <rPr>
            <sz val="10"/>
            <color rgb="FF000000"/>
            <rFont val="Tahoma"/>
            <family val="2"/>
          </rPr>
          <t xml:space="preserve">
</t>
        </r>
        <r>
          <rPr>
            <sz val="10"/>
            <color rgb="FF000000"/>
            <rFont val="Tahoma"/>
            <family val="2"/>
          </rPr>
          <t>4/1/20-12/31/20</t>
        </r>
      </text>
    </comment>
    <comment ref="BR106" authorId="0" shapeId="0" xr:uid="{571718AD-F937-D944-A7AA-32B100F43246}">
      <text>
        <r>
          <rPr>
            <b/>
            <sz val="10"/>
            <color rgb="FF000000"/>
            <rFont val="Tahoma"/>
            <family val="2"/>
          </rPr>
          <t>Richard Thawley II:</t>
        </r>
        <r>
          <rPr>
            <sz val="10"/>
            <color rgb="FF000000"/>
            <rFont val="Tahoma"/>
            <family val="2"/>
          </rPr>
          <t xml:space="preserve">
</t>
        </r>
        <r>
          <rPr>
            <sz val="10"/>
            <color rgb="FF000000"/>
            <rFont val="Tahoma"/>
            <family val="2"/>
          </rPr>
          <t>4/1/20-12-31-20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Richard Thawley II</author>
  </authors>
  <commentList>
    <comment ref="D12" authorId="0" shapeId="0" xr:uid="{0A0EC39F-85D1-2A46-809A-4732C2746AF8}">
      <text>
        <r>
          <rPr>
            <sz val="10"/>
            <color rgb="FF000000"/>
            <rFont val="Tahoma"/>
            <family val="2"/>
          </rPr>
          <t>First full month of performance</t>
        </r>
      </text>
    </comment>
    <comment ref="M12" authorId="0" shapeId="0" xr:uid="{47335377-17D8-2F48-BA2C-EC7835960185}">
      <text>
        <r>
          <rPr>
            <sz val="10"/>
            <color rgb="FF000000"/>
            <rFont val="Tahoma"/>
            <family val="2"/>
          </rPr>
          <t>First full month of performance</t>
        </r>
      </text>
    </comment>
    <comment ref="D16" authorId="0" shapeId="0" xr:uid="{C7FDC63E-8C36-B24A-98C7-5B220617DA89}">
      <text>
        <r>
          <rPr>
            <sz val="10"/>
            <color rgb="FF000000"/>
            <rFont val="Tahoma"/>
            <family val="2"/>
          </rPr>
          <t>Inception date 12/21/21</t>
        </r>
      </text>
    </comment>
    <comment ref="M16" authorId="0" shapeId="0" xr:uid="{7B043282-6F82-E44F-A446-87418E3BE79A}">
      <text>
        <r>
          <rPr>
            <sz val="10"/>
            <color rgb="FF000000"/>
            <rFont val="Tahoma"/>
            <family val="2"/>
          </rPr>
          <t>Inception date 12/21/21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Richard Thawley II</author>
  </authors>
  <commentList>
    <comment ref="D12" authorId="0" shapeId="0" xr:uid="{A65CAAD7-898B-AA4A-A35D-2083F2859269}">
      <text>
        <r>
          <rPr>
            <sz val="10"/>
            <color rgb="FF000000"/>
            <rFont val="Tahoma"/>
            <family val="2"/>
          </rPr>
          <t>First full month of performance</t>
        </r>
      </text>
    </comment>
    <comment ref="D16" authorId="0" shapeId="0" xr:uid="{4593D8EB-A204-FD43-8271-D05765F467FA}">
      <text>
        <r>
          <rPr>
            <sz val="10"/>
            <color rgb="FF000000"/>
            <rFont val="Tahoma"/>
            <family val="2"/>
          </rPr>
          <t>Inception date 12/21/21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Richard Thawley II</author>
  </authors>
  <commentList>
    <comment ref="D12" authorId="0" shapeId="0" xr:uid="{4423977E-DE9A-054D-9151-64FB6DE25544}">
      <text>
        <r>
          <rPr>
            <sz val="10"/>
            <color rgb="FF000000"/>
            <rFont val="Tahoma"/>
            <family val="2"/>
          </rPr>
          <t>First full month of performance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Richard Thawley II</author>
  </authors>
  <commentList>
    <comment ref="D12" authorId="0" shapeId="0" xr:uid="{2DD6D277-C8F8-7C40-8AFF-32C1557C156C}">
      <text>
        <r>
          <rPr>
            <b/>
            <sz val="10"/>
            <color rgb="FF000000"/>
            <rFont val="Tahoma"/>
            <family val="2"/>
          </rPr>
          <t>First full month of performance</t>
        </r>
      </text>
    </comment>
    <comment ref="D16" authorId="0" shapeId="0" xr:uid="{6A008ECC-283D-364D-A90D-631561DCB383}">
      <text>
        <r>
          <rPr>
            <sz val="10"/>
            <color rgb="FF000000"/>
            <rFont val="Tahoma"/>
            <family val="2"/>
          </rPr>
          <t>Inception date 12/21/21</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Richard Thawley II</author>
  </authors>
  <commentList>
    <comment ref="F137" authorId="0" shapeId="0" xr:uid="{DFE09819-0F29-B14D-9BDD-78976FDD0A58}">
      <text>
        <r>
          <rPr>
            <b/>
            <sz val="10"/>
            <color rgb="FF000000"/>
            <rFont val="Tahoma"/>
            <family val="2"/>
          </rPr>
          <t>Richard Thawley II:</t>
        </r>
        <r>
          <rPr>
            <sz val="10"/>
            <color rgb="FF000000"/>
            <rFont val="Tahoma"/>
            <family val="2"/>
          </rPr>
          <t xml:space="preserve">
</t>
        </r>
        <r>
          <rPr>
            <sz val="10"/>
            <color rgb="FF000000"/>
            <rFont val="Tahoma"/>
            <family val="2"/>
          </rPr>
          <t>Inception YTD</t>
        </r>
      </text>
    </comment>
    <comment ref="M137" authorId="0" shapeId="0" xr:uid="{DD19C960-B3C1-7442-AD15-EA12CEA68E1B}">
      <text>
        <r>
          <rPr>
            <b/>
            <sz val="10"/>
            <color rgb="FF000000"/>
            <rFont val="Tahoma"/>
            <family val="2"/>
          </rPr>
          <t>Richard Thawley II:</t>
        </r>
        <r>
          <rPr>
            <sz val="10"/>
            <color rgb="FF000000"/>
            <rFont val="Tahoma"/>
            <family val="2"/>
          </rPr>
          <t xml:space="preserve">
</t>
        </r>
        <r>
          <rPr>
            <sz val="10"/>
            <color rgb="FF000000"/>
            <rFont val="Tahoma"/>
            <family val="2"/>
          </rPr>
          <t>Inception YTD</t>
        </r>
      </text>
    </comment>
    <comment ref="S137" authorId="0" shapeId="0" xr:uid="{41E2E471-7C16-DB46-BA98-68FAAA577885}">
      <text>
        <r>
          <rPr>
            <b/>
            <sz val="10"/>
            <color rgb="FF000000"/>
            <rFont val="Tahoma"/>
            <family val="2"/>
          </rPr>
          <t>Richard Thawley II:</t>
        </r>
        <r>
          <rPr>
            <sz val="10"/>
            <color rgb="FF000000"/>
            <rFont val="Tahoma"/>
            <family val="2"/>
          </rPr>
          <t xml:space="preserve">
</t>
        </r>
        <r>
          <rPr>
            <sz val="10"/>
            <color rgb="FF000000"/>
            <rFont val="Tahoma"/>
            <family val="2"/>
          </rPr>
          <t>Inception YTD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hardendl</author>
  </authors>
  <commentList>
    <comment ref="I89" authorId="0" shapeId="0" xr:uid="{00000000-0006-0000-0E00-000001000000}">
      <text>
        <r>
          <rPr>
            <b/>
            <sz val="9"/>
            <color indexed="81"/>
            <rFont val="Tahoma"/>
            <family val="2"/>
          </rPr>
          <t>Used 12/31/10 holdings and ran performance in Bloomberg</t>
        </r>
      </text>
    </comment>
    <comment ref="C90" authorId="0" shapeId="0" xr:uid="{00000000-0006-0000-0E00-000002000000}">
      <text>
        <r>
          <rPr>
            <b/>
            <sz val="9"/>
            <color indexed="81"/>
            <rFont val="Tahoma"/>
            <family val="2"/>
          </rPr>
          <t>New Inception = 2/1/12 or beginning of first full month of performance</t>
        </r>
      </text>
    </comment>
    <comment ref="F101" authorId="0" shapeId="0" xr:uid="{00000000-0006-0000-0E00-000003000000}">
      <text>
        <r>
          <rPr>
            <b/>
            <sz val="9"/>
            <color indexed="81"/>
            <rFont val="Tahoma"/>
            <family val="2"/>
          </rPr>
          <t>Inception YTD</t>
        </r>
      </text>
    </comment>
    <comment ref="N101" authorId="0" shapeId="0" xr:uid="{00000000-0006-0000-0E00-000004000000}">
      <text>
        <r>
          <rPr>
            <b/>
            <sz val="9"/>
            <color indexed="81"/>
            <rFont val="Tahoma"/>
            <family val="2"/>
          </rPr>
          <t>Inception YTD</t>
        </r>
      </text>
    </comment>
    <comment ref="C103" authorId="0" shapeId="0" xr:uid="{00000000-0006-0000-0E00-000005000000}">
      <text>
        <r>
          <rPr>
            <b/>
            <sz val="9"/>
            <color indexed="81"/>
            <rFont val="Tahoma"/>
            <family val="2"/>
          </rPr>
          <t>SILVX had only SPY ETF so not in composite until invested in stocks on 5/31/12</t>
        </r>
      </text>
    </comment>
    <comment ref="C105" authorId="0" shapeId="0" xr:uid="{00000000-0006-0000-0E00-000006000000}">
      <text>
        <r>
          <rPr>
            <b/>
            <sz val="9"/>
            <color indexed="81"/>
            <rFont val="Tahoma"/>
            <family val="2"/>
          </rPr>
          <t>$1.45 mln was moved from Presidium SMA's to mutual fund at end of May (SILVX had 0.1 Mln before that) but Highlander SMA remained opened for May composite performance, and was invested in SILVX at the beginning of June</t>
        </r>
      </text>
    </comment>
    <comment ref="I125" authorId="0" shapeId="0" xr:uid="{00000000-0006-0000-0E00-000007000000}">
      <text>
        <r>
          <rPr>
            <b/>
            <sz val="9"/>
            <color indexed="81"/>
            <rFont val="Tahoma"/>
            <family val="2"/>
          </rPr>
          <t>Adjusted so monthly returns sum to accurate yearly return and differnential returns for Dec 2013 and Jan 2014 vs ULSV average 22bps less (Should avg 18 bps with fee differential)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<sst xmlns="http://schemas.openxmlformats.org/spreadsheetml/2006/main" count="5338" uniqueCount="428">
  <si>
    <t>Summit Global Investments' Low Volatility Portfolios</t>
  </si>
  <si>
    <t>SGI</t>
  </si>
  <si>
    <t>Bench</t>
  </si>
  <si>
    <t>Rel</t>
  </si>
  <si>
    <t>Capture</t>
  </si>
  <si>
    <t>MTD</t>
  </si>
  <si>
    <t>QTD</t>
  </si>
  <si>
    <t>YTD</t>
  </si>
  <si>
    <t>1 Year</t>
  </si>
  <si>
    <t>3 Year</t>
  </si>
  <si>
    <t>5 Year</t>
  </si>
  <si>
    <t>Inception*</t>
  </si>
  <si>
    <t>US LV (SPX)</t>
  </si>
  <si>
    <t>SGI US Low Volatility Equity</t>
  </si>
  <si>
    <t>US LV (RusDef)</t>
  </si>
  <si>
    <t>S&amp;P 500 Index</t>
  </si>
  <si>
    <t>GLV (ACWI)</t>
  </si>
  <si>
    <t>Value Added</t>
  </si>
  <si>
    <t>SCLV (R2000)</t>
  </si>
  <si>
    <t>*Inception date for the SGI Low Volatility Equity composite was February 1, 2011</t>
  </si>
  <si>
    <t>ITL LV (ACWIxUS)</t>
  </si>
  <si>
    <t>SGI Global Low Volatility Equity</t>
  </si>
  <si>
    <t>MSCI ACWI</t>
  </si>
  <si>
    <t>*Inception date for the SGI Global Low Volatility Equity composite was March 1, 2012</t>
  </si>
  <si>
    <t>SGI Small Cap Low Volatility Equity</t>
  </si>
  <si>
    <t>Russell 2000</t>
  </si>
  <si>
    <t>*Inception date for the SGI Small Cap Low Volatility Equity composite was February 1, 2014</t>
  </si>
  <si>
    <t>SGI International Low Volatility Equity</t>
  </si>
  <si>
    <t>MSCI ACWIxUS</t>
  </si>
  <si>
    <t>*Inception date for the SGI International Low Volatility Equity composite was March 1, 2015</t>
  </si>
  <si>
    <t>Live Data Linked with Model Data</t>
  </si>
  <si>
    <t>Live Record Only</t>
  </si>
  <si>
    <r>
      <t>US LV (SPX)</t>
    </r>
    <r>
      <rPr>
        <sz val="10"/>
        <color theme="1"/>
        <rFont val="Calibri"/>
        <family val="2"/>
        <scheme val="minor"/>
      </rPr>
      <t xml:space="preserve"> Jan 2011</t>
    </r>
  </si>
  <si>
    <r>
      <t>US LV (RusDef)</t>
    </r>
    <r>
      <rPr>
        <sz val="10"/>
        <color theme="1"/>
        <rFont val="Calibri"/>
        <family val="2"/>
        <scheme val="minor"/>
      </rPr>
      <t xml:space="preserve"> Jan 2011</t>
    </r>
  </si>
  <si>
    <r>
      <t xml:space="preserve">GLV (ACWI) </t>
    </r>
    <r>
      <rPr>
        <sz val="10"/>
        <color theme="1"/>
        <rFont val="Calibri"/>
        <family val="2"/>
        <scheme val="minor"/>
      </rPr>
      <t>Mar 2012</t>
    </r>
  </si>
  <si>
    <r>
      <t xml:space="preserve">SCLV (R2000) </t>
    </r>
    <r>
      <rPr>
        <sz val="10"/>
        <color theme="1"/>
        <rFont val="Calibri"/>
        <family val="2"/>
        <scheme val="minor"/>
      </rPr>
      <t>Feb 2014</t>
    </r>
  </si>
  <si>
    <r>
      <t xml:space="preserve">ITL LV (ACWIxUS) </t>
    </r>
    <r>
      <rPr>
        <sz val="10"/>
        <color theme="1"/>
        <rFont val="Calibri"/>
        <family val="2"/>
        <scheme val="minor"/>
      </rPr>
      <t>Mar 2015</t>
    </r>
  </si>
  <si>
    <t>Large Cap (Gross)</t>
  </si>
  <si>
    <t>S&amp;P 500® Index</t>
  </si>
  <si>
    <t>Russell Defensive® Index</t>
  </si>
  <si>
    <t>Beta =</t>
  </si>
  <si>
    <t>Return</t>
  </si>
  <si>
    <t>Relative Return</t>
  </si>
  <si>
    <t>Beta</t>
  </si>
  <si>
    <t>Alpha</t>
  </si>
  <si>
    <t>stdevp</t>
  </si>
  <si>
    <t>One Year</t>
  </si>
  <si>
    <t>Two Year</t>
  </si>
  <si>
    <t>Three Year</t>
  </si>
  <si>
    <t>Four Year</t>
  </si>
  <si>
    <t>Five Year</t>
  </si>
  <si>
    <t>Ten Year</t>
  </si>
  <si>
    <t>Model Incep.</t>
  </si>
  <si>
    <t>Inception</t>
  </si>
  <si>
    <t>Feb'11 Incep.</t>
  </si>
  <si>
    <t>Mar'12 Incep.</t>
  </si>
  <si>
    <t>Composite Performance</t>
  </si>
  <si>
    <t>SILVX</t>
  </si>
  <si>
    <t>UNC LC</t>
  </si>
  <si>
    <t>Asbestos</t>
  </si>
  <si>
    <t>BHI Senior Living</t>
  </si>
  <si>
    <t>Cynthia Simon-Skjodt</t>
  </si>
  <si>
    <t>Sisters of St Benedict</t>
  </si>
  <si>
    <t>French Capital Investors</t>
  </si>
  <si>
    <t>St Paul Hermitage</t>
  </si>
  <si>
    <t>Tony Cercy</t>
  </si>
  <si>
    <t>Leonardo Locascio</t>
  </si>
  <si>
    <t>Walter Miller</t>
  </si>
  <si>
    <t>Composite</t>
  </si>
  <si>
    <t>Date</t>
  </si>
  <si>
    <t>#</t>
  </si>
  <si>
    <t>Porfolio</t>
  </si>
  <si>
    <t>Gross Return</t>
  </si>
  <si>
    <t>Growth</t>
  </si>
  <si>
    <t>Annual</t>
  </si>
  <si>
    <t>Quarterly</t>
  </si>
  <si>
    <t>AUM</t>
  </si>
  <si>
    <t>Model</t>
  </si>
  <si>
    <t>Highlander SMA +1% Fee (worksheet)</t>
  </si>
  <si>
    <t>SILVX +98 bps Fee</t>
  </si>
  <si>
    <t>UNC-Large Cap</t>
  </si>
  <si>
    <t>Jolene GLV</t>
  </si>
  <si>
    <t>SILVX +98 bps Fee + UNC</t>
  </si>
  <si>
    <t>LACERA</t>
  </si>
  <si>
    <t>SILVX +98 bps Fee + UNC + Asbestos + Stifel + RCL</t>
  </si>
  <si>
    <t>2/14/20 - Sisters of St Benedict deposited $295k</t>
  </si>
  <si>
    <t>SPX</t>
  </si>
  <si>
    <t>RU1000DF</t>
  </si>
  <si>
    <t>Large Cap (Net)</t>
  </si>
  <si>
    <t>Net Return</t>
  </si>
  <si>
    <t>Highlander SMA</t>
  </si>
  <si>
    <t>Vs. SILVX</t>
  </si>
  <si>
    <t>SILVX + UNC</t>
  </si>
  <si>
    <t>SILVX + UNC + Asbestos + Stifel + RCL</t>
  </si>
  <si>
    <t>Small Cap (Gross)</t>
  </si>
  <si>
    <t>Russell 2000® Index</t>
  </si>
  <si>
    <t>Feb'14 Incep.</t>
  </si>
  <si>
    <t>Net Growth</t>
  </si>
  <si>
    <t>SCLVX</t>
  </si>
  <si>
    <t>UNC-Small Cap</t>
  </si>
  <si>
    <t>Gary Vanguard</t>
  </si>
  <si>
    <t>Folio Advisor - Rick's Account</t>
  </si>
  <si>
    <t>Rick Folio</t>
  </si>
  <si>
    <t>PORT</t>
  </si>
  <si>
    <t>SCLVX +123 bpsFee + UNC</t>
  </si>
  <si>
    <t>RTY</t>
  </si>
  <si>
    <t>Small Cap (Net)</t>
  </si>
  <si>
    <t>Vs. SCLVX</t>
  </si>
  <si>
    <t>SCLVX + UNC</t>
  </si>
  <si>
    <t>Global (Gross)</t>
  </si>
  <si>
    <t>MSCI ACWI® Index</t>
  </si>
  <si>
    <t>SGLIX</t>
  </si>
  <si>
    <t>Cline</t>
  </si>
  <si>
    <t>NC State</t>
  </si>
  <si>
    <t>GIPS</t>
  </si>
  <si>
    <t>Jolene Vanguard</t>
  </si>
  <si>
    <t>Don't Use Composite since dropping Rick Folio when Jolene Folio Comes on board!</t>
  </si>
  <si>
    <t>Rick folio</t>
  </si>
  <si>
    <t>Jolene Folio</t>
  </si>
  <si>
    <t>Beg MV</t>
  </si>
  <si>
    <t>MV</t>
  </si>
  <si>
    <t>Jolene iSteps</t>
  </si>
  <si>
    <t>Gary iSteps</t>
  </si>
  <si>
    <t>Jolene + Gary Folio</t>
  </si>
  <si>
    <t>Dave Fidelity</t>
  </si>
  <si>
    <t>DWUGX +84 bps fee</t>
  </si>
  <si>
    <t>DWUGX</t>
  </si>
  <si>
    <t>DWUGX +84 bps fee + Cline</t>
  </si>
  <si>
    <t>DWUGX+Cline</t>
  </si>
  <si>
    <t>SGLIX +84 bps fee + Cline</t>
  </si>
  <si>
    <t>SGLIX+Cline</t>
  </si>
  <si>
    <t>SGLIX +84 bps fee + Cline + NC State</t>
  </si>
  <si>
    <t>SGLIX+Cline+NC State</t>
  </si>
  <si>
    <t>MXWD</t>
  </si>
  <si>
    <t>Global (Net)</t>
  </si>
  <si>
    <t>DWUGX + Cline</t>
  </si>
  <si>
    <t>SGLIX + Cline</t>
  </si>
  <si>
    <t>International</t>
  </si>
  <si>
    <t>MSCI ACWIxUS® Index</t>
  </si>
  <si>
    <t>Beta Adjusted MSCI ACWIxUS® Index</t>
  </si>
  <si>
    <t>Mar'15 Incep.</t>
  </si>
  <si>
    <t>Folio Advisor - Richard's Account</t>
  </si>
  <si>
    <t>MXWDU</t>
  </si>
  <si>
    <t>CRA Benchmark Indices</t>
  </si>
  <si>
    <t>Conservative Benchmark</t>
  </si>
  <si>
    <t>55% S&amp;P 500, 15% MSCI ACWI ex USA, 30% Tbill</t>
  </si>
  <si>
    <t>45% S&amp;P 500, 10% MSCI ACWI ex USA, 15% Barclays Agg, 30% Tbill</t>
  </si>
  <si>
    <t>35% S&amp;P 500, 10% MSCI ACWI ex USA, 35% Barclays Agg, 20% Tbill</t>
  </si>
  <si>
    <t>25% S&amp;P 500, 5% MSCI ACWI ex USA, 50% Barclays Agg, 20% Tbill</t>
  </si>
  <si>
    <t>10% S&amp;P 500, 5% MSCI ACWI ex USA, 70% Barclays Agg, 15% Tbill</t>
  </si>
  <si>
    <t>Add formulas in future else circular error</t>
  </si>
  <si>
    <t>S&amp;P 500</t>
  </si>
  <si>
    <t>ACWI ex USA</t>
  </si>
  <si>
    <t>Barclays Agg</t>
  </si>
  <si>
    <t>Tbill</t>
  </si>
  <si>
    <t>Gross Growth</t>
  </si>
  <si>
    <t>LBUSTRUU</t>
  </si>
  <si>
    <t>Conservative Low Volatility Composite</t>
  </si>
  <si>
    <t>Conservative Low Volatility Wrap Composite</t>
  </si>
  <si>
    <t>20% S&amp;P 500, 70% Barclays Agg, 10% Tbill</t>
  </si>
  <si>
    <t>3Yr StDevp</t>
  </si>
  <si>
    <t>GIPS Transamerica SGI US Low Volatility Strategy net of fees (2.20%)</t>
  </si>
  <si>
    <t>Old Monthly Return Sequence for US Low Volatility Strategy</t>
  </si>
  <si>
    <t>Fees =</t>
  </si>
  <si>
    <t>Aug'12 Incep.</t>
  </si>
  <si>
    <t>Presidium SMA's +1% Fee (see prospectus)</t>
  </si>
  <si>
    <t>Presidium SMA's +1% Fee (worksheet)</t>
  </si>
  <si>
    <t>Highlander SMA +1% Fee (see worksheet)</t>
  </si>
  <si>
    <t>SILVX +98 bpsFee</t>
  </si>
  <si>
    <t>TransOne</t>
  </si>
  <si>
    <t>Label</t>
  </si>
  <si>
    <t>SPX Beta</t>
  </si>
  <si>
    <t>Rtrn</t>
  </si>
  <si>
    <t>SGI U.S. Low Vol</t>
  </si>
  <si>
    <t>SGI Global Low Vol</t>
  </si>
  <si>
    <t>ACWI</t>
  </si>
  <si>
    <t>SGI Small-Cap Low Vol</t>
  </si>
  <si>
    <t>ACWIxUS</t>
  </si>
  <si>
    <t>SGI Intl Low Vol</t>
  </si>
  <si>
    <t>Data for Growth Chart:</t>
  </si>
  <si>
    <t>5yr Return</t>
  </si>
  <si>
    <t>Adj Factor</t>
  </si>
  <si>
    <t>USLV</t>
  </si>
  <si>
    <t>Net</t>
  </si>
  <si>
    <t>SCLV</t>
  </si>
  <si>
    <t>R2</t>
  </si>
  <si>
    <t>GLV</t>
  </si>
  <si>
    <t>SGI Performance</t>
  </si>
  <si>
    <t>1 Yr</t>
  </si>
  <si>
    <t>3 Yrs</t>
  </si>
  <si>
    <t>5 Yrs</t>
  </si>
  <si>
    <t>US Large Cap Gross</t>
  </si>
  <si>
    <t>US Large Cap Net</t>
  </si>
  <si>
    <t>SPXT Index</t>
  </si>
  <si>
    <t>S&amp;P 500 Total Return</t>
  </si>
  <si>
    <t>US Small Cap Gross</t>
  </si>
  <si>
    <t>US Small Cap Net</t>
  </si>
  <si>
    <t>RU20INTR Index</t>
  </si>
  <si>
    <t>Russell 2000 Total Return</t>
  </si>
  <si>
    <t>Global Large Cap Gross</t>
  </si>
  <si>
    <t>Global Large Cap Net</t>
  </si>
  <si>
    <t>m2wd index</t>
  </si>
  <si>
    <t>MSCI ACWI Total Return</t>
  </si>
  <si>
    <t>SGI Risk (3 Yrs Monthly Data)</t>
  </si>
  <si>
    <t>Vol</t>
  </si>
  <si>
    <t>Upside</t>
  </si>
  <si>
    <t>Downside</t>
  </si>
  <si>
    <t>SGI US Large Cap</t>
  </si>
  <si>
    <t>SGI US Small Cap  Low Volatility</t>
  </si>
  <si>
    <t>SGI Global Large Cap</t>
  </si>
  <si>
    <t>USLC Gross</t>
  </si>
  <si>
    <t>USLC Net</t>
  </si>
  <si>
    <t>USSC Gross</t>
  </si>
  <si>
    <t>USSC Net</t>
  </si>
  <si>
    <t>R2000</t>
  </si>
  <si>
    <t>GLBL Gross</t>
  </si>
  <si>
    <t>Global Net</t>
  </si>
  <si>
    <t>QTR</t>
  </si>
  <si>
    <t>1YR</t>
  </si>
  <si>
    <t>2YR</t>
  </si>
  <si>
    <t>3YR</t>
  </si>
  <si>
    <t>5YR</t>
  </si>
  <si>
    <t>USLC</t>
  </si>
  <si>
    <t>USSC</t>
  </si>
  <si>
    <t>GLBL</t>
  </si>
  <si>
    <t>USLCn</t>
  </si>
  <si>
    <t>USSCn</t>
  </si>
  <si>
    <t>GLBLn</t>
  </si>
  <si>
    <t>SP5</t>
  </si>
  <si>
    <t>USLCer</t>
  </si>
  <si>
    <t>USSCer</t>
  </si>
  <si>
    <t>GLBLer</t>
  </si>
  <si>
    <t>Key Date</t>
  </si>
  <si>
    <t>LCg</t>
  </si>
  <si>
    <t>LCn</t>
  </si>
  <si>
    <t>SCg</t>
  </si>
  <si>
    <t>SCn</t>
  </si>
  <si>
    <t>GLBg</t>
  </si>
  <si>
    <t>TE</t>
  </si>
  <si>
    <t>RSq</t>
  </si>
  <si>
    <t>Since Inception*</t>
  </si>
  <si>
    <t>C</t>
  </si>
  <si>
    <t>G</t>
  </si>
  <si>
    <t>K</t>
  </si>
  <si>
    <t>D</t>
  </si>
  <si>
    <t>H</t>
  </si>
  <si>
    <t>L</t>
  </si>
  <si>
    <t>E</t>
  </si>
  <si>
    <t>I</t>
  </si>
  <si>
    <t>M</t>
  </si>
  <si>
    <t>O</t>
  </si>
  <si>
    <t>P</t>
  </si>
  <si>
    <t>Q</t>
  </si>
  <si>
    <t>Annualized Return</t>
  </si>
  <si>
    <t>Annualized Standard Deviation</t>
  </si>
  <si>
    <t>Return/Risk</t>
  </si>
  <si>
    <t>Tracking Error</t>
  </si>
  <si>
    <t>R-Squared</t>
  </si>
  <si>
    <t>3Q20</t>
  </si>
  <si>
    <t>Levels</t>
  </si>
  <si>
    <t>2Q20</t>
  </si>
  <si>
    <t>Change</t>
  </si>
  <si>
    <t>RIY</t>
  </si>
  <si>
    <t>Russell 1000 Index</t>
  </si>
  <si>
    <t>Russell 2000 Index</t>
  </si>
  <si>
    <t>MXEA</t>
  </si>
  <si>
    <t>MSCI EAFE Index</t>
  </si>
  <si>
    <t>MXEF</t>
  </si>
  <si>
    <t>MSCI Emerging Markets</t>
  </si>
  <si>
    <t>U.S. Aggregate*</t>
  </si>
  <si>
    <t>LF89TRUU</t>
  </si>
  <si>
    <t>U.S. High Yield 2% Cap*</t>
  </si>
  <si>
    <t>FEDL01</t>
  </si>
  <si>
    <t>U.S. Federal Funds Rate**</t>
  </si>
  <si>
    <t>USGG10YR</t>
  </si>
  <si>
    <t>U.S. 10 Year Treasury**</t>
  </si>
  <si>
    <t>DXY</t>
  </si>
  <si>
    <t>U.S. Dollar Index</t>
  </si>
  <si>
    <t>CL1</t>
  </si>
  <si>
    <t>WTI Crude Oil Spot</t>
  </si>
  <si>
    <t>*Yield to Worst     **Interest Rate</t>
  </si>
  <si>
    <t>LC</t>
  </si>
  <si>
    <t>Strategy Performance</t>
  </si>
  <si>
    <t>Need to manually update the quarter return</t>
  </si>
  <si>
    <t>Gross Performance</t>
  </si>
  <si>
    <t>Net Performance</t>
  </si>
  <si>
    <t>SC</t>
  </si>
  <si>
    <t>GLB</t>
  </si>
  <si>
    <t>MSCI ACWI Index</t>
  </si>
  <si>
    <t>S&amp;P 500 Low Volatility Total Return Index</t>
  </si>
  <si>
    <t>MSCI ACWI® Minimum Volatility Index</t>
  </si>
  <si>
    <t>S&amp;P 600 Low Volatility Total Return Index</t>
  </si>
  <si>
    <t>Peak Growth Composite</t>
  </si>
  <si>
    <t>Peak Growth Benchmark</t>
  </si>
  <si>
    <t>Growth Composite</t>
  </si>
  <si>
    <t>Growth Benchmark</t>
  </si>
  <si>
    <t>Prudent Growth Composite</t>
  </si>
  <si>
    <t>Prudent Growth Benchmark</t>
  </si>
  <si>
    <t>Balanced Composite</t>
  </si>
  <si>
    <t>Balanced Benchmark</t>
  </si>
  <si>
    <t>Conservative Balanced Composite</t>
  </si>
  <si>
    <t>Conservative Balanced Benchmark</t>
  </si>
  <si>
    <t>MSCi EAFE</t>
  </si>
  <si>
    <t>USD Cash</t>
  </si>
  <si>
    <t>78.4% S&amp;P 500, 19.6% MSCI EAFE, 2% USD Cash</t>
  </si>
  <si>
    <t>64% S&amp;P 500, 16% MSCI EAFE, 18% Barclays Agg, 2% USD Cash</t>
  </si>
  <si>
    <t>48% S&amp;P 500, 12% MSCI EAFE, 38% Barclays Agg, 2% USD Cash</t>
  </si>
  <si>
    <t>36% S&amp;P 500, 9% MSCI EAFE, 53% Barclays Agg, 2% USD Cash</t>
  </si>
  <si>
    <t>24% S&amp;P 500, 6% MSCI EAFE, 68% Barclays Agg, 2% USD Cash</t>
  </si>
  <si>
    <t>12% S&amp;P 500, 3% MSCI EAFE, 83% Barclays Agg, 2% USD Cash</t>
  </si>
  <si>
    <t>Conservative Composite</t>
  </si>
  <si>
    <t>SP5LV</t>
  </si>
  <si>
    <t>SP6LV</t>
  </si>
  <si>
    <t>ACWV</t>
  </si>
  <si>
    <t>3</t>
  </si>
  <si>
    <t>S</t>
  </si>
  <si>
    <t>T</t>
  </si>
  <si>
    <t>U</t>
  </si>
  <si>
    <t>SP5LVer</t>
  </si>
  <si>
    <t>SP6LVer</t>
  </si>
  <si>
    <t>ACWVer</t>
  </si>
  <si>
    <t>w</t>
  </si>
  <si>
    <t>x</t>
  </si>
  <si>
    <t>y</t>
  </si>
  <si>
    <t>S&amp;P 500 Low Vol</t>
  </si>
  <si>
    <t>S&amp;P 600 Low Vol</t>
  </si>
  <si>
    <t>ACWI Min Vol</t>
  </si>
  <si>
    <t>SP5LVIT</t>
  </si>
  <si>
    <t>SP6LVIT</t>
  </si>
  <si>
    <t>MXWDMVOL</t>
  </si>
  <si>
    <t>SGLIX +84 bps fee + NC State</t>
  </si>
  <si>
    <t>SGLIX + Cline + NC State</t>
  </si>
  <si>
    <t>SGLIX + NC State</t>
  </si>
  <si>
    <t>1/21/21 French Capital Investors requested to liquidate account</t>
  </si>
  <si>
    <t>2/22/21 Cline notified us they will be liquidating account</t>
  </si>
  <si>
    <t>S&amp;P 500 Low Vol Tot Return</t>
  </si>
  <si>
    <t>S&amp;P Low Vol Small Cap Tot Ret</t>
  </si>
  <si>
    <t>MSCI Min Vol Total Return</t>
  </si>
  <si>
    <t>Global Equity Gross</t>
  </si>
  <si>
    <t>Global Equity Net</t>
  </si>
  <si>
    <t>BOGIX</t>
  </si>
  <si>
    <t>SGPKX</t>
  </si>
  <si>
    <t>SGPGX</t>
  </si>
  <si>
    <t>5/10/21 Cynthia Simon-Skjodt requested to discontinue management, 5/6/21 received email from Stifel with request to raise $300k cash in St Paul Hermitage</t>
  </si>
  <si>
    <t>Peak Growth Gross</t>
  </si>
  <si>
    <t>Peak Growth Net</t>
  </si>
  <si>
    <t>Benchmark</t>
  </si>
  <si>
    <t>Conservative Gross</t>
  </si>
  <si>
    <t>Conservative Net</t>
  </si>
  <si>
    <t>Prudent Growth Gross</t>
  </si>
  <si>
    <t>Prudent Growth Net</t>
  </si>
  <si>
    <t>Peak</t>
  </si>
  <si>
    <t>Strategy Assets ($ Million)</t>
  </si>
  <si>
    <t>Beta*</t>
  </si>
  <si>
    <t>Standard Deviation*</t>
  </si>
  <si>
    <t>* Beta &amp; Standard Deviation 36 months</t>
  </si>
  <si>
    <t>Prudent</t>
  </si>
  <si>
    <t>Conservative</t>
  </si>
  <si>
    <t>Portfolio</t>
  </si>
  <si>
    <t>Characteristics</t>
  </si>
  <si>
    <t>-</t>
  </si>
  <si>
    <t>Beta**</t>
  </si>
  <si>
    <t>** Beta &amp; Standard Deviation 12 months</t>
  </si>
  <si>
    <t>Avg. Investment Expense Ratio</t>
  </si>
  <si>
    <t>10/20/21 French Capital Investors requested $150k withdrawal</t>
  </si>
  <si>
    <t>BHI Senior Living (26761461)</t>
  </si>
  <si>
    <t>Cynthia Simon-Skjodt (32056582)</t>
  </si>
  <si>
    <t>Sisters of St Benedict (42547037)</t>
  </si>
  <si>
    <t>French Capital Investors (46872499)</t>
  </si>
  <si>
    <t>St Paul Hermitage (57304051)</t>
  </si>
  <si>
    <t>Tony Cercy (79114916)</t>
  </si>
  <si>
    <t>Leonardo Locascio (44175471)</t>
  </si>
  <si>
    <t>Walter Miller (66237513)</t>
  </si>
  <si>
    <t>S&amp;P 500 Low Vol Index</t>
  </si>
  <si>
    <t>S&amp;P 600 Low Vol Index</t>
  </si>
  <si>
    <t>MSCI ACWI Min Vol Index</t>
  </si>
  <si>
    <t>M1EAMVOL</t>
  </si>
  <si>
    <t>MSCi EAFE Min Vol</t>
  </si>
  <si>
    <t>Low Volatility Benchmark</t>
  </si>
  <si>
    <t>Top 50</t>
  </si>
  <si>
    <t>130-30</t>
  </si>
  <si>
    <t>Global Income</t>
  </si>
  <si>
    <t>GINC</t>
  </si>
  <si>
    <t>LCC</t>
  </si>
  <si>
    <t>U7956461</t>
  </si>
  <si>
    <t>U7956489</t>
  </si>
  <si>
    <t>M1ACWIHD</t>
  </si>
  <si>
    <t>Tactical (Gross)</t>
  </si>
  <si>
    <t>Gross</t>
  </si>
  <si>
    <t>Tactical (Net)</t>
  </si>
  <si>
    <t>75% S&amp;P 500, 25% Barclays Agg</t>
  </si>
  <si>
    <t>8/10/22 - BHI Senior Living requested to discontinue management</t>
  </si>
  <si>
    <t>USSCC</t>
  </si>
  <si>
    <t>USSCCn</t>
  </si>
  <si>
    <t>USSCCg</t>
  </si>
  <si>
    <t>R2_SCC</t>
  </si>
  <si>
    <t>USSCCer</t>
  </si>
  <si>
    <t>F</t>
  </si>
  <si>
    <t>J</t>
  </si>
  <si>
    <t>V</t>
  </si>
  <si>
    <t>USSCC Gross</t>
  </si>
  <si>
    <t>USSCC Net</t>
  </si>
  <si>
    <t>10/4/22 - received notice that we are no longer managing Asbestos</t>
  </si>
  <si>
    <t>DYTA</t>
  </si>
  <si>
    <t>SGLC</t>
  </si>
  <si>
    <t>SCLVX +123 bpsFee</t>
  </si>
  <si>
    <t>Large Cap Core Gross</t>
  </si>
  <si>
    <t>LCC Gross</t>
  </si>
  <si>
    <t>Large Cap Core Net</t>
  </si>
  <si>
    <t>10 yrs</t>
  </si>
  <si>
    <t>10YR</t>
  </si>
  <si>
    <t>N/A</t>
  </si>
  <si>
    <t>SILVX +98 bps Fee + UNC + Stifel + RCL</t>
  </si>
  <si>
    <t>SILVX + UNC + Stifel + RCL</t>
  </si>
  <si>
    <t>US Small Cap Core Gross</t>
  </si>
  <si>
    <t>US Small Cap Core Net</t>
  </si>
  <si>
    <t>3Q23</t>
  </si>
  <si>
    <t>S&amp;P Low Vol Small Cap Tot Return</t>
  </si>
  <si>
    <t>MSCI Min Vol Tot Return</t>
  </si>
  <si>
    <t>S&amp;P 500 Tot Return</t>
  </si>
  <si>
    <t>Sep</t>
  </si>
  <si>
    <t>GINX</t>
  </si>
  <si>
    <t>SGLIX +84 bps fee</t>
  </si>
  <si>
    <t>SILVX +98 bps Fee + UNC + RCL</t>
  </si>
  <si>
    <t>SML</t>
  </si>
  <si>
    <t>S&amp;P 600 Index</t>
  </si>
  <si>
    <t>4Q25</t>
  </si>
  <si>
    <t>S&amp;P 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</si>
</sst>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8" formatCode="&quot;$&quot;#,##0.00_);[Red]\(&quot;$&quot;#,##0.00\)"/>
    <numFmt numFmtId="44" formatCode="_(&quot;$&quot;* #,##0.00_);_(&quot;$&quot;* \(#,##0.00\);_(&quot;$&quot;* &quot;-&quot;??_);_(@_)"/>
    <numFmt numFmtId="43" formatCode="_(* #,##0.00_);_(* \(#,##0.00\);_(* &quot;-&quot;??_);_(@_)"/>
    <numFmt numFmtId="164" formatCode="yyyy\-mm\-dd"/>
    <numFmt numFmtId="165" formatCode="0.0000"/>
    <numFmt numFmtId="166" formatCode="_(&quot;$&quot;* #,##0_);_(&quot;$&quot;* \(#,##0\);_(&quot;$&quot;* &quot;-&quot;??_);_(@_)"/>
    <numFmt numFmtId="167" formatCode="0.000000%"/>
    <numFmt numFmtId="168" formatCode="0.00000000000%"/>
    <numFmt numFmtId="169" formatCode="[$-409]mmm\ yyyy;@"/>
    <numFmt numFmtId="170" formatCode="0.00000"/>
    <numFmt numFmtId="171" formatCode="0.0%"/>
    <numFmt numFmtId="172" formatCode="0.00000000000000%"/>
    <numFmt numFmtId="173" formatCode="0.00000%"/>
    <numFmt numFmtId="174" formatCode="&quot;$&quot;#,##0.00"/>
    <numFmt numFmtId="175" formatCode="0.000%"/>
  </numFmts>
  <fonts count="7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sz val="12"/>
      <color rgb="FFFF0000"/>
      <name val="Calibri"/>
      <family val="2"/>
      <scheme val="minor"/>
    </font>
    <font>
      <b/>
      <sz val="12"/>
      <color rgb="FF0070C0"/>
      <name val="Calibri"/>
      <family val="2"/>
      <scheme val="minor"/>
    </font>
    <font>
      <sz val="12"/>
      <color rgb="FF0070C0"/>
      <name val="Calibri"/>
      <family val="2"/>
      <scheme val="minor"/>
    </font>
    <font>
      <b/>
      <i/>
      <sz val="12"/>
      <color rgb="FF0070C0"/>
      <name val="Calibri"/>
      <family val="2"/>
      <scheme val="minor"/>
    </font>
    <font>
      <i/>
      <sz val="12"/>
      <color rgb="FF0070C0"/>
      <name val="Calibri"/>
      <family val="2"/>
      <scheme val="minor"/>
    </font>
    <font>
      <sz val="12"/>
      <name val="Calibri"/>
      <family val="2"/>
      <scheme val="minor"/>
    </font>
    <font>
      <b/>
      <sz val="11"/>
      <color indexed="9"/>
      <name val="Calibri"/>
      <family val="2"/>
    </font>
    <font>
      <b/>
      <sz val="9"/>
      <color indexed="81"/>
      <name val="Tahoma"/>
      <family val="2"/>
    </font>
    <font>
      <b/>
      <sz val="11"/>
      <color theme="1"/>
      <name val="Calibri"/>
      <family val="2"/>
      <scheme val="minor"/>
    </font>
    <font>
      <b/>
      <sz val="12"/>
      <color rgb="FFFF0000"/>
      <name val="Calibri"/>
      <family val="2"/>
      <scheme val="minor"/>
    </font>
    <font>
      <b/>
      <sz val="18"/>
      <color theme="1"/>
      <name val="Calibri"/>
      <family val="2"/>
      <scheme val="minor"/>
    </font>
    <font>
      <b/>
      <sz val="12"/>
      <color theme="1" tint="0.34998626667073579"/>
      <name val="Calibri"/>
      <family val="2"/>
      <scheme val="minor"/>
    </font>
    <font>
      <sz val="10"/>
      <color theme="1"/>
      <name val="Calibri"/>
      <family val="2"/>
      <scheme val="minor"/>
    </font>
    <font>
      <b/>
      <sz val="16"/>
      <color theme="1"/>
      <name val="Calibri"/>
      <family val="2"/>
      <scheme val="minor"/>
    </font>
    <font>
      <b/>
      <sz val="12"/>
      <color rgb="FF7030A0"/>
      <name val="Calibri"/>
      <family val="2"/>
      <scheme val="minor"/>
    </font>
    <font>
      <b/>
      <i/>
      <sz val="12"/>
      <color rgb="FFFF0000"/>
      <name val="Calibri"/>
      <family val="2"/>
      <scheme val="minor"/>
    </font>
    <font>
      <b/>
      <sz val="12"/>
      <color rgb="FF00B050"/>
      <name val="Calibri"/>
      <family val="2"/>
      <scheme val="minor"/>
    </font>
    <font>
      <b/>
      <sz val="12"/>
      <color theme="7" tint="-0.249977111117893"/>
      <name val="Calibri"/>
      <family val="2"/>
      <scheme val="minor"/>
    </font>
    <font>
      <sz val="8"/>
      <color rgb="FF0070C0"/>
      <name val="Arial"/>
      <family val="2"/>
    </font>
    <font>
      <b/>
      <sz val="12"/>
      <color theme="0" tint="-0.499984740745262"/>
      <name val="Calibri"/>
      <family val="2"/>
      <scheme val="minor"/>
    </font>
    <font>
      <sz val="12"/>
      <color theme="1" tint="0.34998626667073579"/>
      <name val="Calibri"/>
      <family val="2"/>
      <scheme val="minor"/>
    </font>
    <font>
      <b/>
      <sz val="8"/>
      <name val="Arial"/>
      <family val="2"/>
    </font>
    <font>
      <b/>
      <sz val="12"/>
      <name val="Calibri"/>
      <family val="2"/>
      <scheme val="minor"/>
    </font>
    <font>
      <sz val="12"/>
      <color theme="0" tint="-0.499984740745262"/>
      <name val="Calibri"/>
      <family val="2"/>
      <scheme val="minor"/>
    </font>
    <font>
      <sz val="10"/>
      <color indexed="8"/>
      <name val="MS Sans Serif"/>
    </font>
    <font>
      <sz val="12"/>
      <color theme="1"/>
      <name val="Calibri"/>
      <family val="2"/>
      <scheme val="minor"/>
    </font>
    <font>
      <sz val="8"/>
      <name val="Arial"/>
      <family val="2"/>
    </font>
    <font>
      <b/>
      <sz val="11"/>
      <color theme="0"/>
      <name val="Calibri"/>
      <family val="2"/>
      <scheme val="minor"/>
    </font>
    <font>
      <sz val="11"/>
      <color theme="4" tint="-0.499984740745262"/>
      <name val="Calibri"/>
      <family val="2"/>
      <scheme val="minor"/>
    </font>
    <font>
      <b/>
      <sz val="10"/>
      <color theme="0"/>
      <name val="Calibri"/>
      <family val="2"/>
      <scheme val="minor"/>
    </font>
    <font>
      <sz val="10"/>
      <color theme="0" tint="-0.499984740745262"/>
      <name val="Calibri"/>
      <family val="2"/>
      <scheme val="minor"/>
    </font>
    <font>
      <sz val="10"/>
      <color theme="4" tint="-0.499984740745262"/>
      <name val="Calibri"/>
      <family val="2"/>
      <scheme val="minor"/>
    </font>
    <font>
      <sz val="7"/>
      <color theme="1"/>
      <name val="Calibri"/>
      <family val="2"/>
      <scheme val="minor"/>
    </font>
    <font>
      <b/>
      <sz val="11"/>
      <color rgb="FF4E73A3"/>
      <name val="Calibri"/>
      <family val="2"/>
      <scheme val="minor"/>
    </font>
    <font>
      <b/>
      <sz val="11"/>
      <name val="Calibri"/>
      <family val="2"/>
      <scheme val="minor"/>
    </font>
    <font>
      <sz val="11"/>
      <name val="Calibri"/>
      <family val="2"/>
      <scheme val="minor"/>
    </font>
    <font>
      <sz val="28"/>
      <color theme="1"/>
      <name val="Calibri"/>
      <family val="2"/>
      <scheme val="minor"/>
    </font>
    <font>
      <sz val="8"/>
      <color theme="1"/>
      <name val="Calibri"/>
      <family val="2"/>
      <scheme val="minor"/>
    </font>
    <font>
      <sz val="11"/>
      <color theme="3"/>
      <name val="Calibri"/>
      <family val="2"/>
      <scheme val="minor"/>
    </font>
    <font>
      <sz val="10"/>
      <color theme="3"/>
      <name val="Calibri"/>
      <family val="2"/>
      <scheme val="minor"/>
    </font>
    <font>
      <b/>
      <sz val="9"/>
      <color rgb="FF000000"/>
      <name val="Tahoma"/>
      <family val="2"/>
    </font>
    <font>
      <sz val="12"/>
      <color rgb="FF7030A0"/>
      <name val="Calibri"/>
      <family val="2"/>
      <scheme val="minor"/>
    </font>
    <font>
      <i/>
      <sz val="8"/>
      <color rgb="FF002060"/>
      <name val="Calibri"/>
      <family val="2"/>
      <scheme val="minor"/>
    </font>
    <font>
      <b/>
      <sz val="9"/>
      <color theme="0"/>
      <name val="Calibri"/>
      <family val="2"/>
      <scheme val="minor"/>
    </font>
    <font>
      <sz val="10"/>
      <color rgb="FF000000"/>
      <name val="Tahoma"/>
      <family val="2"/>
    </font>
    <font>
      <b/>
      <sz val="10"/>
      <color rgb="FF000000"/>
      <name val="Tahoma"/>
      <family val="2"/>
    </font>
    <font>
      <sz val="8"/>
      <name val="Calibri"/>
      <family val="2"/>
      <scheme val="minor"/>
    </font>
  </fonts>
  <fills count="14">
    <fill>
      <patternFill patternType="none"/>
    </fill>
    <fill>
      <patternFill patternType="gray125"/>
    </fill>
    <fill>
      <patternFill patternType="solid">
        <fgColor theme="1"/>
        <bgColor indexed="64"/>
      </patternFill>
    </fill>
    <fill>
      <patternFill patternType="solid">
        <fgColor rgb="FF4F81BD"/>
        <bgColor indexed="64"/>
      </patternFill>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D9E1F2"/>
        <bgColor indexed="64"/>
      </patternFill>
    </fill>
    <fill>
      <patternFill patternType="solid">
        <fgColor rgb="FF203764"/>
        <bgColor indexed="64"/>
      </patternFill>
    </fill>
  </fills>
  <borders count="28">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4"/>
      </left>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4"/>
      </right>
      <top style="thin">
        <color theme="4"/>
      </top>
      <bottom/>
      <diagonal/>
    </border>
    <border>
      <left/>
      <right/>
      <top style="medium">
        <color auto="1"/>
      </top>
      <bottom/>
      <diagonal/>
    </border>
    <border>
      <left/>
      <right/>
      <top/>
      <bottom style="medium">
        <color auto="1"/>
      </bottom>
      <diagonal/>
    </border>
  </borders>
  <cellStyleXfs count="153">
    <xf numFmtId="0" fontId="0" fillId="0" borderId="0"/>
    <xf numFmtId="9" fontId="19"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44" fontId="18"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17" fillId="0" borderId="0"/>
    <xf numFmtId="0" fontId="16" fillId="0" borderId="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14" fillId="0" borderId="0"/>
    <xf numFmtId="0" fontId="31" fillId="3" borderId="0"/>
    <xf numFmtId="0" fontId="13" fillId="0" borderId="0"/>
    <xf numFmtId="0" fontId="12" fillId="0" borderId="0"/>
    <xf numFmtId="0" fontId="15" fillId="0" borderId="0"/>
    <xf numFmtId="9" fontId="15" fillId="0" borderId="0" applyFont="0" applyFill="0" applyBorder="0" applyAlignment="0" applyProtection="0"/>
    <xf numFmtId="44" fontId="15" fillId="0" borderId="0" applyFont="0" applyFill="0" applyBorder="0" applyAlignment="0" applyProtection="0"/>
    <xf numFmtId="0" fontId="12" fillId="0" borderId="0"/>
    <xf numFmtId="0" fontId="12" fillId="0" borderId="0"/>
    <xf numFmtId="0" fontId="12" fillId="0" borderId="0"/>
    <xf numFmtId="0" fontId="12" fillId="0" borderId="0"/>
    <xf numFmtId="0" fontId="11" fillId="0" borderId="0"/>
    <xf numFmtId="0" fontId="10" fillId="0" borderId="0"/>
    <xf numFmtId="0" fontId="9" fillId="0" borderId="0"/>
    <xf numFmtId="0" fontId="8" fillId="0" borderId="0"/>
    <xf numFmtId="43" fontId="8" fillId="0" borderId="0" applyFont="0" applyFill="0" applyBorder="0" applyAlignment="0" applyProtection="0"/>
    <xf numFmtId="0" fontId="7" fillId="0" borderId="0"/>
    <xf numFmtId="0" fontId="15" fillId="0" borderId="0"/>
    <xf numFmtId="9" fontId="15" fillId="0" borderId="0" applyFont="0" applyFill="0" applyBorder="0" applyAlignment="0" applyProtection="0"/>
    <xf numFmtId="44"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6" fillId="0" borderId="0"/>
    <xf numFmtId="0" fontId="5" fillId="0" borderId="0"/>
    <xf numFmtId="0" fontId="4" fillId="0" borderId="0"/>
    <xf numFmtId="0" fontId="49" fillId="0" borderId="0"/>
    <xf numFmtId="0" fontId="3" fillId="0" borderId="0"/>
    <xf numFmtId="9" fontId="3" fillId="0" borderId="0" applyFont="0" applyFill="0" applyBorder="0" applyAlignment="0" applyProtection="0"/>
  </cellStyleXfs>
  <cellXfs count="329">
    <xf numFmtId="0" fontId="0" fillId="0" borderId="0" xfId="0"/>
    <xf numFmtId="10" fontId="0" fillId="0" borderId="0" xfId="1" applyNumberFormat="1" applyFont="1"/>
    <xf numFmtId="44" fontId="0" fillId="0" borderId="0" xfId="20" applyFont="1"/>
    <xf numFmtId="0" fontId="22" fillId="0" borderId="0" xfId="0" applyFont="1"/>
    <xf numFmtId="10" fontId="22" fillId="0" borderId="0" xfId="1" applyNumberFormat="1" applyFont="1"/>
    <xf numFmtId="2" fontId="0" fillId="0" borderId="0" xfId="1" applyNumberFormat="1" applyFont="1"/>
    <xf numFmtId="2" fontId="22" fillId="0" borderId="0" xfId="1" applyNumberFormat="1" applyFont="1"/>
    <xf numFmtId="0" fontId="23" fillId="0" borderId="0" xfId="0" applyFont="1"/>
    <xf numFmtId="0" fontId="24" fillId="0" borderId="0" xfId="0" applyFont="1"/>
    <xf numFmtId="0" fontId="23" fillId="0" borderId="0" xfId="0" applyFont="1" applyAlignment="1">
      <alignment horizontal="right"/>
    </xf>
    <xf numFmtId="10" fontId="24" fillId="0" borderId="0" xfId="0" applyNumberFormat="1" applyFont="1"/>
    <xf numFmtId="2" fontId="24" fillId="0" borderId="0" xfId="0" applyNumberFormat="1" applyFont="1" applyAlignment="1">
      <alignment horizontal="right"/>
    </xf>
    <xf numFmtId="2" fontId="23" fillId="0" borderId="0" xfId="0" applyNumberFormat="1" applyFont="1"/>
    <xf numFmtId="0" fontId="23" fillId="0" borderId="0" xfId="0" applyFont="1" applyAlignment="1">
      <alignment horizontal="center"/>
    </xf>
    <xf numFmtId="44" fontId="23" fillId="0" borderId="0" xfId="20" applyFont="1"/>
    <xf numFmtId="10" fontId="23" fillId="0" borderId="0" xfId="0" applyNumberFormat="1" applyFont="1"/>
    <xf numFmtId="2" fontId="24" fillId="0" borderId="0" xfId="0" applyNumberFormat="1" applyFont="1" applyAlignment="1">
      <alignment horizontal="center"/>
    </xf>
    <xf numFmtId="0" fontId="24" fillId="0" borderId="0" xfId="0" applyFont="1" applyAlignment="1">
      <alignment horizontal="center"/>
    </xf>
    <xf numFmtId="44" fontId="24" fillId="0" borderId="0" xfId="20" applyFont="1"/>
    <xf numFmtId="2" fontId="23" fillId="0" borderId="0" xfId="0" applyNumberFormat="1" applyFont="1" applyAlignment="1">
      <alignment horizontal="right"/>
    </xf>
    <xf numFmtId="164" fontId="24" fillId="0" borderId="0" xfId="0" applyNumberFormat="1" applyFont="1" applyAlignment="1">
      <alignment horizontal="left"/>
    </xf>
    <xf numFmtId="164" fontId="23" fillId="0" borderId="0" xfId="0" applyNumberFormat="1" applyFont="1" applyAlignment="1">
      <alignment horizontal="left"/>
    </xf>
    <xf numFmtId="10" fontId="0" fillId="0" borderId="0" xfId="0" applyNumberFormat="1"/>
    <xf numFmtId="0" fontId="0" fillId="0" borderId="0" xfId="0" applyAlignment="1">
      <alignment horizontal="center"/>
    </xf>
    <xf numFmtId="0" fontId="25" fillId="0" borderId="0" xfId="0" applyFont="1" applyAlignment="1">
      <alignment horizontal="center"/>
    </xf>
    <xf numFmtId="165" fontId="24" fillId="0" borderId="0" xfId="0" applyNumberFormat="1" applyFont="1" applyAlignment="1">
      <alignment horizontal="center"/>
    </xf>
    <xf numFmtId="2" fontId="26" fillId="0" borderId="1" xfId="0" applyNumberFormat="1" applyFont="1" applyBorder="1" applyAlignment="1">
      <alignment horizontal="center"/>
    </xf>
    <xf numFmtId="2" fontId="27" fillId="0" borderId="0" xfId="0" applyNumberFormat="1" applyFont="1" applyAlignment="1">
      <alignment horizontal="right"/>
    </xf>
    <xf numFmtId="2" fontId="28" fillId="0" borderId="0" xfId="0" applyNumberFormat="1" applyFont="1" applyAlignment="1">
      <alignment horizontal="right"/>
    </xf>
    <xf numFmtId="2" fontId="26" fillId="0" borderId="0" xfId="0" applyNumberFormat="1" applyFont="1" applyAlignment="1">
      <alignment horizontal="right"/>
    </xf>
    <xf numFmtId="0" fontId="26" fillId="0" borderId="0" xfId="0" applyFont="1"/>
    <xf numFmtId="2" fontId="26" fillId="0" borderId="0" xfId="0" applyNumberFormat="1" applyFont="1"/>
    <xf numFmtId="2" fontId="29" fillId="0" borderId="0" xfId="0" applyNumberFormat="1" applyFont="1" applyAlignment="1">
      <alignment horizontal="right"/>
    </xf>
    <xf numFmtId="2" fontId="23" fillId="0" borderId="0" xfId="0" applyNumberFormat="1" applyFont="1" applyAlignment="1">
      <alignment horizontal="center"/>
    </xf>
    <xf numFmtId="2" fontId="27" fillId="0" borderId="0" xfId="0" applyNumberFormat="1" applyFont="1" applyAlignment="1">
      <alignment horizontal="center"/>
    </xf>
    <xf numFmtId="44" fontId="24" fillId="0" borderId="0" xfId="20" applyFont="1" applyAlignment="1">
      <alignment horizontal="center"/>
    </xf>
    <xf numFmtId="2" fontId="0" fillId="0" borderId="0" xfId="0" applyNumberFormat="1" applyAlignment="1">
      <alignment horizontal="center"/>
    </xf>
    <xf numFmtId="2" fontId="24" fillId="0" borderId="0" xfId="0" applyNumberFormat="1" applyFont="1"/>
    <xf numFmtId="44" fontId="18" fillId="0" borderId="0" xfId="20"/>
    <xf numFmtId="0" fontId="0" fillId="2" borderId="0" xfId="0" applyFill="1"/>
    <xf numFmtId="2" fontId="24" fillId="2" borderId="0" xfId="0" applyNumberFormat="1" applyFont="1" applyFill="1" applyAlignment="1">
      <alignment horizontal="left"/>
    </xf>
    <xf numFmtId="2" fontId="0" fillId="2" borderId="0" xfId="0" applyNumberFormat="1" applyFill="1"/>
    <xf numFmtId="2" fontId="22" fillId="0" borderId="0" xfId="0" applyNumberFormat="1" applyFont="1" applyAlignment="1">
      <alignment horizontal="center"/>
    </xf>
    <xf numFmtId="0" fontId="22" fillId="0" borderId="0" xfId="0" applyFont="1" applyAlignment="1">
      <alignment horizontal="right"/>
    </xf>
    <xf numFmtId="0" fontId="0" fillId="2" borderId="0" xfId="0" applyFill="1" applyAlignment="1">
      <alignment horizontal="center"/>
    </xf>
    <xf numFmtId="2" fontId="30" fillId="0" borderId="0" xfId="0" applyNumberFormat="1" applyFont="1" applyAlignment="1">
      <alignment horizontal="center"/>
    </xf>
    <xf numFmtId="166" fontId="24" fillId="0" borderId="0" xfId="20" applyNumberFormat="1" applyFont="1"/>
    <xf numFmtId="166" fontId="23" fillId="0" borderId="0" xfId="20" applyNumberFormat="1" applyFont="1"/>
    <xf numFmtId="166" fontId="24" fillId="0" borderId="0" xfId="0" applyNumberFormat="1" applyFont="1"/>
    <xf numFmtId="2" fontId="15" fillId="0" borderId="0" xfId="1" applyNumberFormat="1" applyFont="1"/>
    <xf numFmtId="0" fontId="14" fillId="0" borderId="0" xfId="113"/>
    <xf numFmtId="0" fontId="14" fillId="0" borderId="0" xfId="113" applyAlignment="1">
      <alignment horizontal="center"/>
    </xf>
    <xf numFmtId="2" fontId="14" fillId="4" borderId="0" xfId="113" applyNumberFormat="1" applyFill="1" applyAlignment="1">
      <alignment horizontal="center"/>
    </xf>
    <xf numFmtId="10" fontId="14" fillId="4" borderId="0" xfId="113" applyNumberFormat="1" applyFill="1" applyAlignment="1">
      <alignment horizontal="center"/>
    </xf>
    <xf numFmtId="10" fontId="15" fillId="0" borderId="0" xfId="1" applyNumberFormat="1" applyFont="1"/>
    <xf numFmtId="2" fontId="27" fillId="0" borderId="0" xfId="0" applyNumberFormat="1" applyFont="1"/>
    <xf numFmtId="4" fontId="14" fillId="0" borderId="0" xfId="113" applyNumberFormat="1"/>
    <xf numFmtId="0" fontId="33" fillId="0" borderId="0" xfId="113" applyFont="1" applyAlignment="1">
      <alignment horizontal="center"/>
    </xf>
    <xf numFmtId="0" fontId="33" fillId="0" borderId="0" xfId="113" applyFont="1"/>
    <xf numFmtId="2" fontId="14" fillId="0" borderId="0" xfId="113" applyNumberFormat="1"/>
    <xf numFmtId="0" fontId="34" fillId="0" borderId="0" xfId="0" applyFont="1" applyAlignment="1">
      <alignment horizontal="center"/>
    </xf>
    <xf numFmtId="2" fontId="0" fillId="0" borderId="0" xfId="0" applyNumberFormat="1"/>
    <xf numFmtId="2" fontId="22" fillId="0" borderId="0" xfId="0" applyNumberFormat="1" applyFont="1"/>
    <xf numFmtId="0" fontId="35" fillId="0" borderId="0" xfId="113" applyFont="1"/>
    <xf numFmtId="2" fontId="0" fillId="0" borderId="2" xfId="0" applyNumberFormat="1" applyBorder="1" applyAlignment="1">
      <alignment horizontal="center"/>
    </xf>
    <xf numFmtId="2" fontId="36" fillId="0" borderId="0" xfId="1" applyNumberFormat="1" applyFont="1"/>
    <xf numFmtId="169" fontId="22" fillId="0" borderId="3" xfId="0" applyNumberFormat="1" applyFont="1" applyBorder="1"/>
    <xf numFmtId="0" fontId="0" fillId="0" borderId="4" xfId="0" applyBorder="1" applyAlignment="1">
      <alignment horizontal="center"/>
    </xf>
    <xf numFmtId="0" fontId="0" fillId="0" borderId="5" xfId="0" applyBorder="1" applyAlignment="1">
      <alignment horizontal="center"/>
    </xf>
    <xf numFmtId="0" fontId="0" fillId="0" borderId="6" xfId="0" applyBorder="1"/>
    <xf numFmtId="0" fontId="0" fillId="0" borderId="8" xfId="0" applyBorder="1"/>
    <xf numFmtId="2" fontId="0" fillId="0" borderId="9" xfId="0" applyNumberFormat="1" applyBorder="1" applyAlignment="1">
      <alignment horizontal="center"/>
    </xf>
    <xf numFmtId="169" fontId="22" fillId="0" borderId="3" xfId="0" applyNumberFormat="1" applyFont="1" applyBorder="1" applyAlignment="1">
      <alignment horizontal="left"/>
    </xf>
    <xf numFmtId="0" fontId="34" fillId="0" borderId="0" xfId="0" applyFont="1"/>
    <xf numFmtId="0" fontId="39" fillId="0" borderId="0" xfId="0" applyFont="1"/>
    <xf numFmtId="2" fontId="40" fillId="0" borderId="0" xfId="0" applyNumberFormat="1" applyFont="1" applyAlignment="1">
      <alignment horizontal="right"/>
    </xf>
    <xf numFmtId="2" fontId="34" fillId="0" borderId="0" xfId="0" applyNumberFormat="1" applyFont="1" applyAlignment="1">
      <alignment horizontal="right"/>
    </xf>
    <xf numFmtId="2" fontId="26" fillId="4" borderId="0" xfId="0" applyNumberFormat="1" applyFont="1" applyFill="1" applyAlignment="1">
      <alignment horizontal="right"/>
    </xf>
    <xf numFmtId="2" fontId="25" fillId="0" borderId="0" xfId="0" applyNumberFormat="1" applyFont="1" applyAlignment="1">
      <alignment horizontal="right"/>
    </xf>
    <xf numFmtId="0" fontId="0" fillId="5" borderId="0" xfId="0" applyFill="1"/>
    <xf numFmtId="0" fontId="0" fillId="5" borderId="0" xfId="0" applyFill="1" applyAlignment="1">
      <alignment horizontal="center"/>
    </xf>
    <xf numFmtId="10" fontId="24" fillId="0" borderId="0" xfId="1" applyNumberFormat="1" applyFont="1" applyAlignment="1">
      <alignment horizontal="center"/>
    </xf>
    <xf numFmtId="10" fontId="25" fillId="0" borderId="0" xfId="0" applyNumberFormat="1" applyFont="1"/>
    <xf numFmtId="0" fontId="25" fillId="0" borderId="0" xfId="0" applyFont="1"/>
    <xf numFmtId="2" fontId="34" fillId="0" borderId="0" xfId="0" applyNumberFormat="1" applyFont="1"/>
    <xf numFmtId="0" fontId="23" fillId="4" borderId="0" xfId="0" applyFont="1" applyFill="1"/>
    <xf numFmtId="0" fontId="23" fillId="4" borderId="0" xfId="0" applyFont="1" applyFill="1" applyAlignment="1">
      <alignment horizontal="center"/>
    </xf>
    <xf numFmtId="44" fontId="23" fillId="4" borderId="0" xfId="20" applyFont="1" applyFill="1"/>
    <xf numFmtId="0" fontId="0" fillId="6" borderId="0" xfId="0" applyFill="1"/>
    <xf numFmtId="0" fontId="0" fillId="6" borderId="0" xfId="0" applyFill="1" applyAlignment="1">
      <alignment horizontal="center"/>
    </xf>
    <xf numFmtId="0" fontId="41" fillId="0" borderId="0" xfId="0" applyFont="1"/>
    <xf numFmtId="10" fontId="0" fillId="0" borderId="0" xfId="118" applyNumberFormat="1" applyFont="1"/>
    <xf numFmtId="0" fontId="42" fillId="0" borderId="0" xfId="0" applyFont="1"/>
    <xf numFmtId="10" fontId="0" fillId="0" borderId="14" xfId="118" applyNumberFormat="1" applyFont="1" applyBorder="1" applyAlignment="1">
      <alignment horizontal="center"/>
    </xf>
    <xf numFmtId="10" fontId="0" fillId="0" borderId="13" xfId="118" applyNumberFormat="1" applyFont="1" applyBorder="1" applyAlignment="1">
      <alignment horizontal="center"/>
    </xf>
    <xf numFmtId="10" fontId="30" fillId="0" borderId="13" xfId="118" applyNumberFormat="1" applyFont="1" applyBorder="1" applyAlignment="1">
      <alignment horizontal="center"/>
    </xf>
    <xf numFmtId="0" fontId="24" fillId="0" borderId="0" xfId="0" applyFont="1" applyAlignment="1">
      <alignment horizontal="left"/>
    </xf>
    <xf numFmtId="0" fontId="23" fillId="0" borderId="0" xfId="0" applyFont="1" applyAlignment="1">
      <alignment horizontal="left"/>
    </xf>
    <xf numFmtId="2" fontId="34" fillId="0" borderId="0" xfId="1" applyNumberFormat="1" applyFont="1"/>
    <xf numFmtId="2" fontId="25" fillId="0" borderId="0" xfId="1" applyNumberFormat="1" applyFont="1"/>
    <xf numFmtId="2" fontId="25" fillId="0" borderId="0" xfId="0" applyNumberFormat="1" applyFont="1"/>
    <xf numFmtId="10" fontId="34" fillId="0" borderId="0" xfId="118" applyNumberFormat="1" applyFont="1"/>
    <xf numFmtId="2" fontId="34" fillId="0" borderId="0" xfId="0" applyNumberFormat="1" applyFont="1" applyAlignment="1">
      <alignment horizontal="center"/>
    </xf>
    <xf numFmtId="2" fontId="25" fillId="0" borderId="0" xfId="0" applyNumberFormat="1" applyFont="1" applyAlignment="1">
      <alignment horizontal="left"/>
    </xf>
    <xf numFmtId="2" fontId="44" fillId="0" borderId="0" xfId="0" applyNumberFormat="1" applyFont="1"/>
    <xf numFmtId="2" fontId="45" fillId="0" borderId="0" xfId="1" applyNumberFormat="1" applyFont="1"/>
    <xf numFmtId="2" fontId="30" fillId="0" borderId="0" xfId="0" applyNumberFormat="1" applyFont="1"/>
    <xf numFmtId="2" fontId="27" fillId="0" borderId="13" xfId="118" applyNumberFormat="1" applyFont="1" applyBorder="1" applyAlignment="1">
      <alignment horizontal="center"/>
    </xf>
    <xf numFmtId="6" fontId="43" fillId="0" borderId="14" xfId="0" applyNumberFormat="1" applyFont="1" applyBorder="1" applyAlignment="1">
      <alignment horizontal="center"/>
    </xf>
    <xf numFmtId="10" fontId="30" fillId="0" borderId="0" xfId="0" applyNumberFormat="1" applyFont="1"/>
    <xf numFmtId="2" fontId="34" fillId="0" borderId="13" xfId="118" applyNumberFormat="1" applyFont="1" applyBorder="1" applyAlignment="1">
      <alignment horizontal="center"/>
    </xf>
    <xf numFmtId="6" fontId="46" fillId="0" borderId="14" xfId="0" applyNumberFormat="1" applyFont="1" applyBorder="1" applyAlignment="1">
      <alignment horizontal="center"/>
    </xf>
    <xf numFmtId="2" fontId="47" fillId="0" borderId="0" xfId="0" applyNumberFormat="1" applyFont="1"/>
    <xf numFmtId="10" fontId="22" fillId="0" borderId="0" xfId="0" applyNumberFormat="1" applyFont="1"/>
    <xf numFmtId="2" fontId="26" fillId="0" borderId="0" xfId="130" applyNumberFormat="1" applyFont="1" applyAlignment="1">
      <alignment horizontal="right"/>
    </xf>
    <xf numFmtId="0" fontId="0" fillId="0" borderId="15" xfId="0" applyBorder="1" applyAlignment="1">
      <alignment horizontal="center"/>
    </xf>
    <xf numFmtId="9" fontId="0" fillId="0" borderId="7" xfId="118" applyFont="1" applyBorder="1" applyAlignment="1">
      <alignment horizontal="center"/>
    </xf>
    <xf numFmtId="2" fontId="0" fillId="0" borderId="16" xfId="0" applyNumberFormat="1" applyBorder="1" applyAlignment="1">
      <alignment horizontal="center"/>
    </xf>
    <xf numFmtId="2" fontId="0" fillId="0" borderId="7" xfId="118" applyNumberFormat="1" applyFont="1" applyBorder="1" applyAlignment="1">
      <alignment horizontal="center"/>
    </xf>
    <xf numFmtId="2" fontId="0" fillId="0" borderId="10" xfId="118" applyNumberFormat="1" applyFont="1" applyBorder="1" applyAlignment="1">
      <alignment horizontal="center"/>
    </xf>
    <xf numFmtId="9" fontId="0" fillId="0" borderId="10" xfId="118" applyFont="1" applyBorder="1" applyAlignment="1">
      <alignment horizontal="center"/>
    </xf>
    <xf numFmtId="0" fontId="0" fillId="7" borderId="15" xfId="0" applyFill="1" applyBorder="1" applyAlignment="1">
      <alignment horizontal="center"/>
    </xf>
    <xf numFmtId="2" fontId="0" fillId="7" borderId="16" xfId="0" applyNumberFormat="1" applyFill="1" applyBorder="1" applyAlignment="1">
      <alignment horizontal="center"/>
    </xf>
    <xf numFmtId="2" fontId="0" fillId="7" borderId="9" xfId="0" applyNumberFormat="1" applyFill="1" applyBorder="1" applyAlignment="1">
      <alignment horizontal="center"/>
    </xf>
    <xf numFmtId="0" fontId="0" fillId="7" borderId="0" xfId="0" applyFill="1"/>
    <xf numFmtId="44" fontId="24" fillId="0" borderId="0" xfId="119" applyFont="1"/>
    <xf numFmtId="166" fontId="24" fillId="0" borderId="0" xfId="119" applyNumberFormat="1" applyFont="1"/>
    <xf numFmtId="2" fontId="15" fillId="0" borderId="0" xfId="118" applyNumberFormat="1"/>
    <xf numFmtId="2" fontId="30" fillId="0" borderId="0" xfId="118" applyNumberFormat="1" applyFont="1"/>
    <xf numFmtId="2" fontId="22" fillId="0" borderId="0" xfId="118" applyNumberFormat="1" applyFont="1"/>
    <xf numFmtId="2" fontId="44" fillId="0" borderId="0" xfId="1" applyNumberFormat="1" applyFont="1"/>
    <xf numFmtId="2" fontId="30" fillId="0" borderId="0" xfId="1" applyNumberFormat="1" applyFont="1"/>
    <xf numFmtId="164" fontId="24" fillId="0" borderId="0" xfId="0" applyNumberFormat="1" applyFont="1" applyAlignment="1">
      <alignment horizontal="right"/>
    </xf>
    <xf numFmtId="6" fontId="43" fillId="0" borderId="0" xfId="0" applyNumberFormat="1" applyFont="1" applyAlignment="1">
      <alignment horizontal="center"/>
    </xf>
    <xf numFmtId="8" fontId="0" fillId="0" borderId="0" xfId="0" applyNumberFormat="1"/>
    <xf numFmtId="0" fontId="0" fillId="0" borderId="0" xfId="0" applyAlignment="1">
      <alignment horizontal="right"/>
    </xf>
    <xf numFmtId="2" fontId="0" fillId="0" borderId="0" xfId="118" applyNumberFormat="1" applyFont="1" applyAlignment="1">
      <alignment horizontal="center"/>
    </xf>
    <xf numFmtId="9" fontId="0" fillId="0" borderId="0" xfId="118" applyFont="1" applyAlignment="1">
      <alignment horizontal="center"/>
    </xf>
    <xf numFmtId="2" fontId="48" fillId="0" borderId="0" xfId="1" applyNumberFormat="1" applyFont="1"/>
    <xf numFmtId="2" fontId="48" fillId="0" borderId="0" xfId="0" applyNumberFormat="1" applyFont="1"/>
    <xf numFmtId="0" fontId="30" fillId="0" borderId="0" xfId="0" applyFont="1"/>
    <xf numFmtId="10" fontId="30" fillId="0" borderId="0" xfId="1" applyNumberFormat="1" applyFont="1"/>
    <xf numFmtId="10" fontId="0" fillId="0" borderId="0" xfId="0" applyNumberFormat="1" applyAlignment="1">
      <alignment horizontal="left"/>
    </xf>
    <xf numFmtId="2" fontId="47" fillId="0" borderId="0" xfId="0" applyNumberFormat="1" applyFont="1" applyAlignment="1">
      <alignment horizontal="center"/>
    </xf>
    <xf numFmtId="44" fontId="22" fillId="0" borderId="0" xfId="20" applyFont="1"/>
    <xf numFmtId="0" fontId="50" fillId="0" borderId="0" xfId="0" applyFont="1"/>
    <xf numFmtId="0" fontId="50" fillId="0" borderId="0" xfId="0" applyFont="1" applyAlignment="1">
      <alignment horizontal="center"/>
    </xf>
    <xf numFmtId="8" fontId="51" fillId="0" borderId="14" xfId="0" applyNumberFormat="1" applyFont="1" applyBorder="1" applyAlignment="1">
      <alignment horizontal="center"/>
    </xf>
    <xf numFmtId="44" fontId="50" fillId="0" borderId="0" xfId="20" applyFont="1"/>
    <xf numFmtId="6" fontId="43" fillId="0" borderId="1" xfId="0" applyNumberFormat="1" applyFont="1" applyBorder="1" applyAlignment="1">
      <alignment horizontal="center"/>
    </xf>
    <xf numFmtId="0" fontId="3" fillId="0" borderId="0" xfId="151" applyAlignment="1">
      <alignment horizontal="center"/>
    </xf>
    <xf numFmtId="0" fontId="53" fillId="9" borderId="0" xfId="151" applyFont="1" applyFill="1" applyAlignment="1">
      <alignment horizontal="center"/>
    </xf>
    <xf numFmtId="0" fontId="3" fillId="9" borderId="0" xfId="151" applyFill="1" applyAlignment="1">
      <alignment horizontal="center"/>
    </xf>
    <xf numFmtId="0" fontId="52" fillId="8" borderId="0" xfId="151" applyFont="1" applyFill="1" applyAlignment="1">
      <alignment horizontal="center"/>
    </xf>
    <xf numFmtId="0" fontId="3" fillId="9" borderId="0" xfId="151" applyFill="1"/>
    <xf numFmtId="0" fontId="55" fillId="9" borderId="0" xfId="151" applyFont="1" applyFill="1" applyAlignment="1">
      <alignment horizontal="center"/>
    </xf>
    <xf numFmtId="0" fontId="37" fillId="9" borderId="0" xfId="151" applyFont="1" applyFill="1" applyAlignment="1">
      <alignment horizontal="center"/>
    </xf>
    <xf numFmtId="0" fontId="54" fillId="8" borderId="0" xfId="151" applyFont="1" applyFill="1" applyAlignment="1">
      <alignment horizontal="center"/>
    </xf>
    <xf numFmtId="0" fontId="54" fillId="8" borderId="0" xfId="151" applyFont="1" applyFill="1" applyAlignment="1">
      <alignment horizontal="center" vertical="center"/>
    </xf>
    <xf numFmtId="0" fontId="56" fillId="9" borderId="0" xfId="151" applyFont="1" applyFill="1" applyAlignment="1">
      <alignment horizontal="left"/>
    </xf>
    <xf numFmtId="10" fontId="56" fillId="9" borderId="0" xfId="152" applyNumberFormat="1" applyFont="1" applyFill="1" applyAlignment="1">
      <alignment horizontal="center" vertical="center"/>
    </xf>
    <xf numFmtId="0" fontId="56" fillId="10" borderId="0" xfId="151" applyFont="1" applyFill="1" applyAlignment="1">
      <alignment horizontal="left"/>
    </xf>
    <xf numFmtId="10" fontId="56" fillId="10" borderId="0" xfId="152" applyNumberFormat="1" applyFont="1" applyFill="1" applyAlignment="1">
      <alignment horizontal="center" vertical="center"/>
    </xf>
    <xf numFmtId="0" fontId="56" fillId="8" borderId="0" xfId="151" applyFont="1" applyFill="1" applyAlignment="1">
      <alignment horizontal="center"/>
    </xf>
    <xf numFmtId="0" fontId="56" fillId="8" borderId="0" xfId="151" applyFont="1" applyFill="1" applyAlignment="1">
      <alignment horizontal="center" vertical="center"/>
    </xf>
    <xf numFmtId="0" fontId="56" fillId="8" borderId="0" xfId="151" applyFont="1" applyFill="1" applyAlignment="1">
      <alignment horizontal="left"/>
    </xf>
    <xf numFmtId="10" fontId="56" fillId="8" borderId="0" xfId="152" applyNumberFormat="1" applyFont="1" applyFill="1" applyAlignment="1">
      <alignment horizontal="center" vertical="center"/>
    </xf>
    <xf numFmtId="2" fontId="56" fillId="10" borderId="0" xfId="152" applyNumberFormat="1" applyFont="1" applyFill="1" applyAlignment="1">
      <alignment horizontal="center" vertical="center"/>
    </xf>
    <xf numFmtId="14" fontId="57" fillId="9" borderId="0" xfId="151" applyNumberFormat="1" applyFont="1" applyFill="1" applyAlignment="1">
      <alignment horizontal="center"/>
    </xf>
    <xf numFmtId="14" fontId="0" fillId="0" borderId="0" xfId="0" applyNumberFormat="1"/>
    <xf numFmtId="9" fontId="0" fillId="0" borderId="0" xfId="1" applyFont="1"/>
    <xf numFmtId="171" fontId="0" fillId="0" borderId="0" xfId="1" applyNumberFormat="1" applyFont="1"/>
    <xf numFmtId="9" fontId="0" fillId="0" borderId="0" xfId="0" applyNumberFormat="1"/>
    <xf numFmtId="172" fontId="0" fillId="0" borderId="0" xfId="0" applyNumberFormat="1"/>
    <xf numFmtId="171" fontId="56" fillId="9" borderId="0" xfId="152" applyNumberFormat="1" applyFont="1" applyFill="1" applyAlignment="1">
      <alignment horizontal="center" vertical="center"/>
    </xf>
    <xf numFmtId="171" fontId="56" fillId="10" borderId="0" xfId="152" applyNumberFormat="1" applyFont="1" applyFill="1" applyAlignment="1">
      <alignment horizontal="center" vertical="center"/>
    </xf>
    <xf numFmtId="171" fontId="56" fillId="8" borderId="0" xfId="151" applyNumberFormat="1" applyFont="1" applyFill="1" applyAlignment="1">
      <alignment horizontal="center" vertical="center"/>
    </xf>
    <xf numFmtId="171" fontId="56" fillId="8" borderId="0" xfId="152" applyNumberFormat="1" applyFont="1" applyFill="1" applyAlignment="1">
      <alignment horizontal="center" vertical="center"/>
    </xf>
    <xf numFmtId="2" fontId="56" fillId="9" borderId="0" xfId="152" applyNumberFormat="1" applyFont="1" applyFill="1" applyAlignment="1">
      <alignment horizontal="center" vertical="center"/>
    </xf>
    <xf numFmtId="16" fontId="3" fillId="0" borderId="0" xfId="151" quotePrefix="1" applyNumberFormat="1" applyAlignment="1">
      <alignment horizontal="center"/>
    </xf>
    <xf numFmtId="0" fontId="3" fillId="0" borderId="0" xfId="151" quotePrefix="1" applyAlignment="1">
      <alignment horizontal="center"/>
    </xf>
    <xf numFmtId="14" fontId="3" fillId="0" borderId="0" xfId="151" applyNumberFormat="1" applyAlignment="1">
      <alignment horizontal="center"/>
    </xf>
    <xf numFmtId="0" fontId="0" fillId="4" borderId="0" xfId="0" applyFill="1"/>
    <xf numFmtId="0" fontId="0" fillId="4" borderId="0" xfId="0" applyFill="1" applyAlignment="1">
      <alignment horizontal="center"/>
    </xf>
    <xf numFmtId="2" fontId="24" fillId="4" borderId="0" xfId="0" applyNumberFormat="1" applyFont="1" applyFill="1" applyAlignment="1">
      <alignment horizontal="center"/>
    </xf>
    <xf numFmtId="2" fontId="0" fillId="4" borderId="0" xfId="0" applyNumberFormat="1" applyFill="1" applyAlignment="1">
      <alignment horizontal="center"/>
    </xf>
    <xf numFmtId="2" fontId="0" fillId="4" borderId="0" xfId="0" applyNumberFormat="1" applyFill="1"/>
    <xf numFmtId="0" fontId="50" fillId="4" borderId="0" xfId="0" applyFont="1" applyFill="1"/>
    <xf numFmtId="173" fontId="0" fillId="0" borderId="0" xfId="1" applyNumberFormat="1" applyFont="1"/>
    <xf numFmtId="6" fontId="0" fillId="0" borderId="0" xfId="0" applyNumberFormat="1"/>
    <xf numFmtId="171" fontId="0" fillId="0" borderId="0" xfId="118" applyNumberFormat="1" applyFont="1"/>
    <xf numFmtId="2" fontId="26" fillId="0" borderId="0" xfId="0" applyNumberFormat="1" applyFont="1" applyAlignment="1">
      <alignment horizontal="center"/>
    </xf>
    <xf numFmtId="170" fontId="0" fillId="0" borderId="0" xfId="0" applyNumberFormat="1"/>
    <xf numFmtId="10" fontId="22" fillId="0" borderId="14" xfId="118" applyNumberFormat="1" applyFont="1" applyBorder="1"/>
    <xf numFmtId="0" fontId="59" fillId="9" borderId="0" xfId="0" applyFont="1" applyFill="1"/>
    <xf numFmtId="0" fontId="59" fillId="11" borderId="0" xfId="0" applyFont="1" applyFill="1"/>
    <xf numFmtId="0" fontId="0" fillId="9" borderId="0" xfId="0" applyFill="1"/>
    <xf numFmtId="0" fontId="22" fillId="9" borderId="0" xfId="0" applyFont="1" applyFill="1"/>
    <xf numFmtId="0" fontId="58" fillId="9" borderId="19" xfId="0" applyFont="1" applyFill="1" applyBorder="1" applyAlignment="1">
      <alignment horizontal="left" vertical="center" wrapText="1"/>
    </xf>
    <xf numFmtId="0" fontId="59" fillId="9" borderId="21" xfId="0" applyFont="1" applyFill="1" applyBorder="1" applyAlignment="1">
      <alignment horizontal="center" vertical="center" wrapText="1"/>
    </xf>
    <xf numFmtId="171" fontId="60" fillId="9" borderId="20" xfId="1" applyNumberFormat="1" applyFont="1" applyFill="1" applyBorder="1" applyAlignment="1">
      <alignment horizontal="center" vertical="center"/>
    </xf>
    <xf numFmtId="171" fontId="60" fillId="11" borderId="20" xfId="1" applyNumberFormat="1" applyFont="1" applyFill="1" applyBorder="1" applyAlignment="1">
      <alignment horizontal="center" vertical="center"/>
    </xf>
    <xf numFmtId="171" fontId="60" fillId="9" borderId="20" xfId="0" applyNumberFormat="1" applyFont="1" applyFill="1" applyBorder="1" applyAlignment="1">
      <alignment horizontal="center" vertical="center"/>
    </xf>
    <xf numFmtId="171" fontId="60" fillId="11" borderId="20" xfId="0" applyNumberFormat="1" applyFont="1" applyFill="1" applyBorder="1" applyAlignment="1">
      <alignment horizontal="center" vertical="center"/>
    </xf>
    <xf numFmtId="0" fontId="59" fillId="9" borderId="20" xfId="0" applyFont="1" applyFill="1" applyBorder="1" applyAlignment="1">
      <alignment horizontal="center" vertical="center" wrapText="1"/>
    </xf>
    <xf numFmtId="171" fontId="60" fillId="9" borderId="22" xfId="1" applyNumberFormat="1" applyFont="1" applyFill="1" applyBorder="1" applyAlignment="1">
      <alignment horizontal="center" vertical="center"/>
    </xf>
    <xf numFmtId="0" fontId="59" fillId="9" borderId="24" xfId="0" applyFont="1" applyFill="1" applyBorder="1" applyAlignment="1">
      <alignment horizontal="center" vertical="center" wrapText="1"/>
    </xf>
    <xf numFmtId="171" fontId="60" fillId="9" borderId="23" xfId="1" applyNumberFormat="1" applyFont="1" applyFill="1" applyBorder="1" applyAlignment="1">
      <alignment horizontal="center" vertical="center"/>
    </xf>
    <xf numFmtId="171" fontId="60" fillId="11" borderId="23" xfId="1" applyNumberFormat="1" applyFont="1" applyFill="1" applyBorder="1" applyAlignment="1">
      <alignment horizontal="center" vertical="center"/>
    </xf>
    <xf numFmtId="171" fontId="60" fillId="9" borderId="23" xfId="0" applyNumberFormat="1" applyFont="1" applyFill="1" applyBorder="1" applyAlignment="1">
      <alignment horizontal="center" vertical="center"/>
    </xf>
    <xf numFmtId="171" fontId="60" fillId="11" borderId="23" xfId="0" applyNumberFormat="1" applyFont="1" applyFill="1" applyBorder="1" applyAlignment="1">
      <alignment horizontal="center" vertical="center"/>
    </xf>
    <xf numFmtId="0" fontId="59" fillId="9" borderId="23" xfId="0" applyFont="1" applyFill="1" applyBorder="1" applyAlignment="1">
      <alignment horizontal="center" vertical="center" wrapText="1"/>
    </xf>
    <xf numFmtId="171" fontId="60" fillId="9" borderId="25" xfId="1" applyNumberFormat="1" applyFont="1" applyFill="1" applyBorder="1" applyAlignment="1">
      <alignment horizontal="center" vertical="center"/>
    </xf>
    <xf numFmtId="2" fontId="27" fillId="0" borderId="0" xfId="118" applyNumberFormat="1" applyFont="1" applyAlignment="1">
      <alignment horizontal="center"/>
    </xf>
    <xf numFmtId="0" fontId="56" fillId="12" borderId="0" xfId="151" applyFont="1" applyFill="1" applyAlignment="1">
      <alignment horizontal="left"/>
    </xf>
    <xf numFmtId="10" fontId="56" fillId="12" borderId="0" xfId="152" applyNumberFormat="1" applyFont="1" applyFill="1" applyAlignment="1">
      <alignment horizontal="center" vertical="center"/>
    </xf>
    <xf numFmtId="0" fontId="54" fillId="13" borderId="0" xfId="151" applyFont="1" applyFill="1" applyAlignment="1">
      <alignment horizontal="center"/>
    </xf>
    <xf numFmtId="0" fontId="54" fillId="13" borderId="0" xfId="151" applyFont="1" applyFill="1" applyAlignment="1">
      <alignment horizontal="center" vertical="center"/>
    </xf>
    <xf numFmtId="0" fontId="56" fillId="13" borderId="0" xfId="151" applyFont="1" applyFill="1" applyAlignment="1">
      <alignment horizontal="center"/>
    </xf>
    <xf numFmtId="0" fontId="56" fillId="13" borderId="0" xfId="151" applyFont="1" applyFill="1" applyAlignment="1">
      <alignment horizontal="center" vertical="center"/>
    </xf>
    <xf numFmtId="0" fontId="56" fillId="13" borderId="0" xfId="151" applyFont="1" applyFill="1" applyAlignment="1">
      <alignment horizontal="left"/>
    </xf>
    <xf numFmtId="10" fontId="56" fillId="13" borderId="0" xfId="152" applyNumberFormat="1" applyFont="1" applyFill="1" applyAlignment="1">
      <alignment horizontal="center" vertical="center"/>
    </xf>
    <xf numFmtId="10" fontId="22" fillId="0" borderId="13" xfId="118" applyNumberFormat="1" applyFont="1" applyBorder="1" applyAlignment="1"/>
    <xf numFmtId="0" fontId="0" fillId="0" borderId="13" xfId="0" applyBorder="1"/>
    <xf numFmtId="10" fontId="22" fillId="0" borderId="0" xfId="118" applyNumberFormat="1" applyFont="1" applyBorder="1" applyAlignment="1"/>
    <xf numFmtId="2" fontId="27" fillId="0" borderId="17" xfId="118" applyNumberFormat="1" applyFont="1" applyBorder="1" applyAlignment="1">
      <alignment horizontal="center"/>
    </xf>
    <xf numFmtId="6" fontId="43" fillId="0" borderId="18" xfId="0" applyNumberFormat="1" applyFont="1" applyBorder="1" applyAlignment="1">
      <alignment horizontal="center"/>
    </xf>
    <xf numFmtId="2" fontId="27" fillId="0" borderId="0" xfId="118" applyNumberFormat="1" applyFont="1" applyBorder="1" applyAlignment="1">
      <alignment horizontal="center"/>
    </xf>
    <xf numFmtId="0" fontId="0" fillId="0" borderId="17" xfId="0" applyBorder="1"/>
    <xf numFmtId="10" fontId="0" fillId="0" borderId="0" xfId="118" applyNumberFormat="1" applyFont="1" applyBorder="1" applyAlignment="1">
      <alignment horizontal="center"/>
    </xf>
    <xf numFmtId="10" fontId="22" fillId="0" borderId="0" xfId="118" applyNumberFormat="1" applyFont="1" applyBorder="1" applyAlignment="1">
      <alignment horizontal="center"/>
    </xf>
    <xf numFmtId="6" fontId="43" fillId="0" borderId="13" xfId="0" applyNumberFormat="1" applyFont="1" applyBorder="1" applyAlignment="1">
      <alignment horizontal="center"/>
    </xf>
    <xf numFmtId="0" fontId="23" fillId="0" borderId="0" xfId="0" applyFont="1" applyAlignment="1">
      <alignment horizontal="center" vertical="center"/>
    </xf>
    <xf numFmtId="175" fontId="0" fillId="0" borderId="0" xfId="1" applyNumberFormat="1" applyFont="1"/>
    <xf numFmtId="14" fontId="0" fillId="4" borderId="0" xfId="0" applyNumberFormat="1" applyFill="1"/>
    <xf numFmtId="49" fontId="0" fillId="0" borderId="0" xfId="0" applyNumberFormat="1"/>
    <xf numFmtId="49" fontId="0" fillId="0" borderId="0" xfId="0" applyNumberFormat="1" applyAlignment="1">
      <alignment horizontal="center" vertical="center"/>
    </xf>
    <xf numFmtId="0" fontId="0" fillId="0" borderId="0" xfId="1" applyNumberFormat="1" applyFont="1" applyAlignment="1">
      <alignment horizontal="center" vertical="center"/>
    </xf>
    <xf numFmtId="10" fontId="0" fillId="0" borderId="0" xfId="1" applyNumberFormat="1" applyFont="1" applyAlignment="1">
      <alignment horizontal="right" vertical="center"/>
    </xf>
    <xf numFmtId="10" fontId="0" fillId="0" borderId="0" xfId="1" applyNumberFormat="1" applyFont="1" applyAlignment="1">
      <alignment horizontal="right"/>
    </xf>
    <xf numFmtId="2" fontId="27" fillId="0" borderId="13" xfId="118" applyNumberFormat="1" applyFont="1" applyFill="1" applyBorder="1" applyAlignment="1">
      <alignment horizontal="center"/>
    </xf>
    <xf numFmtId="2" fontId="27" fillId="0" borderId="0" xfId="118" applyNumberFormat="1" applyFont="1" applyFill="1" applyBorder="1" applyAlignment="1">
      <alignment horizontal="center"/>
    </xf>
    <xf numFmtId="10" fontId="3" fillId="0" borderId="0" xfId="151" applyNumberFormat="1" applyAlignment="1">
      <alignment horizontal="center"/>
    </xf>
    <xf numFmtId="10" fontId="64" fillId="9" borderId="0" xfId="152" applyNumberFormat="1" applyFont="1" applyFill="1" applyAlignment="1">
      <alignment horizontal="center" vertical="center"/>
    </xf>
    <xf numFmtId="1" fontId="63" fillId="10" borderId="0" xfId="151" applyNumberFormat="1" applyFont="1" applyFill="1" applyAlignment="1">
      <alignment horizontal="center"/>
    </xf>
    <xf numFmtId="10" fontId="64" fillId="10" borderId="0" xfId="152" applyNumberFormat="1" applyFont="1" applyFill="1" applyAlignment="1">
      <alignment horizontal="center" vertical="center"/>
    </xf>
    <xf numFmtId="10" fontId="63" fillId="10" borderId="0" xfId="151" applyNumberFormat="1" applyFont="1" applyFill="1" applyAlignment="1">
      <alignment horizontal="center"/>
    </xf>
    <xf numFmtId="2" fontId="63" fillId="10" borderId="0" xfId="151" applyNumberFormat="1" applyFont="1" applyFill="1" applyAlignment="1">
      <alignment horizontal="center"/>
    </xf>
    <xf numFmtId="0" fontId="2" fillId="0" borderId="0" xfId="151" applyFont="1" applyAlignment="1">
      <alignment horizontal="center"/>
    </xf>
    <xf numFmtId="0" fontId="3" fillId="4" borderId="0" xfId="151" applyFill="1" applyAlignment="1">
      <alignment horizontal="center"/>
    </xf>
    <xf numFmtId="1" fontId="63" fillId="9" borderId="0" xfId="151" applyNumberFormat="1" applyFont="1" applyFill="1" applyAlignment="1">
      <alignment horizontal="center"/>
    </xf>
    <xf numFmtId="10" fontId="63" fillId="9" borderId="0" xfId="151" applyNumberFormat="1" applyFont="1" applyFill="1" applyAlignment="1">
      <alignment horizontal="center"/>
    </xf>
    <xf numFmtId="0" fontId="62" fillId="9" borderId="0" xfId="151" applyFont="1" applyFill="1" applyAlignment="1">
      <alignment horizontal="left"/>
    </xf>
    <xf numFmtId="2" fontId="47" fillId="0" borderId="0" xfId="1" applyNumberFormat="1" applyFont="1"/>
    <xf numFmtId="0" fontId="22" fillId="0" borderId="0" xfId="0" applyFont="1" applyAlignment="1">
      <alignment horizontal="center"/>
    </xf>
    <xf numFmtId="165" fontId="15" fillId="0" borderId="0" xfId="1" applyNumberFormat="1" applyFont="1"/>
    <xf numFmtId="0" fontId="15" fillId="0" borderId="0" xfId="0" applyFont="1"/>
    <xf numFmtId="0" fontId="15" fillId="0" borderId="0" xfId="0" applyFont="1" applyAlignment="1">
      <alignment horizontal="center"/>
    </xf>
    <xf numFmtId="0" fontId="15" fillId="2" borderId="0" xfId="0" applyFont="1" applyFill="1"/>
    <xf numFmtId="2" fontId="15" fillId="0" borderId="0" xfId="0" applyNumberFormat="1" applyFont="1" applyAlignment="1">
      <alignment horizontal="center"/>
    </xf>
    <xf numFmtId="170" fontId="24" fillId="0" borderId="0" xfId="0" applyNumberFormat="1" applyFont="1" applyAlignment="1">
      <alignment horizontal="center"/>
    </xf>
    <xf numFmtId="2" fontId="15" fillId="2" borderId="0" xfId="0" applyNumberFormat="1" applyFont="1" applyFill="1"/>
    <xf numFmtId="0" fontId="15" fillId="4" borderId="0" xfId="0" applyFont="1" applyFill="1"/>
    <xf numFmtId="0" fontId="15" fillId="4" borderId="0" xfId="0" applyFont="1" applyFill="1" applyAlignment="1">
      <alignment horizontal="center"/>
    </xf>
    <xf numFmtId="2" fontId="15" fillId="4" borderId="0" xfId="0" applyNumberFormat="1" applyFont="1" applyFill="1" applyAlignment="1">
      <alignment horizontal="center"/>
    </xf>
    <xf numFmtId="2" fontId="15" fillId="4" borderId="0" xfId="0" applyNumberFormat="1" applyFont="1" applyFill="1"/>
    <xf numFmtId="0" fontId="15" fillId="2" borderId="0" xfId="0" applyFont="1" applyFill="1" applyAlignment="1">
      <alignment horizontal="center"/>
    </xf>
    <xf numFmtId="2" fontId="15" fillId="0" borderId="0" xfId="0" applyNumberFormat="1" applyFont="1"/>
    <xf numFmtId="10" fontId="15" fillId="0" borderId="0" xfId="118" applyNumberFormat="1" applyFont="1"/>
    <xf numFmtId="10" fontId="22" fillId="0" borderId="26" xfId="118" applyNumberFormat="1" applyFont="1" applyBorder="1" applyAlignment="1">
      <alignment horizontal="center"/>
    </xf>
    <xf numFmtId="10" fontId="15" fillId="0" borderId="13" xfId="118" applyNumberFormat="1" applyFont="1" applyBorder="1" applyAlignment="1">
      <alignment horizontal="center"/>
    </xf>
    <xf numFmtId="10" fontId="15" fillId="0" borderId="14" xfId="118" applyNumberFormat="1" applyFont="1" applyBorder="1" applyAlignment="1">
      <alignment horizontal="center"/>
    </xf>
    <xf numFmtId="10" fontId="15" fillId="0" borderId="0" xfId="118" applyNumberFormat="1" applyFont="1" applyBorder="1" applyAlignment="1">
      <alignment horizontal="center"/>
    </xf>
    <xf numFmtId="10" fontId="27" fillId="0" borderId="13" xfId="118" applyNumberFormat="1" applyFont="1" applyBorder="1" applyAlignment="1">
      <alignment horizontal="center"/>
    </xf>
    <xf numFmtId="8" fontId="43" fillId="0" borderId="14" xfId="0" applyNumberFormat="1" applyFont="1" applyBorder="1" applyAlignment="1">
      <alignment horizontal="center"/>
    </xf>
    <xf numFmtId="8" fontId="43" fillId="0" borderId="0" xfId="0" applyNumberFormat="1" applyFont="1" applyAlignment="1">
      <alignment horizontal="center"/>
    </xf>
    <xf numFmtId="6" fontId="43" fillId="0" borderId="27" xfId="0" applyNumberFormat="1" applyFont="1" applyBorder="1" applyAlignment="1">
      <alignment horizontal="center"/>
    </xf>
    <xf numFmtId="2" fontId="34" fillId="0" borderId="17" xfId="118" applyNumberFormat="1" applyFont="1" applyBorder="1" applyAlignment="1">
      <alignment horizontal="center"/>
    </xf>
    <xf numFmtId="6" fontId="46" fillId="0" borderId="18" xfId="0" applyNumberFormat="1" applyFont="1" applyBorder="1" applyAlignment="1">
      <alignment horizontal="center"/>
    </xf>
    <xf numFmtId="2" fontId="22" fillId="0" borderId="0" xfId="0" applyNumberFormat="1" applyFont="1" applyAlignment="1">
      <alignment horizontal="right"/>
    </xf>
    <xf numFmtId="6" fontId="15" fillId="0" borderId="0" xfId="0" applyNumberFormat="1" applyFont="1"/>
    <xf numFmtId="174" fontId="15" fillId="0" borderId="0" xfId="0" applyNumberFormat="1" applyFont="1"/>
    <xf numFmtId="167" fontId="15" fillId="0" borderId="0" xfId="1" applyNumberFormat="1" applyFont="1"/>
    <xf numFmtId="44" fontId="15" fillId="0" borderId="0" xfId="20" applyFont="1"/>
    <xf numFmtId="2" fontId="15" fillId="0" borderId="0" xfId="1" applyNumberFormat="1" applyFont="1" applyAlignment="1">
      <alignment horizontal="center"/>
    </xf>
    <xf numFmtId="0" fontId="2" fillId="0" borderId="0" xfId="113" applyFont="1" applyAlignment="1">
      <alignment horizontal="center"/>
    </xf>
    <xf numFmtId="0" fontId="2" fillId="0" borderId="0" xfId="113" applyFont="1"/>
    <xf numFmtId="10" fontId="2" fillId="4" borderId="0" xfId="1" applyNumberFormat="1" applyFont="1" applyFill="1" applyAlignment="1">
      <alignment horizontal="center"/>
    </xf>
    <xf numFmtId="2" fontId="2" fillId="0" borderId="0" xfId="113" applyNumberFormat="1" applyFont="1" applyAlignment="1">
      <alignment horizontal="center"/>
    </xf>
    <xf numFmtId="10" fontId="2" fillId="0" borderId="0" xfId="113" applyNumberFormat="1" applyFont="1" applyAlignment="1">
      <alignment horizontal="center"/>
    </xf>
    <xf numFmtId="10" fontId="2" fillId="0" borderId="0" xfId="118" applyNumberFormat="1" applyFont="1" applyAlignment="1">
      <alignment horizontal="center"/>
    </xf>
    <xf numFmtId="2" fontId="2" fillId="0" borderId="0" xfId="113" applyNumberFormat="1" applyFont="1"/>
    <xf numFmtId="10" fontId="2" fillId="0" borderId="0" xfId="1" applyNumberFormat="1" applyFont="1"/>
    <xf numFmtId="168" fontId="2" fillId="0" borderId="0" xfId="1" applyNumberFormat="1" applyFont="1"/>
    <xf numFmtId="167" fontId="2" fillId="0" borderId="0" xfId="1" applyNumberFormat="1" applyFont="1"/>
    <xf numFmtId="1" fontId="0" fillId="0" borderId="0" xfId="1" applyNumberFormat="1" applyFont="1" applyAlignment="1">
      <alignment horizontal="center"/>
    </xf>
    <xf numFmtId="0" fontId="66" fillId="0" borderId="0" xfId="0" applyFont="1" applyAlignment="1">
      <alignment horizontal="center"/>
    </xf>
    <xf numFmtId="2" fontId="66" fillId="0" borderId="0" xfId="0" applyNumberFormat="1" applyFont="1" applyAlignment="1">
      <alignment horizontal="center"/>
    </xf>
    <xf numFmtId="0" fontId="30" fillId="0" borderId="0" xfId="0" applyFont="1" applyAlignment="1">
      <alignment horizontal="center"/>
    </xf>
    <xf numFmtId="0" fontId="66" fillId="0" borderId="0" xfId="0" applyFont="1"/>
    <xf numFmtId="2" fontId="66" fillId="0" borderId="0" xfId="0" applyNumberFormat="1" applyFont="1" applyAlignment="1">
      <alignment horizontal="right"/>
    </xf>
    <xf numFmtId="2" fontId="25" fillId="0" borderId="0" xfId="0" applyNumberFormat="1" applyFont="1" applyAlignment="1">
      <alignment horizontal="center"/>
    </xf>
    <xf numFmtId="2" fontId="25" fillId="0" borderId="0" xfId="1" applyNumberFormat="1" applyFont="1" applyAlignment="1">
      <alignment horizontal="center"/>
    </xf>
    <xf numFmtId="10" fontId="3" fillId="9" borderId="0" xfId="151" applyNumberFormat="1" applyFill="1" applyAlignment="1">
      <alignment horizontal="center"/>
    </xf>
    <xf numFmtId="0" fontId="53" fillId="9" borderId="0" xfId="0" applyFont="1" applyFill="1" applyAlignment="1">
      <alignment horizontal="left"/>
    </xf>
    <xf numFmtId="0" fontId="1" fillId="9" borderId="0" xfId="151" applyFont="1" applyFill="1" applyAlignment="1">
      <alignment horizontal="center"/>
    </xf>
    <xf numFmtId="0" fontId="67" fillId="0" borderId="0" xfId="0" applyFont="1"/>
    <xf numFmtId="0" fontId="68" fillId="13" borderId="0" xfId="151" applyFont="1" applyFill="1" applyAlignment="1">
      <alignment horizontal="center" vertical="center"/>
    </xf>
    <xf numFmtId="171" fontId="56" fillId="12" borderId="0" xfId="152" applyNumberFormat="1" applyFont="1" applyFill="1" applyAlignment="1">
      <alignment horizontal="center" vertical="center"/>
    </xf>
    <xf numFmtId="0" fontId="56" fillId="12" borderId="0" xfId="152" applyNumberFormat="1" applyFont="1" applyFill="1" applyAlignment="1">
      <alignment horizontal="center" vertical="center"/>
    </xf>
    <xf numFmtId="0" fontId="56" fillId="9" borderId="0" xfId="152" applyNumberFormat="1" applyFont="1" applyFill="1" applyAlignment="1">
      <alignment horizontal="center" vertical="center"/>
    </xf>
    <xf numFmtId="171" fontId="60" fillId="9" borderId="20" xfId="118" applyNumberFormat="1" applyFont="1" applyFill="1" applyBorder="1" applyAlignment="1">
      <alignment horizontal="center" vertical="center"/>
    </xf>
    <xf numFmtId="171" fontId="60" fillId="11" borderId="20" xfId="118" applyNumberFormat="1" applyFont="1" applyFill="1" applyBorder="1" applyAlignment="1">
      <alignment horizontal="center" vertical="center"/>
    </xf>
    <xf numFmtId="4" fontId="0" fillId="0" borderId="0" xfId="0" applyNumberFormat="1"/>
    <xf numFmtId="167" fontId="0" fillId="0" borderId="0" xfId="1" applyNumberFormat="1" applyFont="1"/>
    <xf numFmtId="2" fontId="30" fillId="0" borderId="0" xfId="0" applyNumberFormat="1" applyFont="1" applyAlignment="1">
      <alignment horizontal="right"/>
    </xf>
    <xf numFmtId="174" fontId="0" fillId="0" borderId="0" xfId="0" applyNumberFormat="1"/>
    <xf numFmtId="1" fontId="0" fillId="0" borderId="0" xfId="1" applyNumberFormat="1" applyFont="1"/>
    <xf numFmtId="10" fontId="22" fillId="0" borderId="0" xfId="1" applyNumberFormat="1" applyFont="1" applyAlignment="1">
      <alignment horizontal="center"/>
    </xf>
    <xf numFmtId="10" fontId="50" fillId="0" borderId="0" xfId="1" applyNumberFormat="1" applyFont="1"/>
    <xf numFmtId="2" fontId="50" fillId="0" borderId="0" xfId="0" applyNumberFormat="1" applyFont="1"/>
    <xf numFmtId="10" fontId="25" fillId="0" borderId="0" xfId="1" applyNumberFormat="1" applyFont="1" applyAlignment="1">
      <alignment horizontal="center"/>
    </xf>
    <xf numFmtId="0" fontId="38" fillId="0" borderId="0" xfId="0" applyFont="1" applyAlignment="1">
      <alignment horizontal="center"/>
    </xf>
    <xf numFmtId="0" fontId="22" fillId="0" borderId="0" xfId="0" applyFont="1" applyAlignment="1">
      <alignment horizontal="center"/>
    </xf>
    <xf numFmtId="10" fontId="22" fillId="0" borderId="11" xfId="118" applyNumberFormat="1" applyFont="1" applyBorder="1" applyAlignment="1">
      <alignment horizontal="center"/>
    </xf>
    <xf numFmtId="10" fontId="22" fillId="0" borderId="12" xfId="118" applyNumberFormat="1" applyFont="1" applyBorder="1" applyAlignment="1">
      <alignment horizontal="center"/>
    </xf>
    <xf numFmtId="10" fontId="22" fillId="0" borderId="13" xfId="118" applyNumberFormat="1" applyFont="1" applyBorder="1" applyAlignment="1">
      <alignment horizontal="center"/>
    </xf>
    <xf numFmtId="10" fontId="22" fillId="0" borderId="14" xfId="118" applyNumberFormat="1" applyFont="1" applyBorder="1" applyAlignment="1">
      <alignment horizontal="center"/>
    </xf>
    <xf numFmtId="0" fontId="61" fillId="0" borderId="0" xfId="0" applyFont="1" applyAlignment="1">
      <alignment horizontal="center" vertical="center" wrapText="1"/>
    </xf>
  </cellXfs>
  <cellStyles count="153">
    <cellStyle name="blp_column_header" xfId="114" xr:uid="{00000000-0005-0000-0000-000000000000}"/>
    <cellStyle name="Comma 2" xfId="128" xr:uid="{00000000-0005-0000-0000-000001000000}"/>
    <cellStyle name="Comma 2 2" xfId="146" xr:uid="{00000000-0005-0000-0000-000002000000}"/>
    <cellStyle name="Currency" xfId="20" builtinId="4"/>
    <cellStyle name="Currency 2" xfId="119" xr:uid="{00000000-0005-0000-0000-000004000000}"/>
    <cellStyle name="Currency 3" xfId="132" xr:uid="{00000000-0005-0000-0000-000005000000}"/>
    <cellStyle name="Followed Hyperlink" xfId="82" builtinId="9" hidden="1"/>
    <cellStyle name="Followed Hyperlink" xfId="86" builtinId="9" hidden="1"/>
    <cellStyle name="Followed Hyperlink" xfId="90" builtinId="9" hidden="1"/>
    <cellStyle name="Followed Hyperlink" xfId="94" builtinId="9" hidden="1"/>
    <cellStyle name="Followed Hyperlink" xfId="98" builtinId="9" hidden="1"/>
    <cellStyle name="Followed Hyperlink" xfId="102" builtinId="9" hidden="1"/>
    <cellStyle name="Followed Hyperlink" xfId="106" builtinId="9" hidden="1"/>
    <cellStyle name="Followed Hyperlink" xfId="110" builtinId="9" hidden="1"/>
    <cellStyle name="Followed Hyperlink" xfId="112" builtinId="9" hidden="1"/>
    <cellStyle name="Followed Hyperlink" xfId="108" builtinId="9" hidden="1"/>
    <cellStyle name="Followed Hyperlink" xfId="104" builtinId="9" hidden="1"/>
    <cellStyle name="Followed Hyperlink" xfId="100" builtinId="9" hidden="1"/>
    <cellStyle name="Followed Hyperlink" xfId="96" builtinId="9" hidden="1"/>
    <cellStyle name="Followed Hyperlink" xfId="92" builtinId="9" hidden="1"/>
    <cellStyle name="Followed Hyperlink" xfId="88" builtinId="9" hidden="1"/>
    <cellStyle name="Followed Hyperlink" xfId="84" builtinId="9" hidden="1"/>
    <cellStyle name="Followed Hyperlink" xfId="80" builtinId="9" hidden="1"/>
    <cellStyle name="Followed Hyperlink" xfId="28" builtinId="9" hidden="1"/>
    <cellStyle name="Followed Hyperlink" xfId="32" builtinId="9" hidden="1"/>
    <cellStyle name="Followed Hyperlink" xfId="34" builtinId="9" hidden="1"/>
    <cellStyle name="Followed Hyperlink" xfId="36" builtinId="9" hidden="1"/>
    <cellStyle name="Followed Hyperlink" xfId="40" builtinId="9" hidden="1"/>
    <cellStyle name="Followed Hyperlink" xfId="42" builtinId="9" hidden="1"/>
    <cellStyle name="Followed Hyperlink" xfId="44" builtinId="9" hidden="1"/>
    <cellStyle name="Followed Hyperlink" xfId="48" builtinId="9" hidden="1"/>
    <cellStyle name="Followed Hyperlink" xfId="50" builtinId="9" hidden="1"/>
    <cellStyle name="Followed Hyperlink" xfId="52" builtinId="9" hidden="1"/>
    <cellStyle name="Followed Hyperlink" xfId="56" builtinId="9" hidden="1"/>
    <cellStyle name="Followed Hyperlink" xfId="58" builtinId="9" hidden="1"/>
    <cellStyle name="Followed Hyperlink" xfId="60" builtinId="9" hidden="1"/>
    <cellStyle name="Followed Hyperlink" xfId="66" builtinId="9" hidden="1"/>
    <cellStyle name="Followed Hyperlink" xfId="68" builtinId="9" hidden="1"/>
    <cellStyle name="Followed Hyperlink" xfId="70" builtinId="9" hidden="1"/>
    <cellStyle name="Followed Hyperlink" xfId="74" builtinId="9" hidden="1"/>
    <cellStyle name="Followed Hyperlink" xfId="76" builtinId="9" hidden="1"/>
    <cellStyle name="Followed Hyperlink" xfId="78" builtinId="9" hidden="1"/>
    <cellStyle name="Followed Hyperlink" xfId="72" builtinId="9" hidden="1"/>
    <cellStyle name="Followed Hyperlink" xfId="64" builtinId="9" hidden="1"/>
    <cellStyle name="Followed Hyperlink" xfId="54" builtinId="9" hidden="1"/>
    <cellStyle name="Followed Hyperlink" xfId="46" builtinId="9" hidden="1"/>
    <cellStyle name="Followed Hyperlink" xfId="38" builtinId="9" hidden="1"/>
    <cellStyle name="Followed Hyperlink" xfId="30"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4" builtinId="9" hidden="1"/>
    <cellStyle name="Followed Hyperlink" xfId="26" builtinId="9" hidden="1"/>
    <cellStyle name="Followed Hyperlink" xfId="22" builtinId="9" hidden="1"/>
    <cellStyle name="Followed Hyperlink" xfId="7" builtinId="9" hidden="1"/>
    <cellStyle name="Followed Hyperlink" xfId="9" builtinId="9" hidden="1"/>
    <cellStyle name="Followed Hyperlink" xfId="11" builtinId="9" hidden="1"/>
    <cellStyle name="Followed Hyperlink" xfId="5" builtinId="9" hidden="1"/>
    <cellStyle name="Followed Hyperlink" xfId="3" builtinId="9" hidden="1"/>
    <cellStyle name="Hyperlink" xfId="69" builtinId="8" hidden="1"/>
    <cellStyle name="Hyperlink" xfId="73" builtinId="8" hidden="1"/>
    <cellStyle name="Hyperlink" xfId="75" builtinId="8" hidden="1"/>
    <cellStyle name="Hyperlink" xfId="77" builtinId="8" hidden="1"/>
    <cellStyle name="Hyperlink" xfId="81" builtinId="8" hidden="1"/>
    <cellStyle name="Hyperlink" xfId="83" builtinId="8" hidden="1"/>
    <cellStyle name="Hyperlink" xfId="85" builtinId="8" hidden="1"/>
    <cellStyle name="Hyperlink" xfId="89" builtinId="8" hidden="1"/>
    <cellStyle name="Hyperlink" xfId="91" builtinId="8" hidden="1"/>
    <cellStyle name="Hyperlink" xfId="93" builtinId="8" hidden="1"/>
    <cellStyle name="Hyperlink" xfId="97" builtinId="8" hidden="1"/>
    <cellStyle name="Hyperlink" xfId="99" builtinId="8" hidden="1"/>
    <cellStyle name="Hyperlink" xfId="101" builtinId="8" hidden="1"/>
    <cellStyle name="Hyperlink" xfId="105" builtinId="8" hidden="1"/>
    <cellStyle name="Hyperlink" xfId="107" builtinId="8" hidden="1"/>
    <cellStyle name="Hyperlink" xfId="109" builtinId="8" hidden="1"/>
    <cellStyle name="Hyperlink" xfId="111" builtinId="8" hidden="1"/>
    <cellStyle name="Hyperlink" xfId="103" builtinId="8" hidden="1"/>
    <cellStyle name="Hyperlink" xfId="95" builtinId="8" hidden="1"/>
    <cellStyle name="Hyperlink" xfId="87" builtinId="8" hidden="1"/>
    <cellStyle name="Hyperlink" xfId="79" builtinId="8" hidden="1"/>
    <cellStyle name="Hyperlink" xfId="71"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5" builtinId="8" hidden="1"/>
    <cellStyle name="Hyperlink" xfId="67" builtinId="8" hidden="1"/>
    <cellStyle name="Hyperlink" xfId="63" builtinId="8" hidden="1"/>
    <cellStyle name="Hyperlink" xfId="45" builtinId="8" hidden="1"/>
    <cellStyle name="Hyperlink" xfId="29" builtinId="8" hidden="1"/>
    <cellStyle name="Hyperlink" xfId="14" builtinId="8" hidden="1"/>
    <cellStyle name="Hyperlink" xfId="16" builtinId="8" hidden="1"/>
    <cellStyle name="Hyperlink" xfId="18" builtinId="8" hidden="1"/>
    <cellStyle name="Hyperlink" xfId="21" builtinId="8" hidden="1"/>
    <cellStyle name="Hyperlink" xfId="23" builtinId="8" hidden="1"/>
    <cellStyle name="Hyperlink" xfId="25" builtinId="8" hidden="1"/>
    <cellStyle name="Hyperlink" xfId="27" builtinId="8" hidden="1"/>
    <cellStyle name="Hyperlink" xfId="8" builtinId="8" hidden="1"/>
    <cellStyle name="Hyperlink" xfId="10" builtinId="8" hidden="1"/>
    <cellStyle name="Hyperlink" xfId="12" builtinId="8" hidden="1"/>
    <cellStyle name="Hyperlink" xfId="4" builtinId="8" hidden="1"/>
    <cellStyle name="Hyperlink" xfId="6" builtinId="8" hidden="1"/>
    <cellStyle name="Hyperlink" xfId="2" builtinId="8" hidden="1"/>
    <cellStyle name="Normal" xfId="0" builtinId="0"/>
    <cellStyle name="Normal 10" xfId="126" xr:uid="{00000000-0005-0000-0000-000073000000}"/>
    <cellStyle name="Normal 10 2" xfId="144" xr:uid="{00000000-0005-0000-0000-000074000000}"/>
    <cellStyle name="Normal 11" xfId="127" xr:uid="{00000000-0005-0000-0000-000075000000}"/>
    <cellStyle name="Normal 11 2" xfId="145" xr:uid="{00000000-0005-0000-0000-000076000000}"/>
    <cellStyle name="Normal 12" xfId="130" xr:uid="{00000000-0005-0000-0000-000077000000}"/>
    <cellStyle name="Normal 13" xfId="129" xr:uid="{00000000-0005-0000-0000-000078000000}"/>
    <cellStyle name="Normal 14" xfId="147" xr:uid="{00000000-0005-0000-0000-000079000000}"/>
    <cellStyle name="Normal 15" xfId="148" xr:uid="{00000000-0005-0000-0000-00007A000000}"/>
    <cellStyle name="Normal 16" xfId="149" xr:uid="{00000000-0005-0000-0000-00007B000000}"/>
    <cellStyle name="Normal 17" xfId="150" xr:uid="{00000000-0005-0000-0000-00007C000000}"/>
    <cellStyle name="Normal 18" xfId="151" xr:uid="{00000000-0005-0000-0000-00007D000000}"/>
    <cellStyle name="Normal 2" xfId="61" xr:uid="{00000000-0005-0000-0000-00007E000000}"/>
    <cellStyle name="Normal 2 2" xfId="120" xr:uid="{00000000-0005-0000-0000-00007F000000}"/>
    <cellStyle name="Normal 2 2 2" xfId="138" xr:uid="{00000000-0005-0000-0000-000080000000}"/>
    <cellStyle name="Normal 2 3" xfId="133" xr:uid="{00000000-0005-0000-0000-000081000000}"/>
    <cellStyle name="Normal 3" xfId="62" xr:uid="{00000000-0005-0000-0000-000082000000}"/>
    <cellStyle name="Normal 3 2" xfId="121" xr:uid="{00000000-0005-0000-0000-000083000000}"/>
    <cellStyle name="Normal 3 2 2" xfId="139" xr:uid="{00000000-0005-0000-0000-000084000000}"/>
    <cellStyle name="Normal 3 3" xfId="134" xr:uid="{00000000-0005-0000-0000-000085000000}"/>
    <cellStyle name="Normal 4" xfId="113" xr:uid="{00000000-0005-0000-0000-000086000000}"/>
    <cellStyle name="Normal 4 2" xfId="122" xr:uid="{00000000-0005-0000-0000-000087000000}"/>
    <cellStyle name="Normal 4 2 2" xfId="140" xr:uid="{00000000-0005-0000-0000-000088000000}"/>
    <cellStyle name="Normal 4 3" xfId="135" xr:uid="{00000000-0005-0000-0000-000089000000}"/>
    <cellStyle name="Normal 5" xfId="115" xr:uid="{00000000-0005-0000-0000-00008A000000}"/>
    <cellStyle name="Normal 5 2" xfId="123" xr:uid="{00000000-0005-0000-0000-00008B000000}"/>
    <cellStyle name="Normal 5 2 2" xfId="141" xr:uid="{00000000-0005-0000-0000-00008C000000}"/>
    <cellStyle name="Normal 5 3" xfId="136" xr:uid="{00000000-0005-0000-0000-00008D000000}"/>
    <cellStyle name="Normal 6" xfId="117" xr:uid="{00000000-0005-0000-0000-00008E000000}"/>
    <cellStyle name="Normal 7" xfId="116" xr:uid="{00000000-0005-0000-0000-00008F000000}"/>
    <cellStyle name="Normal 7 2" xfId="137" xr:uid="{00000000-0005-0000-0000-000090000000}"/>
    <cellStyle name="Normal 8" xfId="124" xr:uid="{00000000-0005-0000-0000-000091000000}"/>
    <cellStyle name="Normal 8 2" xfId="142" xr:uid="{00000000-0005-0000-0000-000092000000}"/>
    <cellStyle name="Normal 9" xfId="125" xr:uid="{00000000-0005-0000-0000-000093000000}"/>
    <cellStyle name="Normal 9 2" xfId="143" xr:uid="{00000000-0005-0000-0000-000094000000}"/>
    <cellStyle name="Percent" xfId="1" builtinId="5"/>
    <cellStyle name="Percent 2" xfId="118" xr:uid="{00000000-0005-0000-0000-000096000000}"/>
    <cellStyle name="Percent 3" xfId="131" xr:uid="{00000000-0005-0000-0000-000097000000}"/>
    <cellStyle name="Percent 4" xfId="152" xr:uid="{00000000-0005-0000-0000-000098000000}"/>
  </cellStyles>
  <dxfs count="0"/>
  <tableStyles count="0" defaultTableStyle="TableStyleMedium9" defaultPivotStyle="PivotStyleLight16"/>
  <colors>
    <mruColors>
      <color rgb="FF203764"/>
      <color rgb="FFD9E1F2"/>
      <color rgb="FFD9E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e">
        <v>#N/A</v>
        <stp/>
        <stp>BDP|15068641657619417565</stp>
        <tr r="K219" s="12"/>
      </tp>
      <tp t="e">
        <v>#N/A</v>
        <stp/>
        <stp>BDP|11059367600889039340</stp>
        <tr r="M79" s="41"/>
      </tp>
      <tp t="e">
        <v>#N/A</v>
        <stp/>
        <stp>BDP|12286900746257138103</stp>
        <tr r="K272" s="2"/>
      </tp>
      <tp t="e">
        <v>#N/A</v>
        <stp/>
        <stp>BDP|17905829909447277625</stp>
        <tr r="K333" s="36"/>
      </tp>
      <tp t="e">
        <v>#N/A</v>
        <stp/>
        <stp>BDP|18298148883846627872</stp>
        <tr r="K332" s="1"/>
      </tp>
      <tp t="e">
        <v>#N/A</v>
        <stp/>
        <stp>BDP|17490603526025434465</stp>
        <tr r="K261" s="6"/>
      </tp>
      <tp t="e">
        <v>#N/A</v>
        <stp/>
        <stp>BDP|17263000750505197498</stp>
        <tr r="M66" s="40"/>
      </tp>
      <tp t="e">
        <v>#N/A</v>
        <stp/>
        <stp>BDP|11308369853001071572</stp>
        <tr r="E169" s="17"/>
      </tp>
      <tp t="e">
        <v>#N/A</v>
        <stp/>
        <stp>BDP|16067868603309473475</stp>
        <tr r="K270" s="2"/>
      </tp>
      <tp t="e">
        <v>#N/A</v>
        <stp/>
        <stp>BDP|10677257215863919122</stp>
        <tr r="K333" s="35"/>
      </tp>
      <tp t="e">
        <v>#N/A</v>
        <stp/>
        <stp>BDP|15881128409816188332</stp>
        <tr r="E168" s="28"/>
      </tp>
      <tp t="e">
        <v>#N/A</v>
        <stp/>
        <stp>BDP|15248473302147204764</stp>
        <tr r="E172" s="17"/>
      </tp>
      <tp t="e">
        <v>#N/A</v>
        <stp/>
        <stp>BDP|16899401507954157078</stp>
        <tr r="C7" s="24"/>
        <tr r="C19" s="24"/>
      </tp>
      <tp t="e">
        <v>#N/A</v>
        <stp/>
        <stp>BDP|6263787653149944186</stp>
        <tr r="K271" s="2"/>
      </tp>
      <tp t="e">
        <v>#N/A</v>
        <stp/>
        <stp>BDP|8234534602477753685</stp>
        <tr r="K331" s="1"/>
      </tp>
      <tp t="e">
        <v>#N/A</v>
        <stp/>
        <stp>BDP|4274159864876898871</stp>
        <tr r="K334" s="36"/>
      </tp>
      <tp t="e">
        <v>#N/A</v>
        <stp/>
        <stp>BDP|3952502782466378770</stp>
        <tr r="K333" s="1"/>
      </tp>
      <tp t="e">
        <v>#N/A</v>
        <stp/>
        <stp>BDP|5018233861859420017</stp>
        <tr r="K259" s="6"/>
      </tp>
      <tp t="e">
        <v>#N/A</v>
        <stp/>
        <stp>BDP|2961106730543397820</stp>
        <tr r="E171" s="17"/>
      </tp>
      <tp t="e">
        <v>#N/A</v>
        <stp/>
        <stp>BDP|4602460814532536887</stp>
        <tr r="C23" s="24"/>
        <tr r="C11" s="24"/>
      </tp>
      <tp t="e">
        <v>#N/A</v>
        <stp/>
        <stp>BDP|2619291026248767104</stp>
        <tr r="Q66" s="39"/>
      </tp>
      <tp t="e">
        <v>#N/A</v>
        <stp/>
        <stp>BDP|7308748112360265530</stp>
        <tr r="K260" s="6"/>
      </tp>
      <tp t="e">
        <v>#N/A</v>
        <stp/>
        <stp>BDP|9582489123828035117</stp>
        <tr r="E170" s="28"/>
      </tp>
      <tp t="e">
        <v>#N/A</v>
        <stp/>
        <stp>BDP|2670571120312425025</stp>
        <tr r="E169" s="28"/>
      </tp>
      <tp t="e">
        <v>#N/A</v>
        <stp/>
        <stp>BDP|4278661882264203900</stp>
        <tr r="K330" s="1"/>
      </tp>
      <tp t="e">
        <v>#N/A</v>
        <stp/>
        <stp>BDP|1370630128545344346</stp>
        <tr r="E168" s="17"/>
      </tp>
    </main>
  </volType>
</volTypes>
</file>

<file path=xl/_rels/workbook.xml.rels><?xml version="1.0" encoding="UTF-8" standalone="yes"?>
<Relationships xmlns="http://schemas.openxmlformats.org/package/2006/relationships"><Relationship Id="rId13" Type="http://schemas.openxmlformats.org/officeDocument/2006/relationships/worksheet" Target="worksheets/sheet9.xml"/><Relationship Id="rId18" Type="http://schemas.openxmlformats.org/officeDocument/2006/relationships/worksheet" Target="worksheets/sheet14.xml"/><Relationship Id="rId26" Type="http://schemas.openxmlformats.org/officeDocument/2006/relationships/worksheet" Target="worksheets/sheet22.xml"/><Relationship Id="rId39" Type="http://schemas.openxmlformats.org/officeDocument/2006/relationships/volatileDependencies" Target="volatileDependencies.xml"/><Relationship Id="rId21" Type="http://schemas.openxmlformats.org/officeDocument/2006/relationships/worksheet" Target="worksheets/sheet17.xml"/><Relationship Id="rId34" Type="http://schemas.openxmlformats.org/officeDocument/2006/relationships/theme" Target="theme/theme1.xml"/><Relationship Id="rId7" Type="http://schemas.openxmlformats.org/officeDocument/2006/relationships/worksheet" Target="worksheets/sheet3.xml"/><Relationship Id="rId12" Type="http://schemas.openxmlformats.org/officeDocument/2006/relationships/worksheet" Target="worksheets/sheet8.xml"/><Relationship Id="rId17" Type="http://schemas.openxmlformats.org/officeDocument/2006/relationships/worksheet" Target="worksheets/sheet13.xml"/><Relationship Id="rId25" Type="http://schemas.openxmlformats.org/officeDocument/2006/relationships/worksheet" Target="worksheets/sheet21.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worksheet" Target="worksheets/sheet16.xml"/><Relationship Id="rId29" Type="http://schemas.openxmlformats.org/officeDocument/2006/relationships/worksheet" Target="worksheets/sheet25.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worksheet" Target="worksheets/sheet7.xml"/><Relationship Id="rId24" Type="http://schemas.openxmlformats.org/officeDocument/2006/relationships/worksheet" Target="worksheets/sheet20.xml"/><Relationship Id="rId32" Type="http://schemas.openxmlformats.org/officeDocument/2006/relationships/worksheet" Target="worksheets/sheet28.xml"/><Relationship Id="rId37" Type="http://schemas.openxmlformats.org/officeDocument/2006/relationships/sheetMetadata" Target="metadata.xml"/><Relationship Id="rId5" Type="http://schemas.openxmlformats.org/officeDocument/2006/relationships/chartsheet" Target="chartsheets/sheet3.xml"/><Relationship Id="rId15" Type="http://schemas.openxmlformats.org/officeDocument/2006/relationships/worksheet" Target="worksheets/sheet11.xml"/><Relationship Id="rId23" Type="http://schemas.openxmlformats.org/officeDocument/2006/relationships/worksheet" Target="worksheets/sheet19.xml"/><Relationship Id="rId28" Type="http://schemas.openxmlformats.org/officeDocument/2006/relationships/worksheet" Target="worksheets/sheet24.xml"/><Relationship Id="rId36" Type="http://schemas.openxmlformats.org/officeDocument/2006/relationships/sharedStrings" Target="sharedStrings.xml"/><Relationship Id="rId10" Type="http://schemas.openxmlformats.org/officeDocument/2006/relationships/worksheet" Target="worksheets/sheet6.xml"/><Relationship Id="rId19" Type="http://schemas.openxmlformats.org/officeDocument/2006/relationships/worksheet" Target="worksheets/sheet15.xml"/><Relationship Id="rId31" Type="http://schemas.openxmlformats.org/officeDocument/2006/relationships/worksheet" Target="worksheets/sheet27.xml"/><Relationship Id="rId4" Type="http://schemas.openxmlformats.org/officeDocument/2006/relationships/chartsheet" Target="chartsheets/sheet2.xml"/><Relationship Id="rId9" Type="http://schemas.openxmlformats.org/officeDocument/2006/relationships/worksheet" Target="worksheets/sheet5.xml"/><Relationship Id="rId14" Type="http://schemas.openxmlformats.org/officeDocument/2006/relationships/worksheet" Target="worksheets/sheet10.xml"/><Relationship Id="rId22" Type="http://schemas.openxmlformats.org/officeDocument/2006/relationships/worksheet" Target="worksheets/sheet18.xml"/><Relationship Id="rId27" Type="http://schemas.openxmlformats.org/officeDocument/2006/relationships/worksheet" Target="worksheets/sheet23.xml"/><Relationship Id="rId30" Type="http://schemas.openxmlformats.org/officeDocument/2006/relationships/worksheet" Target="worksheets/sheet26.xml"/><Relationship Id="rId35" Type="http://schemas.openxmlformats.org/officeDocument/2006/relationships/styles" Target="styles.xml"/><Relationship Id="rId8" Type="http://schemas.openxmlformats.org/officeDocument/2006/relationships/worksheet" Target="worksheets/sheet4.xml"/><Relationship Id="rId3" Type="http://schemas.openxmlformats.org/officeDocument/2006/relationships/chartsheet" Target="chartsheets/sheet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2400"/>
              <a:t>Risk / Return Chart</a:t>
            </a:r>
          </a:p>
          <a:p>
            <a:pPr>
              <a:defRPr/>
            </a:pPr>
            <a:r>
              <a:rPr lang="en-US" sz="1400"/>
              <a:t>Trailing</a:t>
            </a:r>
            <a:r>
              <a:rPr lang="en-US" sz="1400" baseline="0"/>
              <a:t> Five Years Ending </a:t>
            </a:r>
            <a:r>
              <a:rPr lang="en-US" sz="1200" baseline="0"/>
              <a:t>3/31/2018</a:t>
            </a:r>
            <a:endParaRPr lang="en-US" sz="1200"/>
          </a:p>
        </c:rich>
      </c:tx>
      <c:overlay val="0"/>
    </c:title>
    <c:autoTitleDeleted val="0"/>
    <c:plotArea>
      <c:layout>
        <c:manualLayout>
          <c:layoutTarget val="inner"/>
          <c:xMode val="edge"/>
          <c:yMode val="edge"/>
          <c:x val="0.10803057310144"/>
          <c:y val="0.13752429327674601"/>
          <c:w val="0.85772778402699701"/>
          <c:h val="0.76955937441267797"/>
        </c:manualLayout>
      </c:layout>
      <c:scatterChart>
        <c:scatterStyle val="smoothMarker"/>
        <c:varyColors val="0"/>
        <c:ser>
          <c:idx val="7"/>
          <c:order val="0"/>
          <c:tx>
            <c:strRef>
              <c:f>'Chart Data'!$A$2</c:f>
              <c:strCache>
                <c:ptCount val="1"/>
                <c:pt idx="0">
                  <c:v>SGI U.S. Low Vol</c:v>
                </c:pt>
              </c:strCache>
            </c:strRef>
          </c:tx>
          <c:spPr>
            <a:ln>
              <a:noFill/>
            </a:ln>
          </c:spPr>
          <c:marker>
            <c:symbol val="diamond"/>
            <c:size val="10"/>
            <c:spPr>
              <a:solidFill>
                <a:srgbClr val="00B050"/>
              </a:solidFill>
              <a:ln>
                <a:noFill/>
              </a:ln>
            </c:spPr>
          </c:marker>
          <c:dLbls>
            <c:dLbl>
              <c:idx val="0"/>
              <c:layout>
                <c:manualLayout>
                  <c:x val="-0.1245164048921939"/>
                  <c:y val="-1.3319503195174913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2380-4A1D-B512-5B1F7C3ED510}"/>
                </c:ext>
              </c:extLst>
            </c:dLbl>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Data'!$E$2</c:f>
              <c:numCache>
                <c:formatCode>0.00</c:formatCode>
                <c:ptCount val="1"/>
                <c:pt idx="0">
                  <c:v>0.77960299887097195</c:v>
                </c:pt>
              </c:numCache>
            </c:numRef>
          </c:xVal>
          <c:yVal>
            <c:numRef>
              <c:f>'Chart Data'!$C$2</c:f>
              <c:numCache>
                <c:formatCode>0.00%</c:formatCode>
                <c:ptCount val="1"/>
                <c:pt idx="0">
                  <c:v>9.084744023186575E-2</c:v>
                </c:pt>
              </c:numCache>
            </c:numRef>
          </c:yVal>
          <c:smooth val="1"/>
          <c:extLst>
            <c:ext xmlns:c16="http://schemas.microsoft.com/office/drawing/2014/chart" uri="{C3380CC4-5D6E-409C-BE32-E72D297353CC}">
              <c16:uniqueId val="{00000000-8394-46F4-9D20-0B234A1C71D6}"/>
            </c:ext>
          </c:extLst>
        </c:ser>
        <c:ser>
          <c:idx val="8"/>
          <c:order val="1"/>
          <c:tx>
            <c:strRef>
              <c:f>'Chart Data'!$A$3</c:f>
              <c:strCache>
                <c:ptCount val="1"/>
                <c:pt idx="0">
                  <c:v>SGI Global Low Vol</c:v>
                </c:pt>
              </c:strCache>
            </c:strRef>
          </c:tx>
          <c:spPr>
            <a:ln>
              <a:noFill/>
            </a:ln>
          </c:spPr>
          <c:marker>
            <c:symbol val="diamond"/>
            <c:size val="10"/>
            <c:spPr>
              <a:solidFill>
                <a:srgbClr val="7030A0"/>
              </a:solidFill>
              <a:ln>
                <a:noFill/>
              </a:ln>
            </c:spPr>
          </c:marker>
          <c:dLbls>
            <c:dLbl>
              <c:idx val="0"/>
              <c:layout>
                <c:manualLayout>
                  <c:x val="-0.14366151569494329"/>
                  <c:y val="-7.2674940393269404E-3"/>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2380-4A1D-B512-5B1F7C3ED510}"/>
                </c:ext>
              </c:extLst>
            </c:dLbl>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Data'!$E$3</c:f>
              <c:numCache>
                <c:formatCode>0.00</c:formatCode>
                <c:ptCount val="1"/>
                <c:pt idx="0">
                  <c:v>0.76146475324368612</c:v>
                </c:pt>
              </c:numCache>
            </c:numRef>
          </c:xVal>
          <c:yVal>
            <c:numRef>
              <c:f>'Chart Data'!$C$3</c:f>
              <c:numCache>
                <c:formatCode>0.00%</c:formatCode>
                <c:ptCount val="1"/>
                <c:pt idx="0">
                  <c:v>7.7968754742904656E-2</c:v>
                </c:pt>
              </c:numCache>
            </c:numRef>
          </c:yVal>
          <c:smooth val="1"/>
          <c:extLst>
            <c:ext xmlns:c16="http://schemas.microsoft.com/office/drawing/2014/chart" uri="{C3380CC4-5D6E-409C-BE32-E72D297353CC}">
              <c16:uniqueId val="{00000001-8394-46F4-9D20-0B234A1C71D6}"/>
            </c:ext>
          </c:extLst>
        </c:ser>
        <c:ser>
          <c:idx val="9"/>
          <c:order val="2"/>
          <c:tx>
            <c:strRef>
              <c:f>'Chart Data'!$A$4</c:f>
              <c:strCache>
                <c:ptCount val="1"/>
                <c:pt idx="0">
                  <c:v>Tbill</c:v>
                </c:pt>
              </c:strCache>
            </c:strRef>
          </c:tx>
          <c:spPr>
            <a:ln>
              <a:noFill/>
            </a:ln>
          </c:spPr>
          <c:marker>
            <c:symbol val="circle"/>
            <c:size val="8"/>
            <c:spPr>
              <a:solidFill>
                <a:schemeClr val="tx1"/>
              </a:solidFill>
              <a:ln>
                <a:noFill/>
              </a:ln>
            </c:spPr>
          </c:marker>
          <c:dLbls>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Data'!$E$4</c:f>
              <c:numCache>
                <c:formatCode>0.00</c:formatCode>
                <c:ptCount val="1"/>
                <c:pt idx="0">
                  <c:v>0</c:v>
                </c:pt>
              </c:numCache>
            </c:numRef>
          </c:xVal>
          <c:yVal>
            <c:numRef>
              <c:f>'Chart Data'!$C$4</c:f>
              <c:numCache>
                <c:formatCode>0.00%</c:formatCode>
                <c:ptCount val="1"/>
                <c:pt idx="0">
                  <c:v>0</c:v>
                </c:pt>
              </c:numCache>
            </c:numRef>
          </c:yVal>
          <c:smooth val="1"/>
          <c:extLst>
            <c:ext xmlns:c16="http://schemas.microsoft.com/office/drawing/2014/chart" uri="{C3380CC4-5D6E-409C-BE32-E72D297353CC}">
              <c16:uniqueId val="{00000002-8394-46F4-9D20-0B234A1C71D6}"/>
            </c:ext>
          </c:extLst>
        </c:ser>
        <c:ser>
          <c:idx val="10"/>
          <c:order val="3"/>
          <c:tx>
            <c:strRef>
              <c:f>'Chart Data'!$A$5</c:f>
              <c:strCache>
                <c:ptCount val="1"/>
                <c:pt idx="0">
                  <c:v>S&amp;P 500</c:v>
                </c:pt>
              </c:strCache>
            </c:strRef>
          </c:tx>
          <c:spPr>
            <a:ln>
              <a:noFill/>
            </a:ln>
          </c:spPr>
          <c:marker>
            <c:symbol val="circle"/>
            <c:size val="8"/>
            <c:spPr>
              <a:solidFill>
                <a:srgbClr val="00B050"/>
              </a:solidFill>
              <a:ln>
                <a:noFill/>
              </a:ln>
            </c:spPr>
          </c:marker>
          <c:dLbls>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Data'!$E$5</c:f>
              <c:numCache>
                <c:formatCode>0.00</c:formatCode>
                <c:ptCount val="1"/>
                <c:pt idx="0">
                  <c:v>1</c:v>
                </c:pt>
              </c:numCache>
            </c:numRef>
          </c:xVal>
          <c:yVal>
            <c:numRef>
              <c:f>'Chart Data'!$C$5</c:f>
              <c:numCache>
                <c:formatCode>0.00%</c:formatCode>
                <c:ptCount val="1"/>
                <c:pt idx="0">
                  <c:v>0.14400235643986581</c:v>
                </c:pt>
              </c:numCache>
            </c:numRef>
          </c:yVal>
          <c:smooth val="1"/>
          <c:extLst>
            <c:ext xmlns:c16="http://schemas.microsoft.com/office/drawing/2014/chart" uri="{C3380CC4-5D6E-409C-BE32-E72D297353CC}">
              <c16:uniqueId val="{00000003-8394-46F4-9D20-0B234A1C71D6}"/>
            </c:ext>
          </c:extLst>
        </c:ser>
        <c:ser>
          <c:idx val="11"/>
          <c:order val="4"/>
          <c:tx>
            <c:strRef>
              <c:f>'Chart Data'!$A$6</c:f>
              <c:strCache>
                <c:ptCount val="1"/>
                <c:pt idx="0">
                  <c:v>ACWI</c:v>
                </c:pt>
              </c:strCache>
            </c:strRef>
          </c:tx>
          <c:spPr>
            <a:ln>
              <a:noFill/>
            </a:ln>
          </c:spPr>
          <c:marker>
            <c:symbol val="circle"/>
            <c:size val="8"/>
            <c:spPr>
              <a:solidFill>
                <a:srgbClr val="7030A0"/>
              </a:solidFill>
              <a:ln>
                <a:noFill/>
              </a:ln>
            </c:spPr>
          </c:marker>
          <c:dLbls>
            <c:dLbl>
              <c:idx val="0"/>
              <c:layout>
                <c:manualLayout>
                  <c:x val="-5.454459539823988E-2"/>
                  <c:y val="2.0975215354630188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2380-4A1D-B512-5B1F7C3ED510}"/>
                </c:ext>
              </c:extLst>
            </c:dLbl>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Data'!$E$6</c:f>
              <c:numCache>
                <c:formatCode>0.00</c:formatCode>
                <c:ptCount val="1"/>
                <c:pt idx="0">
                  <c:v>1</c:v>
                </c:pt>
              </c:numCache>
            </c:numRef>
          </c:xVal>
          <c:yVal>
            <c:numRef>
              <c:f>'Chart Data'!$C$6</c:f>
              <c:numCache>
                <c:formatCode>0.00%</c:formatCode>
                <c:ptCount val="1"/>
                <c:pt idx="0">
                  <c:v>0.11708135953882426</c:v>
                </c:pt>
              </c:numCache>
            </c:numRef>
          </c:yVal>
          <c:smooth val="1"/>
          <c:extLst>
            <c:ext xmlns:c16="http://schemas.microsoft.com/office/drawing/2014/chart" uri="{C3380CC4-5D6E-409C-BE32-E72D297353CC}">
              <c16:uniqueId val="{00000004-8394-46F4-9D20-0B234A1C71D6}"/>
            </c:ext>
          </c:extLst>
        </c:ser>
        <c:ser>
          <c:idx val="13"/>
          <c:order val="5"/>
          <c:tx>
            <c:strRef>
              <c:f>'Chart Data'!$A$7</c:f>
              <c:strCache>
                <c:ptCount val="1"/>
                <c:pt idx="0">
                  <c:v>Russell 2000</c:v>
                </c:pt>
              </c:strCache>
            </c:strRef>
          </c:tx>
          <c:spPr>
            <a:ln>
              <a:noFill/>
            </a:ln>
          </c:spPr>
          <c:marker>
            <c:symbol val="circle"/>
            <c:size val="8"/>
            <c:spPr>
              <a:solidFill>
                <a:srgbClr val="FF0000"/>
              </a:solidFill>
              <a:ln>
                <a:noFill/>
              </a:ln>
            </c:spPr>
          </c:marker>
          <c:dLbls>
            <c:dLbl>
              <c:idx val="0"/>
              <c:layout>
                <c:manualLayout>
                  <c:x val="-4.4648413909467678E-4"/>
                  <c:y val="-8.8711970429343184E-3"/>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2380-4A1D-B512-5B1F7C3ED510}"/>
                </c:ext>
              </c:extLst>
            </c:dLbl>
            <c:spPr>
              <a:noFill/>
            </c:spPr>
            <c:txPr>
              <a:bodyPr/>
              <a:lstStyle/>
              <a:p>
                <a:pPr>
                  <a:defRPr sz="1000"/>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Data'!$E$7</c:f>
              <c:numCache>
                <c:formatCode>0.00</c:formatCode>
                <c:ptCount val="1"/>
                <c:pt idx="0">
                  <c:v>1</c:v>
                </c:pt>
              </c:numCache>
            </c:numRef>
          </c:xVal>
          <c:yVal>
            <c:numRef>
              <c:f>'Chart Data'!$C$7</c:f>
              <c:numCache>
                <c:formatCode>0.00%</c:formatCode>
                <c:ptCount val="1"/>
                <c:pt idx="0">
                  <c:v>7.375628675682866E-2</c:v>
                </c:pt>
              </c:numCache>
            </c:numRef>
          </c:yVal>
          <c:smooth val="1"/>
          <c:extLst>
            <c:ext xmlns:c16="http://schemas.microsoft.com/office/drawing/2014/chart" uri="{C3380CC4-5D6E-409C-BE32-E72D297353CC}">
              <c16:uniqueId val="{00000005-8394-46F4-9D20-0B234A1C71D6}"/>
            </c:ext>
          </c:extLst>
        </c:ser>
        <c:ser>
          <c:idx val="14"/>
          <c:order val="6"/>
          <c:tx>
            <c:strRef>
              <c:f>'Chart Data'!$A$8</c:f>
              <c:strCache>
                <c:ptCount val="1"/>
                <c:pt idx="0">
                  <c:v>SGI Small-Cap Low Vol</c:v>
                </c:pt>
              </c:strCache>
            </c:strRef>
          </c:tx>
          <c:spPr>
            <a:ln>
              <a:noFill/>
            </a:ln>
          </c:spPr>
          <c:marker>
            <c:symbol val="diamond"/>
            <c:size val="10"/>
            <c:spPr>
              <a:solidFill>
                <a:srgbClr val="FF0000"/>
              </a:solidFill>
              <a:ln>
                <a:noFill/>
              </a:ln>
            </c:spPr>
          </c:marker>
          <c:dLbls>
            <c:dLbl>
              <c:idx val="0"/>
              <c:layout>
                <c:manualLayout>
                  <c:x val="-0.16282126343255715"/>
                  <c:y val="-1.1302166809892255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380-4A1D-B512-5B1F7C3ED510}"/>
                </c:ext>
              </c:extLst>
            </c:dLbl>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Data'!$E$8</c:f>
              <c:numCache>
                <c:formatCode>0.00</c:formatCode>
                <c:ptCount val="1"/>
                <c:pt idx="0">
                  <c:v>0.6580836210498423</c:v>
                </c:pt>
              </c:numCache>
            </c:numRef>
          </c:xVal>
          <c:yVal>
            <c:numRef>
              <c:f>'Chart Data'!$C$8</c:f>
              <c:numCache>
                <c:formatCode>0.00%</c:formatCode>
                <c:ptCount val="1"/>
                <c:pt idx="0">
                  <c:v>1.5306950300881583E-2</c:v>
                </c:pt>
              </c:numCache>
            </c:numRef>
          </c:yVal>
          <c:smooth val="1"/>
          <c:extLst>
            <c:ext xmlns:c16="http://schemas.microsoft.com/office/drawing/2014/chart" uri="{C3380CC4-5D6E-409C-BE32-E72D297353CC}">
              <c16:uniqueId val="{00000006-8394-46F4-9D20-0B234A1C71D6}"/>
            </c:ext>
          </c:extLst>
        </c:ser>
        <c:ser>
          <c:idx val="0"/>
          <c:order val="7"/>
          <c:tx>
            <c:strRef>
              <c:f>'Chart Data'!$A$9</c:f>
              <c:strCache>
                <c:ptCount val="1"/>
                <c:pt idx="0">
                  <c:v>ACWIxUS</c:v>
                </c:pt>
              </c:strCache>
            </c:strRef>
          </c:tx>
          <c:spPr>
            <a:ln w="28575">
              <a:noFill/>
            </a:ln>
          </c:spPr>
          <c:marker>
            <c:symbol val="circle"/>
            <c:size val="8"/>
            <c:spPr>
              <a:solidFill>
                <a:srgbClr val="FFC000"/>
              </a:solidFill>
            </c:spPr>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Data'!$E$9</c:f>
              <c:numCache>
                <c:formatCode>0.00</c:formatCode>
                <c:ptCount val="1"/>
                <c:pt idx="0">
                  <c:v>1</c:v>
                </c:pt>
              </c:numCache>
            </c:numRef>
          </c:xVal>
          <c:yVal>
            <c:numRef>
              <c:f>'Chart Data'!$C$9</c:f>
              <c:numCache>
                <c:formatCode>0.00%</c:formatCode>
                <c:ptCount val="1"/>
                <c:pt idx="0">
                  <c:v>9.5274797724053992E-2</c:v>
                </c:pt>
              </c:numCache>
            </c:numRef>
          </c:yVal>
          <c:smooth val="1"/>
          <c:extLst>
            <c:ext xmlns:c16="http://schemas.microsoft.com/office/drawing/2014/chart" uri="{C3380CC4-5D6E-409C-BE32-E72D297353CC}">
              <c16:uniqueId val="{00000007-8394-46F4-9D20-0B234A1C71D6}"/>
            </c:ext>
          </c:extLst>
        </c:ser>
        <c:ser>
          <c:idx val="1"/>
          <c:order val="8"/>
          <c:tx>
            <c:strRef>
              <c:f>'Chart Data'!$A$10</c:f>
              <c:strCache>
                <c:ptCount val="1"/>
                <c:pt idx="0">
                  <c:v>SGI Intl Low Vol</c:v>
                </c:pt>
              </c:strCache>
            </c:strRef>
          </c:tx>
          <c:spPr>
            <a:ln w="28575">
              <a:noFill/>
            </a:ln>
          </c:spPr>
          <c:marker>
            <c:symbol val="diamond"/>
            <c:size val="10"/>
            <c:spPr>
              <a:solidFill>
                <a:srgbClr val="FFC000"/>
              </a:solidFill>
            </c:spPr>
          </c:marker>
          <c:dLbls>
            <c:spPr>
              <a:noFill/>
              <a:ln>
                <a:noFill/>
              </a:ln>
              <a:effectLst/>
            </c:sp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Data'!$E$10</c:f>
              <c:numCache>
                <c:formatCode>0.00</c:formatCode>
                <c:ptCount val="1"/>
                <c:pt idx="0">
                  <c:v>0.72703382287571405</c:v>
                </c:pt>
              </c:numCache>
            </c:numRef>
          </c:xVal>
          <c:yVal>
            <c:numRef>
              <c:f>'Chart Data'!$C$10</c:f>
              <c:numCache>
                <c:formatCode>0.00%</c:formatCode>
                <c:ptCount val="1"/>
                <c:pt idx="0">
                  <c:v>3.1715373705755834E-2</c:v>
                </c:pt>
              </c:numCache>
            </c:numRef>
          </c:yVal>
          <c:smooth val="1"/>
          <c:extLst>
            <c:ext xmlns:c16="http://schemas.microsoft.com/office/drawing/2014/chart" uri="{C3380CC4-5D6E-409C-BE32-E72D297353CC}">
              <c16:uniqueId val="{00000008-8394-46F4-9D20-0B234A1C71D6}"/>
            </c:ext>
          </c:extLst>
        </c:ser>
        <c:dLbls>
          <c:showLegendKey val="0"/>
          <c:showVal val="0"/>
          <c:showCatName val="0"/>
          <c:showSerName val="0"/>
          <c:showPercent val="0"/>
          <c:showBubbleSize val="0"/>
        </c:dLbls>
        <c:axId val="1857304288"/>
        <c:axId val="1568200656"/>
      </c:scatterChart>
      <c:valAx>
        <c:axId val="1857304288"/>
        <c:scaling>
          <c:orientation val="minMax"/>
          <c:min val="0"/>
        </c:scaling>
        <c:delete val="0"/>
        <c:axPos val="b"/>
        <c:majorGridlines/>
        <c:title>
          <c:tx>
            <c:rich>
              <a:bodyPr/>
              <a:lstStyle/>
              <a:p>
                <a:pPr>
                  <a:defRPr sz="1600"/>
                </a:pPr>
                <a:r>
                  <a:rPr lang="en-US" sz="1600" b="0"/>
                  <a:t>Benchmark</a:t>
                </a:r>
                <a:r>
                  <a:rPr lang="en-US" sz="1600" b="0" baseline="0"/>
                  <a:t> </a:t>
                </a:r>
                <a:r>
                  <a:rPr lang="en-US" sz="1600" b="0"/>
                  <a:t>Beta</a:t>
                </a:r>
              </a:p>
            </c:rich>
          </c:tx>
          <c:overlay val="0"/>
        </c:title>
        <c:numFmt formatCode="0.00" sourceLinked="1"/>
        <c:majorTickMark val="out"/>
        <c:minorTickMark val="none"/>
        <c:tickLblPos val="low"/>
        <c:crossAx val="1568200656"/>
        <c:crosses val="autoZero"/>
        <c:crossBetween val="midCat"/>
      </c:valAx>
      <c:valAx>
        <c:axId val="1568200656"/>
        <c:scaling>
          <c:orientation val="minMax"/>
        </c:scaling>
        <c:delete val="0"/>
        <c:axPos val="l"/>
        <c:majorGridlines/>
        <c:title>
          <c:tx>
            <c:rich>
              <a:bodyPr rot="-5400000" vert="horz"/>
              <a:lstStyle/>
              <a:p>
                <a:pPr>
                  <a:defRPr/>
                </a:pPr>
                <a:r>
                  <a:rPr lang="en-US" sz="1600" b="0"/>
                  <a:t>Total</a:t>
                </a:r>
                <a:r>
                  <a:rPr lang="en-US" sz="1600" b="0" baseline="0"/>
                  <a:t> Return</a:t>
                </a:r>
                <a:endParaRPr lang="en-US" sz="1600" b="0"/>
              </a:p>
            </c:rich>
          </c:tx>
          <c:overlay val="0"/>
        </c:title>
        <c:numFmt formatCode="0%" sourceLinked="0"/>
        <c:majorTickMark val="out"/>
        <c:minorTickMark val="none"/>
        <c:tickLblPos val="nextTo"/>
        <c:crossAx val="1857304288"/>
        <c:crosses val="autoZero"/>
        <c:crossBetween val="midCat"/>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2400"/>
              <a:t>Risk / Return Chart</a:t>
            </a:r>
          </a:p>
          <a:p>
            <a:pPr>
              <a:defRPr/>
            </a:pPr>
            <a:r>
              <a:rPr lang="en-US" sz="1400"/>
              <a:t>Trailing</a:t>
            </a:r>
            <a:r>
              <a:rPr lang="en-US" sz="1400" baseline="0"/>
              <a:t> Five Years Ending </a:t>
            </a:r>
            <a:r>
              <a:rPr lang="en-US" sz="1200" baseline="0"/>
              <a:t>3/31/2018</a:t>
            </a:r>
            <a:endParaRPr lang="en-US" sz="1200"/>
          </a:p>
        </c:rich>
      </c:tx>
      <c:overlay val="0"/>
    </c:title>
    <c:autoTitleDeleted val="0"/>
    <c:plotArea>
      <c:layout>
        <c:manualLayout>
          <c:layoutTarget val="inner"/>
          <c:xMode val="edge"/>
          <c:yMode val="edge"/>
          <c:x val="0.10949429966300474"/>
          <c:y val="0.13752436291087347"/>
          <c:w val="0.85772778402699701"/>
          <c:h val="0.76955937441267797"/>
        </c:manualLayout>
      </c:layout>
      <c:scatterChart>
        <c:scatterStyle val="smoothMarker"/>
        <c:varyColors val="0"/>
        <c:ser>
          <c:idx val="7"/>
          <c:order val="0"/>
          <c:tx>
            <c:strRef>
              <c:f>'Chart Data'!$A$2</c:f>
              <c:strCache>
                <c:ptCount val="1"/>
                <c:pt idx="0">
                  <c:v>SGI U.S. Low Vol</c:v>
                </c:pt>
              </c:strCache>
            </c:strRef>
          </c:tx>
          <c:spPr>
            <a:ln>
              <a:noFill/>
            </a:ln>
          </c:spPr>
          <c:marker>
            <c:symbol val="diamond"/>
            <c:size val="10"/>
            <c:spPr>
              <a:solidFill>
                <a:srgbClr val="00B050"/>
              </a:solidFill>
              <a:ln>
                <a:noFill/>
              </a:ln>
            </c:spPr>
          </c:marker>
          <c:dLbls>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Data'!$D$2</c:f>
              <c:numCache>
                <c:formatCode>0.00%</c:formatCode>
                <c:ptCount val="1"/>
                <c:pt idx="0">
                  <c:v>0.13297041827958145</c:v>
                </c:pt>
              </c:numCache>
            </c:numRef>
          </c:xVal>
          <c:yVal>
            <c:numRef>
              <c:f>'Chart Data'!$C$2</c:f>
              <c:numCache>
                <c:formatCode>0.00%</c:formatCode>
                <c:ptCount val="1"/>
                <c:pt idx="0">
                  <c:v>9.084744023186575E-2</c:v>
                </c:pt>
              </c:numCache>
            </c:numRef>
          </c:yVal>
          <c:smooth val="1"/>
          <c:extLst>
            <c:ext xmlns:c16="http://schemas.microsoft.com/office/drawing/2014/chart" uri="{C3380CC4-5D6E-409C-BE32-E72D297353CC}">
              <c16:uniqueId val="{00000000-B23E-4811-B9C6-89DB6C84EF85}"/>
            </c:ext>
          </c:extLst>
        </c:ser>
        <c:ser>
          <c:idx val="8"/>
          <c:order val="1"/>
          <c:tx>
            <c:strRef>
              <c:f>'Chart Data'!$A$3</c:f>
              <c:strCache>
                <c:ptCount val="1"/>
                <c:pt idx="0">
                  <c:v>SGI Global Low Vol</c:v>
                </c:pt>
              </c:strCache>
            </c:strRef>
          </c:tx>
          <c:spPr>
            <a:ln>
              <a:noFill/>
            </a:ln>
          </c:spPr>
          <c:marker>
            <c:symbol val="diamond"/>
            <c:size val="10"/>
            <c:spPr>
              <a:solidFill>
                <a:srgbClr val="7030A0"/>
              </a:solidFill>
              <a:ln>
                <a:noFill/>
              </a:ln>
            </c:spPr>
          </c:marker>
          <c:dLbls>
            <c:spPr>
              <a:noFill/>
              <a:ln>
                <a:noFill/>
              </a:ln>
              <a:effectLst/>
            </c:spPr>
            <c:txPr>
              <a:bodyPr/>
              <a:lstStyle/>
              <a:p>
                <a:pPr>
                  <a:defRPr sz="1000"/>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Data'!$D$3</c:f>
              <c:numCache>
                <c:formatCode>0.00%</c:formatCode>
                <c:ptCount val="1"/>
                <c:pt idx="0">
                  <c:v>0.11679647448083409</c:v>
                </c:pt>
              </c:numCache>
            </c:numRef>
          </c:xVal>
          <c:yVal>
            <c:numRef>
              <c:f>'Chart Data'!$C$3</c:f>
              <c:numCache>
                <c:formatCode>0.00%</c:formatCode>
                <c:ptCount val="1"/>
                <c:pt idx="0">
                  <c:v>7.7968754742904656E-2</c:v>
                </c:pt>
              </c:numCache>
            </c:numRef>
          </c:yVal>
          <c:smooth val="1"/>
          <c:extLst>
            <c:ext xmlns:c16="http://schemas.microsoft.com/office/drawing/2014/chart" uri="{C3380CC4-5D6E-409C-BE32-E72D297353CC}">
              <c16:uniqueId val="{00000001-B23E-4811-B9C6-89DB6C84EF85}"/>
            </c:ext>
          </c:extLst>
        </c:ser>
        <c:ser>
          <c:idx val="9"/>
          <c:order val="2"/>
          <c:tx>
            <c:strRef>
              <c:f>'Chart Data'!$A$4</c:f>
              <c:strCache>
                <c:ptCount val="1"/>
                <c:pt idx="0">
                  <c:v>Tbill</c:v>
                </c:pt>
              </c:strCache>
            </c:strRef>
          </c:tx>
          <c:spPr>
            <a:ln>
              <a:noFill/>
            </a:ln>
          </c:spPr>
          <c:marker>
            <c:symbol val="circle"/>
            <c:size val="8"/>
            <c:spPr>
              <a:solidFill>
                <a:schemeClr val="tx1"/>
              </a:solidFill>
              <a:ln>
                <a:noFill/>
              </a:ln>
            </c:spPr>
          </c:marker>
          <c:dLbls>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Data'!$D$4</c:f>
              <c:numCache>
                <c:formatCode>0.00%</c:formatCode>
                <c:ptCount val="1"/>
                <c:pt idx="0">
                  <c:v>0</c:v>
                </c:pt>
              </c:numCache>
            </c:numRef>
          </c:xVal>
          <c:yVal>
            <c:numRef>
              <c:f>'Chart Data'!$C$4</c:f>
              <c:numCache>
                <c:formatCode>0.00%</c:formatCode>
                <c:ptCount val="1"/>
                <c:pt idx="0">
                  <c:v>0</c:v>
                </c:pt>
              </c:numCache>
            </c:numRef>
          </c:yVal>
          <c:smooth val="1"/>
          <c:extLst>
            <c:ext xmlns:c16="http://schemas.microsoft.com/office/drawing/2014/chart" uri="{C3380CC4-5D6E-409C-BE32-E72D297353CC}">
              <c16:uniqueId val="{00000002-B23E-4811-B9C6-89DB6C84EF85}"/>
            </c:ext>
          </c:extLst>
        </c:ser>
        <c:ser>
          <c:idx val="10"/>
          <c:order val="3"/>
          <c:tx>
            <c:strRef>
              <c:f>'Chart Data'!$A$5</c:f>
              <c:strCache>
                <c:ptCount val="1"/>
                <c:pt idx="0">
                  <c:v>S&amp;P 500</c:v>
                </c:pt>
              </c:strCache>
            </c:strRef>
          </c:tx>
          <c:spPr>
            <a:ln>
              <a:noFill/>
            </a:ln>
          </c:spPr>
          <c:marker>
            <c:symbol val="circle"/>
            <c:size val="8"/>
            <c:spPr>
              <a:solidFill>
                <a:srgbClr val="00B050"/>
              </a:solidFill>
              <a:ln>
                <a:noFill/>
              </a:ln>
            </c:spPr>
          </c:marker>
          <c:dLbls>
            <c:spPr>
              <a:noFill/>
              <a:ln>
                <a:noFill/>
              </a:ln>
              <a:effectLst/>
            </c:spPr>
            <c:txPr>
              <a:bodyPr/>
              <a:lstStyle/>
              <a:p>
                <a:pPr>
                  <a:defRPr sz="10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Data'!$D$5</c:f>
              <c:numCache>
                <c:formatCode>0.00%</c:formatCode>
                <c:ptCount val="1"/>
                <c:pt idx="0">
                  <c:v>0.14982539708393594</c:v>
                </c:pt>
              </c:numCache>
            </c:numRef>
          </c:xVal>
          <c:yVal>
            <c:numRef>
              <c:f>'Chart Data'!$C$5</c:f>
              <c:numCache>
                <c:formatCode>0.00%</c:formatCode>
                <c:ptCount val="1"/>
                <c:pt idx="0">
                  <c:v>0.14400235643986581</c:v>
                </c:pt>
              </c:numCache>
            </c:numRef>
          </c:yVal>
          <c:smooth val="1"/>
          <c:extLst>
            <c:ext xmlns:c16="http://schemas.microsoft.com/office/drawing/2014/chart" uri="{C3380CC4-5D6E-409C-BE32-E72D297353CC}">
              <c16:uniqueId val="{00000003-B23E-4811-B9C6-89DB6C84EF85}"/>
            </c:ext>
          </c:extLst>
        </c:ser>
        <c:ser>
          <c:idx val="11"/>
          <c:order val="4"/>
          <c:tx>
            <c:strRef>
              <c:f>'Chart Data'!$A$6</c:f>
              <c:strCache>
                <c:ptCount val="1"/>
                <c:pt idx="0">
                  <c:v>ACWI</c:v>
                </c:pt>
              </c:strCache>
            </c:strRef>
          </c:tx>
          <c:spPr>
            <a:ln>
              <a:noFill/>
            </a:ln>
          </c:spPr>
          <c:marker>
            <c:symbol val="circle"/>
            <c:size val="8"/>
            <c:spPr>
              <a:solidFill>
                <a:srgbClr val="7030A0"/>
              </a:solidFill>
              <a:ln>
                <a:noFill/>
              </a:ln>
            </c:spPr>
          </c:marker>
          <c:dLbls>
            <c:spPr>
              <a:noFill/>
              <a:ln>
                <a:noFill/>
              </a:ln>
              <a:effectLst/>
            </c:spPr>
            <c:txPr>
              <a:bodyPr/>
              <a:lstStyle/>
              <a:p>
                <a:pPr>
                  <a:defRPr sz="10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Data'!$D$6</c:f>
              <c:numCache>
                <c:formatCode>0.00%</c:formatCode>
                <c:ptCount val="1"/>
                <c:pt idx="0">
                  <c:v>0.13847691822532401</c:v>
                </c:pt>
              </c:numCache>
            </c:numRef>
          </c:xVal>
          <c:yVal>
            <c:numRef>
              <c:f>'Chart Data'!$C$6</c:f>
              <c:numCache>
                <c:formatCode>0.00%</c:formatCode>
                <c:ptCount val="1"/>
                <c:pt idx="0">
                  <c:v>0.11708135953882426</c:v>
                </c:pt>
              </c:numCache>
            </c:numRef>
          </c:yVal>
          <c:smooth val="1"/>
          <c:extLst>
            <c:ext xmlns:c16="http://schemas.microsoft.com/office/drawing/2014/chart" uri="{C3380CC4-5D6E-409C-BE32-E72D297353CC}">
              <c16:uniqueId val="{00000004-B23E-4811-B9C6-89DB6C84EF85}"/>
            </c:ext>
          </c:extLst>
        </c:ser>
        <c:ser>
          <c:idx val="13"/>
          <c:order val="5"/>
          <c:tx>
            <c:strRef>
              <c:f>'Chart Data'!$A$7</c:f>
              <c:strCache>
                <c:ptCount val="1"/>
                <c:pt idx="0">
                  <c:v>Russell 2000</c:v>
                </c:pt>
              </c:strCache>
            </c:strRef>
          </c:tx>
          <c:spPr>
            <a:ln>
              <a:noFill/>
            </a:ln>
          </c:spPr>
          <c:marker>
            <c:symbol val="circle"/>
            <c:size val="8"/>
            <c:spPr>
              <a:solidFill>
                <a:srgbClr val="FF0000"/>
              </a:solidFill>
              <a:ln>
                <a:noFill/>
              </a:ln>
            </c:spPr>
          </c:marker>
          <c:dLbls>
            <c:spPr>
              <a:noFill/>
              <a:ln>
                <a:noFill/>
              </a:ln>
              <a:effectLst/>
            </c:spPr>
            <c:txPr>
              <a:bodyPr/>
              <a:lstStyle/>
              <a:p>
                <a:pPr>
                  <a:defRPr sz="1000"/>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Data'!$D$7</c:f>
              <c:numCache>
                <c:formatCode>0.00%</c:formatCode>
                <c:ptCount val="1"/>
                <c:pt idx="0">
                  <c:v>0.24479389245208621</c:v>
                </c:pt>
              </c:numCache>
            </c:numRef>
          </c:xVal>
          <c:yVal>
            <c:numRef>
              <c:f>'Chart Data'!$C$7</c:f>
              <c:numCache>
                <c:formatCode>0.00%</c:formatCode>
                <c:ptCount val="1"/>
                <c:pt idx="0">
                  <c:v>7.375628675682866E-2</c:v>
                </c:pt>
              </c:numCache>
            </c:numRef>
          </c:yVal>
          <c:smooth val="1"/>
          <c:extLst>
            <c:ext xmlns:c16="http://schemas.microsoft.com/office/drawing/2014/chart" uri="{C3380CC4-5D6E-409C-BE32-E72D297353CC}">
              <c16:uniqueId val="{00000005-B23E-4811-B9C6-89DB6C84EF85}"/>
            </c:ext>
          </c:extLst>
        </c:ser>
        <c:ser>
          <c:idx val="14"/>
          <c:order val="6"/>
          <c:tx>
            <c:strRef>
              <c:f>'Chart Data'!$A$8</c:f>
              <c:strCache>
                <c:ptCount val="1"/>
                <c:pt idx="0">
                  <c:v>SGI Small-Cap Low Vol</c:v>
                </c:pt>
              </c:strCache>
            </c:strRef>
          </c:tx>
          <c:spPr>
            <a:ln>
              <a:noFill/>
            </a:ln>
          </c:spPr>
          <c:marker>
            <c:symbol val="diamond"/>
            <c:size val="10"/>
            <c:spPr>
              <a:solidFill>
                <a:srgbClr val="FF0000"/>
              </a:solidFill>
              <a:ln>
                <a:noFill/>
              </a:ln>
            </c:spPr>
          </c:marker>
          <c:dLbls>
            <c:spPr>
              <a:noFill/>
              <a:ln>
                <a:noFill/>
              </a:ln>
              <a:effectLst/>
            </c:spPr>
            <c:txPr>
              <a:bodyPr/>
              <a:lstStyle/>
              <a:p>
                <a:pPr>
                  <a:defRPr sz="10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Data'!$D$8</c:f>
              <c:numCache>
                <c:formatCode>0.00%</c:formatCode>
                <c:ptCount val="1"/>
                <c:pt idx="0">
                  <c:v>0.18696049406804791</c:v>
                </c:pt>
              </c:numCache>
            </c:numRef>
          </c:xVal>
          <c:yVal>
            <c:numRef>
              <c:f>'Chart Data'!$C$8</c:f>
              <c:numCache>
                <c:formatCode>0.00%</c:formatCode>
                <c:ptCount val="1"/>
                <c:pt idx="0">
                  <c:v>1.5306950300881583E-2</c:v>
                </c:pt>
              </c:numCache>
            </c:numRef>
          </c:yVal>
          <c:smooth val="1"/>
          <c:extLst>
            <c:ext xmlns:c16="http://schemas.microsoft.com/office/drawing/2014/chart" uri="{C3380CC4-5D6E-409C-BE32-E72D297353CC}">
              <c16:uniqueId val="{00000006-B23E-4811-B9C6-89DB6C84EF85}"/>
            </c:ext>
          </c:extLst>
        </c:ser>
        <c:ser>
          <c:idx val="0"/>
          <c:order val="7"/>
          <c:tx>
            <c:strRef>
              <c:f>'Chart Data'!$A$9</c:f>
              <c:strCache>
                <c:ptCount val="1"/>
                <c:pt idx="0">
                  <c:v>ACWIxUS</c:v>
                </c:pt>
              </c:strCache>
            </c:strRef>
          </c:tx>
          <c:spPr>
            <a:ln w="28575">
              <a:noFill/>
            </a:ln>
          </c:spPr>
          <c:marker>
            <c:symbol val="circle"/>
            <c:size val="8"/>
            <c:spPr>
              <a:solidFill>
                <a:srgbClr val="FFC000"/>
              </a:solidFill>
            </c:spPr>
          </c:marker>
          <c:dLbls>
            <c:spPr>
              <a:noFill/>
              <a:ln>
                <a:noFill/>
              </a:ln>
              <a:effectLst/>
            </c:sp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Data'!$D$9</c:f>
              <c:numCache>
                <c:formatCode>0.00%</c:formatCode>
                <c:ptCount val="1"/>
                <c:pt idx="0">
                  <c:v>0.14742943818831405</c:v>
                </c:pt>
              </c:numCache>
            </c:numRef>
          </c:xVal>
          <c:yVal>
            <c:numRef>
              <c:f>'Chart Data'!$C$9</c:f>
              <c:numCache>
                <c:formatCode>0.00%</c:formatCode>
                <c:ptCount val="1"/>
                <c:pt idx="0">
                  <c:v>9.5274797724053992E-2</c:v>
                </c:pt>
              </c:numCache>
            </c:numRef>
          </c:yVal>
          <c:smooth val="1"/>
          <c:extLst>
            <c:ext xmlns:c16="http://schemas.microsoft.com/office/drawing/2014/chart" uri="{C3380CC4-5D6E-409C-BE32-E72D297353CC}">
              <c16:uniqueId val="{00000007-B23E-4811-B9C6-89DB6C84EF85}"/>
            </c:ext>
          </c:extLst>
        </c:ser>
        <c:ser>
          <c:idx val="1"/>
          <c:order val="8"/>
          <c:tx>
            <c:strRef>
              <c:f>'Chart Data'!$A$10</c:f>
              <c:strCache>
                <c:ptCount val="1"/>
                <c:pt idx="0">
                  <c:v>SGI Intl Low Vol</c:v>
                </c:pt>
              </c:strCache>
            </c:strRef>
          </c:tx>
          <c:spPr>
            <a:ln w="28575">
              <a:noFill/>
            </a:ln>
          </c:spPr>
          <c:marker>
            <c:symbol val="diamond"/>
            <c:size val="10"/>
            <c:spPr>
              <a:solidFill>
                <a:srgbClr val="FFC000"/>
              </a:solidFill>
            </c:spPr>
          </c:marker>
          <c:dLbls>
            <c:spPr>
              <a:noFill/>
              <a:ln>
                <a:noFill/>
              </a:ln>
              <a:effectLst/>
            </c:sp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Data'!$D$10</c:f>
              <c:numCache>
                <c:formatCode>0.00%</c:formatCode>
                <c:ptCount val="1"/>
                <c:pt idx="0">
                  <c:v>0.11343077876065183</c:v>
                </c:pt>
              </c:numCache>
            </c:numRef>
          </c:xVal>
          <c:yVal>
            <c:numRef>
              <c:f>'Chart Data'!$C$10</c:f>
              <c:numCache>
                <c:formatCode>0.00%</c:formatCode>
                <c:ptCount val="1"/>
                <c:pt idx="0">
                  <c:v>3.1715373705755834E-2</c:v>
                </c:pt>
              </c:numCache>
            </c:numRef>
          </c:yVal>
          <c:smooth val="1"/>
          <c:extLst>
            <c:ext xmlns:c16="http://schemas.microsoft.com/office/drawing/2014/chart" uri="{C3380CC4-5D6E-409C-BE32-E72D297353CC}">
              <c16:uniqueId val="{00000008-B23E-4811-B9C6-89DB6C84EF85}"/>
            </c:ext>
          </c:extLst>
        </c:ser>
        <c:dLbls>
          <c:showLegendKey val="0"/>
          <c:showVal val="0"/>
          <c:showCatName val="0"/>
          <c:showSerName val="0"/>
          <c:showPercent val="0"/>
          <c:showBubbleSize val="0"/>
        </c:dLbls>
        <c:axId val="1569862656"/>
        <c:axId val="1569863936"/>
      </c:scatterChart>
      <c:valAx>
        <c:axId val="1569862656"/>
        <c:scaling>
          <c:orientation val="minMax"/>
        </c:scaling>
        <c:delete val="0"/>
        <c:axPos val="b"/>
        <c:majorGridlines/>
        <c:title>
          <c:tx>
            <c:rich>
              <a:bodyPr/>
              <a:lstStyle/>
              <a:p>
                <a:pPr>
                  <a:defRPr sz="1600"/>
                </a:pPr>
                <a:r>
                  <a:rPr lang="en-US" sz="1600" b="0"/>
                  <a:t>Standard</a:t>
                </a:r>
                <a:r>
                  <a:rPr lang="en-US" sz="1600" b="0" baseline="0"/>
                  <a:t> Deviation</a:t>
                </a:r>
                <a:endParaRPr lang="en-US" sz="1600" b="0"/>
              </a:p>
            </c:rich>
          </c:tx>
          <c:overlay val="0"/>
        </c:title>
        <c:numFmt formatCode="0%" sourceLinked="0"/>
        <c:majorTickMark val="out"/>
        <c:minorTickMark val="none"/>
        <c:tickLblPos val="low"/>
        <c:crossAx val="1569863936"/>
        <c:crosses val="autoZero"/>
        <c:crossBetween val="midCat"/>
      </c:valAx>
      <c:valAx>
        <c:axId val="1569863936"/>
        <c:scaling>
          <c:orientation val="minMax"/>
        </c:scaling>
        <c:delete val="0"/>
        <c:axPos val="l"/>
        <c:majorGridlines/>
        <c:title>
          <c:tx>
            <c:rich>
              <a:bodyPr rot="-5400000" vert="horz"/>
              <a:lstStyle/>
              <a:p>
                <a:pPr>
                  <a:defRPr/>
                </a:pPr>
                <a:r>
                  <a:rPr lang="en-US" sz="1600" b="0"/>
                  <a:t>Total</a:t>
                </a:r>
                <a:r>
                  <a:rPr lang="en-US" sz="1600" b="0" baseline="0"/>
                  <a:t> Return</a:t>
                </a:r>
                <a:endParaRPr lang="en-US" sz="1600" b="0"/>
              </a:p>
            </c:rich>
          </c:tx>
          <c:overlay val="0"/>
        </c:title>
        <c:numFmt formatCode="0%" sourceLinked="0"/>
        <c:majorTickMark val="out"/>
        <c:minorTickMark val="none"/>
        <c:tickLblPos val="nextTo"/>
        <c:crossAx val="1569862656"/>
        <c:crosses val="autoZero"/>
        <c:crossBetween val="midCat"/>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2400"/>
              <a:t>Risk / Return Chart</a:t>
            </a:r>
          </a:p>
          <a:p>
            <a:pPr>
              <a:defRPr/>
            </a:pPr>
            <a:r>
              <a:rPr lang="en-US" sz="1400"/>
              <a:t>Trailing</a:t>
            </a:r>
            <a:r>
              <a:rPr lang="en-US" sz="1400" baseline="0"/>
              <a:t> Five Years Ending </a:t>
            </a:r>
            <a:r>
              <a:rPr lang="en-US" sz="1200" baseline="0"/>
              <a:t>3/31/2018</a:t>
            </a:r>
            <a:endParaRPr lang="en-US" sz="1200"/>
          </a:p>
        </c:rich>
      </c:tx>
      <c:overlay val="0"/>
    </c:title>
    <c:autoTitleDeleted val="0"/>
    <c:plotArea>
      <c:layout>
        <c:manualLayout>
          <c:layoutTarget val="inner"/>
          <c:xMode val="edge"/>
          <c:yMode val="edge"/>
          <c:x val="0.10803057310144"/>
          <c:y val="0.13752429327674601"/>
          <c:w val="0.85772778402699701"/>
          <c:h val="0.76955937441267797"/>
        </c:manualLayout>
      </c:layout>
      <c:scatterChart>
        <c:scatterStyle val="smoothMarker"/>
        <c:varyColors val="0"/>
        <c:ser>
          <c:idx val="7"/>
          <c:order val="0"/>
          <c:tx>
            <c:strRef>
              <c:f>'Chart Data'!$A$2</c:f>
              <c:strCache>
                <c:ptCount val="1"/>
                <c:pt idx="0">
                  <c:v>SGI U.S. Low Vol</c:v>
                </c:pt>
              </c:strCache>
            </c:strRef>
          </c:tx>
          <c:spPr>
            <a:ln>
              <a:noFill/>
            </a:ln>
          </c:spPr>
          <c:marker>
            <c:symbol val="diamond"/>
            <c:size val="10"/>
            <c:spPr>
              <a:solidFill>
                <a:srgbClr val="00B050"/>
              </a:solidFill>
              <a:ln>
                <a:noFill/>
              </a:ln>
            </c:spPr>
          </c:marker>
          <c:dLbls>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Data'!$B$2</c:f>
              <c:numCache>
                <c:formatCode>0.00</c:formatCode>
                <c:ptCount val="1"/>
                <c:pt idx="0">
                  <c:v>0.77960299887097195</c:v>
                </c:pt>
              </c:numCache>
            </c:numRef>
          </c:xVal>
          <c:yVal>
            <c:numRef>
              <c:f>'Chart Data'!$C$2</c:f>
              <c:numCache>
                <c:formatCode>0.00%</c:formatCode>
                <c:ptCount val="1"/>
                <c:pt idx="0">
                  <c:v>9.084744023186575E-2</c:v>
                </c:pt>
              </c:numCache>
            </c:numRef>
          </c:yVal>
          <c:smooth val="1"/>
          <c:extLst>
            <c:ext xmlns:c16="http://schemas.microsoft.com/office/drawing/2014/chart" uri="{C3380CC4-5D6E-409C-BE32-E72D297353CC}">
              <c16:uniqueId val="{00000000-D66A-48ED-AFB5-4B86617F3C9E}"/>
            </c:ext>
          </c:extLst>
        </c:ser>
        <c:ser>
          <c:idx val="8"/>
          <c:order val="1"/>
          <c:tx>
            <c:strRef>
              <c:f>'Chart Data'!$A$3</c:f>
              <c:strCache>
                <c:ptCount val="1"/>
                <c:pt idx="0">
                  <c:v>SGI Global Low Vol</c:v>
                </c:pt>
              </c:strCache>
            </c:strRef>
          </c:tx>
          <c:spPr>
            <a:ln>
              <a:noFill/>
            </a:ln>
          </c:spPr>
          <c:marker>
            <c:symbol val="diamond"/>
            <c:size val="10"/>
            <c:spPr>
              <a:solidFill>
                <a:srgbClr val="7030A0"/>
              </a:solidFill>
              <a:ln>
                <a:noFill/>
              </a:ln>
            </c:spPr>
          </c:marker>
          <c:dLbls>
            <c:dLbl>
              <c:idx val="0"/>
              <c:layout>
                <c:manualLayout>
                  <c:x val="-0.14219782220849456"/>
                  <c:y val="1.69405425840649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A92-4AE6-97CB-BF0B6C2022DA}"/>
                </c:ext>
              </c:extLst>
            </c:dLbl>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Data'!$B$3</c:f>
              <c:numCache>
                <c:formatCode>0.00</c:formatCode>
                <c:ptCount val="1"/>
                <c:pt idx="0">
                  <c:v>0.6875333218227726</c:v>
                </c:pt>
              </c:numCache>
            </c:numRef>
          </c:xVal>
          <c:yVal>
            <c:numRef>
              <c:f>'Chart Data'!$C$3</c:f>
              <c:numCache>
                <c:formatCode>0.00%</c:formatCode>
                <c:ptCount val="1"/>
                <c:pt idx="0">
                  <c:v>7.7968754742904656E-2</c:v>
                </c:pt>
              </c:numCache>
            </c:numRef>
          </c:yVal>
          <c:smooth val="1"/>
          <c:extLst>
            <c:ext xmlns:c16="http://schemas.microsoft.com/office/drawing/2014/chart" uri="{C3380CC4-5D6E-409C-BE32-E72D297353CC}">
              <c16:uniqueId val="{00000001-D66A-48ED-AFB5-4B86617F3C9E}"/>
            </c:ext>
          </c:extLst>
        </c:ser>
        <c:ser>
          <c:idx val="9"/>
          <c:order val="2"/>
          <c:tx>
            <c:strRef>
              <c:f>'Chart Data'!$A$4</c:f>
              <c:strCache>
                <c:ptCount val="1"/>
                <c:pt idx="0">
                  <c:v>Tbill</c:v>
                </c:pt>
              </c:strCache>
            </c:strRef>
          </c:tx>
          <c:spPr>
            <a:ln>
              <a:noFill/>
            </a:ln>
          </c:spPr>
          <c:marker>
            <c:symbol val="circle"/>
            <c:size val="8"/>
            <c:spPr>
              <a:solidFill>
                <a:schemeClr val="tx1"/>
              </a:solidFill>
              <a:ln>
                <a:noFill/>
              </a:ln>
            </c:spPr>
          </c:marker>
          <c:dLbls>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Data'!$B$4</c:f>
              <c:numCache>
                <c:formatCode>0.00</c:formatCode>
                <c:ptCount val="1"/>
                <c:pt idx="0">
                  <c:v>0</c:v>
                </c:pt>
              </c:numCache>
            </c:numRef>
          </c:xVal>
          <c:yVal>
            <c:numRef>
              <c:f>'Chart Data'!$C$4</c:f>
              <c:numCache>
                <c:formatCode>0.00%</c:formatCode>
                <c:ptCount val="1"/>
                <c:pt idx="0">
                  <c:v>0</c:v>
                </c:pt>
              </c:numCache>
            </c:numRef>
          </c:yVal>
          <c:smooth val="1"/>
          <c:extLst>
            <c:ext xmlns:c16="http://schemas.microsoft.com/office/drawing/2014/chart" uri="{C3380CC4-5D6E-409C-BE32-E72D297353CC}">
              <c16:uniqueId val="{00000002-D66A-48ED-AFB5-4B86617F3C9E}"/>
            </c:ext>
          </c:extLst>
        </c:ser>
        <c:ser>
          <c:idx val="10"/>
          <c:order val="3"/>
          <c:tx>
            <c:strRef>
              <c:f>'Chart Data'!$A$5</c:f>
              <c:strCache>
                <c:ptCount val="1"/>
                <c:pt idx="0">
                  <c:v>S&amp;P 500</c:v>
                </c:pt>
              </c:strCache>
            </c:strRef>
          </c:tx>
          <c:spPr>
            <a:ln>
              <a:noFill/>
            </a:ln>
          </c:spPr>
          <c:marker>
            <c:symbol val="circle"/>
            <c:size val="8"/>
            <c:spPr>
              <a:solidFill>
                <a:srgbClr val="00B050"/>
              </a:solidFill>
              <a:ln>
                <a:noFill/>
              </a:ln>
            </c:spPr>
          </c:marker>
          <c:dLbls>
            <c:dLbl>
              <c:idx val="0"/>
              <c:layout>
                <c:manualLayout>
                  <c:x val="-1.5003434493378724E-3"/>
                  <c:y val="-4.8365242723690041E-3"/>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A92-4AE6-97CB-BF0B6C2022DA}"/>
                </c:ext>
              </c:extLst>
            </c:dLbl>
            <c:spPr>
              <a:noFill/>
              <a:ln>
                <a:noFill/>
              </a:ln>
              <a:effectLst/>
            </c:spPr>
            <c:txPr>
              <a:bodyPr/>
              <a:lstStyle/>
              <a:p>
                <a:pPr>
                  <a:defRPr sz="1000"/>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Data'!$B$5</c:f>
              <c:numCache>
                <c:formatCode>0.00</c:formatCode>
                <c:ptCount val="1"/>
                <c:pt idx="0">
                  <c:v>1</c:v>
                </c:pt>
              </c:numCache>
            </c:numRef>
          </c:xVal>
          <c:yVal>
            <c:numRef>
              <c:f>'Chart Data'!$C$5</c:f>
              <c:numCache>
                <c:formatCode>0.00%</c:formatCode>
                <c:ptCount val="1"/>
                <c:pt idx="0">
                  <c:v>0.14400235643986581</c:v>
                </c:pt>
              </c:numCache>
            </c:numRef>
          </c:yVal>
          <c:smooth val="1"/>
          <c:extLst>
            <c:ext xmlns:c16="http://schemas.microsoft.com/office/drawing/2014/chart" uri="{C3380CC4-5D6E-409C-BE32-E72D297353CC}">
              <c16:uniqueId val="{00000003-D66A-48ED-AFB5-4B86617F3C9E}"/>
            </c:ext>
          </c:extLst>
        </c:ser>
        <c:ser>
          <c:idx val="11"/>
          <c:order val="4"/>
          <c:tx>
            <c:strRef>
              <c:f>'Chart Data'!$A$6</c:f>
              <c:strCache>
                <c:ptCount val="1"/>
                <c:pt idx="0">
                  <c:v>ACWI</c:v>
                </c:pt>
              </c:strCache>
            </c:strRef>
          </c:tx>
          <c:spPr>
            <a:ln>
              <a:noFill/>
            </a:ln>
          </c:spPr>
          <c:marker>
            <c:symbol val="circle"/>
            <c:size val="8"/>
            <c:spPr>
              <a:solidFill>
                <a:srgbClr val="7030A0"/>
              </a:solidFill>
              <a:ln>
                <a:noFill/>
              </a:ln>
            </c:spPr>
          </c:marker>
          <c:dLbls>
            <c:spPr>
              <a:noFill/>
              <a:ln>
                <a:noFill/>
              </a:ln>
              <a:effectLst/>
            </c:spPr>
            <c:txPr>
              <a:bodyPr/>
              <a:lstStyle/>
              <a:p>
                <a:pPr>
                  <a:defRPr sz="1000"/>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Data'!$B$6</c:f>
              <c:numCache>
                <c:formatCode>0.00</c:formatCode>
                <c:ptCount val="1"/>
                <c:pt idx="0">
                  <c:v>0.89971603031417846</c:v>
                </c:pt>
              </c:numCache>
            </c:numRef>
          </c:xVal>
          <c:yVal>
            <c:numRef>
              <c:f>'Chart Data'!$C$6</c:f>
              <c:numCache>
                <c:formatCode>0.00%</c:formatCode>
                <c:ptCount val="1"/>
                <c:pt idx="0">
                  <c:v>0.11708135953882426</c:v>
                </c:pt>
              </c:numCache>
            </c:numRef>
          </c:yVal>
          <c:smooth val="1"/>
          <c:extLst>
            <c:ext xmlns:c16="http://schemas.microsoft.com/office/drawing/2014/chart" uri="{C3380CC4-5D6E-409C-BE32-E72D297353CC}">
              <c16:uniqueId val="{00000004-D66A-48ED-AFB5-4B86617F3C9E}"/>
            </c:ext>
          </c:extLst>
        </c:ser>
        <c:ser>
          <c:idx val="13"/>
          <c:order val="5"/>
          <c:tx>
            <c:strRef>
              <c:f>'Chart Data'!$A$7</c:f>
              <c:strCache>
                <c:ptCount val="1"/>
                <c:pt idx="0">
                  <c:v>Russell 2000</c:v>
                </c:pt>
              </c:strCache>
            </c:strRef>
          </c:tx>
          <c:spPr>
            <a:ln>
              <a:noFill/>
            </a:ln>
          </c:spPr>
          <c:marker>
            <c:symbol val="circle"/>
            <c:size val="8"/>
            <c:spPr>
              <a:solidFill>
                <a:srgbClr val="FF0000"/>
              </a:solidFill>
              <a:ln>
                <a:noFill/>
              </a:ln>
            </c:spPr>
          </c:marker>
          <c:dLbls>
            <c:spPr>
              <a:noFill/>
              <a:ln>
                <a:noFill/>
              </a:ln>
              <a:effectLst/>
            </c:spPr>
            <c:txPr>
              <a:bodyPr/>
              <a:lstStyle/>
              <a:p>
                <a:pPr>
                  <a:defRPr sz="10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Data'!$B$7</c:f>
              <c:numCache>
                <c:formatCode>0.00</c:formatCode>
                <c:ptCount val="1"/>
                <c:pt idx="0">
                  <c:v>-0.11574867774568511</c:v>
                </c:pt>
              </c:numCache>
            </c:numRef>
          </c:xVal>
          <c:yVal>
            <c:numRef>
              <c:f>'Chart Data'!$C$7</c:f>
              <c:numCache>
                <c:formatCode>0.00%</c:formatCode>
                <c:ptCount val="1"/>
                <c:pt idx="0">
                  <c:v>7.375628675682866E-2</c:v>
                </c:pt>
              </c:numCache>
            </c:numRef>
          </c:yVal>
          <c:smooth val="1"/>
          <c:extLst>
            <c:ext xmlns:c16="http://schemas.microsoft.com/office/drawing/2014/chart" uri="{C3380CC4-5D6E-409C-BE32-E72D297353CC}">
              <c16:uniqueId val="{00000005-D66A-48ED-AFB5-4B86617F3C9E}"/>
            </c:ext>
          </c:extLst>
        </c:ser>
        <c:ser>
          <c:idx val="14"/>
          <c:order val="6"/>
          <c:tx>
            <c:strRef>
              <c:f>'Chart Data'!$A$8</c:f>
              <c:strCache>
                <c:ptCount val="1"/>
                <c:pt idx="0">
                  <c:v>SGI Small-Cap Low Vol</c:v>
                </c:pt>
              </c:strCache>
            </c:strRef>
          </c:tx>
          <c:spPr>
            <a:ln>
              <a:noFill/>
            </a:ln>
          </c:spPr>
          <c:marker>
            <c:symbol val="diamond"/>
            <c:size val="10"/>
            <c:spPr>
              <a:solidFill>
                <a:srgbClr val="FF0000"/>
              </a:solidFill>
              <a:ln>
                <a:noFill/>
              </a:ln>
            </c:spPr>
          </c:marker>
          <c:dLbls>
            <c:dLbl>
              <c:idx val="0"/>
              <c:layout>
                <c:manualLayout>
                  <c:x val="-0.16246997699580951"/>
                  <c:y val="-3.6984073153679672E-17"/>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8A92-4AE6-97CB-BF0B6C2022DA}"/>
                </c:ext>
              </c:extLst>
            </c:dLbl>
            <c:spPr>
              <a:noFill/>
              <a:ln>
                <a:noFill/>
              </a:ln>
              <a:effectLst/>
            </c:spPr>
            <c:txPr>
              <a:bodyPr/>
              <a:lstStyle/>
              <a:p>
                <a:pPr>
                  <a:defRPr sz="1000"/>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Data'!$B$8</c:f>
              <c:numCache>
                <c:formatCode>0.00</c:formatCode>
                <c:ptCount val="1"/>
                <c:pt idx="0">
                  <c:v>-3.778560112085258E-2</c:v>
                </c:pt>
              </c:numCache>
            </c:numRef>
          </c:xVal>
          <c:yVal>
            <c:numRef>
              <c:f>'Chart Data'!$C$8</c:f>
              <c:numCache>
                <c:formatCode>0.00%</c:formatCode>
                <c:ptCount val="1"/>
                <c:pt idx="0">
                  <c:v>1.5306950300881583E-2</c:v>
                </c:pt>
              </c:numCache>
            </c:numRef>
          </c:yVal>
          <c:smooth val="1"/>
          <c:extLst>
            <c:ext xmlns:c16="http://schemas.microsoft.com/office/drawing/2014/chart" uri="{C3380CC4-5D6E-409C-BE32-E72D297353CC}">
              <c16:uniqueId val="{00000006-D66A-48ED-AFB5-4B86617F3C9E}"/>
            </c:ext>
          </c:extLst>
        </c:ser>
        <c:ser>
          <c:idx val="0"/>
          <c:order val="7"/>
          <c:tx>
            <c:strRef>
              <c:f>'Chart Data'!$A$9</c:f>
              <c:strCache>
                <c:ptCount val="1"/>
                <c:pt idx="0">
                  <c:v>ACWIxUS</c:v>
                </c:pt>
              </c:strCache>
            </c:strRef>
          </c:tx>
          <c:spPr>
            <a:ln w="28575">
              <a:noFill/>
            </a:ln>
          </c:spPr>
          <c:marker>
            <c:symbol val="circle"/>
            <c:size val="8"/>
            <c:spPr>
              <a:solidFill>
                <a:srgbClr val="FFC000"/>
              </a:solidFill>
            </c:spPr>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Data'!$B$9</c:f>
              <c:numCache>
                <c:formatCode>0.00</c:formatCode>
                <c:ptCount val="1"/>
                <c:pt idx="0">
                  <c:v>-1.1705855824224716E-2</c:v>
                </c:pt>
              </c:numCache>
            </c:numRef>
          </c:xVal>
          <c:yVal>
            <c:numRef>
              <c:f>'Chart Data'!$C$9</c:f>
              <c:numCache>
                <c:formatCode>0.00%</c:formatCode>
                <c:ptCount val="1"/>
                <c:pt idx="0">
                  <c:v>9.5274797724053992E-2</c:v>
                </c:pt>
              </c:numCache>
            </c:numRef>
          </c:yVal>
          <c:smooth val="1"/>
          <c:extLst>
            <c:ext xmlns:c16="http://schemas.microsoft.com/office/drawing/2014/chart" uri="{C3380CC4-5D6E-409C-BE32-E72D297353CC}">
              <c16:uniqueId val="{00000007-D66A-48ED-AFB5-4B86617F3C9E}"/>
            </c:ext>
          </c:extLst>
        </c:ser>
        <c:ser>
          <c:idx val="1"/>
          <c:order val="8"/>
          <c:tx>
            <c:strRef>
              <c:f>'Chart Data'!$A$10</c:f>
              <c:strCache>
                <c:ptCount val="1"/>
                <c:pt idx="0">
                  <c:v>SGI Intl Low Vol</c:v>
                </c:pt>
              </c:strCache>
            </c:strRef>
          </c:tx>
          <c:spPr>
            <a:ln w="28575">
              <a:noFill/>
            </a:ln>
          </c:spPr>
          <c:marker>
            <c:symbol val="diamond"/>
            <c:size val="10"/>
            <c:spPr>
              <a:solidFill>
                <a:srgbClr val="FFC000"/>
              </a:solidFill>
            </c:spPr>
          </c:marker>
          <c:dLbls>
            <c:spPr>
              <a:noFill/>
              <a:ln>
                <a:noFill/>
              </a:ln>
              <a:effectLst/>
            </c:sp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'Chart Data'!$B$10</c:f>
              <c:numCache>
                <c:formatCode>0.00</c:formatCode>
                <c:ptCount val="1"/>
                <c:pt idx="0">
                  <c:v>4.0190840913441085E-2</c:v>
                </c:pt>
              </c:numCache>
            </c:numRef>
          </c:xVal>
          <c:yVal>
            <c:numRef>
              <c:f>'Chart Data'!$C$10</c:f>
              <c:numCache>
                <c:formatCode>0.00%</c:formatCode>
                <c:ptCount val="1"/>
                <c:pt idx="0">
                  <c:v>3.1715373705755834E-2</c:v>
                </c:pt>
              </c:numCache>
            </c:numRef>
          </c:yVal>
          <c:smooth val="1"/>
          <c:extLst>
            <c:ext xmlns:c16="http://schemas.microsoft.com/office/drawing/2014/chart" uri="{C3380CC4-5D6E-409C-BE32-E72D297353CC}">
              <c16:uniqueId val="{00000008-D66A-48ED-AFB5-4B86617F3C9E}"/>
            </c:ext>
          </c:extLst>
        </c:ser>
        <c:dLbls>
          <c:showLegendKey val="0"/>
          <c:showVal val="0"/>
          <c:showCatName val="0"/>
          <c:showSerName val="0"/>
          <c:showPercent val="0"/>
          <c:showBubbleSize val="0"/>
        </c:dLbls>
        <c:axId val="1545561616"/>
        <c:axId val="1545568112"/>
      </c:scatterChart>
      <c:valAx>
        <c:axId val="1545561616"/>
        <c:scaling>
          <c:orientation val="minMax"/>
        </c:scaling>
        <c:delete val="0"/>
        <c:axPos val="b"/>
        <c:majorGridlines/>
        <c:title>
          <c:tx>
            <c:rich>
              <a:bodyPr/>
              <a:lstStyle/>
              <a:p>
                <a:pPr>
                  <a:defRPr sz="1600"/>
                </a:pPr>
                <a:r>
                  <a:rPr lang="en-US" sz="1600" b="0"/>
                  <a:t>S&amp;P 500 Beta</a:t>
                </a:r>
              </a:p>
            </c:rich>
          </c:tx>
          <c:overlay val="0"/>
        </c:title>
        <c:numFmt formatCode="0.00" sourceLinked="1"/>
        <c:majorTickMark val="out"/>
        <c:minorTickMark val="none"/>
        <c:tickLblPos val="low"/>
        <c:crossAx val="1545568112"/>
        <c:crosses val="autoZero"/>
        <c:crossBetween val="midCat"/>
      </c:valAx>
      <c:valAx>
        <c:axId val="1545568112"/>
        <c:scaling>
          <c:orientation val="minMax"/>
        </c:scaling>
        <c:delete val="0"/>
        <c:axPos val="l"/>
        <c:majorGridlines/>
        <c:title>
          <c:tx>
            <c:rich>
              <a:bodyPr rot="-5400000" vert="horz"/>
              <a:lstStyle/>
              <a:p>
                <a:pPr>
                  <a:defRPr/>
                </a:pPr>
                <a:r>
                  <a:rPr lang="en-US" sz="1600" b="0"/>
                  <a:t>Total</a:t>
                </a:r>
                <a:r>
                  <a:rPr lang="en-US" sz="1600" b="0" baseline="0"/>
                  <a:t> Return</a:t>
                </a:r>
                <a:endParaRPr lang="en-US" sz="1600" b="0"/>
              </a:p>
            </c:rich>
          </c:tx>
          <c:overlay val="0"/>
        </c:title>
        <c:numFmt formatCode="0%" sourceLinked="0"/>
        <c:majorTickMark val="out"/>
        <c:minorTickMark val="none"/>
        <c:tickLblPos val="low"/>
        <c:crossAx val="1545561616"/>
        <c:crosses val="autoZero"/>
        <c:crossBetween val="midCat"/>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Five Year Growth</a:t>
            </a:r>
          </a:p>
          <a:p>
            <a:pPr>
              <a:defRPr/>
            </a:pPr>
            <a:r>
              <a:rPr lang="en-US" sz="1200" baseline="0"/>
              <a:t>Ending 3/31/2018</a:t>
            </a:r>
            <a:endParaRPr lang="en-US" sz="1200"/>
          </a:p>
        </c:rich>
      </c:tx>
      <c:overlay val="0"/>
    </c:title>
    <c:autoTitleDeleted val="0"/>
    <c:plotArea>
      <c:layout>
        <c:manualLayout>
          <c:layoutTarget val="inner"/>
          <c:xMode val="edge"/>
          <c:yMode val="edge"/>
          <c:x val="5.58085291265039E-2"/>
          <c:y val="9.6963149445544794E-2"/>
          <c:w val="0.885654883259262"/>
          <c:h val="0.81447568659965297"/>
        </c:manualLayout>
      </c:layout>
      <c:lineChart>
        <c:grouping val="standard"/>
        <c:varyColors val="0"/>
        <c:ser>
          <c:idx val="0"/>
          <c:order val="0"/>
          <c:tx>
            <c:strRef>
              <c:f>'Chart Data'!$B$15</c:f>
              <c:strCache>
                <c:ptCount val="1"/>
                <c:pt idx="0">
                  <c:v>SGI U.S. Low Vol</c:v>
                </c:pt>
              </c:strCache>
            </c:strRef>
          </c:tx>
          <c:spPr>
            <a:ln>
              <a:solidFill>
                <a:srgbClr val="00B050"/>
              </a:solidFill>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Data'!$B$16:$B$76</c:f>
              <c:numCache>
                <c:formatCode>0.00%</c:formatCode>
                <c:ptCount val="61"/>
                <c:pt idx="0">
                  <c:v>1</c:v>
                </c:pt>
                <c:pt idx="1">
                  <c:v>0.96980100000000002</c:v>
                </c:pt>
                <c:pt idx="2">
                  <c:v>0.97189577015999995</c:v>
                </c:pt>
                <c:pt idx="3">
                  <c:v>0.99555268510146444</c:v>
                </c:pt>
                <c:pt idx="4">
                  <c:v>1.0437185195593583</c:v>
                </c:pt>
                <c:pt idx="5">
                  <c:v>1.0450169053976901</c:v>
                </c:pt>
                <c:pt idx="6">
                  <c:v>1.0796132350677861</c:v>
                </c:pt>
                <c:pt idx="7">
                  <c:v>1.1106920612656825</c:v>
                </c:pt>
                <c:pt idx="8">
                  <c:v>1.1356681936473638</c:v>
                </c:pt>
                <c:pt idx="9">
                  <c:v>1.0698812065257592</c:v>
                </c:pt>
                <c:pt idx="10">
                  <c:v>1.1582191579861782</c:v>
                </c:pt>
                <c:pt idx="11">
                  <c:v>1.1389417583206565</c:v>
                </c:pt>
                <c:pt idx="12">
                  <c:v>1.1853160498941986</c:v>
                </c:pt>
                <c:pt idx="13">
                  <c:v>1.1012297293147042</c:v>
                </c:pt>
                <c:pt idx="14">
                  <c:v>1.0554086615076486</c:v>
                </c:pt>
                <c:pt idx="15">
                  <c:v>1.1077790947003197</c:v>
                </c:pt>
                <c:pt idx="16">
                  <c:v>1.068121710889143</c:v>
                </c:pt>
                <c:pt idx="17">
                  <c:v>1.0734462976179253</c:v>
                </c:pt>
                <c:pt idx="18">
                  <c:v>1.0033781639872128</c:v>
                </c:pt>
                <c:pt idx="19">
                  <c:v>1.0487137995706473</c:v>
                </c:pt>
                <c:pt idx="20">
                  <c:v>1.0226606026479137</c:v>
                </c:pt>
                <c:pt idx="21">
                  <c:v>0.94436570690918942</c:v>
                </c:pt>
                <c:pt idx="22">
                  <c:v>1.0436270419967073</c:v>
                </c:pt>
                <c:pt idx="23">
                  <c:v>1.0949359218894335</c:v>
                </c:pt>
                <c:pt idx="24">
                  <c:v>1.0525212848215999</c:v>
                </c:pt>
                <c:pt idx="25">
                  <c:v>1.0825152818987347</c:v>
                </c:pt>
                <c:pt idx="26">
                  <c:v>1.0522559237772131</c:v>
                </c:pt>
                <c:pt idx="27">
                  <c:v>1.0654742935537236</c:v>
                </c:pt>
                <c:pt idx="28">
                  <c:v>1.0778184198058216</c:v>
                </c:pt>
                <c:pt idx="29">
                  <c:v>1.0477596794106301</c:v>
                </c:pt>
                <c:pt idx="30">
                  <c:v>1.099758932098102</c:v>
                </c:pt>
                <c:pt idx="31">
                  <c:v>1.1184283368440684</c:v>
                </c:pt>
                <c:pt idx="32">
                  <c:v>1.0948714143909819</c:v>
                </c:pt>
                <c:pt idx="33">
                  <c:v>1.0698547435666388</c:v>
                </c:pt>
                <c:pt idx="34">
                  <c:v>1.05975251459022</c:v>
                </c:pt>
                <c:pt idx="35">
                  <c:v>1.1318504779050214</c:v>
                </c:pt>
                <c:pt idx="36">
                  <c:v>1.1731750080193286</c:v>
                </c:pt>
                <c:pt idx="37">
                  <c:v>1.2040506419406101</c:v>
                </c:pt>
                <c:pt idx="38">
                  <c:v>1.2448133693999186</c:v>
                </c:pt>
                <c:pt idx="39">
                  <c:v>1.2879469401957668</c:v>
                </c:pt>
                <c:pt idx="40">
                  <c:v>1.2364484927950665</c:v>
                </c:pt>
                <c:pt idx="41">
                  <c:v>1.2819702810545572</c:v>
                </c:pt>
                <c:pt idx="42">
                  <c:v>1.3071200255661322</c:v>
                </c:pt>
                <c:pt idx="43">
                  <c:v>1.3441350389455646</c:v>
                </c:pt>
                <c:pt idx="44">
                  <c:v>1.4118888547932749</c:v>
                </c:pt>
                <c:pt idx="45">
                  <c:v>1.4177355873059947</c:v>
                </c:pt>
                <c:pt idx="46">
                  <c:v>1.3775010520421365</c:v>
                </c:pt>
                <c:pt idx="47">
                  <c:v>1.4756761922843948</c:v>
                </c:pt>
                <c:pt idx="48">
                  <c:v>1.405734179480999</c:v>
                </c:pt>
                <c:pt idx="49">
                  <c:v>1.4678342776882418</c:v>
                </c:pt>
                <c:pt idx="50">
                  <c:v>1.4538986918955423</c:v>
                </c:pt>
                <c:pt idx="51">
                  <c:v>1.4304417738620439</c:v>
                </c:pt>
                <c:pt idx="52">
                  <c:v>1.4061140797374214</c:v>
                </c:pt>
                <c:pt idx="53">
                  <c:v>1.4299933566189786</c:v>
                </c:pt>
                <c:pt idx="54">
                  <c:v>1.4369084825828571</c:v>
                </c:pt>
                <c:pt idx="55">
                  <c:v>1.4317549530585305</c:v>
                </c:pt>
                <c:pt idx="56">
                  <c:v>1.4708433816377353</c:v>
                </c:pt>
                <c:pt idx="57">
                  <c:v>1.4895816951687286</c:v>
                </c:pt>
                <c:pt idx="58">
                  <c:v>1.4885653346349907</c:v>
                </c:pt>
                <c:pt idx="59">
                  <c:v>1.5454017740287243</c:v>
                </c:pt>
                <c:pt idx="60">
                  <c:v>1.5446144176827228</c:v>
                </c:pt>
              </c:numCache>
            </c:numRef>
          </c:val>
          <c:smooth val="0"/>
          <c:extLst>
            <c:ext xmlns:c16="http://schemas.microsoft.com/office/drawing/2014/chart" uri="{C3380CC4-5D6E-409C-BE32-E72D297353CC}">
              <c16:uniqueId val="{00000001-2BA9-444F-8707-D51FE9653CBA}"/>
            </c:ext>
          </c:extLst>
        </c:ser>
        <c:ser>
          <c:idx val="1"/>
          <c:order val="1"/>
          <c:tx>
            <c:strRef>
              <c:f>'Chart Data'!$C$15</c:f>
              <c:strCache>
                <c:ptCount val="1"/>
                <c:pt idx="0">
                  <c:v>S&amp;P 500</c:v>
                </c:pt>
              </c:strCache>
            </c:strRef>
          </c:tx>
          <c:spPr>
            <a:ln>
              <a:solidFill>
                <a:srgbClr val="00B050"/>
              </a:solidFill>
              <a:prstDash val="sysDash"/>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Data'!$C$16:$C$76</c:f>
              <c:numCache>
                <c:formatCode>0.00%</c:formatCode>
                <c:ptCount val="61"/>
                <c:pt idx="0">
                  <c:v>1</c:v>
                </c:pt>
                <c:pt idx="1">
                  <c:v>0.98982256999999996</c:v>
                </c:pt>
                <c:pt idx="2">
                  <c:v>1.0171176499382262</c:v>
                </c:pt>
                <c:pt idx="3">
                  <c:v>1.0616587575054959</c:v>
                </c:pt>
                <c:pt idx="4">
                  <c:v>1.1183174894751</c:v>
                </c:pt>
                <c:pt idx="5">
                  <c:v>1.1261250957185074</c:v>
                </c:pt>
                <c:pt idx="6">
                  <c:v>1.1524109387840042</c:v>
                </c:pt>
                <c:pt idx="7">
                  <c:v>1.1797843517228004</c:v>
                </c:pt>
                <c:pt idx="8">
                  <c:v>1.215657535400521</c:v>
                </c:pt>
                <c:pt idx="9">
                  <c:v>1.1591004422590268</c:v>
                </c:pt>
                <c:pt idx="10">
                  <c:v>1.2402968887058288</c:v>
                </c:pt>
                <c:pt idx="11">
                  <c:v>1.2316765003715384</c:v>
                </c:pt>
                <c:pt idx="12">
                  <c:v>1.2867839363326266</c:v>
                </c:pt>
                <c:pt idx="13">
                  <c:v>1.2201946819927634</c:v>
                </c:pt>
                <c:pt idx="14">
                  <c:v>1.1836252277383976</c:v>
                </c:pt>
                <c:pt idx="15">
                  <c:v>1.2275591709766187</c:v>
                </c:pt>
                <c:pt idx="16">
                  <c:v>1.1205155938973392</c:v>
                </c:pt>
                <c:pt idx="17">
                  <c:v>1.122572076166819</c:v>
                </c:pt>
                <c:pt idx="18">
                  <c:v>1.0298461857831822</c:v>
                </c:pt>
                <c:pt idx="19">
                  <c:v>1.1248051821403064</c:v>
                </c:pt>
                <c:pt idx="20">
                  <c:v>1.0789326798230476</c:v>
                </c:pt>
                <c:pt idx="21">
                  <c:v>0.97948133717546271</c:v>
                </c:pt>
                <c:pt idx="22">
                  <c:v>1.0587834470852944</c:v>
                </c:pt>
                <c:pt idx="23">
                  <c:v>1.1179526706475607</c:v>
                </c:pt>
                <c:pt idx="24">
                  <c:v>1.0534303341083577</c:v>
                </c:pt>
                <c:pt idx="25">
                  <c:v>1.1196160136095583</c:v>
                </c:pt>
                <c:pt idx="26">
                  <c:v>1.0921958225088906</c:v>
                </c:pt>
                <c:pt idx="27">
                  <c:v>1.1322748656603452</c:v>
                </c:pt>
                <c:pt idx="28">
                  <c:v>1.1499482270014751</c:v>
                </c:pt>
                <c:pt idx="29">
                  <c:v>1.1549489413091876</c:v>
                </c:pt>
                <c:pt idx="30">
                  <c:v>1.2312608066674626</c:v>
                </c:pt>
                <c:pt idx="31">
                  <c:v>1.270815060081655</c:v>
                </c:pt>
                <c:pt idx="32">
                  <c:v>1.2505815493558539</c:v>
                </c:pt>
                <c:pt idx="33">
                  <c:v>1.1909557594839684</c:v>
                </c:pt>
                <c:pt idx="34">
                  <c:v>1.165914938057095</c:v>
                </c:pt>
                <c:pt idx="35">
                  <c:v>1.2723932623717986</c:v>
                </c:pt>
                <c:pt idx="36">
                  <c:v>1.3300470552011059</c:v>
                </c:pt>
                <c:pt idx="37">
                  <c:v>1.3523833467278019</c:v>
                </c:pt>
                <c:pt idx="38">
                  <c:v>1.4245939907646674</c:v>
                </c:pt>
                <c:pt idx="39">
                  <c:v>1.4704283507237534</c:v>
                </c:pt>
                <c:pt idx="40">
                  <c:v>1.410370072236808</c:v>
                </c:pt>
                <c:pt idx="41">
                  <c:v>1.4803040479722098</c:v>
                </c:pt>
                <c:pt idx="42">
                  <c:v>1.5334155660455546</c:v>
                </c:pt>
                <c:pt idx="43">
                  <c:v>1.5520811130257113</c:v>
                </c:pt>
                <c:pt idx="44">
                  <c:v>1.5897307827081768</c:v>
                </c:pt>
                <c:pt idx="45">
                  <c:v>1.6236781323017448</c:v>
                </c:pt>
                <c:pt idx="46">
                  <c:v>1.6088163222131138</c:v>
                </c:pt>
                <c:pt idx="47">
                  <c:v>1.7032538081506972</c:v>
                </c:pt>
                <c:pt idx="48">
                  <c:v>1.6625251261791314</c:v>
                </c:pt>
                <c:pt idx="49">
                  <c:v>1.7087313212555002</c:v>
                </c:pt>
                <c:pt idx="50">
                  <c:v>1.6864330951802708</c:v>
                </c:pt>
                <c:pt idx="51">
                  <c:v>1.5914127931870885</c:v>
                </c:pt>
                <c:pt idx="52">
                  <c:v>1.5806209360641723</c:v>
                </c:pt>
                <c:pt idx="53">
                  <c:v>1.6801150018236455</c:v>
                </c:pt>
                <c:pt idx="54">
                  <c:v>1.7655459934708748</c:v>
                </c:pt>
                <c:pt idx="55">
                  <c:v>1.8051699656477422</c:v>
                </c:pt>
                <c:pt idx="56">
                  <c:v>1.8417640462607594</c:v>
                </c:pt>
                <c:pt idx="57">
                  <c:v>1.9088123244711737</c:v>
                </c:pt>
                <c:pt idx="58">
                  <c:v>1.953504569063905</c:v>
                </c:pt>
                <c:pt idx="59">
                  <c:v>1.9582930053241081</c:v>
                </c:pt>
                <c:pt idx="60">
                  <c:v>1.9594518463595729</c:v>
                </c:pt>
              </c:numCache>
            </c:numRef>
          </c:val>
          <c:smooth val="0"/>
          <c:extLst>
            <c:ext xmlns:c16="http://schemas.microsoft.com/office/drawing/2014/chart" uri="{C3380CC4-5D6E-409C-BE32-E72D297353CC}">
              <c16:uniqueId val="{00000003-2BA9-444F-8707-D51FE9653CBA}"/>
            </c:ext>
          </c:extLst>
        </c:ser>
        <c:ser>
          <c:idx val="2"/>
          <c:order val="2"/>
          <c:tx>
            <c:strRef>
              <c:f>'Chart Data'!$D$15</c:f>
              <c:strCache>
                <c:ptCount val="1"/>
                <c:pt idx="0">
                  <c:v>SGI Global Low Vol</c:v>
                </c:pt>
              </c:strCache>
            </c:strRef>
          </c:tx>
          <c:spPr>
            <a:ln>
              <a:solidFill>
                <a:srgbClr val="7030A0"/>
              </a:solidFill>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Data'!$D$16:$D$76</c:f>
              <c:numCache>
                <c:formatCode>0.00%</c:formatCode>
                <c:ptCount val="61"/>
                <c:pt idx="0">
                  <c:v>1</c:v>
                </c:pt>
                <c:pt idx="1">
                  <c:v>0.98055000000000003</c:v>
                </c:pt>
                <c:pt idx="2">
                  <c:v>0.98269446285000006</c:v>
                </c:pt>
                <c:pt idx="3">
                  <c:v>1.0088419971175129</c:v>
                </c:pt>
                <c:pt idx="4">
                  <c:v>1.0510852380628144</c:v>
                </c:pt>
                <c:pt idx="5">
                  <c:v>1.0634743797638608</c:v>
                </c:pt>
                <c:pt idx="6">
                  <c:v>1.0823659386459861</c:v>
                </c:pt>
                <c:pt idx="7">
                  <c:v>1.0975699329861464</c:v>
                </c:pt>
                <c:pt idx="8">
                  <c:v>1.1250256448597946</c:v>
                </c:pt>
                <c:pt idx="9">
                  <c:v>1.0831983164095524</c:v>
                </c:pt>
                <c:pt idx="10">
                  <c:v>1.1478284271564447</c:v>
                </c:pt>
                <c:pt idx="11">
                  <c:v>1.125071580759641</c:v>
                </c:pt>
                <c:pt idx="12">
                  <c:v>1.1696716683641146</c:v>
                </c:pt>
                <c:pt idx="13">
                  <c:v>1.1430464321771423</c:v>
                </c:pt>
                <c:pt idx="14">
                  <c:v>1.1098775108082259</c:v>
                </c:pt>
                <c:pt idx="15">
                  <c:v>1.1394357686760705</c:v>
                </c:pt>
                <c:pt idx="16">
                  <c:v>1.0711072239358728</c:v>
                </c:pt>
                <c:pt idx="17">
                  <c:v>1.0823002944260025</c:v>
                </c:pt>
                <c:pt idx="18">
                  <c:v>1.0206881855652135</c:v>
                </c:pt>
                <c:pt idx="19">
                  <c:v>1.0741355017141503</c:v>
                </c:pt>
                <c:pt idx="20">
                  <c:v>1.0302076562360485</c:v>
                </c:pt>
                <c:pt idx="21">
                  <c:v>0.95046855343572201</c:v>
                </c:pt>
                <c:pt idx="22">
                  <c:v>1.0161763454718404</c:v>
                </c:pt>
                <c:pt idx="23">
                  <c:v>1.0796995611799762</c:v>
                </c:pt>
                <c:pt idx="24">
                  <c:v>1.0256568533386121</c:v>
                </c:pt>
                <c:pt idx="25">
                  <c:v>1.0940523052331657</c:v>
                </c:pt>
                <c:pt idx="26">
                  <c:v>1.0596820396502316</c:v>
                </c:pt>
                <c:pt idx="27">
                  <c:v>1.0804175399118496</c:v>
                </c:pt>
                <c:pt idx="28">
                  <c:v>1.097407653358307</c:v>
                </c:pt>
                <c:pt idx="29">
                  <c:v>1.0679621840842035</c:v>
                </c:pt>
                <c:pt idx="30">
                  <c:v>1.11515943889683</c:v>
                </c:pt>
                <c:pt idx="31">
                  <c:v>1.1279655660036849</c:v>
                </c:pt>
                <c:pt idx="32">
                  <c:v>1.1053980834493566</c:v>
                </c:pt>
                <c:pt idx="33">
                  <c:v>1.080588225440934</c:v>
                </c:pt>
                <c:pt idx="34">
                  <c:v>1.0671417923101651</c:v>
                </c:pt>
                <c:pt idx="35">
                  <c:v>1.1310502942379479</c:v>
                </c:pt>
                <c:pt idx="36">
                  <c:v>1.1730904034642826</c:v>
                </c:pt>
                <c:pt idx="37">
                  <c:v>1.1847962534503709</c:v>
                </c:pt>
                <c:pt idx="38">
                  <c:v>1.2175445693970666</c:v>
                </c:pt>
                <c:pt idx="39">
                  <c:v>1.2559364537197537</c:v>
                </c:pt>
                <c:pt idx="40">
                  <c:v>1.223646027321194</c:v>
                </c:pt>
                <c:pt idx="41">
                  <c:v>1.2518661199875034</c:v>
                </c:pt>
                <c:pt idx="42">
                  <c:v>1.2555347015904006</c:v>
                </c:pt>
                <c:pt idx="43">
                  <c:v>1.2885873338940808</c:v>
                </c:pt>
                <c:pt idx="44">
                  <c:v>1.3364457611198175</c:v>
                </c:pt>
                <c:pt idx="45">
                  <c:v>1.3367190106864915</c:v>
                </c:pt>
                <c:pt idx="46">
                  <c:v>1.2912638673609071</c:v>
                </c:pt>
                <c:pt idx="47">
                  <c:v>1.3435662907935031</c:v>
                </c:pt>
                <c:pt idx="48">
                  <c:v>1.2920019228820376</c:v>
                </c:pt>
                <c:pt idx="49">
                  <c:v>1.3255159618008669</c:v>
                </c:pt>
                <c:pt idx="50">
                  <c:v>1.3433793704461938</c:v>
                </c:pt>
                <c:pt idx="51">
                  <c:v>1.3501066005725422</c:v>
                </c:pt>
                <c:pt idx="52">
                  <c:v>1.3498107684544807</c:v>
                </c:pt>
                <c:pt idx="53">
                  <c:v>1.3768329406846476</c:v>
                </c:pt>
                <c:pt idx="54">
                  <c:v>1.3922940586554071</c:v>
                </c:pt>
                <c:pt idx="55">
                  <c:v>1.3563784689642133</c:v>
                </c:pt>
                <c:pt idx="56">
                  <c:v>1.3880227379537944</c:v>
                </c:pt>
                <c:pt idx="57">
                  <c:v>1.4342379127496552</c:v>
                </c:pt>
                <c:pt idx="58">
                  <c:v>1.4065820480885105</c:v>
                </c:pt>
                <c:pt idx="59">
                  <c:v>1.4503792856235596</c:v>
                </c:pt>
                <c:pt idx="60">
                  <c:v>1.4555625205803853</c:v>
                </c:pt>
              </c:numCache>
            </c:numRef>
          </c:val>
          <c:smooth val="0"/>
          <c:extLst>
            <c:ext xmlns:c16="http://schemas.microsoft.com/office/drawing/2014/chart" uri="{C3380CC4-5D6E-409C-BE32-E72D297353CC}">
              <c16:uniqueId val="{00000005-2BA9-444F-8707-D51FE9653CBA}"/>
            </c:ext>
          </c:extLst>
        </c:ser>
        <c:ser>
          <c:idx val="3"/>
          <c:order val="3"/>
          <c:tx>
            <c:strRef>
              <c:f>'Chart Data'!$E$15</c:f>
              <c:strCache>
                <c:ptCount val="1"/>
                <c:pt idx="0">
                  <c:v>ACWI</c:v>
                </c:pt>
              </c:strCache>
            </c:strRef>
          </c:tx>
          <c:spPr>
            <a:ln>
              <a:solidFill>
                <a:srgbClr val="7030A0"/>
              </a:solidFill>
              <a:prstDash val="sysDash"/>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Data'!$E$16:$E$76</c:f>
              <c:numCache>
                <c:formatCode>0.00%</c:formatCode>
                <c:ptCount val="61"/>
                <c:pt idx="0">
                  <c:v>1</c:v>
                </c:pt>
                <c:pt idx="1">
                  <c:v>0.99557839699999995</c:v>
                </c:pt>
                <c:pt idx="2">
                  <c:v>1.0189569273265771</c:v>
                </c:pt>
                <c:pt idx="3">
                  <c:v>1.0468207732245087</c:v>
                </c:pt>
                <c:pt idx="4">
                  <c:v>1.0929752057980546</c:v>
                </c:pt>
                <c:pt idx="5">
                  <c:v>1.1105048449172386</c:v>
                </c:pt>
                <c:pt idx="6">
                  <c:v>1.1255387484572437</c:v>
                </c:pt>
                <c:pt idx="7">
                  <c:v>1.1336174817849565</c:v>
                </c:pt>
                <c:pt idx="8">
                  <c:v>1.1623637878965838</c:v>
                </c:pt>
                <c:pt idx="9">
                  <c:v>1.1149344053043047</c:v>
                </c:pt>
                <c:pt idx="10">
                  <c:v>1.1720855303944733</c:v>
                </c:pt>
                <c:pt idx="11">
                  <c:v>1.1442215996846821</c:v>
                </c:pt>
                <c:pt idx="12">
                  <c:v>1.1904409322736491</c:v>
                </c:pt>
                <c:pt idx="13">
                  <c:v>1.1322063356238112</c:v>
                </c:pt>
                <c:pt idx="14">
                  <c:v>1.1033524421105927</c:v>
                </c:pt>
                <c:pt idx="15">
                  <c:v>1.1279811443176526</c:v>
                </c:pt>
                <c:pt idx="16">
                  <c:v>1.0380673534244438</c:v>
                </c:pt>
                <c:pt idx="17">
                  <c:v>1.0399730104821092</c:v>
                </c:pt>
                <c:pt idx="18">
                  <c:v>0.95270943675798114</c:v>
                </c:pt>
                <c:pt idx="19">
                  <c:v>1.0195983755639264</c:v>
                </c:pt>
                <c:pt idx="20">
                  <c:v>0.98249210129407727</c:v>
                </c:pt>
                <c:pt idx="21">
                  <c:v>0.88893776897038745</c:v>
                </c:pt>
                <c:pt idx="22">
                  <c:v>0.94279679274240913</c:v>
                </c:pt>
                <c:pt idx="23">
                  <c:v>1.0163880503196523</c:v>
                </c:pt>
                <c:pt idx="24">
                  <c:v>0.97679155383589678</c:v>
                </c:pt>
                <c:pt idx="25">
                  <c:v>1.0470736597174972</c:v>
                </c:pt>
                <c:pt idx="26">
                  <c:v>1.0174121570850199</c:v>
                </c:pt>
                <c:pt idx="27">
                  <c:v>1.049509475816738</c:v>
                </c:pt>
                <c:pt idx="28">
                  <c:v>1.0650516616441081</c:v>
                </c:pt>
                <c:pt idx="29">
                  <c:v>1.054278664086578</c:v>
                </c:pt>
                <c:pt idx="30">
                  <c:v>1.1158896549371335</c:v>
                </c:pt>
                <c:pt idx="31">
                  <c:v>1.1570726785422434</c:v>
                </c:pt>
                <c:pt idx="32">
                  <c:v>1.1250796189805503</c:v>
                </c:pt>
                <c:pt idx="33">
                  <c:v>1.0789839819112981</c:v>
                </c:pt>
                <c:pt idx="34">
                  <c:v>1.0467547303716076</c:v>
                </c:pt>
                <c:pt idx="35">
                  <c:v>1.1438812804495582</c:v>
                </c:pt>
                <c:pt idx="36">
                  <c:v>1.1992392091182842</c:v>
                </c:pt>
                <c:pt idx="37">
                  <c:v>1.2065474364183291</c:v>
                </c:pt>
                <c:pt idx="38">
                  <c:v>1.2588025474015809</c:v>
                </c:pt>
                <c:pt idx="39">
                  <c:v>1.2991401323395617</c:v>
                </c:pt>
                <c:pt idx="40">
                  <c:v>1.256761973360224</c:v>
                </c:pt>
                <c:pt idx="41">
                  <c:v>1.3085350871804615</c:v>
                </c:pt>
                <c:pt idx="42">
                  <c:v>1.3381396597852004</c:v>
                </c:pt>
                <c:pt idx="43">
                  <c:v>1.3601334302846029</c:v>
                </c:pt>
                <c:pt idx="44">
                  <c:v>1.3951405037092652</c:v>
                </c:pt>
                <c:pt idx="45">
                  <c:v>1.4281722409144268</c:v>
                </c:pt>
                <c:pt idx="46">
                  <c:v>1.3965863409009687</c:v>
                </c:pt>
                <c:pt idx="47">
                  <c:v>1.4492854231716574</c:v>
                </c:pt>
                <c:pt idx="48">
                  <c:v>1.4154622898227618</c:v>
                </c:pt>
                <c:pt idx="49">
                  <c:v>1.4633249157009263</c:v>
                </c:pt>
                <c:pt idx="50">
                  <c:v>1.4549546752332434</c:v>
                </c:pt>
                <c:pt idx="51">
                  <c:v>1.398329512471042</c:v>
                </c:pt>
                <c:pt idx="52">
                  <c:v>1.4120025993800467</c:v>
                </c:pt>
                <c:pt idx="53">
                  <c:v>1.4941039141217793</c:v>
                </c:pt>
                <c:pt idx="54">
                  <c:v>1.5618169126843264</c:v>
                </c:pt>
                <c:pt idx="55">
                  <c:v>1.5834432040562367</c:v>
                </c:pt>
                <c:pt idx="56">
                  <c:v>1.623303077322056</c:v>
                </c:pt>
                <c:pt idx="57">
                  <c:v>1.6828018913839258</c:v>
                </c:pt>
                <c:pt idx="58">
                  <c:v>1.7207552667455936</c:v>
                </c:pt>
                <c:pt idx="59">
                  <c:v>1.7210776693452019</c:v>
                </c:pt>
                <c:pt idx="60">
                  <c:v>1.7394983636402037</c:v>
                </c:pt>
              </c:numCache>
            </c:numRef>
          </c:val>
          <c:smooth val="0"/>
          <c:extLst>
            <c:ext xmlns:c16="http://schemas.microsoft.com/office/drawing/2014/chart" uri="{C3380CC4-5D6E-409C-BE32-E72D297353CC}">
              <c16:uniqueId val="{00000007-2BA9-444F-8707-D51FE9653CBA}"/>
            </c:ext>
          </c:extLst>
        </c:ser>
        <c:ser>
          <c:idx val="4"/>
          <c:order val="4"/>
          <c:tx>
            <c:strRef>
              <c:f>'Chart Data'!$F$15</c:f>
              <c:strCache>
                <c:ptCount val="1"/>
                <c:pt idx="0">
                  <c:v>SGI Small-Cap Low Vol</c:v>
                </c:pt>
              </c:strCache>
            </c:strRef>
          </c:tx>
          <c:spPr>
            <a:ln>
              <a:solidFill>
                <a:srgbClr val="FF0000"/>
              </a:solidFill>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Data'!$F$16:$F$76</c:f>
              <c:numCache>
                <c:formatCode>0.00%</c:formatCode>
                <c:ptCount val="61"/>
                <c:pt idx="0">
                  <c:v>1</c:v>
                </c:pt>
                <c:pt idx="1">
                  <c:v>1.0230520000000001</c:v>
                </c:pt>
                <c:pt idx="2">
                  <c:v>1.039565082332</c:v>
                </c:pt>
                <c:pt idx="3">
                  <c:v>1.0508298095641495</c:v>
                </c:pt>
                <c:pt idx="4">
                  <c:v>1.0770616741002994</c:v>
                </c:pt>
                <c:pt idx="5">
                  <c:v>1.0728492858928931</c:v>
                </c:pt>
                <c:pt idx="6">
                  <c:v>1.0758757937283969</c:v>
                </c:pt>
                <c:pt idx="7">
                  <c:v>1.0956988052278427</c:v>
                </c:pt>
                <c:pt idx="8">
                  <c:v>1.1039483215324031</c:v>
                </c:pt>
                <c:pt idx="9">
                  <c:v>1.0691264796263065</c:v>
                </c:pt>
                <c:pt idx="10">
                  <c:v>1.119689747353753</c:v>
                </c:pt>
                <c:pt idx="11">
                  <c:v>1.1138729591162504</c:v>
                </c:pt>
                <c:pt idx="12">
                  <c:v>1.1905152158141621</c:v>
                </c:pt>
                <c:pt idx="13">
                  <c:v>1.1101602008075693</c:v>
                </c:pt>
                <c:pt idx="14">
                  <c:v>1.09454468742301</c:v>
                </c:pt>
                <c:pt idx="15">
                  <c:v>1.10986502941287</c:v>
                </c:pt>
                <c:pt idx="16">
                  <c:v>1.0499312079595455</c:v>
                </c:pt>
                <c:pt idx="17">
                  <c:v>1.068680879471287</c:v>
                </c:pt>
                <c:pt idx="18">
                  <c:v>1.0437335930209093</c:v>
                </c:pt>
                <c:pt idx="19">
                  <c:v>1.1050477229429225</c:v>
                </c:pt>
                <c:pt idx="20">
                  <c:v>1.0598103843088083</c:v>
                </c:pt>
                <c:pt idx="21">
                  <c:v>0.98697703526795399</c:v>
                </c:pt>
                <c:pt idx="22">
                  <c:v>1.0899177530693664</c:v>
                </c:pt>
                <c:pt idx="23">
                  <c:v>1.1243220968627541</c:v>
                </c:pt>
                <c:pt idx="24">
                  <c:v>1.0608233098756372</c:v>
                </c:pt>
                <c:pt idx="25">
                  <c:v>1.114589202678627</c:v>
                </c:pt>
                <c:pt idx="26">
                  <c:v>1.0954049016051288</c:v>
                </c:pt>
                <c:pt idx="27">
                  <c:v>1.0717785983532375</c:v>
                </c:pt>
                <c:pt idx="28">
                  <c:v>1.0607917068407737</c:v>
                </c:pt>
                <c:pt idx="29">
                  <c:v>1.0318023513442269</c:v>
                </c:pt>
                <c:pt idx="30">
                  <c:v>1.0956239595674246</c:v>
                </c:pt>
                <c:pt idx="31">
                  <c:v>1.1338706362099009</c:v>
                </c:pt>
                <c:pt idx="32">
                  <c:v>1.0940610618014213</c:v>
                </c:pt>
                <c:pt idx="33">
                  <c:v>1.0503517250533043</c:v>
                </c:pt>
                <c:pt idx="34">
                  <c:v>1.0313761653201465</c:v>
                </c:pt>
                <c:pt idx="35">
                  <c:v>1.1013003133177866</c:v>
                </c:pt>
                <c:pt idx="36">
                  <c:v>1.2049161202572811</c:v>
                </c:pt>
                <c:pt idx="37">
                  <c:v>0</c:v>
                </c:pt>
                <c:pt idx="38">
                  <c:v>0</c:v>
                </c:pt>
                <c:pt idx="39">
                  <c:v>0</c:v>
                </c:pt>
                <c:pt idx="40">
                  <c:v>0</c:v>
                </c:pt>
                <c:pt idx="41">
                  <c:v>0</c:v>
                </c:pt>
                <c:pt idx="42">
                  <c:v>0</c:v>
                </c:pt>
                <c:pt idx="43">
                  <c:v>0</c:v>
                </c:pt>
                <c:pt idx="44">
                  <c:v>0</c:v>
                </c:pt>
                <c:pt idx="45">
                  <c:v>0</c:v>
                </c:pt>
                <c:pt idx="46">
                  <c:v>0</c:v>
                </c:pt>
                <c:pt idx="47">
                  <c:v>0</c:v>
                </c:pt>
                <c:pt idx="48">
                  <c:v>0</c:v>
                </c:pt>
                <c:pt idx="49">
                  <c:v>#N/A</c:v>
                </c:pt>
                <c:pt idx="50">
                  <c:v>#N/A</c:v>
                </c:pt>
                <c:pt idx="51">
                  <c:v>#N/A</c:v>
                </c:pt>
                <c:pt idx="52">
                  <c:v>#N/A</c:v>
                </c:pt>
                <c:pt idx="53">
                  <c:v>#N/A</c:v>
                </c:pt>
                <c:pt idx="54">
                  <c:v>#N/A</c:v>
                </c:pt>
                <c:pt idx="55">
                  <c:v>#N/A</c:v>
                </c:pt>
                <c:pt idx="56">
                  <c:v>#N/A</c:v>
                </c:pt>
                <c:pt idx="57">
                  <c:v>#N/A</c:v>
                </c:pt>
                <c:pt idx="58">
                  <c:v>#N/A</c:v>
                </c:pt>
                <c:pt idx="59">
                  <c:v>#N/A</c:v>
                </c:pt>
                <c:pt idx="60">
                  <c:v>#N/A</c:v>
                </c:pt>
              </c:numCache>
            </c:numRef>
          </c:val>
          <c:smooth val="0"/>
          <c:extLst>
            <c:ext xmlns:c16="http://schemas.microsoft.com/office/drawing/2014/chart" uri="{C3380CC4-5D6E-409C-BE32-E72D297353CC}">
              <c16:uniqueId val="{00000009-2BA9-444F-8707-D51FE9653CBA}"/>
            </c:ext>
          </c:extLst>
        </c:ser>
        <c:ser>
          <c:idx val="5"/>
          <c:order val="5"/>
          <c:tx>
            <c:strRef>
              <c:f>'Chart Data'!$G$15</c:f>
              <c:strCache>
                <c:ptCount val="1"/>
                <c:pt idx="0">
                  <c:v>Russell 2000</c:v>
                </c:pt>
              </c:strCache>
            </c:strRef>
          </c:tx>
          <c:spPr>
            <a:ln>
              <a:solidFill>
                <a:srgbClr val="FF0000"/>
              </a:solidFill>
              <a:prstDash val="sysDash"/>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Data'!$G$16:$G$76</c:f>
              <c:numCache>
                <c:formatCode>0.00%</c:formatCode>
                <c:ptCount val="61"/>
                <c:pt idx="0">
                  <c:v>1</c:v>
                </c:pt>
                <c:pt idx="1">
                  <c:v>1.0503201500000001</c:v>
                </c:pt>
                <c:pt idx="2">
                  <c:v>1.1157723100922585</c:v>
                </c:pt>
                <c:pt idx="3">
                  <c:v>1.1269399300935716</c:v>
                </c:pt>
                <c:pt idx="4">
                  <c:v>1.1506045754938046</c:v>
                </c:pt>
                <c:pt idx="5">
                  <c:v>1.1529747933048118</c:v>
                </c:pt>
                <c:pt idx="6">
                  <c:v>1.1753114085647498</c:v>
                </c:pt>
                <c:pt idx="7">
                  <c:v>1.1328720889128852</c:v>
                </c:pt>
                <c:pt idx="8">
                  <c:v>1.1581870560234773</c:v>
                </c:pt>
                <c:pt idx="9">
                  <c:v>1.1240324208699795</c:v>
                </c:pt>
                <c:pt idx="10">
                  <c:v>1.1718477484246095</c:v>
                </c:pt>
                <c:pt idx="11">
                  <c:v>1.122771924849858</c:v>
                </c:pt>
                <c:pt idx="12">
                  <c:v>1.1478431187833356</c:v>
                </c:pt>
                <c:pt idx="13">
                  <c:v>1.0373281290362983</c:v>
                </c:pt>
                <c:pt idx="14">
                  <c:v>1.0483820116854032</c:v>
                </c:pt>
                <c:pt idx="15">
                  <c:v>1.0613833429783779</c:v>
                </c:pt>
                <c:pt idx="16">
                  <c:v>0.956190435893298</c:v>
                </c:pt>
                <c:pt idx="17">
                  <c:v>0.95756534116487857</c:v>
                </c:pt>
                <c:pt idx="18">
                  <c:v>0.87880243188844143</c:v>
                </c:pt>
                <c:pt idx="19">
                  <c:v>0.97055160278367447</c:v>
                </c:pt>
                <c:pt idx="20">
                  <c:v>0.95069114710281599</c:v>
                </c:pt>
                <c:pt idx="21">
                  <c:v>0.85966951438912143</c:v>
                </c:pt>
                <c:pt idx="22">
                  <c:v>0.95430984349260817</c:v>
                </c:pt>
                <c:pt idx="23">
                  <c:v>0.97639006343613877</c:v>
                </c:pt>
                <c:pt idx="24">
                  <c:v>0.91298843829223031</c:v>
                </c:pt>
                <c:pt idx="25">
                  <c:v>1.0019736689900924</c:v>
                </c:pt>
                <c:pt idx="26">
                  <c:v>0.98501335087272746</c:v>
                </c:pt>
                <c:pt idx="27">
                  <c:v>0.93790027065195347</c:v>
                </c:pt>
                <c:pt idx="28">
                  <c:v>0.92103366306171919</c:v>
                </c:pt>
                <c:pt idx="29">
                  <c:v>0.91244508309982308</c:v>
                </c:pt>
                <c:pt idx="30">
                  <c:v>0.98658757847056044</c:v>
                </c:pt>
                <c:pt idx="31">
                  <c:v>1.0469164519040841</c:v>
                </c:pt>
                <c:pt idx="32">
                  <c:v>0.99450288334527726</c:v>
                </c:pt>
                <c:pt idx="33">
                  <c:v>0.93592080589425763</c:v>
                </c:pt>
                <c:pt idx="34">
                  <c:v>0.87207461895895799</c:v>
                </c:pt>
                <c:pt idx="35">
                  <c:v>0.95081003290509891</c:v>
                </c:pt>
                <c:pt idx="36">
                  <c:v>1.0671009457616294</c:v>
                </c:pt>
                <c:pt idx="37">
                  <c:v>1.0255931946456962</c:v>
                </c:pt>
                <c:pt idx="38">
                  <c:v>1.0835454047260735</c:v>
                </c:pt>
                <c:pt idx="39">
                  <c:v>1.1223228942522485</c:v>
                </c:pt>
                <c:pt idx="40">
                  <c:v>1.0433308235758765</c:v>
                </c:pt>
                <c:pt idx="41">
                  <c:v>1.0957151809307084</c:v>
                </c:pt>
                <c:pt idx="42">
                  <c:v>1.0855639035312417</c:v>
                </c:pt>
                <c:pt idx="43">
                  <c:v>1.1958562191225028</c:v>
                </c:pt>
                <c:pt idx="44">
                  <c:v>1.1779737200614864</c:v>
                </c:pt>
                <c:pt idx="45">
                  <c:v>1.1862064723733614</c:v>
                </c:pt>
                <c:pt idx="46">
                  <c:v>1.169072799327818</c:v>
                </c:pt>
                <c:pt idx="47">
                  <c:v>1.297274608482186</c:v>
                </c:pt>
                <c:pt idx="48">
                  <c:v>1.1901047033815912</c:v>
                </c:pt>
                <c:pt idx="49">
                  <c:v>#N/A</c:v>
                </c:pt>
                <c:pt idx="50">
                  <c:v>#N/A</c:v>
                </c:pt>
                <c:pt idx="51">
                  <c:v>#N/A</c:v>
                </c:pt>
                <c:pt idx="52">
                  <c:v>#N/A</c:v>
                </c:pt>
                <c:pt idx="53">
                  <c:v>#N/A</c:v>
                </c:pt>
                <c:pt idx="54">
                  <c:v>#N/A</c:v>
                </c:pt>
                <c:pt idx="55">
                  <c:v>#N/A</c:v>
                </c:pt>
                <c:pt idx="56">
                  <c:v>#N/A</c:v>
                </c:pt>
                <c:pt idx="57">
                  <c:v>#N/A</c:v>
                </c:pt>
                <c:pt idx="58">
                  <c:v>#N/A</c:v>
                </c:pt>
                <c:pt idx="59">
                  <c:v>#N/A</c:v>
                </c:pt>
                <c:pt idx="60">
                  <c:v>#N/A</c:v>
                </c:pt>
              </c:numCache>
            </c:numRef>
          </c:val>
          <c:smooth val="0"/>
          <c:extLst>
            <c:ext xmlns:c16="http://schemas.microsoft.com/office/drawing/2014/chart" uri="{C3380CC4-5D6E-409C-BE32-E72D297353CC}">
              <c16:uniqueId val="{0000000B-2BA9-444F-8707-D51FE9653CBA}"/>
            </c:ext>
          </c:extLst>
        </c:ser>
        <c:ser>
          <c:idx val="6"/>
          <c:order val="6"/>
          <c:tx>
            <c:strRef>
              <c:f>'Chart Data'!$H$15</c:f>
              <c:strCache>
                <c:ptCount val="1"/>
                <c:pt idx="0">
                  <c:v>SGI Intl Low Vol</c:v>
                </c:pt>
              </c:strCache>
            </c:strRef>
          </c:tx>
          <c:spPr>
            <a:ln>
              <a:solidFill>
                <a:srgbClr val="FFC000"/>
              </a:solidFill>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Data'!$H$16:$H$76</c:f>
              <c:numCache>
                <c:formatCode>0.00%</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numCache>
            </c:numRef>
          </c:val>
          <c:smooth val="0"/>
          <c:extLst>
            <c:ext xmlns:c16="http://schemas.microsoft.com/office/drawing/2014/chart" uri="{C3380CC4-5D6E-409C-BE32-E72D297353CC}">
              <c16:uniqueId val="{0000000D-2BA9-444F-8707-D51FE9653CBA}"/>
            </c:ext>
          </c:extLst>
        </c:ser>
        <c:ser>
          <c:idx val="7"/>
          <c:order val="7"/>
          <c:tx>
            <c:strRef>
              <c:f>'Chart Data'!$I$15</c:f>
              <c:strCache>
                <c:ptCount val="1"/>
                <c:pt idx="0">
                  <c:v>ACWIxUS</c:v>
                </c:pt>
              </c:strCache>
            </c:strRef>
          </c:tx>
          <c:spPr>
            <a:ln>
              <a:solidFill>
                <a:srgbClr val="FFC000"/>
              </a:solidFill>
              <a:prstDash val="sysDash"/>
            </a:ln>
          </c:spPr>
          <c:marker>
            <c:symbol val="none"/>
          </c:marker>
          <c:dLbls>
            <c:dLbl>
              <c:idx val="6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BA9-444F-8707-D51FE9653CB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'Chart Data'!$A$16:$A$76</c:f>
              <c:numCache>
                <c:formatCode>yyyy\-mm\-dd</c:formatCode>
                <c:ptCount val="61"/>
                <c:pt idx="0">
                  <c:v>44196</c:v>
                </c:pt>
                <c:pt idx="1">
                  <c:v>44227</c:v>
                </c:pt>
                <c:pt idx="2">
                  <c:v>44255</c:v>
                </c:pt>
                <c:pt idx="3">
                  <c:v>44286</c:v>
                </c:pt>
                <c:pt idx="4">
                  <c:v>44316</c:v>
                </c:pt>
                <c:pt idx="5">
                  <c:v>44347</c:v>
                </c:pt>
                <c:pt idx="6">
                  <c:v>44377</c:v>
                </c:pt>
                <c:pt idx="7">
                  <c:v>44408</c:v>
                </c:pt>
                <c:pt idx="8">
                  <c:v>44439</c:v>
                </c:pt>
                <c:pt idx="9">
                  <c:v>44469</c:v>
                </c:pt>
                <c:pt idx="10">
                  <c:v>44500</c:v>
                </c:pt>
                <c:pt idx="11">
                  <c:v>44530</c:v>
                </c:pt>
                <c:pt idx="12">
                  <c:v>44561</c:v>
                </c:pt>
                <c:pt idx="13">
                  <c:v>44592</c:v>
                </c:pt>
                <c:pt idx="14">
                  <c:v>44620</c:v>
                </c:pt>
                <c:pt idx="15">
                  <c:v>44651</c:v>
                </c:pt>
                <c:pt idx="16">
                  <c:v>44681</c:v>
                </c:pt>
                <c:pt idx="17">
                  <c:v>44712</c:v>
                </c:pt>
                <c:pt idx="18">
                  <c:v>44742</c:v>
                </c:pt>
                <c:pt idx="19">
                  <c:v>44773</c:v>
                </c:pt>
                <c:pt idx="20">
                  <c:v>44804</c:v>
                </c:pt>
                <c:pt idx="21">
                  <c:v>44834</c:v>
                </c:pt>
                <c:pt idx="22">
                  <c:v>44865</c:v>
                </c:pt>
                <c:pt idx="23">
                  <c:v>44895</c:v>
                </c:pt>
                <c:pt idx="24">
                  <c:v>44926</c:v>
                </c:pt>
                <c:pt idx="25">
                  <c:v>44957</c:v>
                </c:pt>
                <c:pt idx="26">
                  <c:v>44985</c:v>
                </c:pt>
                <c:pt idx="27">
                  <c:v>45016</c:v>
                </c:pt>
                <c:pt idx="28">
                  <c:v>45046</c:v>
                </c:pt>
                <c:pt idx="29">
                  <c:v>45077</c:v>
                </c:pt>
                <c:pt idx="30">
                  <c:v>45107</c:v>
                </c:pt>
                <c:pt idx="31">
                  <c:v>45138</c:v>
                </c:pt>
                <c:pt idx="32">
                  <c:v>45169</c:v>
                </c:pt>
                <c:pt idx="33">
                  <c:v>45199</c:v>
                </c:pt>
                <c:pt idx="34">
                  <c:v>45230</c:v>
                </c:pt>
                <c:pt idx="35">
                  <c:v>45260</c:v>
                </c:pt>
                <c:pt idx="36">
                  <c:v>45291</c:v>
                </c:pt>
                <c:pt idx="37">
                  <c:v>45322</c:v>
                </c:pt>
                <c:pt idx="38">
                  <c:v>45351</c:v>
                </c:pt>
                <c:pt idx="39">
                  <c:v>45382</c:v>
                </c:pt>
                <c:pt idx="40">
                  <c:v>45412</c:v>
                </c:pt>
                <c:pt idx="41">
                  <c:v>45443</c:v>
                </c:pt>
                <c:pt idx="42">
                  <c:v>45473</c:v>
                </c:pt>
                <c:pt idx="43">
                  <c:v>45504</c:v>
                </c:pt>
                <c:pt idx="44">
                  <c:v>45535</c:v>
                </c:pt>
                <c:pt idx="45">
                  <c:v>45565</c:v>
                </c:pt>
                <c:pt idx="46">
                  <c:v>45596</c:v>
                </c:pt>
                <c:pt idx="47">
                  <c:v>45626</c:v>
                </c:pt>
                <c:pt idx="48">
                  <c:v>45657</c:v>
                </c:pt>
                <c:pt idx="49">
                  <c:v>45688</c:v>
                </c:pt>
                <c:pt idx="50">
                  <c:v>45716</c:v>
                </c:pt>
                <c:pt idx="51">
                  <c:v>45747</c:v>
                </c:pt>
                <c:pt idx="52">
                  <c:v>45777</c:v>
                </c:pt>
                <c:pt idx="53">
                  <c:v>45808</c:v>
                </c:pt>
                <c:pt idx="54">
                  <c:v>45838</c:v>
                </c:pt>
                <c:pt idx="55">
                  <c:v>45869</c:v>
                </c:pt>
                <c:pt idx="56">
                  <c:v>45900</c:v>
                </c:pt>
                <c:pt idx="57">
                  <c:v>45930</c:v>
                </c:pt>
                <c:pt idx="58">
                  <c:v>45961</c:v>
                </c:pt>
                <c:pt idx="59">
                  <c:v>45991</c:v>
                </c:pt>
                <c:pt idx="60">
                  <c:v>46022</c:v>
                </c:pt>
              </c:numCache>
            </c:numRef>
          </c:cat>
          <c:val>
            <c:numRef>
              <c:f>'Chart Data'!$I$16:$I$76</c:f>
              <c:numCache>
                <c:formatCode>0.00%</c:formatCode>
                <c:ptCount val="61"/>
                <c:pt idx="0">
                  <c:v>1</c:v>
                </c:pt>
                <c:pt idx="1">
                  <c:v>1.002067365</c:v>
                </c:pt>
                <c:pt idx="2">
                  <c:v>1.0220932904832527</c:v>
                </c:pt>
                <c:pt idx="3">
                  <c:v>1.0359878106508744</c:v>
                </c:pt>
                <c:pt idx="4">
                  <c:v>1.067035764463151</c:v>
                </c:pt>
                <c:pt idx="5">
                  <c:v>1.1010008786517915</c:v>
                </c:pt>
                <c:pt idx="6">
                  <c:v>1.0943076091512396</c:v>
                </c:pt>
                <c:pt idx="7">
                  <c:v>1.0765743981172482</c:v>
                </c:pt>
                <c:pt idx="8">
                  <c:v>1.0972807779293881</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numCache>
            </c:numRef>
          </c:val>
          <c:smooth val="0"/>
          <c:extLst>
            <c:ext xmlns:c16="http://schemas.microsoft.com/office/drawing/2014/chart" uri="{C3380CC4-5D6E-409C-BE32-E72D297353CC}">
              <c16:uniqueId val="{0000000F-2BA9-444F-8707-D51FE9653CBA}"/>
            </c:ext>
          </c:extLst>
        </c:ser>
        <c:dLbls>
          <c:showLegendKey val="0"/>
          <c:showVal val="0"/>
          <c:showCatName val="0"/>
          <c:showSerName val="0"/>
          <c:showPercent val="0"/>
          <c:showBubbleSize val="0"/>
        </c:dLbls>
        <c:smooth val="0"/>
        <c:axId val="1550618240"/>
        <c:axId val="1566707680"/>
      </c:lineChart>
      <c:dateAx>
        <c:axId val="1550618240"/>
        <c:scaling>
          <c:orientation val="minMax"/>
        </c:scaling>
        <c:delete val="0"/>
        <c:axPos val="b"/>
        <c:numFmt formatCode="[$-409]mmm\-yy;@" sourceLinked="0"/>
        <c:majorTickMark val="out"/>
        <c:minorTickMark val="none"/>
        <c:tickLblPos val="nextTo"/>
        <c:txPr>
          <a:bodyPr rot="-5400000" vert="horz"/>
          <a:lstStyle/>
          <a:p>
            <a:pPr>
              <a:defRPr/>
            </a:pPr>
            <a:endParaRPr lang="en-US"/>
          </a:p>
        </c:txPr>
        <c:crossAx val="1566707680"/>
        <c:crosses val="autoZero"/>
        <c:auto val="1"/>
        <c:lblOffset val="100"/>
        <c:baseTimeUnit val="months"/>
      </c:dateAx>
      <c:valAx>
        <c:axId val="1566707680"/>
        <c:scaling>
          <c:orientation val="minMax"/>
          <c:min val="0.750000000000001"/>
        </c:scaling>
        <c:delete val="0"/>
        <c:axPos val="l"/>
        <c:majorGridlines/>
        <c:numFmt formatCode="0%" sourceLinked="0"/>
        <c:majorTickMark val="out"/>
        <c:minorTickMark val="none"/>
        <c:tickLblPos val="nextTo"/>
        <c:crossAx val="1550618240"/>
        <c:crosses val="autoZero"/>
        <c:crossBetween val="between"/>
      </c:valAx>
    </c:plotArea>
    <c:legend>
      <c:legendPos val="l"/>
      <c:layout>
        <c:manualLayout>
          <c:xMode val="edge"/>
          <c:yMode val="edge"/>
          <c:x val="7.3170734517792796E-2"/>
          <c:y val="0.12115466796292799"/>
          <c:w val="0.187287812071742"/>
          <c:h val="0.36469743212849498"/>
        </c:manualLayout>
      </c:layout>
      <c:overlay val="1"/>
      <c:spPr>
        <a:solidFill>
          <a:schemeClr val="bg1"/>
        </a:solidFill>
        <a:ln w="3175">
          <a:solidFill>
            <a:schemeClr val="tx1"/>
          </a:solidFill>
        </a:ln>
      </c:spPr>
    </c:legend>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128" workbookViewId="0"/>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codeName="Chart4"/>
  <sheetViews>
    <sheetView zoomScale="128" workbookViewId="0"/>
  </sheetViews>
  <pageMargins left="0.7" right="0.7" top="0.75" bottom="0.75" header="0.3" footer="0.3"/>
  <pageSetup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codeName="Chart5"/>
  <sheetViews>
    <sheetView zoomScale="12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codeName="Chart6"/>
  <sheetViews>
    <sheetView zoomScale="166" workbookViewId="0" zoomToFit="1"/>
  </sheetViews>
  <pageMargins left="0.7" right="0.7" top="0.75" bottom="0.75" header="0.3" footer="0.3"/>
  <pageSetup orientation="landscape"/>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8671719" cy="6290469"/>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0.63722</cdr:x>
      <cdr:y>0.32742</cdr:y>
    </cdr:from>
    <cdr:to>
      <cdr:x>0.81046</cdr:x>
      <cdr:y>0.45508</cdr:y>
    </cdr:to>
    <cdr:sp macro="" textlink="">
      <cdr:nvSpPr>
        <cdr:cNvPr id="8" name="Straight Arrow Connector 7">
          <a:extLst xmlns:a="http://schemas.openxmlformats.org/drawingml/2006/main">
            <a:ext uri="{FF2B5EF4-FFF2-40B4-BE49-F238E27FC236}">
              <a16:creationId xmlns:a16="http://schemas.microsoft.com/office/drawing/2014/main" id="{9432739C-6D4A-437D-8537-40B46A267D77}"/>
            </a:ext>
          </a:extLst>
        </cdr:cNvPr>
        <cdr:cNvSpPr/>
      </cdr:nvSpPr>
      <cdr:spPr>
        <a:xfrm xmlns:a="http://schemas.openxmlformats.org/drawingml/2006/main" flipH="1" flipV="1">
          <a:off x="5528965" y="2061269"/>
          <a:ext cx="1503164" cy="803672"/>
        </a:xfrm>
        <a:prstGeom xmlns:a="http://schemas.openxmlformats.org/drawingml/2006/main" prst="straightConnector1">
          <a:avLst/>
        </a:prstGeom>
        <a:ln xmlns:a="http://schemas.openxmlformats.org/drawingml/2006/main">
          <a:solidFill>
            <a:srgbClr val="FF0000"/>
          </a:solidFill>
          <a:tailEnd type="arrow"/>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0.63122</cdr:x>
      <cdr:y>0.57329</cdr:y>
    </cdr:from>
    <cdr:to>
      <cdr:x>0.81132</cdr:x>
      <cdr:y>0.58628</cdr:y>
    </cdr:to>
    <cdr:sp macro="" textlink="">
      <cdr:nvSpPr>
        <cdr:cNvPr id="9" name="Straight Arrow Connector 8">
          <a:extLst xmlns:a="http://schemas.openxmlformats.org/drawingml/2006/main">
            <a:ext uri="{FF2B5EF4-FFF2-40B4-BE49-F238E27FC236}">
              <a16:creationId xmlns:a16="http://schemas.microsoft.com/office/drawing/2014/main" id="{6463AB94-9652-4790-93C5-C6D567F632A1}"/>
            </a:ext>
          </a:extLst>
        </cdr:cNvPr>
        <cdr:cNvSpPr/>
      </cdr:nvSpPr>
      <cdr:spPr>
        <a:xfrm xmlns:a="http://schemas.openxmlformats.org/drawingml/2006/main" flipH="1">
          <a:off x="5476862" y="3609082"/>
          <a:ext cx="1562708" cy="81830"/>
        </a:xfrm>
        <a:prstGeom xmlns:a="http://schemas.openxmlformats.org/drawingml/2006/main" prst="straightConnector1">
          <a:avLst/>
        </a:prstGeom>
        <a:ln xmlns:a="http://schemas.openxmlformats.org/drawingml/2006/main">
          <a:solidFill>
            <a:srgbClr val="FFC000"/>
          </a:solidFill>
          <a:tailEnd type="arrow"/>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0.57719</cdr:x>
      <cdr:y>0.33806</cdr:y>
    </cdr:from>
    <cdr:to>
      <cdr:x>0.80875</cdr:x>
      <cdr:y>0.41135</cdr:y>
    </cdr:to>
    <cdr:sp macro="" textlink="">
      <cdr:nvSpPr>
        <cdr:cNvPr id="10" name="Straight Arrow Connector 9">
          <a:extLst xmlns:a="http://schemas.openxmlformats.org/drawingml/2006/main">
            <a:ext uri="{FF2B5EF4-FFF2-40B4-BE49-F238E27FC236}">
              <a16:creationId xmlns:a16="http://schemas.microsoft.com/office/drawing/2014/main" id="{E7FD3004-EE63-4005-ACEE-BB870DE2CB07}"/>
            </a:ext>
          </a:extLst>
        </cdr:cNvPr>
        <cdr:cNvSpPr/>
      </cdr:nvSpPr>
      <cdr:spPr>
        <a:xfrm xmlns:a="http://schemas.openxmlformats.org/drawingml/2006/main" flipH="1" flipV="1">
          <a:off x="5008066" y="2128242"/>
          <a:ext cx="2009180" cy="461367"/>
        </a:xfrm>
        <a:prstGeom xmlns:a="http://schemas.openxmlformats.org/drawingml/2006/main" prst="straightConnector1">
          <a:avLst/>
        </a:prstGeom>
        <a:ln xmlns:a="http://schemas.openxmlformats.org/drawingml/2006/main">
          <a:solidFill>
            <a:srgbClr val="7030A0"/>
          </a:solidFill>
          <a:tailEnd type="arrow"/>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0.68439</cdr:x>
      <cdr:y>0.25414</cdr:y>
    </cdr:from>
    <cdr:to>
      <cdr:x>0.80617</cdr:x>
      <cdr:y>0.26359</cdr:y>
    </cdr:to>
    <cdr:sp macro="" textlink="">
      <cdr:nvSpPr>
        <cdr:cNvPr id="11" name="Straight Arrow Connector 10">
          <a:extLst xmlns:a="http://schemas.openxmlformats.org/drawingml/2006/main">
            <a:ext uri="{FF2B5EF4-FFF2-40B4-BE49-F238E27FC236}">
              <a16:creationId xmlns:a16="http://schemas.microsoft.com/office/drawing/2014/main" id="{6C74391E-7091-404C-9076-48B2D33AC933}"/>
            </a:ext>
          </a:extLst>
        </cdr:cNvPr>
        <cdr:cNvSpPr/>
      </cdr:nvSpPr>
      <cdr:spPr>
        <a:xfrm xmlns:a="http://schemas.openxmlformats.org/drawingml/2006/main" flipH="1" flipV="1">
          <a:off x="5938242" y="1599900"/>
          <a:ext cx="1056680" cy="59533"/>
        </a:xfrm>
        <a:prstGeom xmlns:a="http://schemas.openxmlformats.org/drawingml/2006/main" prst="straightConnector1">
          <a:avLst/>
        </a:prstGeom>
        <a:ln xmlns:a="http://schemas.openxmlformats.org/drawingml/2006/main">
          <a:solidFill>
            <a:srgbClr val="00B050"/>
          </a:solidFill>
          <a:tailEnd type="arrow"/>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71719" cy="6290469"/>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0.1056</cdr:x>
      <cdr:y>0.17494</cdr:y>
    </cdr:from>
    <cdr:to>
      <cdr:x>0.96569</cdr:x>
      <cdr:y>0.90794</cdr:y>
    </cdr:to>
    <cdr:sp macro="" textlink="">
      <cdr:nvSpPr>
        <cdr:cNvPr id="3" name="Straight Connector 2">
          <a:extLst xmlns:a="http://schemas.openxmlformats.org/drawingml/2006/main">
            <a:ext uri="{FF2B5EF4-FFF2-40B4-BE49-F238E27FC236}">
              <a16:creationId xmlns:a16="http://schemas.microsoft.com/office/drawing/2014/main" id="{CCC067F8-488B-485D-8649-97219C979329}"/>
            </a:ext>
          </a:extLst>
        </cdr:cNvPr>
        <cdr:cNvSpPr/>
      </cdr:nvSpPr>
      <cdr:spPr>
        <a:xfrm xmlns:a="http://schemas.openxmlformats.org/drawingml/2006/main" flipV="1">
          <a:off x="916258" y="1101328"/>
          <a:ext cx="7462766" cy="461454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0.72041</cdr:x>
      <cdr:y>0.32506</cdr:y>
    </cdr:from>
    <cdr:to>
      <cdr:x>0.8542</cdr:x>
      <cdr:y>0.44681</cdr:y>
    </cdr:to>
    <cdr:sp macro="" textlink="">
      <cdr:nvSpPr>
        <cdr:cNvPr id="4" name="Straight Arrow Connector 3">
          <a:extLst xmlns:a="http://schemas.openxmlformats.org/drawingml/2006/main">
            <a:ext uri="{FF2B5EF4-FFF2-40B4-BE49-F238E27FC236}">
              <a16:creationId xmlns:a16="http://schemas.microsoft.com/office/drawing/2014/main" id="{A2571090-0F6F-47D0-B61E-8E768CD86FF8}"/>
            </a:ext>
          </a:extLst>
        </cdr:cNvPr>
        <cdr:cNvSpPr/>
      </cdr:nvSpPr>
      <cdr:spPr>
        <a:xfrm xmlns:a="http://schemas.openxmlformats.org/drawingml/2006/main" flipH="1" flipV="1">
          <a:off x="6250781" y="2046386"/>
          <a:ext cx="1160860" cy="766466"/>
        </a:xfrm>
        <a:prstGeom xmlns:a="http://schemas.openxmlformats.org/drawingml/2006/main" prst="straightConnector1">
          <a:avLst/>
        </a:prstGeom>
        <a:noFill xmlns:a="http://schemas.openxmlformats.org/drawingml/2006/main"/>
        <a:ln xmlns:a="http://schemas.openxmlformats.org/drawingml/2006/main" w="25400" cap="flat" cmpd="sng" algn="ctr">
          <a:solidFill>
            <a:srgbClr val="FF000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dr:relSizeAnchor xmlns:cdr="http://schemas.openxmlformats.org/drawingml/2006/chartDrawing">
    <cdr:from>
      <cdr:x>0.58575</cdr:x>
      <cdr:y>0.57092</cdr:y>
    </cdr:from>
    <cdr:to>
      <cdr:x>0.68696</cdr:x>
      <cdr:y>0.58392</cdr:y>
    </cdr:to>
    <cdr:sp macro="" textlink="">
      <cdr:nvSpPr>
        <cdr:cNvPr id="6" name="Straight Arrow Connector 5">
          <a:extLst xmlns:a="http://schemas.openxmlformats.org/drawingml/2006/main">
            <a:ext uri="{FF2B5EF4-FFF2-40B4-BE49-F238E27FC236}">
              <a16:creationId xmlns:a16="http://schemas.microsoft.com/office/drawing/2014/main" id="{96809D45-B2AB-47B0-9868-48A60DE7A8DE}"/>
            </a:ext>
          </a:extLst>
        </cdr:cNvPr>
        <cdr:cNvSpPr/>
      </cdr:nvSpPr>
      <cdr:spPr>
        <a:xfrm xmlns:a="http://schemas.openxmlformats.org/drawingml/2006/main" flipH="1">
          <a:off x="5082382" y="3594199"/>
          <a:ext cx="878183" cy="81804"/>
        </a:xfrm>
        <a:prstGeom xmlns:a="http://schemas.openxmlformats.org/drawingml/2006/main" prst="straightConnector1">
          <a:avLst/>
        </a:prstGeom>
        <a:noFill xmlns:a="http://schemas.openxmlformats.org/drawingml/2006/main"/>
        <a:ln xmlns:a="http://schemas.openxmlformats.org/drawingml/2006/main" w="25400" cap="flat" cmpd="sng" algn="ctr">
          <a:solidFill>
            <a:srgbClr val="FFC00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dr:relSizeAnchor xmlns:cdr="http://schemas.openxmlformats.org/drawingml/2006/chartDrawing">
    <cdr:from>
      <cdr:x>0.54031</cdr:x>
      <cdr:y>0.34043</cdr:y>
    </cdr:from>
    <cdr:to>
      <cdr:x>0.6518</cdr:x>
      <cdr:y>0.40307</cdr:y>
    </cdr:to>
    <cdr:sp macro="" textlink="">
      <cdr:nvSpPr>
        <cdr:cNvPr id="7" name="Straight Arrow Connector 6">
          <a:extLst xmlns:a="http://schemas.openxmlformats.org/drawingml/2006/main">
            <a:ext uri="{FF2B5EF4-FFF2-40B4-BE49-F238E27FC236}">
              <a16:creationId xmlns:a16="http://schemas.microsoft.com/office/drawing/2014/main" id="{F2F72CA9-570F-4723-82F0-17F033083EA8}"/>
            </a:ext>
          </a:extLst>
        </cdr:cNvPr>
        <cdr:cNvSpPr/>
      </cdr:nvSpPr>
      <cdr:spPr>
        <a:xfrm xmlns:a="http://schemas.openxmlformats.org/drawingml/2006/main" flipH="1" flipV="1">
          <a:off x="4688085" y="2143124"/>
          <a:ext cx="967383" cy="394396"/>
        </a:xfrm>
        <a:prstGeom xmlns:a="http://schemas.openxmlformats.org/drawingml/2006/main" prst="straightConnector1">
          <a:avLst/>
        </a:prstGeom>
        <a:noFill xmlns:a="http://schemas.openxmlformats.org/drawingml/2006/main"/>
        <a:ln xmlns:a="http://schemas.openxmlformats.org/drawingml/2006/main" w="25400" cap="flat" cmpd="sng" algn="ctr">
          <a:solidFill>
            <a:srgbClr val="7030A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dr:relSizeAnchor xmlns:cdr="http://schemas.openxmlformats.org/drawingml/2006/chartDrawing">
    <cdr:from>
      <cdr:x>0.60892</cdr:x>
      <cdr:y>0.2565</cdr:y>
    </cdr:from>
    <cdr:to>
      <cdr:x>0.66467</cdr:x>
      <cdr:y>0.26376</cdr:y>
    </cdr:to>
    <cdr:sp macro="" textlink="">
      <cdr:nvSpPr>
        <cdr:cNvPr id="8" name="Straight Arrow Connector 7">
          <a:extLst xmlns:a="http://schemas.openxmlformats.org/drawingml/2006/main">
            <a:ext uri="{FF2B5EF4-FFF2-40B4-BE49-F238E27FC236}">
              <a16:creationId xmlns:a16="http://schemas.microsoft.com/office/drawing/2014/main" id="{0E9E96C6-9195-406C-BD38-DB999F8831DB}"/>
            </a:ext>
          </a:extLst>
        </cdr:cNvPr>
        <cdr:cNvSpPr/>
      </cdr:nvSpPr>
      <cdr:spPr>
        <a:xfrm xmlns:a="http://schemas.openxmlformats.org/drawingml/2006/main" flipH="1" flipV="1">
          <a:off x="5283398" y="1614783"/>
          <a:ext cx="483692" cy="45719"/>
        </a:xfrm>
        <a:prstGeom xmlns:a="http://schemas.openxmlformats.org/drawingml/2006/main" prst="straightConnector1">
          <a:avLst/>
        </a:prstGeom>
        <a:noFill xmlns:a="http://schemas.openxmlformats.org/drawingml/2006/main"/>
        <a:ln xmlns:a="http://schemas.openxmlformats.org/drawingml/2006/main" w="25400" cap="flat" cmpd="sng" algn="ctr">
          <a:solidFill>
            <a:srgbClr val="00B05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71719" cy="6290469"/>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0.1056</cdr:x>
      <cdr:y>0.19858</cdr:y>
    </cdr:from>
    <cdr:to>
      <cdr:x>0.96569</cdr:x>
      <cdr:y>0.90794</cdr:y>
    </cdr:to>
    <cdr:sp macro="" textlink="">
      <cdr:nvSpPr>
        <cdr:cNvPr id="3" name="Straight Connector 2">
          <a:extLst xmlns:a="http://schemas.openxmlformats.org/drawingml/2006/main">
            <a:ext uri="{FF2B5EF4-FFF2-40B4-BE49-F238E27FC236}">
              <a16:creationId xmlns:a16="http://schemas.microsoft.com/office/drawing/2014/main" id="{D14A37D7-0C80-4E89-9F9B-972834C029DB}"/>
            </a:ext>
          </a:extLst>
        </cdr:cNvPr>
        <cdr:cNvSpPr/>
      </cdr:nvSpPr>
      <cdr:spPr>
        <a:xfrm xmlns:a="http://schemas.openxmlformats.org/drawingml/2006/main" flipV="1">
          <a:off x="916258" y="1250156"/>
          <a:ext cx="7462766" cy="4465717"/>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0.51458</cdr:x>
      <cdr:y>0.56974</cdr:y>
    </cdr:from>
    <cdr:to>
      <cdr:x>0.6235</cdr:x>
      <cdr:y>0.58864</cdr:y>
    </cdr:to>
    <cdr:sp macro="" textlink="">
      <cdr:nvSpPr>
        <cdr:cNvPr id="7" name="Straight Arrow Connector 6">
          <a:extLst xmlns:a="http://schemas.openxmlformats.org/drawingml/2006/main">
            <a:ext uri="{FF2B5EF4-FFF2-40B4-BE49-F238E27FC236}">
              <a16:creationId xmlns:a16="http://schemas.microsoft.com/office/drawing/2014/main" id="{60C07CE9-C9C1-442C-A8A0-C1FFE618ACFA}"/>
            </a:ext>
          </a:extLst>
        </cdr:cNvPr>
        <cdr:cNvSpPr/>
      </cdr:nvSpPr>
      <cdr:spPr>
        <a:xfrm xmlns:a="http://schemas.openxmlformats.org/drawingml/2006/main" flipH="1">
          <a:off x="4464831" y="3586758"/>
          <a:ext cx="945070" cy="118998"/>
        </a:xfrm>
        <a:prstGeom xmlns:a="http://schemas.openxmlformats.org/drawingml/2006/main" prst="straightConnector1">
          <a:avLst/>
        </a:prstGeom>
        <a:noFill xmlns:a="http://schemas.openxmlformats.org/drawingml/2006/main"/>
        <a:ln xmlns:a="http://schemas.openxmlformats.org/drawingml/2006/main" w="25400" cap="flat" cmpd="sng" algn="ctr">
          <a:solidFill>
            <a:srgbClr val="FFC00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dr:relSizeAnchor xmlns:cdr="http://schemas.openxmlformats.org/drawingml/2006/chartDrawing">
    <cdr:from>
      <cdr:x>0.50772</cdr:x>
      <cdr:y>0.34279</cdr:y>
    </cdr:from>
    <cdr:to>
      <cdr:x>0.6741</cdr:x>
      <cdr:y>0.40662</cdr:y>
    </cdr:to>
    <cdr:sp macro="" textlink="">
      <cdr:nvSpPr>
        <cdr:cNvPr id="8" name="Straight Arrow Connector 7">
          <a:extLst xmlns:a="http://schemas.openxmlformats.org/drawingml/2006/main">
            <a:ext uri="{FF2B5EF4-FFF2-40B4-BE49-F238E27FC236}">
              <a16:creationId xmlns:a16="http://schemas.microsoft.com/office/drawing/2014/main" id="{E232E2DE-536C-48A6-97EE-7D60209F9020}"/>
            </a:ext>
          </a:extLst>
        </cdr:cNvPr>
        <cdr:cNvSpPr/>
      </cdr:nvSpPr>
      <cdr:spPr>
        <a:xfrm xmlns:a="http://schemas.openxmlformats.org/drawingml/2006/main" flipH="1" flipV="1">
          <a:off x="4405313" y="2158008"/>
          <a:ext cx="1443632" cy="401836"/>
        </a:xfrm>
        <a:prstGeom xmlns:a="http://schemas.openxmlformats.org/drawingml/2006/main" prst="straightConnector1">
          <a:avLst/>
        </a:prstGeom>
        <a:noFill xmlns:a="http://schemas.openxmlformats.org/drawingml/2006/main"/>
        <a:ln xmlns:a="http://schemas.openxmlformats.org/drawingml/2006/main" w="25400" cap="flat" cmpd="sng" algn="ctr">
          <a:solidFill>
            <a:srgbClr val="7030A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dr:relSizeAnchor xmlns:cdr="http://schemas.openxmlformats.org/drawingml/2006/chartDrawing">
    <cdr:from>
      <cdr:x>0.60463</cdr:x>
      <cdr:y>0.25177</cdr:y>
    </cdr:from>
    <cdr:to>
      <cdr:x>0.70497</cdr:x>
      <cdr:y>0.26241</cdr:y>
    </cdr:to>
    <cdr:sp macro="" textlink="">
      <cdr:nvSpPr>
        <cdr:cNvPr id="9" name="Straight Arrow Connector 8">
          <a:extLst xmlns:a="http://schemas.openxmlformats.org/drawingml/2006/main">
            <a:ext uri="{FF2B5EF4-FFF2-40B4-BE49-F238E27FC236}">
              <a16:creationId xmlns:a16="http://schemas.microsoft.com/office/drawing/2014/main" id="{4C0BE6AD-6DC8-4FBE-BA7B-EBB7F8BA5692}"/>
            </a:ext>
          </a:extLst>
        </cdr:cNvPr>
        <cdr:cNvSpPr/>
      </cdr:nvSpPr>
      <cdr:spPr>
        <a:xfrm xmlns:a="http://schemas.openxmlformats.org/drawingml/2006/main" flipH="1" flipV="1">
          <a:off x="5246191" y="1585018"/>
          <a:ext cx="870645" cy="66973"/>
        </a:xfrm>
        <a:prstGeom xmlns:a="http://schemas.openxmlformats.org/drawingml/2006/main" prst="straightConnector1">
          <a:avLst/>
        </a:prstGeom>
        <a:noFill xmlns:a="http://schemas.openxmlformats.org/drawingml/2006/main"/>
        <a:ln xmlns:a="http://schemas.openxmlformats.org/drawingml/2006/main" w="25400" cap="flat" cmpd="sng" algn="ctr">
          <a:solidFill>
            <a:srgbClr val="00B05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dr:relSizeAnchor xmlns:cdr="http://schemas.openxmlformats.org/drawingml/2006/chartDrawing">
    <cdr:from>
      <cdr:x>0.61664</cdr:x>
      <cdr:y>0.32033</cdr:y>
    </cdr:from>
    <cdr:to>
      <cdr:x>0.80103</cdr:x>
      <cdr:y>0.44917</cdr:y>
    </cdr:to>
    <cdr:sp macro="" textlink="">
      <cdr:nvSpPr>
        <cdr:cNvPr id="10" name="Straight Arrow Connector 9">
          <a:extLst xmlns:a="http://schemas.openxmlformats.org/drawingml/2006/main">
            <a:ext uri="{FF2B5EF4-FFF2-40B4-BE49-F238E27FC236}">
              <a16:creationId xmlns:a16="http://schemas.microsoft.com/office/drawing/2014/main" id="{3F799BFB-733D-4E82-BC6F-5C7A68DBBDDD}"/>
            </a:ext>
          </a:extLst>
        </cdr:cNvPr>
        <cdr:cNvSpPr/>
      </cdr:nvSpPr>
      <cdr:spPr>
        <a:xfrm xmlns:a="http://schemas.openxmlformats.org/drawingml/2006/main" flipH="1" flipV="1">
          <a:off x="5350369" y="2016620"/>
          <a:ext cx="1599903" cy="811114"/>
        </a:xfrm>
        <a:prstGeom xmlns:a="http://schemas.openxmlformats.org/drawingml/2006/main" prst="straightConnector1">
          <a:avLst/>
        </a:prstGeom>
        <a:noFill xmlns:a="http://schemas.openxmlformats.org/drawingml/2006/main"/>
        <a:ln xmlns:a="http://schemas.openxmlformats.org/drawingml/2006/main" w="25400" cap="flat" cmpd="sng" algn="ctr">
          <a:solidFill>
            <a:srgbClr val="FF0000"/>
          </a:solidFill>
          <a:prstDash val="solid"/>
          <a:tailEnd type="arrow"/>
        </a:ln>
        <a:effectLst xmlns:a="http://schemas.openxmlformats.org/drawingml/2006/main">
          <a:outerShdw blurRad="40000" dist="20000" dir="5400000" rotWithShape="0">
            <a:srgbClr val="000000">
              <a:alpha val="38000"/>
            </a:srgbClr>
          </a:outerShdw>
        </a:effec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668133" cy="6281145"/>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files\files\Matt%20H\Horizon%20Return%20Dashboar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eturn Setting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ColWidth="8.625" defaultRowHeight="15.75" x14ac:dyDescent="0.25"/>
  <cols>
    <col min="1" max="160" width="11.125" customWidth="1"/>
    <col min="161" max="173" width="11.125" bestFit="1" customWidth="1"/>
    <col min="174" max="174" width="8.5" customWidth="1"/>
    <col min="175" max="175" width="22" bestFit="1" customWidth="1"/>
    <col min="176" max="176" width="25.125" bestFit="1" customWidth="1"/>
    <col min="177" max="177" width="11.125" bestFit="1" customWidth="1"/>
    <col min="178" max="178" width="11.625" bestFit="1" customWidth="1"/>
    <col min="179" max="179" width="11"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Q58"/>
  <sheetViews>
    <sheetView workbookViewId="0">
      <selection activeCell="F11" sqref="F11"/>
    </sheetView>
  </sheetViews>
  <sheetFormatPr defaultColWidth="8.625" defaultRowHeight="15.75" x14ac:dyDescent="0.25"/>
  <cols>
    <col min="1" max="1" width="22.625" bestFit="1" customWidth="1"/>
    <col min="8" max="8" width="31.625" customWidth="1"/>
  </cols>
  <sheetData>
    <row r="1" spans="1:17" ht="21" x14ac:dyDescent="0.35">
      <c r="A1" s="322" t="s">
        <v>0</v>
      </c>
      <c r="B1" s="322"/>
      <c r="C1" s="322"/>
      <c r="D1" s="322"/>
      <c r="E1" s="322"/>
      <c r="H1" s="322" t="s">
        <v>0</v>
      </c>
      <c r="I1" s="322"/>
      <c r="J1" s="322"/>
      <c r="K1" s="322"/>
      <c r="L1" s="322"/>
      <c r="M1" s="322"/>
      <c r="N1" s="322"/>
      <c r="O1" s="322"/>
    </row>
    <row r="2" spans="1:17" x14ac:dyDescent="0.25">
      <c r="A2" s="323" t="str">
        <f>"Performance ending "&amp;MONTH(MAX('LC (Gross)'!A:A))&amp;"/"&amp;DAY(MAX('LC (Gross)'!A:A))&amp;"/"&amp;YEAR(MAX('LC (Gross)'!A:A))</f>
        <v>Performance ending 12/31/2025</v>
      </c>
      <c r="B2" s="323"/>
      <c r="C2" s="323"/>
      <c r="D2" s="323"/>
      <c r="E2" s="323"/>
      <c r="H2" s="323" t="str">
        <f>"Performance ending "&amp;MONTH(MAX('LC (Gross)'!A:A))&amp;"/"&amp;DAY(MAX('LC (Gross)'!A:A))&amp;"/"&amp;YEAR(MAX('LC (Gross)'!A:A))</f>
        <v>Performance ending 12/31/2025</v>
      </c>
      <c r="I2" s="323"/>
      <c r="J2" s="323"/>
      <c r="K2" s="323"/>
      <c r="L2" s="323"/>
      <c r="M2" s="323"/>
      <c r="N2" s="323"/>
      <c r="O2" s="323"/>
    </row>
    <row r="3" spans="1:17" ht="16.5" thickBot="1" x14ac:dyDescent="0.3"/>
    <row r="4" spans="1:17" x14ac:dyDescent="0.25">
      <c r="A4" s="72">
        <f>MAX('LC (Gross)'!A:A)</f>
        <v>46022</v>
      </c>
      <c r="B4" s="67" t="s">
        <v>1</v>
      </c>
      <c r="C4" s="67" t="s">
        <v>2</v>
      </c>
      <c r="D4" s="67" t="s">
        <v>3</v>
      </c>
      <c r="E4" s="68" t="s">
        <v>4</v>
      </c>
      <c r="H4" s="72" t="str">
        <f>"Performance on "&amp;MONTH($A$4)&amp;"/"&amp;DAY($A$4)&amp;"/"&amp;YEAR($A$4)</f>
        <v>Performance on 12/31/2025</v>
      </c>
      <c r="I4" s="67" t="s">
        <v>5</v>
      </c>
      <c r="J4" s="67" t="s">
        <v>6</v>
      </c>
      <c r="K4" s="67" t="s">
        <v>7</v>
      </c>
      <c r="L4" s="67" t="s">
        <v>8</v>
      </c>
      <c r="M4" s="67" t="s">
        <v>9</v>
      </c>
      <c r="N4" s="115" t="s">
        <v>10</v>
      </c>
      <c r="O4" s="68" t="s">
        <v>11</v>
      </c>
      <c r="Q4" s="23"/>
    </row>
    <row r="5" spans="1:17" x14ac:dyDescent="0.25">
      <c r="A5" s="69" t="s">
        <v>12</v>
      </c>
      <c r="B5" s="64">
        <f>VLOOKUP($A$4,'LC (Gross)'!A:D,4,0)</f>
        <v>-5.0948326786837334E-2</v>
      </c>
      <c r="C5" s="64">
        <f>VLOOKUP($A$4,'LC (Gross)'!J:K,2,0)</f>
        <v>5.9176079999999999E-2</v>
      </c>
      <c r="D5" s="64">
        <f t="shared" ref="D5:D9" si="0">B5-C5</f>
        <v>-0.11012440678683733</v>
      </c>
      <c r="E5" s="116">
        <f t="shared" ref="E5:E9" si="1">B5/C5</f>
        <v>-0.86096150314176501</v>
      </c>
      <c r="H5" s="69" t="s">
        <v>13</v>
      </c>
      <c r="I5" s="64">
        <f>B5</f>
        <v>-5.0948326786837334E-2</v>
      </c>
      <c r="J5" s="64">
        <f>B13</f>
        <v>3.6945085115160703</v>
      </c>
      <c r="K5" s="64">
        <f ca="1">B21</f>
        <v>9.8795519258839661</v>
      </c>
      <c r="L5" s="64">
        <f ca="1">B29</f>
        <v>9.8795519258839661</v>
      </c>
      <c r="M5" s="64">
        <f ca="1">B37</f>
        <v>13.63960941573219</v>
      </c>
      <c r="N5" s="117">
        <f ca="1">B45</f>
        <v>9.084744023186575</v>
      </c>
      <c r="O5" s="118">
        <f ca="1">B53</f>
        <v>12.725922947307522</v>
      </c>
    </row>
    <row r="6" spans="1:17" x14ac:dyDescent="0.25">
      <c r="A6" s="69" t="s">
        <v>14</v>
      </c>
      <c r="B6" s="64">
        <f>VLOOKUP($A$4,'LC (Gross)'!A:D,4,0)</f>
        <v>-5.0948326786837334E-2</v>
      </c>
      <c r="C6" s="64">
        <f>VLOOKUP($A$4,'LC (Gross)'!P:Q,2,0)</f>
        <v>-0.85063069999999996</v>
      </c>
      <c r="D6" s="64">
        <f t="shared" si="0"/>
        <v>0.7996823732131626</v>
      </c>
      <c r="E6" s="116">
        <f t="shared" si="1"/>
        <v>5.9894766068091986E-2</v>
      </c>
      <c r="H6" s="69" t="s">
        <v>15</v>
      </c>
      <c r="I6" s="64">
        <f>C5</f>
        <v>5.9176079999999999E-2</v>
      </c>
      <c r="J6" s="64">
        <f>C13</f>
        <v>2.6529335146884492</v>
      </c>
      <c r="K6" s="64">
        <f ca="1">C21</f>
        <v>17.859983918730183</v>
      </c>
      <c r="L6" s="64">
        <f ca="1">C29</f>
        <v>17.859983918730183</v>
      </c>
      <c r="M6" s="64">
        <f ca="1">C37</f>
        <v>22.982388961227262</v>
      </c>
      <c r="N6" s="117">
        <f ca="1">C45</f>
        <v>14.40023564398658</v>
      </c>
      <c r="O6" s="118">
        <f ca="1">C53</f>
        <v>13.954857158133338</v>
      </c>
    </row>
    <row r="7" spans="1:17" ht="16.5" thickBot="1" x14ac:dyDescent="0.3">
      <c r="A7" s="69" t="s">
        <v>16</v>
      </c>
      <c r="B7" s="64">
        <f>VLOOKUP($A$4,'Global (Gross)'!A:D,4,0)</f>
        <v>0.35737099999999999</v>
      </c>
      <c r="C7" s="64">
        <f>VLOOKUP($A$4,'Global (Gross)'!J:K,2,0)</f>
        <v>1.0703</v>
      </c>
      <c r="D7" s="64">
        <f t="shared" si="0"/>
        <v>-0.71292900000000003</v>
      </c>
      <c r="E7" s="116">
        <f t="shared" si="1"/>
        <v>0.33389797253106607</v>
      </c>
      <c r="H7" s="70" t="s">
        <v>17</v>
      </c>
      <c r="I7" s="71">
        <f t="shared" ref="I7:O7" si="2">I5-I6</f>
        <v>-0.11012440678683733</v>
      </c>
      <c r="J7" s="71">
        <f t="shared" si="2"/>
        <v>1.0415749968276211</v>
      </c>
      <c r="K7" s="71">
        <f t="shared" ca="1" si="2"/>
        <v>-7.9804319928462171</v>
      </c>
      <c r="L7" s="71">
        <f t="shared" ca="1" si="2"/>
        <v>-7.9804319928462171</v>
      </c>
      <c r="M7" s="71">
        <f t="shared" ca="1" si="2"/>
        <v>-9.3427795454950715</v>
      </c>
      <c r="N7" s="71">
        <f t="shared" ca="1" si="2"/>
        <v>-5.3154916208000049</v>
      </c>
      <c r="O7" s="119">
        <f t="shared" ca="1" si="2"/>
        <v>-1.2289342108258161</v>
      </c>
    </row>
    <row r="8" spans="1:17" x14ac:dyDescent="0.25">
      <c r="A8" s="69" t="s">
        <v>18</v>
      </c>
      <c r="B8" s="64" t="e">
        <f>VLOOKUP($A$4,'SC (Gross)'!A:D,4,0)</f>
        <v>#N/A</v>
      </c>
      <c r="C8" s="64" t="e">
        <f>VLOOKUP($A$4,'SC (Gross)'!J:K,2,0)</f>
        <v>#N/A</v>
      </c>
      <c r="D8" s="64" t="e">
        <f t="shared" si="0"/>
        <v>#N/A</v>
      </c>
      <c r="E8" s="116" t="e">
        <f t="shared" si="1"/>
        <v>#N/A</v>
      </c>
      <c r="H8" t="s">
        <v>19</v>
      </c>
    </row>
    <row r="9" spans="1:17" ht="16.5" thickBot="1" x14ac:dyDescent="0.3">
      <c r="A9" s="70" t="s">
        <v>20</v>
      </c>
      <c r="B9" s="71" t="e">
        <f>VLOOKUP($A$4,ITL!A:D,4,0)</f>
        <v>#N/A</v>
      </c>
      <c r="C9" s="71" t="e">
        <f>VLOOKUP($A$4,ITL!J:K,2,0)</f>
        <v>#N/A</v>
      </c>
      <c r="D9" s="71" t="e">
        <f t="shared" si="0"/>
        <v>#N/A</v>
      </c>
      <c r="E9" s="120" t="e">
        <f t="shared" si="1"/>
        <v>#N/A</v>
      </c>
    </row>
    <row r="10" spans="1:17" x14ac:dyDescent="0.25">
      <c r="B10" s="36"/>
      <c r="C10" s="36"/>
      <c r="D10" s="36"/>
      <c r="E10" s="137"/>
      <c r="H10" s="72" t="str">
        <f>"Performance on "&amp;MONTH($A$4)&amp;"/"&amp;DAY($A$4)&amp;"/"&amp;YEAR($A$4)</f>
        <v>Performance on 12/31/2025</v>
      </c>
      <c r="I10" s="67" t="s">
        <v>5</v>
      </c>
      <c r="J10" s="67" t="s">
        <v>6</v>
      </c>
      <c r="K10" s="67" t="s">
        <v>7</v>
      </c>
      <c r="L10" s="67" t="s">
        <v>8</v>
      </c>
      <c r="M10" s="67" t="s">
        <v>9</v>
      </c>
      <c r="N10" s="115" t="s">
        <v>10</v>
      </c>
      <c r="O10" s="68" t="s">
        <v>11</v>
      </c>
    </row>
    <row r="11" spans="1:17" ht="16.5" thickBot="1" x14ac:dyDescent="0.3">
      <c r="H11" s="69" t="s">
        <v>21</v>
      </c>
      <c r="I11" s="64">
        <f>B7</f>
        <v>0.35737099999999999</v>
      </c>
      <c r="J11" s="64">
        <f>B15</f>
        <v>1.48682499891859</v>
      </c>
      <c r="K11" s="64">
        <f ca="1">B23</f>
        <v>12.659470144866081</v>
      </c>
      <c r="L11" s="64">
        <f ca="1">B31</f>
        <v>12.659470144866081</v>
      </c>
      <c r="M11" s="64">
        <f ca="1">B39</f>
        <v>12.376696040335823</v>
      </c>
      <c r="N11" s="117">
        <f ca="1">B47</f>
        <v>7.7968754742904656</v>
      </c>
      <c r="O11" s="118">
        <f ca="1">B55</f>
        <v>10.047427669983101</v>
      </c>
    </row>
    <row r="12" spans="1:17" x14ac:dyDescent="0.25">
      <c r="A12" s="66" t="s">
        <v>6</v>
      </c>
      <c r="B12" s="67" t="s">
        <v>1</v>
      </c>
      <c r="C12" s="67" t="s">
        <v>2</v>
      </c>
      <c r="D12" s="67" t="s">
        <v>3</v>
      </c>
      <c r="E12" s="68" t="s">
        <v>4</v>
      </c>
      <c r="H12" s="69" t="s">
        <v>22</v>
      </c>
      <c r="I12" s="64">
        <f>C7</f>
        <v>1.0703</v>
      </c>
      <c r="J12" s="64">
        <f>C15</f>
        <v>3.3691709372664969</v>
      </c>
      <c r="K12" s="64">
        <f ca="1">C23</f>
        <v>22.892596725979629</v>
      </c>
      <c r="L12" s="64">
        <f ca="1">C31</f>
        <v>22.892596725979629</v>
      </c>
      <c r="M12" s="64">
        <f ca="1">C39</f>
        <v>21.210630310269774</v>
      </c>
      <c r="N12" s="117">
        <f ca="1">C47</f>
        <v>11.708135953882426</v>
      </c>
      <c r="O12" s="118">
        <f ca="1">C55</f>
        <v>11.03347337675622</v>
      </c>
    </row>
    <row r="13" spans="1:17" ht="16.5" thickBot="1" x14ac:dyDescent="0.3">
      <c r="A13" s="69" t="s">
        <v>12</v>
      </c>
      <c r="B13" s="64">
        <f>VLOOKUP($A$4,'LC (Gross)'!A:H,7,0)</f>
        <v>3.6945085115160703</v>
      </c>
      <c r="C13" s="64">
        <f>VLOOKUP($A$4,'LC (Gross)'!J:N,5,0)</f>
        <v>2.6529335146884492</v>
      </c>
      <c r="D13" s="64">
        <f t="shared" ref="D13:D17" si="3">B13-C13</f>
        <v>1.0415749968276211</v>
      </c>
      <c r="E13" s="116">
        <f t="shared" ref="E13:E17" si="4">B13/C13</f>
        <v>1.3926125517510151</v>
      </c>
      <c r="H13" s="70" t="s">
        <v>17</v>
      </c>
      <c r="I13" s="71">
        <f t="shared" ref="I13:O13" si="5">I11-I12</f>
        <v>-0.71292900000000003</v>
      </c>
      <c r="J13" s="71">
        <f t="shared" si="5"/>
        <v>-1.8823459383479069</v>
      </c>
      <c r="K13" s="71">
        <f t="shared" ca="1" si="5"/>
        <v>-10.233126581113549</v>
      </c>
      <c r="L13" s="71">
        <f t="shared" ca="1" si="5"/>
        <v>-10.233126581113549</v>
      </c>
      <c r="M13" s="71">
        <f t="shared" ca="1" si="5"/>
        <v>-8.8339342699339518</v>
      </c>
      <c r="N13" s="71">
        <f t="shared" ca="1" si="5"/>
        <v>-3.9112604795919603</v>
      </c>
      <c r="O13" s="119">
        <f t="shared" ca="1" si="5"/>
        <v>-0.98604570677311898</v>
      </c>
    </row>
    <row r="14" spans="1:17" x14ac:dyDescent="0.25">
      <c r="A14" s="69" t="s">
        <v>14</v>
      </c>
      <c r="B14" s="64">
        <f>VLOOKUP($A$4,'LC (Gross)'!A:H,7,0)</f>
        <v>3.6945085115160703</v>
      </c>
      <c r="C14" s="64">
        <f>VLOOKUP($A$4,'LC (Gross)'!P:T,5,0)</f>
        <v>2.365866460169741</v>
      </c>
      <c r="D14" s="64">
        <f t="shared" si="3"/>
        <v>1.3286420513463293</v>
      </c>
      <c r="E14" s="116">
        <f t="shared" si="4"/>
        <v>1.5615879314046341</v>
      </c>
      <c r="H14" t="s">
        <v>23</v>
      </c>
    </row>
    <row r="15" spans="1:17" ht="16.5" thickBot="1" x14ac:dyDescent="0.3">
      <c r="A15" s="69" t="s">
        <v>16</v>
      </c>
      <c r="B15" s="64">
        <f>VLOOKUP($A$4,'Global (Gross)'!A:H,7,0)</f>
        <v>1.48682499891859</v>
      </c>
      <c r="C15" s="64">
        <f>VLOOKUP($A$4,'Global (Gross)'!J:N,5,0)</f>
        <v>3.3691709372664969</v>
      </c>
      <c r="D15" s="64">
        <f t="shared" si="3"/>
        <v>-1.8823459383479069</v>
      </c>
      <c r="E15" s="116">
        <f t="shared" si="4"/>
        <v>0.44130292781312336</v>
      </c>
    </row>
    <row r="16" spans="1:17" x14ac:dyDescent="0.25">
      <c r="A16" s="69" t="s">
        <v>18</v>
      </c>
      <c r="B16" s="64" t="e">
        <f>VLOOKUP($A$4,'SC (Gross)'!A:H,7,0)</f>
        <v>#N/A</v>
      </c>
      <c r="C16" s="64" t="e">
        <f>VLOOKUP($A$4,'SC (Gross)'!J:N,5,0)</f>
        <v>#N/A</v>
      </c>
      <c r="D16" s="64" t="e">
        <f t="shared" si="3"/>
        <v>#N/A</v>
      </c>
      <c r="E16" s="116" t="e">
        <f t="shared" si="4"/>
        <v>#N/A</v>
      </c>
      <c r="H16" s="72" t="str">
        <f>"Performance on "&amp;MONTH($A$4)&amp;"/"&amp;DAY($A$4)&amp;"/"&amp;YEAR($A$4)</f>
        <v>Performance on 12/31/2025</v>
      </c>
      <c r="I16" s="67" t="s">
        <v>5</v>
      </c>
      <c r="J16" s="67" t="s">
        <v>6</v>
      </c>
      <c r="K16" s="67" t="s">
        <v>7</v>
      </c>
      <c r="L16" s="67" t="s">
        <v>8</v>
      </c>
      <c r="M16" s="67" t="s">
        <v>9</v>
      </c>
      <c r="N16" s="67" t="s">
        <v>10</v>
      </c>
      <c r="O16" s="68" t="s">
        <v>11</v>
      </c>
    </row>
    <row r="17" spans="1:15" ht="16.5" thickBot="1" x14ac:dyDescent="0.3">
      <c r="A17" s="70" t="s">
        <v>20</v>
      </c>
      <c r="B17" s="71" t="e">
        <f>VLOOKUP($A$4,ITL!A:H,7,0)</f>
        <v>#N/A</v>
      </c>
      <c r="C17" s="71" t="e">
        <f>VLOOKUP($A$4,ITL!J:N,5,0)</f>
        <v>#N/A</v>
      </c>
      <c r="D17" s="71" t="e">
        <f t="shared" si="3"/>
        <v>#N/A</v>
      </c>
      <c r="E17" s="120" t="e">
        <f t="shared" si="4"/>
        <v>#N/A</v>
      </c>
      <c r="H17" s="69" t="s">
        <v>24</v>
      </c>
      <c r="I17" s="64" t="e">
        <f>B8</f>
        <v>#N/A</v>
      </c>
      <c r="J17" s="64" t="e">
        <f>B16</f>
        <v>#N/A</v>
      </c>
      <c r="K17" s="64" t="str">
        <f ca="1">B24</f>
        <v>N/A</v>
      </c>
      <c r="L17" s="64">
        <f ca="1">B32</f>
        <v>0</v>
      </c>
      <c r="M17" s="64">
        <f ca="1">B40</f>
        <v>0.40159714493863685</v>
      </c>
      <c r="N17" s="64">
        <f ca="1">B48</f>
        <v>1.5306950300881583</v>
      </c>
      <c r="O17" s="118">
        <f ca="1">B56</f>
        <v>7.3796505564889259</v>
      </c>
    </row>
    <row r="18" spans="1:15" x14ac:dyDescent="0.25">
      <c r="B18" s="36"/>
      <c r="C18" s="36"/>
      <c r="D18" s="36"/>
      <c r="E18" s="137"/>
      <c r="H18" s="69" t="s">
        <v>25</v>
      </c>
      <c r="I18" s="64" t="e">
        <f>C8</f>
        <v>#N/A</v>
      </c>
      <c r="J18" s="64" t="e">
        <f>C16</f>
        <v>#N/A</v>
      </c>
      <c r="K18" s="64" t="str">
        <f ca="1">C24</f>
        <v>N/A</v>
      </c>
      <c r="L18" s="64">
        <f ca="1">C32</f>
        <v>11.52690924963682</v>
      </c>
      <c r="M18" s="64">
        <f ca="1">C40</f>
        <v>1.2125139595128509</v>
      </c>
      <c r="N18" s="64">
        <f ca="1">C48</f>
        <v>7.375628675682866</v>
      </c>
      <c r="O18" s="118">
        <f ca="1">C56</f>
        <v>7.8616628326007909</v>
      </c>
    </row>
    <row r="19" spans="1:15" ht="16.5" thickBot="1" x14ac:dyDescent="0.3">
      <c r="H19" s="70" t="s">
        <v>17</v>
      </c>
      <c r="I19" s="71" t="e">
        <f t="shared" ref="I19:O19" si="6">I17-I18</f>
        <v>#N/A</v>
      </c>
      <c r="J19" s="71" t="e">
        <f t="shared" si="6"/>
        <v>#N/A</v>
      </c>
      <c r="K19" s="71" t="e">
        <f t="shared" ca="1" si="6"/>
        <v>#VALUE!</v>
      </c>
      <c r="L19" s="71">
        <f t="shared" ca="1" si="6"/>
        <v>-11.52690924963682</v>
      </c>
      <c r="M19" s="71">
        <f t="shared" ca="1" si="6"/>
        <v>-0.81091681457421405</v>
      </c>
      <c r="N19" s="71">
        <f t="shared" ca="1" si="6"/>
        <v>-5.8449336455947076</v>
      </c>
      <c r="O19" s="119">
        <f t="shared" ca="1" si="6"/>
        <v>-0.48201227611186503</v>
      </c>
    </row>
    <row r="20" spans="1:15" x14ac:dyDescent="0.25">
      <c r="A20" s="66" t="s">
        <v>7</v>
      </c>
      <c r="B20" s="67" t="s">
        <v>1</v>
      </c>
      <c r="C20" s="67" t="s">
        <v>2</v>
      </c>
      <c r="D20" s="67" t="s">
        <v>3</v>
      </c>
      <c r="E20" s="68" t="s">
        <v>4</v>
      </c>
      <c r="H20" t="s">
        <v>26</v>
      </c>
    </row>
    <row r="21" spans="1:15" ht="16.5" thickBot="1" x14ac:dyDescent="0.3">
      <c r="A21" s="69" t="s">
        <v>12</v>
      </c>
      <c r="B21" s="64">
        <f ca="1">'LC (Gross)'!D$5</f>
        <v>9.8795519258839661</v>
      </c>
      <c r="C21" s="64">
        <f ca="1">'LC (Gross)'!K$5</f>
        <v>17.859983918730183</v>
      </c>
      <c r="D21" s="64">
        <f t="shared" ref="D21:D25" ca="1" si="7">B21-C21</f>
        <v>-7.9804319928462171</v>
      </c>
      <c r="E21" s="116">
        <f t="shared" ref="E21:E25" ca="1" si="8">B21/C21</f>
        <v>0.55316689930067908</v>
      </c>
    </row>
    <row r="22" spans="1:15" x14ac:dyDescent="0.25">
      <c r="A22" s="69" t="s">
        <v>14</v>
      </c>
      <c r="B22" s="64">
        <f ca="1">'LC (Gross)'!D$5</f>
        <v>9.8795519258839661</v>
      </c>
      <c r="C22" s="64">
        <f ca="1">'LC (Gross)'!Q$5</f>
        <v>12.24678781913353</v>
      </c>
      <c r="D22" s="64">
        <f t="shared" ca="1" si="7"/>
        <v>-2.3672358932495641</v>
      </c>
      <c r="E22" s="116">
        <f t="shared" ca="1" si="8"/>
        <v>0.80670556816938077</v>
      </c>
      <c r="H22" s="72" t="str">
        <f>"Performance on "&amp;MONTH($A$4)&amp;"/"&amp;DAY($A$4)&amp;"/"&amp;YEAR($A$4)</f>
        <v>Performance on 12/31/2025</v>
      </c>
      <c r="I22" s="67" t="s">
        <v>5</v>
      </c>
      <c r="J22" s="67" t="s">
        <v>6</v>
      </c>
      <c r="K22" s="67" t="s">
        <v>7</v>
      </c>
      <c r="L22" s="67" t="s">
        <v>8</v>
      </c>
      <c r="M22" s="67" t="s">
        <v>9</v>
      </c>
      <c r="N22" s="121" t="s">
        <v>10</v>
      </c>
      <c r="O22" s="68" t="s">
        <v>11</v>
      </c>
    </row>
    <row r="23" spans="1:15" x14ac:dyDescent="0.25">
      <c r="A23" s="69" t="s">
        <v>16</v>
      </c>
      <c r="B23" s="64">
        <f ca="1">'Global (Gross)'!D$5</f>
        <v>12.659470144866081</v>
      </c>
      <c r="C23" s="64">
        <f ca="1">'Global (Gross)'!K$5</f>
        <v>22.892596725979629</v>
      </c>
      <c r="D23" s="64">
        <f t="shared" ca="1" si="7"/>
        <v>-10.233126581113549</v>
      </c>
      <c r="E23" s="116">
        <f t="shared" ca="1" si="8"/>
        <v>0.55299406600298429</v>
      </c>
      <c r="H23" s="69" t="s">
        <v>27</v>
      </c>
      <c r="I23" s="64" t="e">
        <f>B9</f>
        <v>#N/A</v>
      </c>
      <c r="J23" s="64" t="e">
        <f>B17</f>
        <v>#N/A</v>
      </c>
      <c r="K23" s="64" t="str">
        <f ca="1">B25</f>
        <v>N/A</v>
      </c>
      <c r="L23" s="64">
        <f ca="1">B33</f>
        <v>0</v>
      </c>
      <c r="M23" s="64">
        <f ca="1">B41</f>
        <v>0.32472838746990806</v>
      </c>
      <c r="N23" s="122">
        <f ca="1">B49</f>
        <v>3.1715373705755834</v>
      </c>
      <c r="O23" s="118">
        <f ca="1">B57</f>
        <v>2.3495971396246151</v>
      </c>
    </row>
    <row r="24" spans="1:15" x14ac:dyDescent="0.25">
      <c r="A24" s="69" t="s">
        <v>18</v>
      </c>
      <c r="B24" s="64" t="str">
        <f ca="1">'SC (Gross)'!D$5</f>
        <v>N/A</v>
      </c>
      <c r="C24" s="64" t="str">
        <f ca="1">'SC (Gross)'!K$5</f>
        <v>N/A</v>
      </c>
      <c r="D24" s="64" t="e">
        <f t="shared" ca="1" si="7"/>
        <v>#VALUE!</v>
      </c>
      <c r="E24" s="116" t="e">
        <f t="shared" ca="1" si="8"/>
        <v>#VALUE!</v>
      </c>
      <c r="H24" s="69" t="s">
        <v>28</v>
      </c>
      <c r="I24" s="64" t="e">
        <f>C9</f>
        <v>#N/A</v>
      </c>
      <c r="J24" s="64" t="e">
        <f>C17</f>
        <v>#N/A</v>
      </c>
      <c r="K24" s="64" t="str">
        <f ca="1">C25</f>
        <v>N/A</v>
      </c>
      <c r="L24" s="64">
        <f ca="1">C33</f>
        <v>8.8385128278023473</v>
      </c>
      <c r="M24" s="64">
        <f ca="1">C41</f>
        <v>11.230079232582103</v>
      </c>
      <c r="N24" s="122">
        <f ca="1">C49</f>
        <v>9.5274797724053997</v>
      </c>
      <c r="O24" s="118">
        <f ca="1">C57</f>
        <v>6.500238346107956</v>
      </c>
    </row>
    <row r="25" spans="1:15" ht="16.5" thickBot="1" x14ac:dyDescent="0.3">
      <c r="A25" s="70" t="s">
        <v>20</v>
      </c>
      <c r="B25" s="71" t="str">
        <f ca="1">ITL!D$5</f>
        <v>N/A</v>
      </c>
      <c r="C25" s="71" t="str">
        <f ca="1">ITL!K$5</f>
        <v>N/A</v>
      </c>
      <c r="D25" s="71" t="e">
        <f t="shared" ca="1" si="7"/>
        <v>#VALUE!</v>
      </c>
      <c r="E25" s="120" t="e">
        <f t="shared" ca="1" si="8"/>
        <v>#VALUE!</v>
      </c>
      <c r="H25" s="70" t="s">
        <v>17</v>
      </c>
      <c r="I25" s="71" t="e">
        <f t="shared" ref="I25:O25" si="9">I23-I24</f>
        <v>#N/A</v>
      </c>
      <c r="J25" s="71" t="e">
        <f t="shared" si="9"/>
        <v>#N/A</v>
      </c>
      <c r="K25" s="71" t="e">
        <f t="shared" ca="1" si="9"/>
        <v>#VALUE!</v>
      </c>
      <c r="L25" s="71">
        <f t="shared" ca="1" si="9"/>
        <v>-8.8385128278023473</v>
      </c>
      <c r="M25" s="71">
        <f t="shared" ca="1" si="9"/>
        <v>-10.905350845112196</v>
      </c>
      <c r="N25" s="123">
        <f t="shared" ca="1" si="9"/>
        <v>-6.3559424018298163</v>
      </c>
      <c r="O25" s="119">
        <f t="shared" ca="1" si="9"/>
        <v>-4.1506412064833409</v>
      </c>
    </row>
    <row r="26" spans="1:15" x14ac:dyDescent="0.25">
      <c r="B26" s="36"/>
      <c r="C26" s="36"/>
      <c r="D26" s="36"/>
      <c r="E26" s="137"/>
      <c r="H26" t="s">
        <v>29</v>
      </c>
    </row>
    <row r="27" spans="1:15" ht="16.5" thickBot="1" x14ac:dyDescent="0.3"/>
    <row r="28" spans="1:15" x14ac:dyDescent="0.25">
      <c r="A28" s="66" t="s">
        <v>8</v>
      </c>
      <c r="B28" s="67" t="s">
        <v>1</v>
      </c>
      <c r="C28" s="67" t="s">
        <v>2</v>
      </c>
      <c r="D28" s="67" t="s">
        <v>3</v>
      </c>
      <c r="E28" s="68" t="s">
        <v>4</v>
      </c>
      <c r="H28" s="124" t="s">
        <v>30</v>
      </c>
      <c r="I28" s="23"/>
      <c r="J28" s="23"/>
      <c r="K28" s="23"/>
      <c r="L28" s="23"/>
      <c r="M28" s="23"/>
      <c r="N28" s="23"/>
      <c r="O28" s="23"/>
    </row>
    <row r="29" spans="1:15" x14ac:dyDescent="0.25">
      <c r="A29" s="69" t="s">
        <v>12</v>
      </c>
      <c r="B29" s="64">
        <f ca="1">'LC (Gross)'!D$6</f>
        <v>9.8795519258839661</v>
      </c>
      <c r="C29" s="64">
        <f ca="1">'LC (Gross)'!K$6</f>
        <v>17.859983918730183</v>
      </c>
      <c r="D29" s="64">
        <f t="shared" ref="D29:D33" ca="1" si="10">B29-C29</f>
        <v>-7.9804319928462171</v>
      </c>
      <c r="E29" s="116">
        <f t="shared" ref="E29:E33" ca="1" si="11">B29/C29</f>
        <v>0.55316689930067908</v>
      </c>
      <c r="I29" s="36"/>
      <c r="J29" s="36"/>
      <c r="K29" s="36"/>
      <c r="L29" s="36"/>
      <c r="M29" s="36"/>
      <c r="N29" s="36"/>
      <c r="O29" s="136"/>
    </row>
    <row r="30" spans="1:15" x14ac:dyDescent="0.25">
      <c r="A30" s="69" t="s">
        <v>14</v>
      </c>
      <c r="B30" s="64">
        <f ca="1">'LC (Gross)'!D$6</f>
        <v>9.8795519258839661</v>
      </c>
      <c r="C30" s="64">
        <f ca="1">'LC (Gross)'!Q$6</f>
        <v>12.24678781913353</v>
      </c>
      <c r="D30" s="64">
        <f t="shared" ca="1" si="10"/>
        <v>-2.3672358932495641</v>
      </c>
      <c r="E30" s="116">
        <f t="shared" ca="1" si="11"/>
        <v>0.80670556816938077</v>
      </c>
      <c r="I30" s="36"/>
      <c r="J30" s="36"/>
      <c r="K30" s="36"/>
      <c r="L30" s="36"/>
      <c r="M30" s="36"/>
      <c r="N30" s="36"/>
      <c r="O30" s="136"/>
    </row>
    <row r="31" spans="1:15" x14ac:dyDescent="0.25">
      <c r="A31" s="69" t="s">
        <v>16</v>
      </c>
      <c r="B31" s="64">
        <f ca="1">'Global (Gross)'!D$6</f>
        <v>12.659470144866081</v>
      </c>
      <c r="C31" s="64">
        <f ca="1">'Global (Gross)'!K$6</f>
        <v>22.892596725979629</v>
      </c>
      <c r="D31" s="64">
        <f t="shared" ca="1" si="10"/>
        <v>-10.233126581113549</v>
      </c>
      <c r="E31" s="116">
        <f t="shared" ca="1" si="11"/>
        <v>0.55299406600298429</v>
      </c>
      <c r="I31" s="36"/>
      <c r="J31" s="36"/>
      <c r="K31" s="36"/>
      <c r="L31" s="36"/>
      <c r="M31" s="36"/>
      <c r="N31" s="36"/>
      <c r="O31" s="136"/>
    </row>
    <row r="32" spans="1:15" x14ac:dyDescent="0.25">
      <c r="A32" s="69" t="s">
        <v>18</v>
      </c>
      <c r="B32" s="64">
        <f ca="1">'SC (Gross)'!D$6</f>
        <v>0</v>
      </c>
      <c r="C32" s="64">
        <f ca="1">'SC (Gross)'!K$6</f>
        <v>11.52690924963682</v>
      </c>
      <c r="D32" s="64">
        <f t="shared" ca="1" si="10"/>
        <v>-11.52690924963682</v>
      </c>
      <c r="E32" s="116">
        <f t="shared" ca="1" si="11"/>
        <v>0</v>
      </c>
    </row>
    <row r="33" spans="1:5" ht="16.5" thickBot="1" x14ac:dyDescent="0.3">
      <c r="A33" s="70" t="s">
        <v>20</v>
      </c>
      <c r="B33" s="71">
        <f ca="1">ITL!D$6</f>
        <v>0</v>
      </c>
      <c r="C33" s="71">
        <f ca="1">ITL!K$6</f>
        <v>8.8385128278023473</v>
      </c>
      <c r="D33" s="71">
        <f t="shared" ca="1" si="10"/>
        <v>-8.8385128278023473</v>
      </c>
      <c r="E33" s="120">
        <f t="shared" ca="1" si="11"/>
        <v>0</v>
      </c>
    </row>
    <row r="34" spans="1:5" x14ac:dyDescent="0.25">
      <c r="B34" s="36"/>
      <c r="C34" s="36"/>
      <c r="D34" s="36"/>
      <c r="E34" s="137"/>
    </row>
    <row r="35" spans="1:5" ht="16.5" thickBot="1" x14ac:dyDescent="0.3"/>
    <row r="36" spans="1:5" x14ac:dyDescent="0.25">
      <c r="A36" s="66" t="s">
        <v>9</v>
      </c>
      <c r="B36" s="67" t="s">
        <v>1</v>
      </c>
      <c r="C36" s="67" t="s">
        <v>2</v>
      </c>
      <c r="D36" s="67" t="s">
        <v>3</v>
      </c>
      <c r="E36" s="68" t="s">
        <v>4</v>
      </c>
    </row>
    <row r="37" spans="1:5" x14ac:dyDescent="0.25">
      <c r="A37" s="69" t="s">
        <v>12</v>
      </c>
      <c r="B37" s="64">
        <f ca="1">'LC (Gross)'!D$8</f>
        <v>13.63960941573219</v>
      </c>
      <c r="C37" s="64">
        <f ca="1">'LC (Gross)'!K$8</f>
        <v>22.982388961227262</v>
      </c>
      <c r="D37" s="64">
        <f t="shared" ref="D37:D41" ca="1" si="12">B37-C37</f>
        <v>-9.3427795454950715</v>
      </c>
      <c r="E37" s="116">
        <f t="shared" ref="E37:E41" ca="1" si="13">B37/C37</f>
        <v>0.59348092309912037</v>
      </c>
    </row>
    <row r="38" spans="1:5" x14ac:dyDescent="0.25">
      <c r="A38" s="69" t="s">
        <v>14</v>
      </c>
      <c r="B38" s="64">
        <f ca="1">'LC (Gross)'!D$8</f>
        <v>13.63960941573219</v>
      </c>
      <c r="C38" s="64">
        <f ca="1">'LC (Gross)'!Q$8</f>
        <v>16.938915715069449</v>
      </c>
      <c r="D38" s="64">
        <f t="shared" ca="1" si="12"/>
        <v>-3.2993062993372586</v>
      </c>
      <c r="E38" s="116">
        <f t="shared" ca="1" si="13"/>
        <v>0.80522328850115943</v>
      </c>
    </row>
    <row r="39" spans="1:5" x14ac:dyDescent="0.25">
      <c r="A39" s="69" t="s">
        <v>16</v>
      </c>
      <c r="B39" s="64">
        <f ca="1">'Global (Gross)'!D$8</f>
        <v>12.376696040335823</v>
      </c>
      <c r="C39" s="64">
        <f ca="1">'Global (Gross)'!K$8</f>
        <v>21.210630310269774</v>
      </c>
      <c r="D39" s="64">
        <f t="shared" ca="1" si="12"/>
        <v>-8.8339342699339518</v>
      </c>
      <c r="E39" s="116">
        <f t="shared" ca="1" si="13"/>
        <v>0.58351382581701339</v>
      </c>
    </row>
    <row r="40" spans="1:5" x14ac:dyDescent="0.25">
      <c r="A40" s="69" t="s">
        <v>18</v>
      </c>
      <c r="B40" s="64">
        <f ca="1">'SC (Gross)'!D$8</f>
        <v>0.40159714493863685</v>
      </c>
      <c r="C40" s="64">
        <f ca="1">'SC (Gross)'!K$8</f>
        <v>1.2125139595128509</v>
      </c>
      <c r="D40" s="64">
        <f t="shared" ca="1" si="12"/>
        <v>-0.81091681457421405</v>
      </c>
      <c r="E40" s="116">
        <f t="shared" ca="1" si="13"/>
        <v>0.33121032693098695</v>
      </c>
    </row>
    <row r="41" spans="1:5" ht="16.5" thickBot="1" x14ac:dyDescent="0.3">
      <c r="A41" s="70" t="s">
        <v>20</v>
      </c>
      <c r="B41" s="71">
        <f ca="1">ITL!D$8</f>
        <v>0.32472838746990806</v>
      </c>
      <c r="C41" s="71">
        <f ca="1">ITL!K$8</f>
        <v>11.230079232582103</v>
      </c>
      <c r="D41" s="71">
        <f t="shared" ca="1" si="12"/>
        <v>-10.905350845112196</v>
      </c>
      <c r="E41" s="120">
        <f t="shared" ca="1" si="13"/>
        <v>2.8915948030692935E-2</v>
      </c>
    </row>
    <row r="42" spans="1:5" x14ac:dyDescent="0.25">
      <c r="B42" s="36"/>
      <c r="C42" s="36"/>
      <c r="D42" s="36"/>
      <c r="E42" s="137"/>
    </row>
    <row r="43" spans="1:5" ht="16.5" thickBot="1" x14ac:dyDescent="0.3"/>
    <row r="44" spans="1:5" x14ac:dyDescent="0.25">
      <c r="A44" s="66" t="s">
        <v>10</v>
      </c>
      <c r="B44" s="67" t="s">
        <v>1</v>
      </c>
      <c r="C44" s="67" t="s">
        <v>2</v>
      </c>
      <c r="D44" s="67" t="s">
        <v>3</v>
      </c>
      <c r="E44" s="68" t="s">
        <v>4</v>
      </c>
    </row>
    <row r="45" spans="1:5" x14ac:dyDescent="0.25">
      <c r="A45" s="69" t="s">
        <v>12</v>
      </c>
      <c r="B45" s="64">
        <f ca="1">'LC (Gross)'!D$10</f>
        <v>9.084744023186575</v>
      </c>
      <c r="C45" s="64">
        <f ca="1">'LC (Gross)'!K$10</f>
        <v>14.40023564398658</v>
      </c>
      <c r="D45" s="64">
        <f t="shared" ref="D45:D49" ca="1" si="14">B45-C45</f>
        <v>-5.3154916208000049</v>
      </c>
      <c r="E45" s="116">
        <f t="shared" ref="E45:E49" ca="1" si="15">B45/C45</f>
        <v>0.63087467787239226</v>
      </c>
    </row>
    <row r="46" spans="1:5" x14ac:dyDescent="0.25">
      <c r="A46" s="69" t="s">
        <v>14</v>
      </c>
      <c r="B46" s="64">
        <f ca="1">'LC (Gross)'!D$10</f>
        <v>9.084744023186575</v>
      </c>
      <c r="C46" s="64">
        <f ca="1">'LC (Gross)'!Q$10</f>
        <v>11.138063313248558</v>
      </c>
      <c r="D46" s="64">
        <f t="shared" ca="1" si="14"/>
        <v>-2.0533192900619834</v>
      </c>
      <c r="E46" s="116">
        <f t="shared" ca="1" si="15"/>
        <v>0.81564844512783552</v>
      </c>
    </row>
    <row r="47" spans="1:5" x14ac:dyDescent="0.25">
      <c r="A47" s="69" t="s">
        <v>16</v>
      </c>
      <c r="B47" s="64">
        <f ca="1">'Global (Gross)'!D$10</f>
        <v>7.7968754742904656</v>
      </c>
      <c r="C47" s="64">
        <f ca="1">'Global (Gross)'!K$10</f>
        <v>11.708135953882426</v>
      </c>
      <c r="D47" s="64">
        <f t="shared" ca="1" si="14"/>
        <v>-3.9112604795919603</v>
      </c>
      <c r="E47" s="116">
        <f t="shared" ca="1" si="15"/>
        <v>0.66593653379170203</v>
      </c>
    </row>
    <row r="48" spans="1:5" x14ac:dyDescent="0.25">
      <c r="A48" s="69" t="s">
        <v>18</v>
      </c>
      <c r="B48" s="64">
        <f ca="1">'SC (Gross)'!D$10</f>
        <v>1.5306950300881583</v>
      </c>
      <c r="C48" s="64">
        <f ca="1">'SC (Gross)'!K$10</f>
        <v>7.375628675682866</v>
      </c>
      <c r="D48" s="64">
        <f t="shared" ca="1" si="14"/>
        <v>-5.8449336455947076</v>
      </c>
      <c r="E48" s="116">
        <f t="shared" ca="1" si="15"/>
        <v>0.20753417740982472</v>
      </c>
    </row>
    <row r="49" spans="1:5" ht="16.5" thickBot="1" x14ac:dyDescent="0.3">
      <c r="A49" s="70" t="s">
        <v>20</v>
      </c>
      <c r="B49" s="123">
        <f ca="1">ITL!D$10</f>
        <v>3.1715373705755834</v>
      </c>
      <c r="C49" s="71">
        <f ca="1">ITL!K$10</f>
        <v>9.5274797724053997</v>
      </c>
      <c r="D49" s="71">
        <f t="shared" ca="1" si="14"/>
        <v>-6.3559424018298163</v>
      </c>
      <c r="E49" s="120">
        <f t="shared" ca="1" si="15"/>
        <v>0.33288313870383229</v>
      </c>
    </row>
    <row r="50" spans="1:5" x14ac:dyDescent="0.25">
      <c r="B50" s="36"/>
      <c r="C50" s="36"/>
      <c r="D50" s="36"/>
      <c r="E50" s="137"/>
    </row>
    <row r="51" spans="1:5" ht="16.5" thickBot="1" x14ac:dyDescent="0.3"/>
    <row r="52" spans="1:5" x14ac:dyDescent="0.25">
      <c r="A52" s="66" t="s">
        <v>31</v>
      </c>
      <c r="B52" s="67" t="s">
        <v>1</v>
      </c>
      <c r="C52" s="67" t="s">
        <v>2</v>
      </c>
      <c r="D52" s="67" t="s">
        <v>3</v>
      </c>
      <c r="E52" s="68" t="s">
        <v>4</v>
      </c>
    </row>
    <row r="53" spans="1:5" x14ac:dyDescent="0.25">
      <c r="A53" s="69" t="s">
        <v>32</v>
      </c>
      <c r="B53" s="64">
        <f ca="1">'LC (Gross)'!D$13</f>
        <v>12.725922947307522</v>
      </c>
      <c r="C53" s="64">
        <f ca="1">'LC (Gross)'!K$13</f>
        <v>13.954857158133338</v>
      </c>
      <c r="D53" s="64">
        <f t="shared" ref="D53:D57" ca="1" si="16">B53-C53</f>
        <v>-1.2289342108258161</v>
      </c>
      <c r="E53" s="116">
        <f t="shared" ref="E53:E57" ca="1" si="17">B53/C53</f>
        <v>0.91193502040903707</v>
      </c>
    </row>
    <row r="54" spans="1:5" x14ac:dyDescent="0.25">
      <c r="A54" s="69" t="s">
        <v>33</v>
      </c>
      <c r="B54" s="64">
        <f ca="1">'LC (Gross)'!D$13</f>
        <v>12.725922947307522</v>
      </c>
      <c r="C54" s="64">
        <f ca="1">'LC (Gross)'!Q$13</f>
        <v>12.932304941306683</v>
      </c>
      <c r="D54" s="64">
        <f t="shared" ca="1" si="16"/>
        <v>-0.20638199399916068</v>
      </c>
      <c r="E54" s="116">
        <f t="shared" ca="1" si="17"/>
        <v>0.98404136038116741</v>
      </c>
    </row>
    <row r="55" spans="1:5" x14ac:dyDescent="0.25">
      <c r="A55" s="69" t="s">
        <v>34</v>
      </c>
      <c r="B55" s="64">
        <f ca="1">'Global (Gross)'!D$13</f>
        <v>10.047427669983101</v>
      </c>
      <c r="C55" s="64">
        <f ca="1">'Global (Gross)'!K$13</f>
        <v>11.03347337675622</v>
      </c>
      <c r="D55" s="64">
        <f t="shared" ca="1" si="16"/>
        <v>-0.98604570677311898</v>
      </c>
      <c r="E55" s="116">
        <f t="shared" ca="1" si="17"/>
        <v>0.91063143281331671</v>
      </c>
    </row>
    <row r="56" spans="1:5" x14ac:dyDescent="0.25">
      <c r="A56" s="69" t="s">
        <v>35</v>
      </c>
      <c r="B56" s="64">
        <f ca="1">'SC (Gross)'!D$13</f>
        <v>7.3796505564889259</v>
      </c>
      <c r="C56" s="64">
        <f ca="1">'SC (Gross)'!K$13</f>
        <v>7.8616628326007909</v>
      </c>
      <c r="D56" s="64">
        <f t="shared" ca="1" si="16"/>
        <v>-0.48201227611186503</v>
      </c>
      <c r="E56" s="116">
        <f t="shared" ca="1" si="17"/>
        <v>0.93868825382423504</v>
      </c>
    </row>
    <row r="57" spans="1:5" ht="16.5" thickBot="1" x14ac:dyDescent="0.3">
      <c r="A57" s="70" t="s">
        <v>36</v>
      </c>
      <c r="B57" s="71">
        <f ca="1">ITL!D$13</f>
        <v>2.3495971396246151</v>
      </c>
      <c r="C57" s="71">
        <f ca="1">ITL!K$13</f>
        <v>6.500238346107956</v>
      </c>
      <c r="D57" s="71">
        <f t="shared" ca="1" si="16"/>
        <v>-4.1506412064833409</v>
      </c>
      <c r="E57" s="120">
        <f t="shared" ca="1" si="17"/>
        <v>0.36146322865706082</v>
      </c>
    </row>
    <row r="58" spans="1:5" x14ac:dyDescent="0.25">
      <c r="B58" s="36"/>
      <c r="C58" s="36"/>
      <c r="D58" s="36"/>
      <c r="E58" s="137"/>
    </row>
  </sheetData>
  <mergeCells count="4">
    <mergeCell ref="A1:E1"/>
    <mergeCell ref="H1:O1"/>
    <mergeCell ref="A2:E2"/>
    <mergeCell ref="H2:O2"/>
  </mergeCells>
  <printOptions horizontalCentered="1" verticalCentered="1"/>
  <pageMargins left="0.75" right="0.75" top="0.75" bottom="0.5" header="0.3" footer="0.3"/>
  <pageSetup scale="75"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E506"/>
  <sheetViews>
    <sheetView zoomScaleNormal="100" workbookViewId="0">
      <pane xSplit="2" ySplit="15" topLeftCell="C312" activePane="bottomRight" state="frozen"/>
      <selection pane="topRight" activeCell="AF257" sqref="AF257"/>
      <selection pane="bottomLeft" activeCell="AF257" sqref="AF257"/>
      <selection pane="bottomRight" activeCell="C322" sqref="C322"/>
    </sheetView>
  </sheetViews>
  <sheetFormatPr defaultColWidth="11" defaultRowHeight="15.75" x14ac:dyDescent="0.25"/>
  <cols>
    <col min="1" max="1" width="12" customWidth="1"/>
    <col min="2" max="2" width="4.125" style="23" bestFit="1" customWidth="1"/>
    <col min="3" max="3" width="23.125" style="23" customWidth="1"/>
    <col min="4" max="4" width="11.625" style="23" bestFit="1" customWidth="1"/>
    <col min="5" max="5" width="13.5" style="2" bestFit="1" customWidth="1"/>
    <col min="6" max="6" width="8.625" style="61" bestFit="1" customWidth="1"/>
    <col min="7" max="7" width="9.125" bestFit="1" customWidth="1"/>
    <col min="8" max="8" width="10.125" bestFit="1" customWidth="1"/>
    <col min="9" max="9" width="1.625" customWidth="1"/>
    <col min="10" max="10" width="11.625" customWidth="1"/>
    <col min="11" max="11" width="10.125" style="23" bestFit="1" customWidth="1"/>
    <col min="12" max="12" width="11.125" style="23" bestFit="1" customWidth="1"/>
    <col min="13" max="13" width="7.125" bestFit="1" customWidth="1"/>
    <col min="14" max="14" width="9.125" bestFit="1" customWidth="1"/>
    <col min="15" max="15" width="1.625" customWidth="1"/>
    <col min="16" max="16" width="12.125" customWidth="1"/>
    <col min="17" max="17" width="10.125" bestFit="1" customWidth="1"/>
    <col min="18" max="18" width="13.625" bestFit="1" customWidth="1"/>
    <col min="19" max="19" width="7.125" bestFit="1" customWidth="1"/>
    <col min="20" max="20" width="9.125" bestFit="1" customWidth="1"/>
    <col min="21" max="21" width="9.125" customWidth="1"/>
    <col min="22" max="22" width="1.625" customWidth="1"/>
    <col min="23" max="24" width="10.125" customWidth="1"/>
    <col min="25" max="25" width="13.5" bestFit="1" customWidth="1"/>
    <col min="26" max="26" width="10.125" style="23" customWidth="1"/>
    <col min="27" max="27" width="10.125" customWidth="1"/>
    <col min="28" max="28" width="5.625" customWidth="1"/>
    <col min="29" max="32" width="10" customWidth="1"/>
    <col min="33" max="33" width="8.625" customWidth="1"/>
    <col min="34" max="34" width="9.125" bestFit="1" customWidth="1"/>
    <col min="35" max="35" width="8.625" customWidth="1"/>
    <col min="36" max="36" width="8.125" bestFit="1" customWidth="1"/>
    <col min="37" max="37" width="10" customWidth="1"/>
    <col min="38" max="38" width="10.625" customWidth="1"/>
    <col min="39" max="39" width="10" customWidth="1"/>
    <col min="40" max="40" width="9.625" customWidth="1"/>
    <col min="41" max="42" width="10.625" customWidth="1"/>
    <col min="43" max="44" width="8.625" customWidth="1"/>
    <col min="45" max="45" width="7.5" customWidth="1"/>
    <col min="46" max="46" width="8.125" bestFit="1" customWidth="1"/>
    <col min="47" max="48" width="9.125" customWidth="1"/>
    <col min="49" max="50" width="8.125" customWidth="1"/>
    <col min="52" max="52" width="12.125" bestFit="1" customWidth="1"/>
    <col min="53" max="53" width="13.625" bestFit="1" customWidth="1"/>
  </cols>
  <sheetData>
    <row r="1" spans="1:57" x14ac:dyDescent="0.25">
      <c r="C1" s="74" t="s">
        <v>37</v>
      </c>
      <c r="D1" s="13"/>
      <c r="E1" s="14"/>
      <c r="F1" s="15"/>
      <c r="I1" s="39"/>
      <c r="J1" s="7" t="s">
        <v>38</v>
      </c>
      <c r="K1" s="13"/>
      <c r="L1" s="13"/>
      <c r="M1" s="14"/>
      <c r="N1" s="15"/>
      <c r="O1" s="39"/>
      <c r="P1" s="7" t="s">
        <v>39</v>
      </c>
      <c r="Q1" s="13"/>
      <c r="R1" s="13"/>
      <c r="S1" s="14"/>
      <c r="T1" s="15"/>
      <c r="U1" s="15"/>
      <c r="V1" s="39"/>
      <c r="W1" s="7" t="s">
        <v>289</v>
      </c>
    </row>
    <row r="2" spans="1:57" x14ac:dyDescent="0.25">
      <c r="A2" s="7"/>
      <c r="C2" s="36"/>
      <c r="D2" s="16"/>
      <c r="E2" s="16"/>
      <c r="F2" s="16"/>
      <c r="G2" s="16"/>
      <c r="H2" s="16"/>
      <c r="I2" s="39"/>
      <c r="K2" s="16"/>
      <c r="L2" s="36"/>
      <c r="M2" s="16"/>
      <c r="N2" s="16"/>
      <c r="O2" s="39"/>
      <c r="Q2" s="16"/>
      <c r="R2" s="36"/>
      <c r="S2" s="16"/>
      <c r="T2" s="16"/>
      <c r="U2" s="16"/>
      <c r="V2" s="39"/>
    </row>
    <row r="3" spans="1:57" x14ac:dyDescent="0.25">
      <c r="C3" s="7"/>
      <c r="D3" s="191"/>
      <c r="E3" s="16"/>
      <c r="F3" s="16"/>
      <c r="G3" s="16"/>
      <c r="H3" s="16"/>
      <c r="I3" s="39"/>
      <c r="K3" s="16"/>
      <c r="L3" s="16"/>
      <c r="M3" s="16"/>
      <c r="N3" s="16"/>
      <c r="O3" s="39"/>
      <c r="P3" s="43"/>
      <c r="Q3" s="42"/>
      <c r="R3" s="16"/>
      <c r="S3" s="16"/>
      <c r="T3" s="16"/>
      <c r="U3" s="16"/>
      <c r="V3" s="39"/>
      <c r="W3" s="43"/>
      <c r="X3" s="42"/>
      <c r="Y3" s="16"/>
      <c r="AA3" s="16"/>
    </row>
    <row r="4" spans="1:57" x14ac:dyDescent="0.25">
      <c r="A4" s="7"/>
      <c r="D4" s="16" t="s">
        <v>41</v>
      </c>
      <c r="E4" s="23" t="s">
        <v>42</v>
      </c>
      <c r="F4" s="17" t="s">
        <v>43</v>
      </c>
      <c r="G4" s="35" t="s">
        <v>44</v>
      </c>
      <c r="H4" s="17" t="s">
        <v>45</v>
      </c>
      <c r="I4" s="39"/>
      <c r="K4" s="23" t="s">
        <v>41</v>
      </c>
      <c r="L4" s="17" t="s">
        <v>43</v>
      </c>
      <c r="M4" s="17" t="s">
        <v>45</v>
      </c>
      <c r="N4" s="35"/>
      <c r="O4" s="40"/>
      <c r="Q4" s="23" t="s">
        <v>41</v>
      </c>
      <c r="R4" s="23" t="s">
        <v>42</v>
      </c>
      <c r="S4" s="17" t="s">
        <v>43</v>
      </c>
      <c r="T4" s="35" t="s">
        <v>44</v>
      </c>
      <c r="U4" s="17" t="s">
        <v>45</v>
      </c>
      <c r="V4" s="40"/>
      <c r="X4" s="23" t="s">
        <v>41</v>
      </c>
      <c r="Y4" s="23" t="s">
        <v>42</v>
      </c>
      <c r="Z4" s="17" t="s">
        <v>43</v>
      </c>
      <c r="AA4" s="17" t="s">
        <v>45</v>
      </c>
    </row>
    <row r="5" spans="1:57" x14ac:dyDescent="0.25">
      <c r="B5" s="23">
        <v>12</v>
      </c>
      <c r="C5" s="7" t="s">
        <v>7</v>
      </c>
      <c r="D5" s="16">
        <f t="array" aca="1" ref="D5" ca="1">IFERROR((GEOMEAN(1+OFFSET(D$16,MAX($B$16:$B$506)-$B$5+1,0,$B$5,1)/100)^$B$5-1)*100,"N/A")</f>
        <v>9.8795519258839661</v>
      </c>
      <c r="E5" s="36">
        <f t="shared" ref="E5:E13" ca="1" si="0">IFERROR(D5-$K5,"N/A")</f>
        <v>-7.9804319928462171</v>
      </c>
      <c r="F5" s="16">
        <f ca="1">IFERROR(SLOPE(OFFSET(D$16,MAX($B$16:$B$506)-$B$5+1,0,$B$5,1),OFFSET($K$16,MAX($B$16:$B$506)-$B$5+1,0,$B$5,1)),"N/A")</f>
        <v>0.30043818404861111</v>
      </c>
      <c r="G5" s="16">
        <f t="array" aca="1" ref="G5" ca="1">IFERROR(INTERCEPT(OFFSET(D$16,MAX($B$16:$B$506)-$B$5+1,0,$B$5,1),OFFSET($K$16,MAX($B$16:$B$506)-$B$5+1,0,$B$5,1))*12,"N/A")</f>
        <v>4.5432834536485087</v>
      </c>
      <c r="H5" s="16">
        <f ca="1">IFERROR(STDEVP(OFFSET(D$16,MAX($B$16:$B$506)-$B$5+1,0,$B$5,1))*SQRT(12),"N/A")</f>
        <v>6.7090946554593867</v>
      </c>
      <c r="I5" s="39"/>
      <c r="J5" s="7" t="s">
        <v>7</v>
      </c>
      <c r="K5" s="16">
        <f t="array" aca="1" ref="K5" ca="1">IFERROR((GEOMEAN(1+OFFSET(K$16,MAX($B$16:$B$506)-$B$5+1,0,$B$5,1)/100)^$B$5-1)*100,"N/A")</f>
        <v>17.859983918730183</v>
      </c>
      <c r="L5" s="16">
        <f ca="1">IFERROR(SLOPE(OFFSET(K$16,MAX($B$16:$B$506)-$B$5+1,0,$B$5,1),OFFSET($K$16,MAX($B$16:$B$506)-$B$5+1,0,$B$5,1)),"N/A")</f>
        <v>1</v>
      </c>
      <c r="M5" s="16">
        <f ca="1">IFERROR(STDEVP(OFFSET(K$16,MAX($B$16:$B$506)-$B$5+1,0,$B$5,1))*SQRT(12),"N/A")</f>
        <v>10.521018926463862</v>
      </c>
      <c r="N5" s="16"/>
      <c r="O5" s="40"/>
      <c r="P5" s="7" t="s">
        <v>7</v>
      </c>
      <c r="Q5" s="16">
        <f t="array" aca="1" ref="Q5" ca="1">IFERROR((GEOMEAN(1+OFFSET(Q$16,MAX($B$16:$B$506)-$B$5+1,0,$B$5,1)/100)^$B$5-1)*100,"N/A")</f>
        <v>12.24678781913353</v>
      </c>
      <c r="R5" s="36">
        <f t="shared" ref="R5:R13" ca="1" si="1">IFERROR(Q5-$K5,"N/A")</f>
        <v>-5.613196099596653</v>
      </c>
      <c r="S5" s="16">
        <f ca="1">IFERROR(SLOPE(OFFSET(Q$16,MAX($B$16:$B$506)-$B$5+1,0,$B$5,1),OFFSET($K$16,MAX($B$16:$B$506)-$B$5+1,0,$B$5,1)),"N/A")</f>
        <v>0.57084148166651016</v>
      </c>
      <c r="T5" s="16">
        <f t="array" aca="1" ref="T5" ca="1">IFERROR(INTERCEPT(OFFSET(Q$16,MAX($B$16:$B$506)-$B$5+1,0,$B$5,1),OFFSET($K$16,MAX($B$16:$B$506)-$B$5+1,0,$B$5,1))*12,"N/A")</f>
        <v>2.101220207085059</v>
      </c>
      <c r="U5" s="16">
        <f ca="1">IFERROR(STDEVP(OFFSET(Q$16,MAX($B$16:$B$506)-$B$5+1,0,$B$5,1))*SQRT(12),"N/A")</f>
        <v>7.1053408338435471</v>
      </c>
      <c r="V5" s="40"/>
      <c r="W5" s="7" t="s">
        <v>7</v>
      </c>
      <c r="X5" s="16">
        <f t="array" aca="1" ref="X5" ca="1">IFERROR((GEOMEAN(1+OFFSET(X$16,MAX($B$16:$B$506)-$B$5+1,0,$B$5,1)/100)^$B$5-1)*100,"N/A")</f>
        <v>4.3575278943008167</v>
      </c>
      <c r="Y5" s="36">
        <f t="shared" ref="Y5:Y13" ca="1" si="2">IFERROR(X5-$K6,"N/A")</f>
        <v>-13.502456024429367</v>
      </c>
      <c r="Z5" s="16">
        <f ca="1">IFERROR(SLOPE(OFFSET(X$16,MAX($B$16:$B$506)-$B$5+1,0,$B$5,1),OFFSET($K$16,MAX($B$16:$B$506)-$B$5+1,0,$B$5,1)),"N/A")</f>
        <v>-8.0393747013373526E-2</v>
      </c>
      <c r="AA5" s="16">
        <f ca="1">IFERROR(STDEVP(OFFSET(X$16,MAX($B$16:$B$506)-$B$5+1,0,$B$5,1))*SQRT(12),"N/A")</f>
        <v>8.2295016345665157</v>
      </c>
    </row>
    <row r="6" spans="1:57" x14ac:dyDescent="0.25">
      <c r="C6" s="7" t="s">
        <v>46</v>
      </c>
      <c r="D6" s="16">
        <f t="array" aca="1" ref="D6" ca="1">IFERROR((GEOMEAN(1+OFFSET(D$16,MAX($B$16:$B$506)-11,0,12,1)/100)^12-1)*100,"N/A")</f>
        <v>9.8795519258839661</v>
      </c>
      <c r="E6" s="36">
        <f t="shared" ca="1" si="0"/>
        <v>-7.9804319928462171</v>
      </c>
      <c r="F6" s="16">
        <f ca="1">IFERROR(SLOPE(OFFSET(D$16,MAX($B$16:$B$506)-11,0,12,1),OFFSET($K$16,MAX($B$16:$B$506)-11,0,12,1)),"N/A")</f>
        <v>0.30043818404861111</v>
      </c>
      <c r="G6" s="16">
        <f ca="1">IFERROR(INTERCEPT(OFFSET(D$16,MAX($B$16:$B$506)-11,0,12,1),OFFSET($K$16,MAX($B$16:$B$506)-11,0,12,1))*12,"N/A")</f>
        <v>4.5432834536485087</v>
      </c>
      <c r="H6" s="16">
        <f ca="1">IFERROR(STDEVP(OFFSET(D$16,MAX($B$16:$B$506)-11,0,12,1))*SQRT(12),"N/A")</f>
        <v>6.7090946554593867</v>
      </c>
      <c r="I6" s="39"/>
      <c r="J6" s="7" t="s">
        <v>46</v>
      </c>
      <c r="K6" s="16">
        <f t="array" aca="1" ref="K6" ca="1">IFERROR((GEOMEAN(1+OFFSET(K$16,MAX($B$16:$B$506)-11,0,12,1)/100)^12-1)*100,"N/A")</f>
        <v>17.859983918730183</v>
      </c>
      <c r="L6" s="16">
        <f ca="1">IFERROR(SLOPE(OFFSET(K$16,MAX($B$16:$B$506)-11,0,12,1),OFFSET($K$16,MAX($B$16:$B$506)-11,0,12,1)),"N/A")</f>
        <v>1</v>
      </c>
      <c r="M6" s="16">
        <f ca="1">IFERROR(STDEVP(OFFSET(K$16,MAX($B$16:$B$506)-11,0,12,1))*SQRT(12),"N/A")</f>
        <v>10.521018926463862</v>
      </c>
      <c r="N6" s="16"/>
      <c r="O6" s="41"/>
      <c r="P6" s="7" t="s">
        <v>46</v>
      </c>
      <c r="Q6" s="16">
        <f t="array" aca="1" ref="Q6" ca="1">IFERROR((GEOMEAN(1+OFFSET(Q$16,MAX($B$16:$B$506)-11,0,12,1)/100)^12-1)*100,"N/A")</f>
        <v>12.24678781913353</v>
      </c>
      <c r="R6" s="36">
        <f t="shared" ca="1" si="1"/>
        <v>-5.613196099596653</v>
      </c>
      <c r="S6" s="16">
        <f ca="1">IFERROR(SLOPE(OFFSET(Q$16,MAX($B$16:$B$506)-11,0,12,1),OFFSET($K$16,MAX($B$16:$B$506)-11,0,12,1)),"N/A")</f>
        <v>0.57084148166651016</v>
      </c>
      <c r="T6" s="16">
        <f ca="1">IFERROR(INTERCEPT(OFFSET(Q$16,MAX($B$16:$B$506)-11,0,12,1),OFFSET($K$16,MAX($B$16:$B$506)-11,0,12,1))*12,"N/A")</f>
        <v>2.101220207085059</v>
      </c>
      <c r="U6" s="16">
        <f ca="1">IFERROR(STDEVP(OFFSET(Q$16,MAX($B$16:$B$506)-11,0,12,1))*SQRT(12),"N/A")</f>
        <v>7.1053408338435471</v>
      </c>
      <c r="V6" s="41"/>
      <c r="W6" s="7" t="s">
        <v>46</v>
      </c>
      <c r="X6" s="16">
        <f t="array" aca="1" ref="X6" ca="1">IFERROR((GEOMEAN(1+OFFSET(X$16,MAX($B$16:$B$506)-11,0,12,1)/100)^12-1)*100,"N/A")</f>
        <v>4.3575278943008167</v>
      </c>
      <c r="Y6" s="36">
        <f t="shared" ca="1" si="2"/>
        <v>-17.01874419504761</v>
      </c>
      <c r="Z6" s="16">
        <f ca="1">IFERROR(SLOPE(OFFSET(X$16,MAX($B$16:$B$506)-11,0,12,1),OFFSET($K$16,MAX($B$16:$B$506)-11,0,12,1)),"N/A")</f>
        <v>-8.0393747013373526E-2</v>
      </c>
      <c r="AA6" s="16">
        <f ca="1">IFERROR(STDEVP(OFFSET(X$16,MAX($B$16:$B$506)-11,0,12,1))*SQRT(12),"N/A")</f>
        <v>8.2295016345665157</v>
      </c>
    </row>
    <row r="7" spans="1:57" x14ac:dyDescent="0.25">
      <c r="C7" s="7" t="s">
        <v>47</v>
      </c>
      <c r="D7" s="16">
        <f t="array" aca="1" ref="D7" ca="1">IFERROR((GEOMEAN(1+OFFSET(D$16,MAX($B$16:$B$506)-23,0,24,1)/100)^12-1)*100,"N/A")</f>
        <v>14.743644745204376</v>
      </c>
      <c r="E7" s="36">
        <f t="shared" ca="1" si="0"/>
        <v>-6.6326273441440495</v>
      </c>
      <c r="F7" s="16">
        <f ca="1">IFERROR(SLOPE(OFFSET(D$16,MAX($B$16:$B$506)-23,0,24,1),OFFSET($K$16,MAX($B$16:$B$506)-23,0,24,1)),"N/A")</f>
        <v>0.67719662290127935</v>
      </c>
      <c r="G7" s="16">
        <f ca="1">IFERROR(INTERCEPT(OFFSET(D$16,MAX($B$16:$B$506)-23,0,24,1),OFFSET($K$16,MAX($B$16:$B$506)-23,0,24,1))*12,"N/A")</f>
        <v>0.7309049041650475</v>
      </c>
      <c r="H7" s="16">
        <f ca="1">IFERROR(STDEVP(OFFSET(D$16,MAX($B$16:$B$506)-23,0,24,1))*SQRT(12),"N/A")</f>
        <v>9.9331019354747934</v>
      </c>
      <c r="I7" s="39"/>
      <c r="J7" s="7" t="s">
        <v>47</v>
      </c>
      <c r="K7" s="16">
        <f t="array" aca="1" ref="K7" ca="1">IFERROR((GEOMEAN(1+OFFSET(K$16,MAX($B$16:$B$506)-23,0,24,1)/100)^12-1)*100,"N/A")</f>
        <v>21.376272089348426</v>
      </c>
      <c r="L7" s="16">
        <f ca="1">IFERROR(SLOPE(OFFSET(K$16,MAX($B$16:$B$506)-23,0,24,1),OFFSET($K$16,MAX($B$16:$B$506)-23,0,24,1)),"N/A")</f>
        <v>1</v>
      </c>
      <c r="M7" s="16">
        <f ca="1">IFERROR(STDEVP(OFFSET(K$16,MAX($B$16:$B$506)-23,0,24,1))*SQRT(12),"N/A")</f>
        <v>10.408855144412358</v>
      </c>
      <c r="N7" s="16"/>
      <c r="O7" s="41"/>
      <c r="P7" s="7" t="s">
        <v>47</v>
      </c>
      <c r="Q7" s="16">
        <f t="array" aca="1" ref="Q7" ca="1">IFERROR((GEOMEAN(1+OFFSET(Q$16,MAX($B$16:$B$506)-23,0,24,1)/100)^12-1)*100,"N/A")</f>
        <v>15.342648472817988</v>
      </c>
      <c r="R7" s="36">
        <f t="shared" ca="1" si="1"/>
        <v>-6.0336236165304378</v>
      </c>
      <c r="S7" s="16">
        <f ca="1">IFERROR(SLOPE(OFFSET(Q$16,MAX($B$16:$B$506)-23,0,24,1),OFFSET($K$16,MAX($B$16:$B$506)-23,0,24,1)),"N/A")</f>
        <v>0.70297198285018181</v>
      </c>
      <c r="T7" s="16">
        <f ca="1">IFERROR(INTERCEPT(OFFSET(Q$16,MAX($B$16:$B$506)-23,0,24,1),OFFSET($K$16,MAX($B$16:$B$506)-23,0,24,1))*12,"N/A")</f>
        <v>0.58014031755776241</v>
      </c>
      <c r="U7" s="16">
        <f ca="1">IFERROR(STDEVP(OFFSET(Q$16,MAX($B$16:$B$506)-23,0,24,1))*SQRT(12),"N/A")</f>
        <v>8.1174348412751058</v>
      </c>
      <c r="V7" s="41"/>
      <c r="W7" s="7" t="s">
        <v>47</v>
      </c>
      <c r="X7" s="16">
        <f t="array" aca="1" ref="X7" ca="1">IFERROR((GEOMEAN(1+OFFSET(X$16,MAX($B$16:$B$506)-23,0,24,1)/100)^12-1)*100,"N/A")</f>
        <v>9.1946034257897491</v>
      </c>
      <c r="Y7" s="36">
        <f t="shared" ca="1" si="2"/>
        <v>-13.787785535437513</v>
      </c>
      <c r="Z7" s="16">
        <f ca="1">IFERROR(SLOPE(OFFSET(X$16,MAX($B$16:$B$506)-23,0,24,1),OFFSET($K$16,MAX($B$16:$B$506)-23,0,24,1)),"N/A")</f>
        <v>0.36734110927057534</v>
      </c>
      <c r="AA7" s="16">
        <f ca="1">IFERROR(STDEVP(OFFSET(X$16,MAX($B$16:$B$506)-23,0,24,1))*SQRT(12),"N/A")</f>
        <v>10.053997010472431</v>
      </c>
    </row>
    <row r="8" spans="1:57" s="182" customFormat="1" x14ac:dyDescent="0.25">
      <c r="B8" s="183"/>
      <c r="C8" s="85" t="s">
        <v>48</v>
      </c>
      <c r="D8" s="184">
        <f t="array" aca="1" ref="D8" ca="1">IFERROR((GEOMEAN(1+OFFSET(D$16,MAX($B$16:$B$506)-35,0,36,1)/100)^12-1)*100,"N/A")</f>
        <v>13.63960941573219</v>
      </c>
      <c r="E8" s="185">
        <f t="shared" ca="1" si="0"/>
        <v>-9.3427795454950715</v>
      </c>
      <c r="F8" s="184">
        <f ca="1">IFERROR(SLOPE(OFFSET(D$16,MAX($B$16:$B$506)-35,0,36,1),OFFSET($K$16,MAX($B$16:$B$506)-35,0,36,1)),"N/A")</f>
        <v>0.6854385309802008</v>
      </c>
      <c r="G8" s="184">
        <f ca="1">IFERROR(INTERCEPT(OFFSET(D$16,MAX($B$16:$B$506)-35,0,36,1),OFFSET($K$16,MAX($B$16:$B$506)-35,0,36,1))*12,"N/A")</f>
        <v>-1.4054294967155752</v>
      </c>
      <c r="H8" s="184">
        <f ca="1">IFERROR(STDEVP(OFFSET(D$16,MAX($B$16:$B$506)-35,0,36,1))*SQRT(12),"N/A")</f>
        <v>10.184179423791349</v>
      </c>
      <c r="J8" s="85" t="s">
        <v>48</v>
      </c>
      <c r="K8" s="184">
        <f t="array" aca="1" ref="K8" ca="1">IFERROR((GEOMEAN(1+OFFSET(K$16,MAX($B$16:$B$506)-35,0,36,1)/100)^12-1)*100,"N/A")</f>
        <v>22.982388961227262</v>
      </c>
      <c r="L8" s="184">
        <f ca="1">IFERROR(SLOPE(OFFSET(K$16,MAX($B$16:$B$506)-35,0,36,1),OFFSET($K$16,MAX($B$16:$B$506)-35,0,36,1)),"N/A")</f>
        <v>1</v>
      </c>
      <c r="M8" s="184">
        <f ca="1">IFERROR(STDEVP(OFFSET(K$16,MAX($B$16:$B$506)-35,0,36,1))*SQRT(12),"N/A")</f>
        <v>11.787718554142021</v>
      </c>
      <c r="N8" s="184"/>
      <c r="O8" s="186"/>
      <c r="P8" s="85" t="s">
        <v>48</v>
      </c>
      <c r="Q8" s="184">
        <f t="array" aca="1" ref="Q8" ca="1">IFERROR((GEOMEAN(1+OFFSET(Q$16,MAX($B$16:$B$506)-35,0,36,1)/100)^12-1)*100,"N/A")</f>
        <v>16.938915715069449</v>
      </c>
      <c r="R8" s="185">
        <f t="shared" ca="1" si="1"/>
        <v>-6.0434732461578129</v>
      </c>
      <c r="S8" s="184">
        <f ca="1">IFERROR(SLOPE(OFFSET(Q$16,MAX($B$16:$B$506)-35,0,36,1),OFFSET($K$16,MAX($B$16:$B$506)-35,0,36,1)),"N/A")</f>
        <v>0.74561055585998748</v>
      </c>
      <c r="T8" s="184">
        <f ca="1">IFERROR(INTERCEPT(OFFSET(Q$16,MAX($B$16:$B$506)-35,0,36,1),OFFSET($K$16,MAX($B$16:$B$506)-35,0,36,1))*12,"N/A")</f>
        <v>0.12908565017293583</v>
      </c>
      <c r="U8" s="184">
        <f ca="1">IFERROR(STDEVP(OFFSET(Q$16,MAX($B$16:$B$506)-35,0,36,1))*SQRT(12),"N/A")</f>
        <v>9.5089490733714985</v>
      </c>
      <c r="V8" s="186"/>
      <c r="W8" s="85" t="s">
        <v>48</v>
      </c>
      <c r="X8" s="184">
        <f t="array" aca="1" ref="X8" ca="1">IFERROR((GEOMEAN(1+OFFSET(X$16,MAX($B$16:$B$506)-35,0,36,1)/100)^12-1)*100,"N/A")</f>
        <v>6.2917987717670432</v>
      </c>
      <c r="Y8" s="185">
        <f t="shared" ca="1" si="2"/>
        <v>-4.7936671990107538</v>
      </c>
      <c r="Z8" s="184">
        <f ca="1">IFERROR(SLOPE(OFFSET(X$16,MAX($B$16:$B$506)-35,0,36,1),OFFSET($K$16,MAX($B$16:$B$506)-35,0,36,1)),"N/A")</f>
        <v>0.48989091097118026</v>
      </c>
      <c r="AA8" s="184">
        <f ca="1">IFERROR(STDEVP(OFFSET(X$16,MAX($B$16:$B$506)-35,0,36,1))*SQRT(12),"N/A")</f>
        <v>10.468153725380597</v>
      </c>
    </row>
    <row r="9" spans="1:57" x14ac:dyDescent="0.25">
      <c r="C9" s="7" t="s">
        <v>49</v>
      </c>
      <c r="D9" s="16">
        <f t="array" aca="1" ref="D9" ca="1">IFERROR((GEOMEAN(1+OFFSET(D$16,MAX($B$16:$B$506)-47,0,48,1)/100)^12-1)*100,"N/A")</f>
        <v>6.8430998619136041</v>
      </c>
      <c r="E9" s="36">
        <f t="shared" ca="1" si="0"/>
        <v>-4.2423661088641929</v>
      </c>
      <c r="F9" s="16">
        <f ca="1">IFERROR(SLOPE(OFFSET(D$16,MAX($B$16:$B$506)-47,0,48,1),OFFSET($K$16,MAX($B$16:$B$506)-47,0,48,1)),"N/A")</f>
        <v>0.74040922249026508</v>
      </c>
      <c r="G9" s="16">
        <f ca="1">IFERROR(INTERCEPT(OFFSET(D$16,MAX($B$16:$B$506)-47,0,48,1),OFFSET($K$16,MAX($B$16:$B$506)-47,0,48,1))*12,"N/A")</f>
        <v>-1.2109495567781337</v>
      </c>
      <c r="H9" s="16">
        <f ca="1">IFERROR(STDEVP(OFFSET(D$16,MAX($B$16:$B$506)-47,0,48,1))*SQRT(12),"N/A")</f>
        <v>13.41359688738898</v>
      </c>
      <c r="I9" s="39"/>
      <c r="J9" s="7" t="s">
        <v>49</v>
      </c>
      <c r="K9" s="16">
        <f t="array" aca="1" ref="K9" ca="1">IFERROR((GEOMEAN(1+OFFSET(K$16,MAX($B$16:$B$506)-47,0,48,1)/100)^12-1)*100,"N/A")</f>
        <v>11.085465970777797</v>
      </c>
      <c r="L9" s="16">
        <f ca="1">IFERROR(SLOPE(OFFSET(K$16,MAX($B$16:$B$506)-47,0,48,1),OFFSET($K$16,MAX($B$16:$B$506)-47,0,48,1)),"N/A")</f>
        <v>1</v>
      </c>
      <c r="M9" s="16">
        <f ca="1">IFERROR(STDEVP(OFFSET(K$16,MAX($B$16:$B$506)-47,0,48,1))*SQRT(12),"N/A")</f>
        <v>15.787972455589738</v>
      </c>
      <c r="N9" s="16"/>
      <c r="O9" s="41"/>
      <c r="P9" s="7" t="s">
        <v>49</v>
      </c>
      <c r="Q9" s="16">
        <f t="array" aca="1" ref="Q9" ca="1">IFERROR((GEOMEAN(1+OFFSET(Q$16,MAX($B$16:$B$506)-47,0,48,1)/100)^12-1)*100,"N/A")</f>
        <v>7.5142335100297997</v>
      </c>
      <c r="R9" s="36">
        <f t="shared" ca="1" si="1"/>
        <v>-3.5712324607479973</v>
      </c>
      <c r="S9" s="16">
        <f ca="1">IFERROR(SLOPE(OFFSET(Q$16,MAX($B$16:$B$506)-47,0,48,1),OFFSET($K$16,MAX($B$16:$B$506)-47,0,48,1)),"N/A")</f>
        <v>0.81284932180948577</v>
      </c>
      <c r="T9" s="16">
        <f ca="1">IFERROR(INTERCEPT(OFFSET(Q$16,MAX($B$16:$B$506)-47,0,48,1),OFFSET($K$16,MAX($B$16:$B$506)-47,0,48,1))*12,"N/A")</f>
        <v>-1.4322125988176406</v>
      </c>
      <c r="U9" s="16">
        <f ca="1">IFERROR(STDEVP(OFFSET(Q$16,MAX($B$16:$B$506)-47,0,48,1))*SQRT(12),"N/A")</f>
        <v>13.386429016312212</v>
      </c>
      <c r="V9" s="41"/>
      <c r="W9" s="7" t="s">
        <v>49</v>
      </c>
      <c r="X9" s="16">
        <f t="array" aca="1" ref="X9" ca="1">IFERROR((GEOMEAN(1+OFFSET(X$16,MAX($B$16:$B$506)-47,0,48,1)/100)^12-1)*100,"N/A")</f>
        <v>3.4615128039265919</v>
      </c>
      <c r="Y9" s="36">
        <f t="shared" ca="1" si="2"/>
        <v>-10.938722840059988</v>
      </c>
      <c r="Z9" s="16">
        <f ca="1">IFERROR(SLOPE(OFFSET(X$16,MAX($B$16:$B$506)-47,0,48,1),OFFSET($K$16,MAX($B$16:$B$506)-47,0,48,1)),"N/A")</f>
        <v>0.55345764175090184</v>
      </c>
      <c r="AA9" s="16">
        <f ca="1">IFERROR(STDEVP(OFFSET(X$16,MAX($B$16:$B$506)-47,0,48,1))*SQRT(12),"N/A")</f>
        <v>12.138202698161628</v>
      </c>
    </row>
    <row r="10" spans="1:57" x14ac:dyDescent="0.25">
      <c r="C10" s="7" t="s">
        <v>50</v>
      </c>
      <c r="D10" s="16">
        <f t="array" aca="1" ref="D10" ca="1">IFERROR((GEOMEAN(1+OFFSET(D$16,MAX($B$16:$B$506)-59,0,60,1)/100)^12-1)*100,"N/A")</f>
        <v>9.084744023186575</v>
      </c>
      <c r="E10" s="36">
        <f t="shared" ca="1" si="0"/>
        <v>-5.3154916208000049</v>
      </c>
      <c r="F10" s="16">
        <f ca="1">IFERROR(SLOPE(OFFSET(D$16,MAX($B$16:$B$506)-59,0,60,1),OFFSET($K$16,MAX($B$16:$B$506)-59,0,60,1)),"N/A")</f>
        <v>0.77960299887097195</v>
      </c>
      <c r="G10" s="16">
        <f ca="1">IFERROR(INTERCEPT(OFFSET(D$16,MAX($B$16:$B$506)-59,0,60,1),OFFSET($K$16,MAX($B$16:$B$506)-59,0,60,1))*12,"N/A")</f>
        <v>-1.8182154176063272</v>
      </c>
      <c r="H10" s="16">
        <f ca="1">IFERROR(STDEVP(OFFSET(D$16,MAX($B$16:$B$506)-59,0,60,1))*SQRT(12),"N/A")</f>
        <v>13.297041827958145</v>
      </c>
      <c r="I10" s="39"/>
      <c r="J10" s="7" t="s">
        <v>50</v>
      </c>
      <c r="K10" s="16">
        <f t="array" aca="1" ref="K10" ca="1">IFERROR((GEOMEAN(1+OFFSET(K$16,MAX($B$16:$B$506)-59,0,60,1)/100)^12-1)*100,"N/A")</f>
        <v>14.40023564398658</v>
      </c>
      <c r="L10" s="16">
        <f ca="1">IFERROR(SLOPE(OFFSET(K$16,MAX($B$16:$B$506)-59,0,60,1),OFFSET($K$16,MAX($B$16:$B$506)-59,0,60,1)),"N/A")</f>
        <v>1</v>
      </c>
      <c r="M10" s="16">
        <f ca="1">IFERROR(STDEVP(OFFSET(K$16,MAX($B$16:$B$506)-59,0,60,1))*SQRT(12),"N/A")</f>
        <v>14.982539708393594</v>
      </c>
      <c r="N10" s="16"/>
      <c r="O10" s="41"/>
      <c r="P10" s="7" t="s">
        <v>50</v>
      </c>
      <c r="Q10" s="16">
        <f t="array" aca="1" ref="Q10" ca="1">IFERROR((GEOMEAN(1+OFFSET(Q$16,MAX($B$16:$B$506)-59,0,60,1)/100)^12-1)*100,"N/A")</f>
        <v>11.138063313248558</v>
      </c>
      <c r="R10" s="36">
        <f t="shared" ca="1" si="1"/>
        <v>-3.2621723307380215</v>
      </c>
      <c r="S10" s="16">
        <f ca="1">IFERROR(SLOPE(OFFSET(Q$16,MAX($B$16:$B$506)-59,0,60,1),OFFSET($K$16,MAX($B$16:$B$506)-59,0,60,1)),"N/A")</f>
        <v>0.84847871834492938</v>
      </c>
      <c r="T10" s="16">
        <f ca="1">IFERROR(INTERCEPT(OFFSET(Q$16,MAX($B$16:$B$506)-59,0,60,1),OFFSET($K$16,MAX($B$16:$B$506)-59,0,60,1))*12,"N/A")</f>
        <v>-0.93936987994797727</v>
      </c>
      <c r="U10" s="16">
        <f ca="1">IFERROR(STDEVP(OFFSET(Q$16,MAX($B$16:$B$506)-59,0,60,1))*SQRT(12),"N/A")</f>
        <v>13.307680151859685</v>
      </c>
      <c r="V10" s="41"/>
      <c r="W10" s="7" t="s">
        <v>50</v>
      </c>
      <c r="X10" s="16">
        <f t="array" aca="1" ref="X10" ca="1">IFERROR((GEOMEAN(1+OFFSET(X$16,MAX($B$16:$B$506)-59,0,60,1)/100)^12-1)*100,"N/A")</f>
        <v>7.3495830452092736</v>
      </c>
      <c r="Y10" s="36">
        <f t="shared" ca="1" si="2"/>
        <v>-7.4537142562192127</v>
      </c>
      <c r="Z10" s="16">
        <f ca="1">IFERROR(SLOPE(OFFSET(X$16,MAX($B$16:$B$506)-59,0,60,1),OFFSET($K$16,MAX($B$16:$B$506)-59,0,60,1)),"N/A")</f>
        <v>0.61101938017850466</v>
      </c>
      <c r="AA10" s="16">
        <f ca="1">IFERROR(STDEVP(OFFSET(X$16,MAX($B$16:$B$506)-59,0,60,1))*SQRT(12),"N/A")</f>
        <v>12.625094498355409</v>
      </c>
    </row>
    <row r="11" spans="1:57" x14ac:dyDescent="0.25">
      <c r="C11" s="7" t="s">
        <v>51</v>
      </c>
      <c r="D11" s="16">
        <f t="array" aca="1" ref="D11" ca="1">IFERROR((GEOMEAN(1+OFFSET(D$16,MAX($B$16:$B$506)-119,0,120,1)/100)^12-1)*100,"N/A")</f>
        <v>11.300723526565616</v>
      </c>
      <c r="E11" s="36">
        <f t="shared" ca="1" si="0"/>
        <v>-3.5025737748628707</v>
      </c>
      <c r="F11" s="16">
        <f ca="1">IFERROR(SLOPE(OFFSET(D$16,MAX($B$16:$B$506)-119,0,120,1),OFFSET($K$16,MAX($B$16:$B$506)-119,0,120,1)),"N/A")</f>
        <v>0.7991813457829321</v>
      </c>
      <c r="G11" s="16">
        <f ca="1">IFERROR(INTERCEPT(OFFSET(D$16,MAX($B$16:$B$506)-119,0,120,1),OFFSET($K$16,MAX($B$16:$B$506)-119,0,120,1))*12,"N/A")</f>
        <v>-0.37666802427592261</v>
      </c>
      <c r="H11" s="16">
        <f ca="1">IFERROR(STDEVP(OFFSET(D$16,MAX($B$16:$B$506)-119,0,120,1))*SQRT(12),"N/A")</f>
        <v>13.193883416267866</v>
      </c>
      <c r="I11" s="39"/>
      <c r="J11" s="7" t="s">
        <v>51</v>
      </c>
      <c r="K11" s="16">
        <f t="array" aca="1" ref="K11" ca="1">IFERROR((GEOMEAN(1+OFFSET(K$16,MAX($B$16:$B$506)-119,0,120,1)/100)^12-1)*100,"N/A")</f>
        <v>14.803297301428486</v>
      </c>
      <c r="L11" s="16">
        <f ca="1">IFERROR(SLOPE(OFFSET(K$16,MAX($B$16:$B$506)-119,0,120,1),OFFSET($K$16,MAX($B$16:$B$506)-119,0,120,1)),"N/A")</f>
        <v>1</v>
      </c>
      <c r="M11" s="16">
        <f ca="1">IFERROR(STDEVP(OFFSET(K$16,MAX($B$16:$B$506)-119,0,120,1))*SQRT(12),"N/A")</f>
        <v>15.056111052702541</v>
      </c>
      <c r="N11" s="16"/>
      <c r="O11" s="41"/>
      <c r="P11" s="7" t="s">
        <v>51</v>
      </c>
      <c r="Q11" s="16">
        <f t="array" aca="1" ref="Q11" ca="1">IFERROR((GEOMEAN(1+OFFSET(Q$16,MAX($B$16:$B$506)-119,0,120,1)/100)^12-1)*100,"N/A")</f>
        <v>12.825831855023528</v>
      </c>
      <c r="R11" s="36">
        <f t="shared" ca="1" si="1"/>
        <v>-1.9774654464049579</v>
      </c>
      <c r="S11" s="16">
        <f ca="1">IFERROR(SLOPE(OFFSET(Q$16,MAX($B$16:$B$506)-119,0,120,1),OFFSET($K$16,MAX($B$16:$B$506)-119,0,120,1)),"N/A")</f>
        <v>0.85660272345347899</v>
      </c>
      <c r="T11" s="16">
        <f ca="1">IFERROR(INTERCEPT(OFFSET(Q$16,MAX($B$16:$B$506)-119,0,120,1),OFFSET($K$16,MAX($B$16:$B$506)-119,0,120,1))*12,"N/A")</f>
        <v>0.15423805621308517</v>
      </c>
      <c r="U11" s="16">
        <f ca="1">IFERROR(STDEVP(OFFSET(Q$16,MAX($B$16:$B$506)-119,0,120,1))*SQRT(12),"N/A")</f>
        <v>13.350050865592021</v>
      </c>
      <c r="V11" s="41"/>
      <c r="W11" s="7" t="s">
        <v>51</v>
      </c>
      <c r="X11" s="16">
        <f t="array" aca="1" ref="X11" ca="1">IFERROR((GEOMEAN(1+OFFSET(X$16,MAX($B$16:$B$506)-119,0,120,1)/100)^12-1)*100,"N/A")</f>
        <v>8.9173183664750901</v>
      </c>
      <c r="Y11" s="36">
        <f t="shared" ca="1" si="2"/>
        <v>0.85041593105936641</v>
      </c>
      <c r="Z11" s="16">
        <f ca="1">IF(P12="N/A","N/A",IFERROR(SLOPE(OFFSET(X$16,MAX($B$16:$B$506)-119,0,120,1),OFFSET($K$16,MAX($B$16:$B$506)-119,0,120,1)),"N/A"))</f>
        <v>0.64708530198889125</v>
      </c>
      <c r="AA11" s="16">
        <f ca="1">IFERROR(STDEVP(OFFSET(X$16,MAX($B$16:$B$506)-119,0,120,1))*SQRT(12),"N/A")</f>
        <v>12.473098339327269</v>
      </c>
      <c r="AF11" s="192"/>
    </row>
    <row r="12" spans="1:57" x14ac:dyDescent="0.25">
      <c r="C12" s="7" t="s">
        <v>52</v>
      </c>
      <c r="D12" s="16">
        <f t="array" aca="1" ref="D12" ca="1">IFERROR((GEOMEAN(1+OFFSET(D$16,1,0,MAX($B$16:$B$506),1)/100)^12-1)*100,"N/A")</f>
        <v>11.898456632078446</v>
      </c>
      <c r="E12" s="36">
        <f t="shared" ca="1" si="0"/>
        <v>3.8315541966627222</v>
      </c>
      <c r="F12" s="16">
        <f ca="1">IFERROR(SLOPE(OFFSET(D$16,1,0,MAX($B$16:$B$506),1),OFFSET($K$16,1,0,MAX($B$16:$B$506),1)),"N/A")</f>
        <v>0.65366305740790476</v>
      </c>
      <c r="G12" s="16">
        <f ca="1">IFERROR(INTERCEPT(OFFSET(D$16,1,0,MAX($B$16:$B$506),1),OFFSET($K$16,1,0,MAX($B$16:$B$506),1))*12,"N/A")</f>
        <v>6.1814838659155296</v>
      </c>
      <c r="H12" s="16">
        <f ca="1">IFERROR(STDEVP(OFFSET(D$16,1,0,MAX($B$16:$B$506),1))*SQRT(12),"N/A")</f>
        <v>12.037362666176486</v>
      </c>
      <c r="I12" s="39"/>
      <c r="J12" s="7" t="s">
        <v>53</v>
      </c>
      <c r="K12" s="16">
        <f t="array" aca="1" ref="K12" ca="1">IFERROR((GEOMEAN(1+OFFSET(K$16,1,0,MAX($B$16:$B$506),1)/100)^12-1)*100,"N/A")</f>
        <v>8.0669024354157237</v>
      </c>
      <c r="L12" s="16">
        <f ca="1">IFERROR(SLOPE(OFFSET(K$16,1,0,MAX($B$16:$B$506),1),OFFSET($K$16,1,0,MAX($B$16:$B$506),1)),"N/A")</f>
        <v>1</v>
      </c>
      <c r="M12" s="16">
        <f ca="1">IFERROR(STDEVP(OFFSET(K$16,1,0,MAX($B$16:$B$506),1))*SQRT(12),"N/A")</f>
        <v>15.141943190053263</v>
      </c>
      <c r="N12" s="16"/>
      <c r="O12" s="41"/>
      <c r="P12" s="7" t="s">
        <v>52</v>
      </c>
      <c r="Q12" s="16">
        <f t="array" aca="1" ref="Q12" ca="1">IFERROR((GEOMEAN(1+OFFSET(Q$16,1,0,MAX($B$16:$B$506),1)/100)^12-1)*100,"N/A")</f>
        <v>7.1818794834191291</v>
      </c>
      <c r="R12" s="36">
        <f t="shared" ca="1" si="1"/>
        <v>-0.88502295199659464</v>
      </c>
      <c r="S12" s="16">
        <f ca="1">IFERROR(SLOPE(OFFSET(Q$16,1,0,MAX($B$16:$B$506),1),OFFSET($K$16,1,0,MAX($B$16:$B$506),1)),"N/A")</f>
        <v>0.80660002246213303</v>
      </c>
      <c r="T12" s="16">
        <f ca="1">IFERROR(INTERCEPT(OFFSET(Q$16,1,0,MAX($B$16:$B$506),1),OFFSET($K$16,1,0,MAX($B$16:$B$506),1))*12,"N/A")</f>
        <v>0.56007074420034408</v>
      </c>
      <c r="U12" s="16">
        <f ca="1">IFERROR(STDEVP(OFFSET(Q$16,1,0,MAX($B$16:$B$506),1))*SQRT(12),"N/A")</f>
        <v>12.724271696208094</v>
      </c>
      <c r="V12" s="41"/>
      <c r="W12" s="7" t="s">
        <v>52</v>
      </c>
      <c r="X12" s="16">
        <f t="array" aca="1" ref="X12" ca="1">IFERROR((GEOMEAN(1+OFFSET(X$16,1,0,MAX($B$16:$B$506),1)/100)^12-1)*100,"N/A")</f>
        <v>9.386789426529262</v>
      </c>
      <c r="Y12" s="36">
        <f t="shared" ca="1" si="2"/>
        <v>-4.5680677316040761</v>
      </c>
      <c r="Z12" s="16">
        <f ca="1">IFERROR(SLOPE(OFFSET(X$16,1,0,MAX($B$16:$B$506),1),OFFSET($K$16,1,0,MAX($B$16:$B$506),1)),"N/A")</f>
        <v>0.58320267328571129</v>
      </c>
      <c r="AA12" s="16">
        <f ca="1">IFERROR(STDEVP(OFFSET(X$16,1,0,MAX($B$16:$B$506),1))*SQRT(12),"N/A")</f>
        <v>11.687064755661007</v>
      </c>
    </row>
    <row r="13" spans="1:57" ht="16.5" thickBot="1" x14ac:dyDescent="0.3">
      <c r="C13" s="7" t="s">
        <v>54</v>
      </c>
      <c r="D13" s="33" cm="1">
        <f t="array" aca="1" ref="D13" ca="1">IFERROR((GEOMEAN(1+OFFSET(D$149,1,0,MAX($B$16:$B$506)-133,1)/100)^(MIN(COUNTA(OFFSET(D$149,1,0,MAX($B$16:$B$506)-133,1)),12))-1)*100,"N/A")</f>
        <v>12.725922947307522</v>
      </c>
      <c r="E13" s="42">
        <f t="shared" ca="1" si="0"/>
        <v>-1.2289342108258161</v>
      </c>
      <c r="F13" s="33">
        <f ca="1">IFERROR(SLOPE(OFFSET(D$149,1,0,MAX($B$16:$B$506)-133,1),OFFSET($K$149,1,0,MAX($B$16:$B$506)-133,1)),"N/A")</f>
        <v>0.72821754032701691</v>
      </c>
      <c r="G13" s="33">
        <f ca="1">IFERROR(INTERCEPT(OFFSET(D$149,1,0,MAX($B$16:$B$506)-133,1),OFFSET($K$149,1,0,MAX($B$16:$B$506)-133,1))*12,"N/A")</f>
        <v>2.4433103216607721</v>
      </c>
      <c r="H13" s="33">
        <f ca="1">IFERROR(STDEVP(OFFSET(D$149,1,0,MAX($B$16:$B$506)-133,1))*SQRT(12),"N/A")</f>
        <v>11.705171379404577</v>
      </c>
      <c r="I13" s="39"/>
      <c r="J13" s="7" t="s">
        <v>54</v>
      </c>
      <c r="K13" s="16">
        <f t="array" aca="1" ref="K13" ca="1">IFERROR((GEOMEAN(1+OFFSET(K$149,1,0,MAX($B$16:$B$506)-133,1)/100)^(MIN(COUNTA(OFFSET(K$149,1,0,MAX($B$16:$B$506)-133,1)),12))-1)*100,"N/A")</f>
        <v>13.954857158133338</v>
      </c>
      <c r="L13" s="16">
        <f ca="1">IFERROR(SLOPE(OFFSET(K$149,1,0,MAX($B$16:$B$506)-133,1),OFFSET($K$149,1,0,MAX($B$16:$B$506)-133,1)),"N/A")</f>
        <v>1</v>
      </c>
      <c r="M13" s="16">
        <f ca="1">IFERROR(STDEVP(OFFSET(K$149,1,0,MAX($B$16:$B$506)-133,1))*SQRT(12),"N/A")</f>
        <v>14.038419932790939</v>
      </c>
      <c r="N13" s="16"/>
      <c r="O13" s="41"/>
      <c r="P13" s="7" t="s">
        <v>54</v>
      </c>
      <c r="Q13" s="16">
        <f t="array" aca="1" ref="Q13" ca="1">IFERROR((GEOMEAN(1+OFFSET(Q$149,1,0,MAX($B$16:$B$506)-133,1)/100)^(MIN(COUNTA(OFFSET(Q$149,1,0,MAX($B$16:$B$506)-133,1)),12))-1)*100,"N/A")</f>
        <v>12.932304941306683</v>
      </c>
      <c r="R13" s="36">
        <f t="shared" ca="1" si="1"/>
        <v>-1.0225522168266554</v>
      </c>
      <c r="S13" s="16">
        <f ca="1">IFERROR(SLOPE(OFFSET(Q$149,1,0,MAX($B$16:$B$506)-133,1),OFFSET($K$149,1,0,MAX($B$16:$B$506)-133,1)),"N/A")</f>
        <v>0.84675573812814953</v>
      </c>
      <c r="T13" s="16">
        <f ca="1">IFERROR(INTERCEPT(OFFSET(Q$149,1,0,MAX($B$16:$B$506)-133,1),OFFSET($K$149,1,0,MAX($B$16:$B$506)-133,1))*12,"N/A")</f>
        <v>1.0242804003979997</v>
      </c>
      <c r="U13" s="16">
        <f ca="1">IFERROR(STDEVP(OFFSET(Q$149,1,0,MAX($B$16:$B$506)-133,1))*SQRT(12),"N/A")</f>
        <v>12.304197395373086</v>
      </c>
      <c r="V13" s="41"/>
      <c r="W13" s="7" t="s">
        <v>54</v>
      </c>
      <c r="X13" s="16">
        <f t="array" aca="1" ref="X13" ca="1">IFERROR((GEOMEAN(1+OFFSET(X$149,1,0,MAX($B$16:$B$506)-133,1)/100)^(MIN(COUNTA(OFFSET(X$149,1,0,MAX($B$16:$B$506)-133,1)),12))-1)*100,"N/A")</f>
        <v>10.642852288481164</v>
      </c>
      <c r="Y13" s="36">
        <f t="shared" ca="1" si="2"/>
        <v>10.642852288481164</v>
      </c>
      <c r="Z13" s="16">
        <f ca="1">IFERROR(SLOPE(OFFSET(X$102,1,0,MAX($B$16:$B$506)-86,1),OFFSET($K$102,1,0,MAX($B$16:$B$506)-86,1)),"N/A")</f>
        <v>0.63650071177715073</v>
      </c>
      <c r="AA13" s="16">
        <f ca="1">IFERROR(STDEVP(OFFSET(X$102,1,0,MAX($B$16:$B$506)-86,1))*SQRT(12),"N/A")</f>
        <v>12.022481151056457</v>
      </c>
      <c r="AC13" s="101" t="s">
        <v>56</v>
      </c>
    </row>
    <row r="14" spans="1:57" x14ac:dyDescent="0.25">
      <c r="A14" s="7"/>
      <c r="C14" s="17"/>
      <c r="D14" s="16"/>
      <c r="E14" s="18"/>
      <c r="F14" s="16"/>
      <c r="I14" s="39"/>
      <c r="J14" s="7"/>
      <c r="K14" s="16"/>
      <c r="L14" s="16"/>
      <c r="M14" s="18"/>
      <c r="N14" s="10"/>
      <c r="O14" s="39"/>
      <c r="P14" s="7"/>
      <c r="Q14" s="16"/>
      <c r="R14" s="16"/>
      <c r="S14" s="18"/>
      <c r="T14" s="10"/>
      <c r="U14" s="10"/>
      <c r="V14" s="39"/>
      <c r="AC14" s="324" t="s">
        <v>57</v>
      </c>
      <c r="AD14" s="325"/>
      <c r="AE14" s="324" t="s">
        <v>58</v>
      </c>
      <c r="AF14" s="325"/>
      <c r="AG14" s="324" t="s">
        <v>59</v>
      </c>
      <c r="AH14" s="325"/>
      <c r="AI14" s="324" t="s">
        <v>365</v>
      </c>
      <c r="AJ14" s="325"/>
      <c r="AK14" s="324" t="s">
        <v>366</v>
      </c>
      <c r="AL14" s="325"/>
      <c r="AM14" s="324" t="s">
        <v>367</v>
      </c>
      <c r="AN14" s="325"/>
      <c r="AO14" s="324" t="s">
        <v>368</v>
      </c>
      <c r="AP14" s="325"/>
      <c r="AQ14" s="324" t="s">
        <v>369</v>
      </c>
      <c r="AR14" s="325"/>
      <c r="AS14" s="324" t="s">
        <v>370</v>
      </c>
      <c r="AT14" s="325"/>
      <c r="AU14" s="324" t="s">
        <v>371</v>
      </c>
      <c r="AV14" s="325"/>
      <c r="AW14" s="324" t="s">
        <v>372</v>
      </c>
      <c r="AX14" s="325"/>
      <c r="AY14" s="324" t="s">
        <v>68</v>
      </c>
      <c r="AZ14" s="325"/>
    </row>
    <row r="15" spans="1:57" s="23" customFormat="1" x14ac:dyDescent="0.25">
      <c r="A15" s="13" t="s">
        <v>69</v>
      </c>
      <c r="B15" s="23" t="s">
        <v>70</v>
      </c>
      <c r="C15" s="13" t="s">
        <v>71</v>
      </c>
      <c r="D15" s="33" t="s">
        <v>72</v>
      </c>
      <c r="E15" s="13" t="s">
        <v>73</v>
      </c>
      <c r="F15" s="13" t="s">
        <v>74</v>
      </c>
      <c r="G15" s="13" t="s">
        <v>75</v>
      </c>
      <c r="H15" s="33"/>
      <c r="I15" s="44"/>
      <c r="J15" s="13" t="s">
        <v>69</v>
      </c>
      <c r="K15" s="33" t="s">
        <v>41</v>
      </c>
      <c r="L15" s="13" t="s">
        <v>73</v>
      </c>
      <c r="M15" s="13" t="s">
        <v>74</v>
      </c>
      <c r="N15" s="13" t="s">
        <v>75</v>
      </c>
      <c r="O15" s="44"/>
      <c r="P15" s="13" t="s">
        <v>69</v>
      </c>
      <c r="Q15" s="33" t="s">
        <v>41</v>
      </c>
      <c r="R15" s="13" t="s">
        <v>73</v>
      </c>
      <c r="S15" s="13" t="s">
        <v>74</v>
      </c>
      <c r="T15" s="13" t="s">
        <v>75</v>
      </c>
      <c r="U15" s="33"/>
      <c r="V15" s="44"/>
      <c r="AB15"/>
      <c r="AC15" s="94" t="s">
        <v>41</v>
      </c>
      <c r="AD15" s="93" t="s">
        <v>76</v>
      </c>
      <c r="AE15" s="94" t="s">
        <v>41</v>
      </c>
      <c r="AF15" s="93" t="s">
        <v>76</v>
      </c>
      <c r="AG15" s="94" t="s">
        <v>41</v>
      </c>
      <c r="AH15" s="93" t="s">
        <v>76</v>
      </c>
      <c r="AI15" s="94" t="s">
        <v>41</v>
      </c>
      <c r="AJ15" s="93" t="s">
        <v>76</v>
      </c>
      <c r="AK15" s="94" t="s">
        <v>41</v>
      </c>
      <c r="AL15" s="93" t="s">
        <v>76</v>
      </c>
      <c r="AM15" s="94" t="s">
        <v>41</v>
      </c>
      <c r="AN15" s="93" t="s">
        <v>76</v>
      </c>
      <c r="AO15" s="94" t="s">
        <v>41</v>
      </c>
      <c r="AP15" s="93" t="s">
        <v>76</v>
      </c>
      <c r="AQ15" s="94" t="s">
        <v>41</v>
      </c>
      <c r="AR15" s="93" t="s">
        <v>76</v>
      </c>
      <c r="AS15" s="94" t="s">
        <v>41</v>
      </c>
      <c r="AT15" s="93" t="s">
        <v>76</v>
      </c>
      <c r="AU15" s="94" t="s">
        <v>41</v>
      </c>
      <c r="AV15" s="93" t="s">
        <v>76</v>
      </c>
      <c r="AW15" s="94" t="s">
        <v>41</v>
      </c>
      <c r="AX15" s="93" t="s">
        <v>76</v>
      </c>
      <c r="AY15" s="94" t="s">
        <v>41</v>
      </c>
      <c r="AZ15" s="93" t="s">
        <v>76</v>
      </c>
      <c r="BA15"/>
      <c r="BB15"/>
      <c r="BC15"/>
      <c r="BD15"/>
      <c r="BE15"/>
    </row>
    <row r="16" spans="1:57" x14ac:dyDescent="0.25">
      <c r="A16" s="20">
        <v>36525</v>
      </c>
      <c r="B16" s="23">
        <v>0</v>
      </c>
      <c r="C16" s="17"/>
      <c r="D16" s="16"/>
      <c r="E16" s="46">
        <v>1000000</v>
      </c>
      <c r="F16" s="8"/>
      <c r="I16" s="39"/>
      <c r="J16" s="20">
        <f>$A16</f>
        <v>36525</v>
      </c>
      <c r="K16" s="16"/>
      <c r="L16" s="46">
        <v>1000000</v>
      </c>
      <c r="M16" s="8"/>
      <c r="O16" s="39"/>
      <c r="P16" s="20">
        <f>$A16</f>
        <v>36525</v>
      </c>
      <c r="Q16" s="16"/>
      <c r="R16" s="46">
        <v>1000000</v>
      </c>
      <c r="S16" s="8"/>
      <c r="V16" s="39"/>
      <c r="W16" s="20">
        <f>$A16</f>
        <v>36525</v>
      </c>
      <c r="Y16" s="46">
        <v>1000000</v>
      </c>
    </row>
    <row r="17" spans="1:27" x14ac:dyDescent="0.25">
      <c r="A17" s="20">
        <v>36556</v>
      </c>
      <c r="B17" s="24">
        <f>IF(A17&gt;A16,1+B16,"-")</f>
        <v>1</v>
      </c>
      <c r="C17" s="96" t="s">
        <v>77</v>
      </c>
      <c r="D17" s="27">
        <v>-4.22</v>
      </c>
      <c r="E17" s="46">
        <f t="shared" ref="E17:E80" si="3">E16*D17/100+E16</f>
        <v>957800</v>
      </c>
      <c r="F17" s="10"/>
      <c r="I17" s="39"/>
      <c r="J17" s="20">
        <f t="shared" ref="J17:J80" si="4">$A17</f>
        <v>36556</v>
      </c>
      <c r="K17" s="27">
        <v>-5.0242436617321786</v>
      </c>
      <c r="L17" s="46">
        <f t="shared" ref="L17:L48" si="5">L16*K17/100+L16</f>
        <v>949757.5633826782</v>
      </c>
      <c r="M17" s="10"/>
      <c r="O17" s="39"/>
      <c r="P17" s="20">
        <f t="shared" ref="P17:P80" si="6">$A17</f>
        <v>36556</v>
      </c>
      <c r="Q17" s="27">
        <v>-3.7996473944086815</v>
      </c>
      <c r="R17" s="46">
        <f t="shared" ref="R17:R48" si="7">R16*Q17/100+R16</f>
        <v>962003.52605591319</v>
      </c>
      <c r="S17" s="10"/>
      <c r="V17" s="39"/>
      <c r="W17" s="20">
        <f t="shared" ref="W17:W80" si="8">$A17</f>
        <v>36556</v>
      </c>
      <c r="X17" s="36">
        <v>-3.5109290909606856</v>
      </c>
      <c r="Y17" s="46">
        <f t="shared" ref="Y17:Y80" si="9">Y16*X17/100+Y16</f>
        <v>964890.70909039315</v>
      </c>
    </row>
    <row r="18" spans="1:27" x14ac:dyDescent="0.25">
      <c r="A18" s="20">
        <v>36585</v>
      </c>
      <c r="B18" s="24">
        <f t="shared" ref="B18:B81" si="10">IF(A18&gt;A17,1+B17,"-")</f>
        <v>2</v>
      </c>
      <c r="C18" s="96" t="s">
        <v>77</v>
      </c>
      <c r="D18" s="27">
        <v>-7.58</v>
      </c>
      <c r="E18" s="46">
        <f t="shared" si="3"/>
        <v>885198.76</v>
      </c>
      <c r="F18" s="8"/>
      <c r="I18" s="39"/>
      <c r="J18" s="20">
        <f t="shared" si="4"/>
        <v>36585</v>
      </c>
      <c r="K18" s="27">
        <v>-1.8937944132398354</v>
      </c>
      <c r="L18" s="46">
        <f t="shared" si="5"/>
        <v>931771.1077080142</v>
      </c>
      <c r="M18" s="8"/>
      <c r="O18" s="39"/>
      <c r="P18" s="20">
        <f t="shared" si="6"/>
        <v>36585</v>
      </c>
      <c r="Q18" s="27">
        <v>-6.7517383404194318</v>
      </c>
      <c r="R18" s="46">
        <f t="shared" si="7"/>
        <v>897051.56515100924</v>
      </c>
      <c r="S18" s="8"/>
      <c r="V18" s="39"/>
      <c r="W18" s="20">
        <f t="shared" si="8"/>
        <v>36585</v>
      </c>
      <c r="X18" s="36">
        <v>-10.514140077439585</v>
      </c>
      <c r="Y18" s="46">
        <f t="shared" si="9"/>
        <v>863440.74834242917</v>
      </c>
    </row>
    <row r="19" spans="1:27" x14ac:dyDescent="0.25">
      <c r="A19" s="20">
        <v>36616</v>
      </c>
      <c r="B19" s="24">
        <f t="shared" si="10"/>
        <v>3</v>
      </c>
      <c r="C19" s="96" t="s">
        <v>77</v>
      </c>
      <c r="D19" s="27">
        <v>13.21</v>
      </c>
      <c r="E19" s="46">
        <f t="shared" si="3"/>
        <v>1002133.516196</v>
      </c>
      <c r="F19" s="8"/>
      <c r="G19" s="5">
        <f>(E19/E16-1)*100</f>
        <v>0.2133516196000107</v>
      </c>
      <c r="H19" s="5"/>
      <c r="I19" s="39"/>
      <c r="J19" s="20">
        <f t="shared" si="4"/>
        <v>36616</v>
      </c>
      <c r="K19" s="27">
        <v>9.7830708689312829</v>
      </c>
      <c r="L19" s="46">
        <f t="shared" si="5"/>
        <v>1022926.9355113152</v>
      </c>
      <c r="M19" s="8"/>
      <c r="N19" s="5">
        <f>(L19/L16-1)*100</f>
        <v>2.2926935511315305</v>
      </c>
      <c r="O19" s="39"/>
      <c r="P19" s="20">
        <f t="shared" si="6"/>
        <v>36616</v>
      </c>
      <c r="Q19" s="27">
        <v>10.209819980339887</v>
      </c>
      <c r="R19" s="46">
        <f t="shared" si="7"/>
        <v>988638.91508374864</v>
      </c>
      <c r="S19" s="8"/>
      <c r="T19" s="5">
        <f>(R19/R16-1)*100</f>
        <v>-1.1361084916251318</v>
      </c>
      <c r="U19" s="5"/>
      <c r="V19" s="39"/>
      <c r="W19" s="20">
        <f t="shared" si="8"/>
        <v>36616</v>
      </c>
      <c r="X19" s="36">
        <v>9.3534452854852841</v>
      </c>
      <c r="Y19" s="46">
        <f t="shared" si="9"/>
        <v>944202.20631122298</v>
      </c>
      <c r="AA19" s="106">
        <f>(Y19/Y16-1)*100</f>
        <v>-5.579779368877702</v>
      </c>
    </row>
    <row r="20" spans="1:27" x14ac:dyDescent="0.25">
      <c r="A20" s="20">
        <v>36646</v>
      </c>
      <c r="B20" s="24">
        <f t="shared" si="10"/>
        <v>4</v>
      </c>
      <c r="C20" s="96" t="s">
        <v>77</v>
      </c>
      <c r="D20" s="27">
        <v>3.05</v>
      </c>
      <c r="E20" s="46">
        <f t="shared" si="3"/>
        <v>1032698.5884399781</v>
      </c>
      <c r="F20" s="8"/>
      <c r="I20" s="39"/>
      <c r="J20" s="20">
        <f t="shared" si="4"/>
        <v>36646</v>
      </c>
      <c r="K20" s="27">
        <v>-3.0091712524703413</v>
      </c>
      <c r="L20" s="46">
        <f t="shared" si="5"/>
        <v>992145.3122341329</v>
      </c>
      <c r="M20" s="8"/>
      <c r="O20" s="39"/>
      <c r="P20" s="20">
        <f t="shared" si="6"/>
        <v>36646</v>
      </c>
      <c r="Q20" s="27">
        <v>-1.0985093844792719</v>
      </c>
      <c r="R20" s="46">
        <f t="shared" si="7"/>
        <v>977778.62382293958</v>
      </c>
      <c r="S20" s="8"/>
      <c r="V20" s="39"/>
      <c r="W20" s="20">
        <f t="shared" si="8"/>
        <v>36646</v>
      </c>
      <c r="X20" s="36">
        <v>4.7344924419750027</v>
      </c>
      <c r="Y20" s="46">
        <f t="shared" si="9"/>
        <v>988905.38840598904</v>
      </c>
    </row>
    <row r="21" spans="1:27" x14ac:dyDescent="0.25">
      <c r="A21" s="20">
        <v>36677</v>
      </c>
      <c r="B21" s="24">
        <f t="shared" si="10"/>
        <v>5</v>
      </c>
      <c r="C21" s="96" t="s">
        <v>77</v>
      </c>
      <c r="D21" s="27">
        <v>0.28000000000000003</v>
      </c>
      <c r="E21" s="46">
        <f t="shared" si="3"/>
        <v>1035590.14448761</v>
      </c>
      <c r="F21" s="8"/>
      <c r="I21" s="39"/>
      <c r="J21" s="20">
        <f t="shared" si="4"/>
        <v>36677</v>
      </c>
      <c r="K21" s="27">
        <v>-2.0522676157355026</v>
      </c>
      <c r="L21" s="46">
        <f t="shared" si="5"/>
        <v>971783.83529011393</v>
      </c>
      <c r="M21" s="8"/>
      <c r="O21" s="39"/>
      <c r="P21" s="20">
        <f t="shared" si="6"/>
        <v>36677</v>
      </c>
      <c r="Q21" s="27">
        <v>1.2422986568637908</v>
      </c>
      <c r="R21" s="46">
        <f t="shared" si="7"/>
        <v>989925.55453379324</v>
      </c>
      <c r="S21" s="8"/>
      <c r="V21" s="39"/>
      <c r="W21" s="20">
        <f t="shared" si="8"/>
        <v>36677</v>
      </c>
      <c r="X21" s="36">
        <v>4.9107000529232172</v>
      </c>
      <c r="Y21" s="46">
        <f t="shared" si="9"/>
        <v>1037467.5658378025</v>
      </c>
    </row>
    <row r="22" spans="1:27" x14ac:dyDescent="0.25">
      <c r="A22" s="20">
        <v>36707</v>
      </c>
      <c r="B22" s="24">
        <f t="shared" si="10"/>
        <v>6</v>
      </c>
      <c r="C22" s="96" t="s">
        <v>77</v>
      </c>
      <c r="D22" s="27">
        <v>-0.53</v>
      </c>
      <c r="E22" s="46">
        <f t="shared" si="3"/>
        <v>1030101.5167218256</v>
      </c>
      <c r="F22" s="8"/>
      <c r="G22" s="5">
        <f>(E22/E19-1)*100</f>
        <v>2.7908457379999918</v>
      </c>
      <c r="H22" s="5"/>
      <c r="I22" s="39"/>
      <c r="J22" s="20">
        <f t="shared" si="4"/>
        <v>36707</v>
      </c>
      <c r="K22" s="27">
        <v>2.4652586291546026</v>
      </c>
      <c r="L22" s="46">
        <f t="shared" si="5"/>
        <v>995740.82014633296</v>
      </c>
      <c r="M22" s="8"/>
      <c r="N22" s="5">
        <f>(L22/L19-1)*100</f>
        <v>-2.6576790991815202</v>
      </c>
      <c r="O22" s="39"/>
      <c r="P22" s="20">
        <f t="shared" si="6"/>
        <v>36707</v>
      </c>
      <c r="Q22" s="27">
        <v>1.74201768347643</v>
      </c>
      <c r="R22" s="46">
        <f t="shared" si="7"/>
        <v>1007170.232747024</v>
      </c>
      <c r="S22" s="8"/>
      <c r="T22" s="5">
        <f>(R22/R19-1)*100</f>
        <v>1.874427293983838</v>
      </c>
      <c r="U22" s="5"/>
      <c r="V22" s="39"/>
      <c r="W22" s="20">
        <f t="shared" si="8"/>
        <v>36707</v>
      </c>
      <c r="X22" s="36">
        <v>-4.1760746357102718</v>
      </c>
      <c r="Y22" s="46">
        <f t="shared" si="9"/>
        <v>994142.14596712927</v>
      </c>
      <c r="AA22" s="106">
        <f>(Y22/Y19-1)*100</f>
        <v>5.289114908024839</v>
      </c>
    </row>
    <row r="23" spans="1:27" x14ac:dyDescent="0.25">
      <c r="A23" s="20">
        <v>36738</v>
      </c>
      <c r="B23" s="24">
        <f t="shared" si="10"/>
        <v>7</v>
      </c>
      <c r="C23" s="96" t="s">
        <v>77</v>
      </c>
      <c r="D23" s="27">
        <v>-0.47</v>
      </c>
      <c r="E23" s="46">
        <f t="shared" si="3"/>
        <v>1025260.039593233</v>
      </c>
      <c r="F23" s="8"/>
      <c r="I23" s="39"/>
      <c r="J23" s="20">
        <f t="shared" si="4"/>
        <v>36738</v>
      </c>
      <c r="K23" s="27">
        <v>-1.5573152064652021</v>
      </c>
      <c r="L23" s="46">
        <f t="shared" si="5"/>
        <v>980233.99693721277</v>
      </c>
      <c r="M23" s="8"/>
      <c r="O23" s="39"/>
      <c r="P23" s="20">
        <f t="shared" si="6"/>
        <v>36738</v>
      </c>
      <c r="Q23" s="27">
        <v>-1.0405934173936995</v>
      </c>
      <c r="R23" s="46">
        <f t="shared" si="7"/>
        <v>996689.68560310965</v>
      </c>
      <c r="S23" s="8"/>
      <c r="V23" s="39"/>
      <c r="W23" s="20">
        <f t="shared" si="8"/>
        <v>36738</v>
      </c>
      <c r="X23" s="36">
        <v>1.3630467806027475</v>
      </c>
      <c r="Y23" s="46">
        <f t="shared" si="9"/>
        <v>1007692.7684823493</v>
      </c>
    </row>
    <row r="24" spans="1:27" x14ac:dyDescent="0.25">
      <c r="A24" s="20">
        <v>36769</v>
      </c>
      <c r="B24" s="24">
        <f t="shared" si="10"/>
        <v>8</v>
      </c>
      <c r="C24" s="96" t="s">
        <v>77</v>
      </c>
      <c r="D24" s="27">
        <v>0.2</v>
      </c>
      <c r="E24" s="46">
        <f t="shared" si="3"/>
        <v>1027310.5596724194</v>
      </c>
      <c r="F24" s="8"/>
      <c r="I24" s="39"/>
      <c r="J24" s="20">
        <f t="shared" si="4"/>
        <v>36769</v>
      </c>
      <c r="K24" s="27">
        <v>6.2114812796588783</v>
      </c>
      <c r="L24" s="46">
        <f t="shared" si="5"/>
        <v>1041121.0481538197</v>
      </c>
      <c r="M24" s="8"/>
      <c r="O24" s="39"/>
      <c r="P24" s="20">
        <f t="shared" si="6"/>
        <v>36769</v>
      </c>
      <c r="Q24" s="27">
        <v>4.1027127777837782</v>
      </c>
      <c r="R24" s="46">
        <f t="shared" si="7"/>
        <v>1037581.0006892014</v>
      </c>
      <c r="S24" s="8"/>
      <c r="V24" s="39"/>
      <c r="W24" s="20">
        <f t="shared" si="8"/>
        <v>36769</v>
      </c>
      <c r="X24" s="36">
        <v>7.4544538688008544</v>
      </c>
      <c r="Y24" s="46">
        <f t="shared" si="9"/>
        <v>1082810.7610481083</v>
      </c>
    </row>
    <row r="25" spans="1:27" x14ac:dyDescent="0.25">
      <c r="A25" s="20">
        <v>36799</v>
      </c>
      <c r="B25" s="24">
        <f t="shared" si="10"/>
        <v>9</v>
      </c>
      <c r="C25" s="96" t="s">
        <v>77</v>
      </c>
      <c r="D25" s="27">
        <v>4.74</v>
      </c>
      <c r="E25" s="46">
        <f t="shared" si="3"/>
        <v>1076005.0802008922</v>
      </c>
      <c r="F25" s="8"/>
      <c r="G25" s="5">
        <f>(E25/E22-1)*100</f>
        <v>4.4562174439999991</v>
      </c>
      <c r="H25" s="5"/>
      <c r="I25" s="39"/>
      <c r="J25" s="20">
        <f t="shared" si="4"/>
        <v>36799</v>
      </c>
      <c r="K25" s="27">
        <v>-5.2795735751916082</v>
      </c>
      <c r="L25" s="46">
        <f t="shared" si="5"/>
        <v>986154.29640973278</v>
      </c>
      <c r="M25" s="8"/>
      <c r="N25" s="5">
        <f>(L25/L22-1)*100</f>
        <v>-0.96275291146459274</v>
      </c>
      <c r="O25" s="39"/>
      <c r="P25" s="20">
        <f t="shared" si="6"/>
        <v>36799</v>
      </c>
      <c r="Q25" s="27">
        <v>-2.419202330292217</v>
      </c>
      <c r="R25" s="46">
        <f t="shared" si="7"/>
        <v>1012479.816941859</v>
      </c>
      <c r="S25" s="8"/>
      <c r="T25" s="5">
        <f>(R25/R22-1)*100</f>
        <v>0.52717842745939603</v>
      </c>
      <c r="U25" s="5"/>
      <c r="V25" s="39"/>
      <c r="W25" s="20">
        <f t="shared" si="8"/>
        <v>36799</v>
      </c>
      <c r="X25" s="36">
        <v>3.1585659504960018</v>
      </c>
      <c r="Y25" s="46">
        <f t="shared" si="9"/>
        <v>1117012.0530548806</v>
      </c>
      <c r="AA25" s="106">
        <f>(Y25/Y22-1)*100</f>
        <v>12.359390212575683</v>
      </c>
    </row>
    <row r="26" spans="1:27" x14ac:dyDescent="0.25">
      <c r="A26" s="20">
        <v>36830</v>
      </c>
      <c r="B26" s="24">
        <f t="shared" si="10"/>
        <v>10</v>
      </c>
      <c r="C26" s="96" t="s">
        <v>77</v>
      </c>
      <c r="D26" s="27">
        <v>1.04</v>
      </c>
      <c r="E26" s="46">
        <f t="shared" si="3"/>
        <v>1087195.5330349815</v>
      </c>
      <c r="F26" s="8"/>
      <c r="I26" s="39"/>
      <c r="J26" s="20">
        <f t="shared" si="4"/>
        <v>36830</v>
      </c>
      <c r="K26" s="27">
        <v>-0.42330523307498158</v>
      </c>
      <c r="L26" s="46">
        <f t="shared" si="5"/>
        <v>981979.85366683663</v>
      </c>
      <c r="M26" s="8"/>
      <c r="O26" s="39"/>
      <c r="P26" s="20">
        <f t="shared" si="6"/>
        <v>36830</v>
      </c>
      <c r="Q26" s="27">
        <v>2.9561551856130004</v>
      </c>
      <c r="R26" s="46">
        <f t="shared" si="7"/>
        <v>1042410.2915536708</v>
      </c>
      <c r="S26" s="8"/>
      <c r="V26" s="39"/>
      <c r="W26" s="20">
        <f t="shared" si="8"/>
        <v>36830</v>
      </c>
      <c r="X26" s="36">
        <v>2.3517125559209182</v>
      </c>
      <c r="Y26" s="46">
        <f t="shared" si="9"/>
        <v>1143280.9657577223</v>
      </c>
    </row>
    <row r="27" spans="1:27" x14ac:dyDescent="0.25">
      <c r="A27" s="20">
        <v>36860</v>
      </c>
      <c r="B27" s="24">
        <f t="shared" si="10"/>
        <v>11</v>
      </c>
      <c r="C27" s="96" t="s">
        <v>77</v>
      </c>
      <c r="D27" s="27">
        <v>0.83</v>
      </c>
      <c r="E27" s="46">
        <f t="shared" si="3"/>
        <v>1096219.2559591718</v>
      </c>
      <c r="F27" s="8"/>
      <c r="I27" s="39"/>
      <c r="J27" s="20">
        <f t="shared" si="4"/>
        <v>36860</v>
      </c>
      <c r="K27" s="27">
        <v>-7.883501358043695</v>
      </c>
      <c r="L27" s="46">
        <f t="shared" si="5"/>
        <v>904565.45856729604</v>
      </c>
      <c r="M27" s="8"/>
      <c r="O27" s="39"/>
      <c r="P27" s="20">
        <f t="shared" si="6"/>
        <v>36860</v>
      </c>
      <c r="Q27" s="27">
        <v>-3.6785294872347136</v>
      </c>
      <c r="R27" s="46">
        <f t="shared" si="7"/>
        <v>1004064.9216008997</v>
      </c>
      <c r="S27" s="8"/>
      <c r="V27" s="39"/>
      <c r="W27" s="20">
        <f t="shared" si="8"/>
        <v>36860</v>
      </c>
      <c r="X27" s="36">
        <v>1.7025759251241699</v>
      </c>
      <c r="Y27" s="46">
        <f t="shared" si="9"/>
        <v>1162746.1922372403</v>
      </c>
    </row>
    <row r="28" spans="1:27" x14ac:dyDescent="0.25">
      <c r="A28" s="20">
        <v>36891</v>
      </c>
      <c r="B28" s="24">
        <f t="shared" si="10"/>
        <v>12</v>
      </c>
      <c r="C28" s="96" t="s">
        <v>77</v>
      </c>
      <c r="D28" s="27">
        <v>6.43</v>
      </c>
      <c r="E28" s="46">
        <f t="shared" si="3"/>
        <v>1166706.1541173465</v>
      </c>
      <c r="F28" s="11">
        <f>(E28-E16)/E16*100</f>
        <v>16.670615411734651</v>
      </c>
      <c r="G28" s="5">
        <f>(E28/E25-1)*100</f>
        <v>8.4294280376000064</v>
      </c>
      <c r="H28" s="5"/>
      <c r="I28" s="39"/>
      <c r="J28" s="20">
        <f t="shared" si="4"/>
        <v>36891</v>
      </c>
      <c r="K28" s="27">
        <v>0.48873135410954627</v>
      </c>
      <c r="L28" s="46">
        <f t="shared" si="5"/>
        <v>908986.35358175926</v>
      </c>
      <c r="M28" s="11">
        <f>(L28-L16)/L16*100</f>
        <v>-9.1013646418240732</v>
      </c>
      <c r="N28" s="5">
        <f>(L28/L25-1)*100</f>
        <v>-7.8251388356687102</v>
      </c>
      <c r="O28" s="39"/>
      <c r="P28" s="20">
        <f t="shared" si="6"/>
        <v>36891</v>
      </c>
      <c r="Q28" s="27">
        <v>-0.6284648695527103</v>
      </c>
      <c r="R28" s="46">
        <f t="shared" si="7"/>
        <v>997754.72630113608</v>
      </c>
      <c r="S28" s="11">
        <f>(R28-R16)/R16*100</f>
        <v>-0.22452736988639227</v>
      </c>
      <c r="T28" s="5">
        <f>(R28/R25-1)*100</f>
        <v>-1.4543589308475546</v>
      </c>
      <c r="U28" s="5"/>
      <c r="V28" s="39"/>
      <c r="W28" s="20">
        <f t="shared" si="8"/>
        <v>36891</v>
      </c>
      <c r="X28" s="36">
        <v>7.5325175365576476</v>
      </c>
      <c r="Y28" s="46">
        <f t="shared" si="9"/>
        <v>1250330.2530731666</v>
      </c>
      <c r="AA28" s="106">
        <f>(Y28/Y25-1)*100</f>
        <v>11.935251697032134</v>
      </c>
    </row>
    <row r="29" spans="1:27" x14ac:dyDescent="0.25">
      <c r="A29" s="20">
        <v>36922</v>
      </c>
      <c r="B29" s="24">
        <f t="shared" si="10"/>
        <v>13</v>
      </c>
      <c r="C29" s="96" t="s">
        <v>77</v>
      </c>
      <c r="D29" s="27">
        <v>-0.62</v>
      </c>
      <c r="E29" s="46">
        <f t="shared" si="3"/>
        <v>1159472.5759618189</v>
      </c>
      <c r="F29" s="10"/>
      <c r="I29" s="39"/>
      <c r="J29" s="20">
        <f t="shared" si="4"/>
        <v>36922</v>
      </c>
      <c r="K29" s="27">
        <v>3.5478696743355993</v>
      </c>
      <c r="L29" s="46">
        <f t="shared" si="5"/>
        <v>941236.00476433546</v>
      </c>
      <c r="M29" s="10"/>
      <c r="O29" s="39"/>
      <c r="P29" s="20">
        <f t="shared" si="6"/>
        <v>36922</v>
      </c>
      <c r="Q29" s="27">
        <v>-0.34175607637019806</v>
      </c>
      <c r="R29" s="46">
        <f t="shared" si="7"/>
        <v>994344.83889673115</v>
      </c>
      <c r="S29" s="10"/>
      <c r="V29" s="39"/>
      <c r="W29" s="20">
        <f t="shared" si="8"/>
        <v>36922</v>
      </c>
      <c r="X29" s="36">
        <v>-4.3133685174024965</v>
      </c>
      <c r="Y29" s="46">
        <f t="shared" si="9"/>
        <v>1196398.9015735497</v>
      </c>
    </row>
    <row r="30" spans="1:27" x14ac:dyDescent="0.25">
      <c r="A30" s="20">
        <v>36950</v>
      </c>
      <c r="B30" s="24">
        <f t="shared" si="10"/>
        <v>14</v>
      </c>
      <c r="C30" s="96" t="s">
        <v>77</v>
      </c>
      <c r="D30" s="27">
        <v>2.02</v>
      </c>
      <c r="E30" s="46">
        <f t="shared" si="3"/>
        <v>1182893.9219962477</v>
      </c>
      <c r="F30" s="8"/>
      <c r="I30" s="39"/>
      <c r="J30" s="20">
        <f t="shared" si="4"/>
        <v>36950</v>
      </c>
      <c r="K30" s="27">
        <v>-9.1189454708220552</v>
      </c>
      <c r="L30" s="46">
        <f t="shared" si="5"/>
        <v>855405.20673813159</v>
      </c>
      <c r="M30" s="8"/>
      <c r="O30" s="39"/>
      <c r="P30" s="20">
        <f t="shared" si="6"/>
        <v>36950</v>
      </c>
      <c r="Q30" s="27">
        <v>-4.5916623223877169</v>
      </c>
      <c r="R30" s="46">
        <f t="shared" si="7"/>
        <v>948687.88157450315</v>
      </c>
      <c r="S30" s="8"/>
      <c r="V30" s="39"/>
      <c r="W30" s="20">
        <f t="shared" si="8"/>
        <v>36950</v>
      </c>
      <c r="X30" s="36">
        <v>2.8779234468673836</v>
      </c>
      <c r="Y30" s="46">
        <f t="shared" si="9"/>
        <v>1230830.3460799986</v>
      </c>
    </row>
    <row r="31" spans="1:27" x14ac:dyDescent="0.25">
      <c r="A31" s="20">
        <v>36981</v>
      </c>
      <c r="B31" s="24">
        <f t="shared" si="10"/>
        <v>15</v>
      </c>
      <c r="C31" s="96" t="s">
        <v>77</v>
      </c>
      <c r="D31" s="27">
        <v>-2.11</v>
      </c>
      <c r="E31" s="46">
        <f t="shared" si="3"/>
        <v>1157934.860242127</v>
      </c>
      <c r="F31" s="8"/>
      <c r="G31" s="5">
        <f>(E31/E28-1)*100</f>
        <v>-0.75179974359999013</v>
      </c>
      <c r="H31" s="5"/>
      <c r="I31" s="39"/>
      <c r="J31" s="20">
        <f t="shared" si="4"/>
        <v>36981</v>
      </c>
      <c r="K31" s="27">
        <v>-6.3349729683408986</v>
      </c>
      <c r="L31" s="46">
        <f t="shared" si="5"/>
        <v>801215.51812149037</v>
      </c>
      <c r="M31" s="8"/>
      <c r="N31" s="5">
        <f>(L31/L28-1)*100</f>
        <v>-11.856155489640729</v>
      </c>
      <c r="O31" s="39"/>
      <c r="P31" s="20">
        <f t="shared" si="6"/>
        <v>36981</v>
      </c>
      <c r="Q31" s="27">
        <v>-5.3831855405659024</v>
      </c>
      <c r="R31" s="46">
        <f t="shared" si="7"/>
        <v>897618.25270848349</v>
      </c>
      <c r="S31" s="8"/>
      <c r="T31" s="5">
        <f>(R31/R28-1)*100</f>
        <v>-10.036181333249839</v>
      </c>
      <c r="U31" s="5"/>
      <c r="V31" s="39"/>
      <c r="W31" s="20">
        <f t="shared" si="8"/>
        <v>36981</v>
      </c>
      <c r="X31" s="36">
        <v>-1.2489882068463871</v>
      </c>
      <c r="Y31" s="46">
        <f t="shared" si="9"/>
        <v>1215457.4202111729</v>
      </c>
      <c r="AA31" s="106">
        <f>(Y31/Y28-1)*100</f>
        <v>-2.7890897445918994</v>
      </c>
    </row>
    <row r="32" spans="1:27" x14ac:dyDescent="0.25">
      <c r="A32" s="20">
        <v>37011</v>
      </c>
      <c r="B32" s="24">
        <f t="shared" si="10"/>
        <v>16</v>
      </c>
      <c r="C32" s="96" t="s">
        <v>77</v>
      </c>
      <c r="D32" s="27">
        <v>6.72</v>
      </c>
      <c r="E32" s="46">
        <f t="shared" si="3"/>
        <v>1235748.082850398</v>
      </c>
      <c r="F32" s="8"/>
      <c r="I32" s="39"/>
      <c r="J32" s="20">
        <f t="shared" si="4"/>
        <v>37011</v>
      </c>
      <c r="K32" s="27">
        <v>7.7701831121151006</v>
      </c>
      <c r="L32" s="46">
        <f t="shared" si="5"/>
        <v>863471.43100221187</v>
      </c>
      <c r="M32" s="8"/>
      <c r="O32" s="39"/>
      <c r="P32" s="20">
        <f t="shared" si="6"/>
        <v>37011</v>
      </c>
      <c r="Q32" s="27">
        <v>6.600599371308312</v>
      </c>
      <c r="R32" s="46">
        <f t="shared" si="7"/>
        <v>956866.43745350826</v>
      </c>
      <c r="S32" s="8"/>
      <c r="V32" s="39"/>
      <c r="W32" s="20">
        <f t="shared" si="8"/>
        <v>37011</v>
      </c>
      <c r="X32" s="36">
        <v>5.244085909939824</v>
      </c>
      <c r="Y32" s="46">
        <f t="shared" si="9"/>
        <v>1279197.0515257851</v>
      </c>
    </row>
    <row r="33" spans="1:27" x14ac:dyDescent="0.25">
      <c r="A33" s="20">
        <v>37042</v>
      </c>
      <c r="B33" s="24">
        <f t="shared" si="10"/>
        <v>17</v>
      </c>
      <c r="C33" s="96" t="s">
        <v>77</v>
      </c>
      <c r="D33" s="27">
        <v>3.17</v>
      </c>
      <c r="E33" s="46">
        <f t="shared" si="3"/>
        <v>1274921.2970767557</v>
      </c>
      <c r="F33" s="8"/>
      <c r="I33" s="39"/>
      <c r="J33" s="20">
        <f t="shared" si="4"/>
        <v>37042</v>
      </c>
      <c r="K33" s="27">
        <v>0.66989034216855858</v>
      </c>
      <c r="L33" s="46">
        <f t="shared" si="5"/>
        <v>869255.74272588035</v>
      </c>
      <c r="M33" s="8"/>
      <c r="O33" s="39"/>
      <c r="P33" s="20">
        <f t="shared" si="6"/>
        <v>37042</v>
      </c>
      <c r="Q33" s="27">
        <v>0.99856242025135222</v>
      </c>
      <c r="R33" s="46">
        <f t="shared" si="7"/>
        <v>966421.34610991692</v>
      </c>
      <c r="S33" s="8"/>
      <c r="V33" s="39"/>
      <c r="W33" s="20">
        <f t="shared" si="8"/>
        <v>37042</v>
      </c>
      <c r="X33" s="36">
        <v>3.6247618531215964</v>
      </c>
      <c r="Y33" s="46">
        <f t="shared" si="9"/>
        <v>1325564.8982757479</v>
      </c>
    </row>
    <row r="34" spans="1:27" x14ac:dyDescent="0.25">
      <c r="A34" s="20">
        <v>37072</v>
      </c>
      <c r="B34" s="24">
        <f t="shared" si="10"/>
        <v>18</v>
      </c>
      <c r="C34" s="96" t="s">
        <v>77</v>
      </c>
      <c r="D34" s="27">
        <v>7.0000000000000007E-2</v>
      </c>
      <c r="E34" s="46">
        <f t="shared" si="3"/>
        <v>1275813.7419847094</v>
      </c>
      <c r="F34" s="8"/>
      <c r="G34" s="5">
        <f>(E34/E31-1)*100</f>
        <v>10.180096116800019</v>
      </c>
      <c r="H34" s="5"/>
      <c r="I34" s="39"/>
      <c r="J34" s="20">
        <f t="shared" si="4"/>
        <v>37072</v>
      </c>
      <c r="K34" s="27">
        <v>-2.434530213271064</v>
      </c>
      <c r="L34" s="46">
        <f t="shared" si="5"/>
        <v>848093.449038625</v>
      </c>
      <c r="M34" s="8"/>
      <c r="N34" s="5">
        <f>(L34/L31-1)*100</f>
        <v>5.8508515944677875</v>
      </c>
      <c r="O34" s="39"/>
      <c r="P34" s="20">
        <f t="shared" si="6"/>
        <v>37072</v>
      </c>
      <c r="Q34" s="27">
        <v>-2.5146445336249785</v>
      </c>
      <c r="R34" s="46">
        <f t="shared" si="7"/>
        <v>942119.28455817897</v>
      </c>
      <c r="S34" s="8"/>
      <c r="T34" s="5">
        <f>(R34/R31-1)*100</f>
        <v>4.957679026180406</v>
      </c>
      <c r="U34" s="5"/>
      <c r="V34" s="39"/>
      <c r="W34" s="20">
        <f t="shared" si="8"/>
        <v>37072</v>
      </c>
      <c r="X34" s="36">
        <v>-2.472624178249661</v>
      </c>
      <c r="Y34" s="46">
        <f t="shared" si="9"/>
        <v>1292788.6601025912</v>
      </c>
      <c r="AA34" s="106">
        <f>(Y34/Y31-1)*100</f>
        <v>6.3623158331603813</v>
      </c>
    </row>
    <row r="35" spans="1:27" x14ac:dyDescent="0.25">
      <c r="A35" s="20">
        <v>37103</v>
      </c>
      <c r="B35" s="24">
        <f t="shared" si="10"/>
        <v>19</v>
      </c>
      <c r="C35" s="96" t="s">
        <v>77</v>
      </c>
      <c r="D35" s="27">
        <v>-1.65</v>
      </c>
      <c r="E35" s="46">
        <f t="shared" si="3"/>
        <v>1254762.8152419617</v>
      </c>
      <c r="F35" s="8"/>
      <c r="I35" s="39"/>
      <c r="J35" s="20">
        <f t="shared" si="4"/>
        <v>37103</v>
      </c>
      <c r="K35" s="27">
        <v>-0.98539293371843717</v>
      </c>
      <c r="L35" s="46">
        <f t="shared" si="5"/>
        <v>839736.39612046944</v>
      </c>
      <c r="M35" s="8"/>
      <c r="O35" s="39"/>
      <c r="P35" s="20">
        <f t="shared" si="6"/>
        <v>37103</v>
      </c>
      <c r="Q35" s="27">
        <v>-0.10469571254271051</v>
      </c>
      <c r="R35" s="46">
        <f t="shared" si="7"/>
        <v>941132.92606020847</v>
      </c>
      <c r="S35" s="8"/>
      <c r="V35" s="39"/>
      <c r="W35" s="20">
        <f t="shared" si="8"/>
        <v>37103</v>
      </c>
      <c r="X35" s="36">
        <v>-0.390442094584043</v>
      </c>
      <c r="Y35" s="46">
        <f t="shared" si="9"/>
        <v>1287741.0689795415</v>
      </c>
    </row>
    <row r="36" spans="1:27" x14ac:dyDescent="0.25">
      <c r="A36" s="20">
        <v>37134</v>
      </c>
      <c r="B36" s="24">
        <f t="shared" si="10"/>
        <v>20</v>
      </c>
      <c r="C36" s="96" t="s">
        <v>77</v>
      </c>
      <c r="D36" s="27">
        <v>-0.23</v>
      </c>
      <c r="E36" s="46">
        <f t="shared" si="3"/>
        <v>1251876.8607669051</v>
      </c>
      <c r="F36" s="8"/>
      <c r="I36" s="39"/>
      <c r="J36" s="20">
        <f t="shared" si="4"/>
        <v>37134</v>
      </c>
      <c r="K36" s="27">
        <v>-6.2599029796738135</v>
      </c>
      <c r="L36" s="46">
        <f t="shared" si="5"/>
        <v>787169.71243831865</v>
      </c>
      <c r="M36" s="8"/>
      <c r="O36" s="39"/>
      <c r="P36" s="20">
        <f t="shared" si="6"/>
        <v>37134</v>
      </c>
      <c r="Q36" s="27">
        <v>-4.1201586478853534</v>
      </c>
      <c r="R36" s="46">
        <f t="shared" si="7"/>
        <v>902356.75641904236</v>
      </c>
      <c r="S36" s="8"/>
      <c r="V36" s="39"/>
      <c r="W36" s="20">
        <f t="shared" si="8"/>
        <v>37134</v>
      </c>
      <c r="X36" s="36">
        <v>5.3862557443200045E-2</v>
      </c>
      <c r="Y36" s="46">
        <f t="shared" si="9"/>
        <v>1288434.6792525402</v>
      </c>
    </row>
    <row r="37" spans="1:27" x14ac:dyDescent="0.25">
      <c r="A37" s="20">
        <v>37164</v>
      </c>
      <c r="B37" s="24">
        <f t="shared" si="10"/>
        <v>21</v>
      </c>
      <c r="C37" s="96" t="s">
        <v>77</v>
      </c>
      <c r="D37" s="27">
        <v>-3.34</v>
      </c>
      <c r="E37" s="46">
        <f t="shared" si="3"/>
        <v>1210064.1736172906</v>
      </c>
      <c r="F37" s="8"/>
      <c r="G37" s="5">
        <f>(E37/E34-1)*100</f>
        <v>-5.1535397530000022</v>
      </c>
      <c r="H37" s="5"/>
      <c r="I37" s="39"/>
      <c r="J37" s="20">
        <f t="shared" si="4"/>
        <v>37164</v>
      </c>
      <c r="K37" s="27">
        <v>-8.0765442643118277</v>
      </c>
      <c r="L37" s="46">
        <f t="shared" si="5"/>
        <v>723593.60217798175</v>
      </c>
      <c r="M37" s="8"/>
      <c r="N37" s="5">
        <f>(L37/L34-1)*100</f>
        <v>-14.67996799194391</v>
      </c>
      <c r="O37" s="39"/>
      <c r="P37" s="20">
        <f t="shared" si="6"/>
        <v>37164</v>
      </c>
      <c r="Q37" s="27">
        <v>-3.6734538445793525</v>
      </c>
      <c r="R37" s="46">
        <f t="shared" si="7"/>
        <v>869209.09745854547</v>
      </c>
      <c r="S37" s="8"/>
      <c r="T37" s="5">
        <f>(R37/R34-1)*100</f>
        <v>-7.7389549598091296</v>
      </c>
      <c r="U37" s="5"/>
      <c r="V37" s="39"/>
      <c r="W37" s="20">
        <f t="shared" si="8"/>
        <v>37164</v>
      </c>
      <c r="X37" s="36">
        <v>-4.6035035860492801</v>
      </c>
      <c r="Y37" s="46">
        <f t="shared" si="9"/>
        <v>1229121.542589247</v>
      </c>
      <c r="AA37" s="106">
        <f>(Y37/Y34-1)*100</f>
        <v>-4.9247892929608295</v>
      </c>
    </row>
    <row r="38" spans="1:27" x14ac:dyDescent="0.25">
      <c r="A38" s="20">
        <v>37195</v>
      </c>
      <c r="B38" s="24">
        <f t="shared" si="10"/>
        <v>22</v>
      </c>
      <c r="C38" s="96" t="s">
        <v>77</v>
      </c>
      <c r="D38" s="27">
        <v>-0.02</v>
      </c>
      <c r="E38" s="46">
        <f t="shared" si="3"/>
        <v>1209822.160782567</v>
      </c>
      <c r="F38" s="8"/>
      <c r="I38" s="39"/>
      <c r="J38" s="20">
        <f t="shared" si="4"/>
        <v>37195</v>
      </c>
      <c r="K38" s="27">
        <v>1.9053654180414203</v>
      </c>
      <c r="L38" s="46">
        <f t="shared" si="5"/>
        <v>737380.70444104122</v>
      </c>
      <c r="M38" s="8"/>
      <c r="O38" s="39"/>
      <c r="P38" s="20">
        <f t="shared" si="6"/>
        <v>37195</v>
      </c>
      <c r="Q38" s="27">
        <v>-0.19510437612422324</v>
      </c>
      <c r="R38" s="46">
        <f t="shared" si="7"/>
        <v>867513.23247173394</v>
      </c>
      <c r="S38" s="8"/>
      <c r="V38" s="39"/>
      <c r="W38" s="20">
        <f t="shared" si="8"/>
        <v>37195</v>
      </c>
      <c r="X38" s="36">
        <v>-0.78952633549994988</v>
      </c>
      <c r="Y38" s="46">
        <f t="shared" si="9"/>
        <v>1219417.3043152017</v>
      </c>
    </row>
    <row r="39" spans="1:27" x14ac:dyDescent="0.25">
      <c r="A39" s="20">
        <v>37225</v>
      </c>
      <c r="B39" s="24">
        <f t="shared" si="10"/>
        <v>23</v>
      </c>
      <c r="C39" s="96" t="s">
        <v>77</v>
      </c>
      <c r="D39" s="27">
        <v>4.74</v>
      </c>
      <c r="E39" s="46">
        <f t="shared" si="3"/>
        <v>1267167.7312036606</v>
      </c>
      <c r="F39" s="8"/>
      <c r="I39" s="39"/>
      <c r="J39" s="20">
        <f t="shared" si="4"/>
        <v>37225</v>
      </c>
      <c r="K39" s="27">
        <v>7.6715489046208916</v>
      </c>
      <c r="L39" s="46">
        <f t="shared" si="5"/>
        <v>793949.22579547379</v>
      </c>
      <c r="M39" s="8"/>
      <c r="O39" s="39"/>
      <c r="P39" s="20">
        <f t="shared" si="6"/>
        <v>37225</v>
      </c>
      <c r="Q39" s="27">
        <v>4.7526157419389712</v>
      </c>
      <c r="R39" s="46">
        <f t="shared" si="7"/>
        <v>908742.80292158923</v>
      </c>
      <c r="S39" s="8"/>
      <c r="V39" s="39"/>
      <c r="W39" s="20">
        <f t="shared" si="8"/>
        <v>37225</v>
      </c>
      <c r="X39" s="36">
        <v>3.3957639563985276</v>
      </c>
      <c r="Y39" s="46">
        <f t="shared" si="9"/>
        <v>1260825.8376132238</v>
      </c>
    </row>
    <row r="40" spans="1:27" x14ac:dyDescent="0.25">
      <c r="A40" s="20">
        <v>37256</v>
      </c>
      <c r="B40" s="24">
        <f t="shared" si="10"/>
        <v>24</v>
      </c>
      <c r="C40" s="96" t="s">
        <v>77</v>
      </c>
      <c r="D40" s="27">
        <v>4.0199999999999996</v>
      </c>
      <c r="E40" s="46">
        <f t="shared" si="3"/>
        <v>1318107.8739980478</v>
      </c>
      <c r="F40" s="11">
        <f>(E40-E28)/E28*100</f>
        <v>12.976851055974922</v>
      </c>
      <c r="G40" s="5">
        <f>(E40/E37-1)*100</f>
        <v>8.9287578903999965</v>
      </c>
      <c r="H40" s="5"/>
      <c r="I40" s="39"/>
      <c r="J40" s="20">
        <f t="shared" si="4"/>
        <v>37256</v>
      </c>
      <c r="K40" s="27">
        <v>0.87621202357562322</v>
      </c>
      <c r="L40" s="46">
        <f t="shared" si="5"/>
        <v>800905.9043729793</v>
      </c>
      <c r="M40" s="11">
        <f>(L40-L28)/L28*100</f>
        <v>-11.890216919418098</v>
      </c>
      <c r="N40" s="5">
        <f>(L40/L37-1)*100</f>
        <v>10.684492229103636</v>
      </c>
      <c r="O40" s="39"/>
      <c r="P40" s="20">
        <f t="shared" si="6"/>
        <v>37256</v>
      </c>
      <c r="Q40" s="27">
        <v>1.297915709923535</v>
      </c>
      <c r="R40" s="46">
        <f t="shared" si="7"/>
        <v>920537.51852350798</v>
      </c>
      <c r="S40" s="11">
        <f>(R40-R28)/R28*100</f>
        <v>-7.7390971690895176</v>
      </c>
      <c r="T40" s="5">
        <f>(R40/R37-1)*100</f>
        <v>5.9051868204141211</v>
      </c>
      <c r="U40" s="5"/>
      <c r="V40" s="39"/>
      <c r="W40" s="20">
        <f t="shared" si="8"/>
        <v>37256</v>
      </c>
      <c r="X40" s="36">
        <v>3.5005376209647232</v>
      </c>
      <c r="Y40" s="46">
        <f t="shared" si="9"/>
        <v>1304961.5203937183</v>
      </c>
      <c r="AA40" s="106">
        <f>(Y40/Y37-1)*100</f>
        <v>6.1702586096333611</v>
      </c>
    </row>
    <row r="41" spans="1:27" x14ac:dyDescent="0.25">
      <c r="A41" s="20">
        <v>37287</v>
      </c>
      <c r="B41" s="24">
        <f t="shared" si="10"/>
        <v>25</v>
      </c>
      <c r="C41" s="96" t="s">
        <v>77</v>
      </c>
      <c r="D41" s="27">
        <v>-1.85</v>
      </c>
      <c r="E41" s="46">
        <f t="shared" si="3"/>
        <v>1293722.8783290838</v>
      </c>
      <c r="F41" s="10"/>
      <c r="I41" s="39"/>
      <c r="J41" s="20">
        <f t="shared" si="4"/>
        <v>37287</v>
      </c>
      <c r="K41" s="27">
        <v>-1.459135520352574</v>
      </c>
      <c r="L41" s="46">
        <f t="shared" si="5"/>
        <v>789219.60183767218</v>
      </c>
      <c r="M41" s="10"/>
      <c r="O41" s="39"/>
      <c r="P41" s="20">
        <f t="shared" si="6"/>
        <v>37287</v>
      </c>
      <c r="Q41" s="27">
        <v>-0.83238712555066385</v>
      </c>
      <c r="R41" s="46">
        <f t="shared" si="7"/>
        <v>912875.08273345476</v>
      </c>
      <c r="S41" s="10"/>
      <c r="V41" s="39"/>
      <c r="W41" s="20">
        <f t="shared" si="8"/>
        <v>37287</v>
      </c>
      <c r="X41" s="36">
        <v>-0.24498138479714932</v>
      </c>
      <c r="Y41" s="46">
        <f t="shared" si="9"/>
        <v>1301764.6075899878</v>
      </c>
    </row>
    <row r="42" spans="1:27" x14ac:dyDescent="0.25">
      <c r="A42" s="20">
        <v>37315</v>
      </c>
      <c r="B42" s="24">
        <f t="shared" si="10"/>
        <v>26</v>
      </c>
      <c r="C42" s="96" t="s">
        <v>77</v>
      </c>
      <c r="D42" s="27">
        <v>1.34</v>
      </c>
      <c r="E42" s="46">
        <f t="shared" si="3"/>
        <v>1311058.7648986934</v>
      </c>
      <c r="F42" s="8"/>
      <c r="I42" s="39"/>
      <c r="J42" s="20">
        <f t="shared" si="4"/>
        <v>37315</v>
      </c>
      <c r="K42" s="27">
        <v>-1.929963316286353</v>
      </c>
      <c r="L42" s="46">
        <f t="shared" si="5"/>
        <v>773987.95303726394</v>
      </c>
      <c r="M42" s="8"/>
      <c r="O42" s="39"/>
      <c r="P42" s="20">
        <f t="shared" si="6"/>
        <v>37315</v>
      </c>
      <c r="Q42" s="27">
        <v>1.1064504176177481</v>
      </c>
      <c r="R42" s="46">
        <f t="shared" si="7"/>
        <v>922975.59289868746</v>
      </c>
      <c r="S42" s="8"/>
      <c r="V42" s="39"/>
      <c r="W42" s="20">
        <f t="shared" si="8"/>
        <v>37315</v>
      </c>
      <c r="X42" s="36">
        <v>2.6350524951864323</v>
      </c>
      <c r="Y42" s="46">
        <f t="shared" si="9"/>
        <v>1336066.7883637417</v>
      </c>
    </row>
    <row r="43" spans="1:27" x14ac:dyDescent="0.25">
      <c r="A43" s="20">
        <v>37346</v>
      </c>
      <c r="B43" s="24">
        <f t="shared" si="10"/>
        <v>27</v>
      </c>
      <c r="C43" s="96" t="s">
        <v>77</v>
      </c>
      <c r="D43" s="27">
        <v>7.41</v>
      </c>
      <c r="E43" s="46">
        <f t="shared" si="3"/>
        <v>1408208.2193776867</v>
      </c>
      <c r="F43" s="8"/>
      <c r="G43" s="5">
        <f>(E43/E40-1)*100</f>
        <v>6.8355820609999896</v>
      </c>
      <c r="H43" s="5"/>
      <c r="I43" s="39"/>
      <c r="J43" s="20">
        <f t="shared" si="4"/>
        <v>37346</v>
      </c>
      <c r="K43" s="27">
        <v>3.7602606724799821</v>
      </c>
      <c r="L43" s="46">
        <f t="shared" si="5"/>
        <v>803091.91764505696</v>
      </c>
      <c r="M43" s="8"/>
      <c r="N43" s="5">
        <f>(L43/L40-1)*100</f>
        <v>0.27294258415899719</v>
      </c>
      <c r="O43" s="39"/>
      <c r="P43" s="20">
        <f t="shared" si="6"/>
        <v>37346</v>
      </c>
      <c r="Q43" s="27">
        <v>1.9015260311196844</v>
      </c>
      <c r="R43" s="46">
        <f t="shared" si="7"/>
        <v>940526.21405853727</v>
      </c>
      <c r="S43" s="8"/>
      <c r="T43" s="5">
        <f>(R43/R40-1)*100</f>
        <v>2.1714156275878915</v>
      </c>
      <c r="U43" s="5"/>
      <c r="V43" s="39"/>
      <c r="W43" s="20">
        <f t="shared" si="8"/>
        <v>37346</v>
      </c>
      <c r="X43" s="36">
        <v>4.6300513244056409</v>
      </c>
      <c r="Y43" s="46">
        <f t="shared" si="9"/>
        <v>1397927.366393321</v>
      </c>
      <c r="AA43" s="106">
        <f>(Y43/Y40-1)*100</f>
        <v>7.1240296780210155</v>
      </c>
    </row>
    <row r="44" spans="1:27" x14ac:dyDescent="0.25">
      <c r="A44" s="20">
        <v>37376</v>
      </c>
      <c r="B44" s="24">
        <f t="shared" si="10"/>
        <v>28</v>
      </c>
      <c r="C44" s="96" t="s">
        <v>77</v>
      </c>
      <c r="D44" s="27">
        <v>-0.84</v>
      </c>
      <c r="E44" s="46">
        <f t="shared" si="3"/>
        <v>1396379.2703349141</v>
      </c>
      <c r="F44" s="8"/>
      <c r="I44" s="39"/>
      <c r="J44" s="20">
        <f t="shared" si="4"/>
        <v>37376</v>
      </c>
      <c r="K44" s="27">
        <v>-6.0635566402032302</v>
      </c>
      <c r="L44" s="46">
        <f t="shared" si="5"/>
        <v>754395.98434575461</v>
      </c>
      <c r="M44" s="8"/>
      <c r="O44" s="39"/>
      <c r="P44" s="20">
        <f t="shared" si="6"/>
        <v>37376</v>
      </c>
      <c r="Q44" s="27">
        <v>-5.2617954672507325</v>
      </c>
      <c r="R44" s="46">
        <f t="shared" si="7"/>
        <v>891037.64835890022</v>
      </c>
      <c r="S44" s="8"/>
      <c r="V44" s="39"/>
      <c r="W44" s="20">
        <f t="shared" si="8"/>
        <v>37376</v>
      </c>
      <c r="X44" s="36">
        <v>-0.19598733412118285</v>
      </c>
      <c r="Y44" s="46">
        <f t="shared" si="9"/>
        <v>1395187.6058149762</v>
      </c>
    </row>
    <row r="45" spans="1:27" x14ac:dyDescent="0.25">
      <c r="A45" s="20">
        <v>37407</v>
      </c>
      <c r="B45" s="24">
        <f t="shared" si="10"/>
        <v>29</v>
      </c>
      <c r="C45" s="96" t="s">
        <v>77</v>
      </c>
      <c r="D45" s="27">
        <v>0.33</v>
      </c>
      <c r="E45" s="46">
        <f t="shared" si="3"/>
        <v>1400987.3219270194</v>
      </c>
      <c r="F45" s="8"/>
      <c r="I45" s="39"/>
      <c r="J45" s="20">
        <f t="shared" si="4"/>
        <v>37407</v>
      </c>
      <c r="K45" s="27">
        <v>-0.73730848794787363</v>
      </c>
      <c r="L45" s="46">
        <f t="shared" si="5"/>
        <v>748833.75872043543</v>
      </c>
      <c r="M45" s="8"/>
      <c r="O45" s="39"/>
      <c r="P45" s="20">
        <f t="shared" si="6"/>
        <v>37407</v>
      </c>
      <c r="Q45" s="27">
        <v>-0.57786540496373606</v>
      </c>
      <c r="R45" s="46">
        <f t="shared" si="7"/>
        <v>885888.65004383167</v>
      </c>
      <c r="S45" s="8"/>
      <c r="V45" s="39"/>
      <c r="W45" s="20">
        <f t="shared" si="8"/>
        <v>37407</v>
      </c>
      <c r="X45" s="36">
        <v>-0.40652886716518288</v>
      </c>
      <c r="Y45" s="46">
        <f t="shared" si="9"/>
        <v>1389515.7654462275</v>
      </c>
    </row>
    <row r="46" spans="1:27" x14ac:dyDescent="0.25">
      <c r="A46" s="20">
        <v>37437</v>
      </c>
      <c r="B46" s="24">
        <f t="shared" si="10"/>
        <v>30</v>
      </c>
      <c r="C46" s="96" t="s">
        <v>77</v>
      </c>
      <c r="D46" s="27">
        <v>-3.09</v>
      </c>
      <c r="E46" s="46">
        <f t="shared" si="3"/>
        <v>1357696.8136794744</v>
      </c>
      <c r="F46" s="8"/>
      <c r="G46" s="5">
        <f>(E46/E43-1)*100</f>
        <v>-3.5869273452000083</v>
      </c>
      <c r="H46" s="5"/>
      <c r="I46" s="39"/>
      <c r="J46" s="20">
        <f t="shared" si="4"/>
        <v>37437</v>
      </c>
      <c r="K46" s="27">
        <v>-7.1145148624280097</v>
      </c>
      <c r="L46" s="46">
        <f t="shared" si="5"/>
        <v>695557.86966139171</v>
      </c>
      <c r="M46" s="8"/>
      <c r="N46" s="5">
        <f>(L46/L43-1)*100</f>
        <v>-13.390005007022388</v>
      </c>
      <c r="O46" s="39"/>
      <c r="P46" s="20">
        <f t="shared" si="6"/>
        <v>37437</v>
      </c>
      <c r="Q46" s="27">
        <v>-5.3806287798988288</v>
      </c>
      <c r="R46" s="46">
        <f t="shared" si="7"/>
        <v>838222.27038171608</v>
      </c>
      <c r="S46" s="8"/>
      <c r="T46" s="5">
        <f>(R46/R43-1)*100</f>
        <v>-10.877309122024526</v>
      </c>
      <c r="U46" s="5"/>
      <c r="V46" s="39"/>
      <c r="W46" s="20">
        <f t="shared" si="8"/>
        <v>37437</v>
      </c>
      <c r="X46" s="36">
        <v>-3.2348750249586984</v>
      </c>
      <c r="Y46" s="46">
        <f t="shared" si="9"/>
        <v>1344566.6669819439</v>
      </c>
      <c r="AA46" s="106">
        <f>(Y46/Y43-1)*100</f>
        <v>-3.8171296087470385</v>
      </c>
    </row>
    <row r="47" spans="1:27" x14ac:dyDescent="0.25">
      <c r="A47" s="20">
        <v>37468</v>
      </c>
      <c r="B47" s="24">
        <f t="shared" si="10"/>
        <v>31</v>
      </c>
      <c r="C47" s="96" t="s">
        <v>77</v>
      </c>
      <c r="D47" s="27">
        <v>-5.38</v>
      </c>
      <c r="E47" s="46">
        <f t="shared" si="3"/>
        <v>1284652.7251035187</v>
      </c>
      <c r="F47" s="8"/>
      <c r="I47" s="39"/>
      <c r="J47" s="20">
        <f t="shared" si="4"/>
        <v>37468</v>
      </c>
      <c r="K47" s="27">
        <v>-7.7951489527259943</v>
      </c>
      <c r="L47" s="46">
        <f t="shared" si="5"/>
        <v>641338.0976688785</v>
      </c>
      <c r="M47" s="8"/>
      <c r="O47" s="39"/>
      <c r="P47" s="20">
        <f t="shared" si="6"/>
        <v>37468</v>
      </c>
      <c r="Q47" s="27">
        <v>-5.8181354029933576</v>
      </c>
      <c r="R47" s="46">
        <f t="shared" si="7"/>
        <v>789453.36371286272</v>
      </c>
      <c r="S47" s="8"/>
      <c r="V47" s="39"/>
      <c r="W47" s="20">
        <f t="shared" si="8"/>
        <v>37468</v>
      </c>
      <c r="X47" s="36">
        <v>-6.02995279866626</v>
      </c>
      <c r="Y47" s="46">
        <f t="shared" si="9"/>
        <v>1263489.9316163324</v>
      </c>
    </row>
    <row r="48" spans="1:27" x14ac:dyDescent="0.25">
      <c r="A48" s="20">
        <v>37499</v>
      </c>
      <c r="B48" s="24">
        <f t="shared" si="10"/>
        <v>32</v>
      </c>
      <c r="C48" s="96" t="s">
        <v>77</v>
      </c>
      <c r="D48" s="27">
        <v>-0.42</v>
      </c>
      <c r="E48" s="46">
        <f t="shared" si="3"/>
        <v>1279257.1836580839</v>
      </c>
      <c r="F48" s="8"/>
      <c r="I48" s="39"/>
      <c r="J48" s="20">
        <f t="shared" si="4"/>
        <v>37499</v>
      </c>
      <c r="K48" s="27">
        <v>0.65484364619659652</v>
      </c>
      <c r="L48" s="46">
        <f t="shared" si="5"/>
        <v>645537.85945210129</v>
      </c>
      <c r="M48" s="8"/>
      <c r="O48" s="39"/>
      <c r="P48" s="20">
        <f t="shared" si="6"/>
        <v>37499</v>
      </c>
      <c r="Q48" s="27">
        <v>0.7235479856138588</v>
      </c>
      <c r="R48" s="46">
        <f t="shared" si="7"/>
        <v>795165.43762336799</v>
      </c>
      <c r="S48" s="8"/>
      <c r="V48" s="39"/>
      <c r="W48" s="20">
        <f t="shared" si="8"/>
        <v>37499</v>
      </c>
      <c r="X48" s="36">
        <v>1.195992564035379</v>
      </c>
      <c r="Y48" s="46">
        <f t="shared" si="9"/>
        <v>1278601.1772457995</v>
      </c>
    </row>
    <row r="49" spans="1:27" x14ac:dyDescent="0.25">
      <c r="A49" s="20">
        <v>37529</v>
      </c>
      <c r="B49" s="24">
        <f t="shared" si="10"/>
        <v>33</v>
      </c>
      <c r="C49" s="96" t="s">
        <v>77</v>
      </c>
      <c r="D49" s="27">
        <v>-5.43</v>
      </c>
      <c r="E49" s="46">
        <f t="shared" si="3"/>
        <v>1209793.51858545</v>
      </c>
      <c r="F49" s="8"/>
      <c r="G49" s="5">
        <f>(E49/E46-1)*100</f>
        <v>-10.893690962799996</v>
      </c>
      <c r="H49" s="5"/>
      <c r="I49" s="39"/>
      <c r="J49" s="20">
        <f t="shared" si="4"/>
        <v>37529</v>
      </c>
      <c r="K49" s="27">
        <v>-10.867941755894977</v>
      </c>
      <c r="L49" s="46">
        <f t="shared" ref="L49:L80" si="11">L48*K49/100+L48</f>
        <v>575381.18087459577</v>
      </c>
      <c r="M49" s="8"/>
      <c r="N49" s="5">
        <f>(L49/L46-1)*100</f>
        <v>-17.277741224508002</v>
      </c>
      <c r="O49" s="39"/>
      <c r="P49" s="20">
        <f t="shared" si="6"/>
        <v>37529</v>
      </c>
      <c r="Q49" s="27">
        <v>-9.9631230519842351</v>
      </c>
      <c r="R49" s="46">
        <f t="shared" ref="R49:R80" si="12">R48*Q49/100+R48</f>
        <v>715942.12660610292</v>
      </c>
      <c r="S49" s="8"/>
      <c r="T49" s="5">
        <f>(R49/R46-1)*100</f>
        <v>-14.58803328142645</v>
      </c>
      <c r="U49" s="5"/>
      <c r="V49" s="39"/>
      <c r="W49" s="20">
        <f t="shared" si="8"/>
        <v>37529</v>
      </c>
      <c r="X49" s="36">
        <v>-7.7098148677838401</v>
      </c>
      <c r="Y49" s="46">
        <f t="shared" si="9"/>
        <v>1180023.3935828437</v>
      </c>
      <c r="AA49" s="106">
        <f>(Y49/Y46-1)*100</f>
        <v>-12.237643356758143</v>
      </c>
    </row>
    <row r="50" spans="1:27" x14ac:dyDescent="0.25">
      <c r="A50" s="20">
        <v>37560</v>
      </c>
      <c r="B50" s="24">
        <f t="shared" si="10"/>
        <v>34</v>
      </c>
      <c r="C50" s="96" t="s">
        <v>77</v>
      </c>
      <c r="D50" s="27">
        <v>2.85</v>
      </c>
      <c r="E50" s="46">
        <f t="shared" si="3"/>
        <v>1244272.6338651353</v>
      </c>
      <c r="F50" s="8"/>
      <c r="I50" s="39"/>
      <c r="J50" s="20">
        <f t="shared" si="4"/>
        <v>37560</v>
      </c>
      <c r="K50" s="27">
        <v>8.8015691900482995</v>
      </c>
      <c r="L50" s="46">
        <f t="shared" si="11"/>
        <v>626023.75361579028</v>
      </c>
      <c r="M50" s="8"/>
      <c r="O50" s="39"/>
      <c r="P50" s="20">
        <f t="shared" si="6"/>
        <v>37560</v>
      </c>
      <c r="Q50" s="27">
        <v>7.3309994307277453</v>
      </c>
      <c r="R50" s="46">
        <f t="shared" si="12"/>
        <v>768427.83983193641</v>
      </c>
      <c r="S50" s="8"/>
      <c r="V50" s="39"/>
      <c r="W50" s="20">
        <f t="shared" si="8"/>
        <v>37560</v>
      </c>
      <c r="X50" s="36">
        <v>3.015915849321769</v>
      </c>
      <c r="Y50" s="46">
        <f t="shared" si="9"/>
        <v>1215611.9061356133</v>
      </c>
    </row>
    <row r="51" spans="1:27" x14ac:dyDescent="0.25">
      <c r="A51" s="20">
        <v>37590</v>
      </c>
      <c r="B51" s="24">
        <f t="shared" si="10"/>
        <v>35</v>
      </c>
      <c r="C51" s="96" t="s">
        <v>77</v>
      </c>
      <c r="D51" s="27">
        <v>2.84</v>
      </c>
      <c r="E51" s="46">
        <f t="shared" si="3"/>
        <v>1279609.976666905</v>
      </c>
      <c r="F51" s="8"/>
      <c r="H51" s="49"/>
      <c r="I51" s="39"/>
      <c r="J51" s="20">
        <f t="shared" si="4"/>
        <v>37590</v>
      </c>
      <c r="K51" s="27">
        <v>5.8859707927523175</v>
      </c>
      <c r="L51" s="46">
        <f t="shared" si="11"/>
        <v>662871.32890930749</v>
      </c>
      <c r="M51" s="8"/>
      <c r="O51" s="39"/>
      <c r="P51" s="20">
        <f t="shared" si="6"/>
        <v>37590</v>
      </c>
      <c r="Q51" s="27">
        <v>1.7565989017445616</v>
      </c>
      <c r="R51" s="46">
        <f t="shared" si="12"/>
        <v>781926.03482712363</v>
      </c>
      <c r="S51" s="8"/>
      <c r="U51" s="49"/>
      <c r="V51" s="39"/>
      <c r="W51" s="20">
        <f t="shared" si="8"/>
        <v>37590</v>
      </c>
      <c r="X51" s="36">
        <v>-0.12864104738710935</v>
      </c>
      <c r="Y51" s="46">
        <f t="shared" si="9"/>
        <v>1214048.130247398</v>
      </c>
    </row>
    <row r="52" spans="1:27" x14ac:dyDescent="0.25">
      <c r="A52" s="20">
        <v>37621</v>
      </c>
      <c r="B52" s="24">
        <f t="shared" si="10"/>
        <v>36</v>
      </c>
      <c r="C52" s="96" t="s">
        <v>77</v>
      </c>
      <c r="D52" s="27">
        <v>-0.24</v>
      </c>
      <c r="E52" s="46">
        <f t="shared" si="3"/>
        <v>1276538.9127229045</v>
      </c>
      <c r="F52" s="11">
        <f>(E52-E40)/E40*100</f>
        <v>-3.1536843148548614</v>
      </c>
      <c r="G52" s="5">
        <f>(E52/E49-1)*100</f>
        <v>5.5170897439999811</v>
      </c>
      <c r="H52" s="49"/>
      <c r="I52" s="39"/>
      <c r="J52" s="20">
        <f t="shared" si="4"/>
        <v>37621</v>
      </c>
      <c r="K52" s="27">
        <v>-5.875675887135718</v>
      </c>
      <c r="L52" s="46">
        <f t="shared" si="11"/>
        <v>623923.15807384718</v>
      </c>
      <c r="M52" s="11">
        <f>(L52-L40)/L40*100</f>
        <v>-22.09782014751034</v>
      </c>
      <c r="N52" s="5">
        <f>(L52/L49-1)*100</f>
        <v>8.4364902455562163</v>
      </c>
      <c r="O52" s="39"/>
      <c r="P52" s="20">
        <f t="shared" si="6"/>
        <v>37621</v>
      </c>
      <c r="Q52" s="27">
        <v>-3.3318863643712562</v>
      </c>
      <c r="R52" s="46">
        <f t="shared" si="12"/>
        <v>755873.14789324987</v>
      </c>
      <c r="S52" s="11">
        <f>(R52-R40)/R40*100</f>
        <v>-17.887850013367277</v>
      </c>
      <c r="T52" s="5">
        <f>(R52/R49-1)*100</f>
        <v>5.5774090954025191</v>
      </c>
      <c r="U52" s="49"/>
      <c r="V52" s="39"/>
      <c r="W52" s="20">
        <f t="shared" si="8"/>
        <v>37621</v>
      </c>
      <c r="X52" s="36">
        <v>-0.21294663609237258</v>
      </c>
      <c r="Y52" s="46">
        <f t="shared" si="9"/>
        <v>1211462.8555934939</v>
      </c>
      <c r="AA52" s="106">
        <f>(Y52/Y49-1)*100</f>
        <v>2.664308367242807</v>
      </c>
    </row>
    <row r="53" spans="1:27" x14ac:dyDescent="0.25">
      <c r="A53" s="20">
        <v>37652</v>
      </c>
      <c r="B53" s="24">
        <f t="shared" si="10"/>
        <v>37</v>
      </c>
      <c r="C53" s="96" t="s">
        <v>77</v>
      </c>
      <c r="D53" s="27">
        <v>-3.6</v>
      </c>
      <c r="E53" s="46">
        <f t="shared" si="3"/>
        <v>1230583.5118648799</v>
      </c>
      <c r="F53" s="10"/>
      <c r="H53" s="49"/>
      <c r="I53" s="39"/>
      <c r="J53" s="20">
        <f t="shared" si="4"/>
        <v>37652</v>
      </c>
      <c r="K53" s="27">
        <v>-2.6196491302325975</v>
      </c>
      <c r="L53" s="46">
        <f t="shared" si="11"/>
        <v>607578.56049004593</v>
      </c>
      <c r="M53" s="10"/>
      <c r="O53" s="39"/>
      <c r="P53" s="20">
        <f t="shared" si="6"/>
        <v>37652</v>
      </c>
      <c r="Q53" s="27">
        <v>-3.2514792777136501</v>
      </c>
      <c r="R53" s="46">
        <f t="shared" si="12"/>
        <v>731296.089123699</v>
      </c>
      <c r="S53" s="10"/>
      <c r="U53" s="49"/>
      <c r="V53" s="39"/>
      <c r="W53" s="20">
        <f t="shared" si="8"/>
        <v>37652</v>
      </c>
      <c r="X53" s="36">
        <v>-2.0018061017090321</v>
      </c>
      <c r="Y53" s="46">
        <f t="shared" si="9"/>
        <v>1187211.7182302848</v>
      </c>
    </row>
    <row r="54" spans="1:27" x14ac:dyDescent="0.25">
      <c r="A54" s="20">
        <v>37680</v>
      </c>
      <c r="B54" s="24">
        <f t="shared" si="10"/>
        <v>38</v>
      </c>
      <c r="C54" s="96" t="s">
        <v>77</v>
      </c>
      <c r="D54" s="27">
        <v>-0.42</v>
      </c>
      <c r="E54" s="46">
        <f t="shared" si="3"/>
        <v>1225415.0611150474</v>
      </c>
      <c r="F54" s="8"/>
      <c r="H54" s="49"/>
      <c r="I54" s="39"/>
      <c r="J54" s="20">
        <f t="shared" si="4"/>
        <v>37680</v>
      </c>
      <c r="K54" s="27">
        <v>-1.5003840101231662</v>
      </c>
      <c r="L54" s="46">
        <f t="shared" si="11"/>
        <v>598462.54891951673</v>
      </c>
      <c r="M54" s="8"/>
      <c r="O54" s="39"/>
      <c r="P54" s="20">
        <f t="shared" si="6"/>
        <v>37680</v>
      </c>
      <c r="Q54" s="27">
        <v>-2.2920471961327489</v>
      </c>
      <c r="R54" s="46">
        <f t="shared" si="12"/>
        <v>714534.43761751079</v>
      </c>
      <c r="S54" s="8"/>
      <c r="U54" s="49"/>
      <c r="V54" s="39"/>
      <c r="W54" s="20">
        <f t="shared" si="8"/>
        <v>37680</v>
      </c>
      <c r="X54" s="36">
        <v>-1.3235571394807255</v>
      </c>
      <c r="Y54" s="46">
        <f t="shared" si="9"/>
        <v>1171498.2927728961</v>
      </c>
    </row>
    <row r="55" spans="1:27" x14ac:dyDescent="0.25">
      <c r="A55" s="20">
        <v>37711</v>
      </c>
      <c r="B55" s="24">
        <f t="shared" si="10"/>
        <v>39</v>
      </c>
      <c r="C55" s="96" t="s">
        <v>77</v>
      </c>
      <c r="D55" s="27">
        <v>1.81</v>
      </c>
      <c r="E55" s="46">
        <f t="shared" si="3"/>
        <v>1247595.0737212298</v>
      </c>
      <c r="F55" s="8"/>
      <c r="G55" s="5">
        <f>(E55/E52-1)*100</f>
        <v>-2.2673683279999968</v>
      </c>
      <c r="H55" s="49"/>
      <c r="I55" s="39"/>
      <c r="J55" s="20">
        <f t="shared" si="4"/>
        <v>37711</v>
      </c>
      <c r="K55" s="27">
        <v>0.96986083448358928</v>
      </c>
      <c r="L55" s="46">
        <f t="shared" si="11"/>
        <v>604266.80279053934</v>
      </c>
      <c r="M55" s="8"/>
      <c r="N55" s="5">
        <f>(L55/L52-1)*100</f>
        <v>-3.1504448951678921</v>
      </c>
      <c r="O55" s="39"/>
      <c r="P55" s="20">
        <f t="shared" si="6"/>
        <v>37711</v>
      </c>
      <c r="Q55" s="27">
        <v>1.7191189841389471</v>
      </c>
      <c r="R55" s="46">
        <f t="shared" si="12"/>
        <v>726818.13478280383</v>
      </c>
      <c r="S55" s="8"/>
      <c r="T55" s="5">
        <f>(R55/R52-1)*100</f>
        <v>-3.8439006851119673</v>
      </c>
      <c r="U55" s="49"/>
      <c r="V55" s="39"/>
      <c r="W55" s="20">
        <f t="shared" si="8"/>
        <v>37711</v>
      </c>
      <c r="X55" s="36">
        <v>0.58507388778100466</v>
      </c>
      <c r="Y55" s="46">
        <f t="shared" si="9"/>
        <v>1178352.4233797106</v>
      </c>
      <c r="AA55" s="106">
        <f>(Y55/Y52-1)*100</f>
        <v>-2.7330951222241606</v>
      </c>
    </row>
    <row r="56" spans="1:27" x14ac:dyDescent="0.25">
      <c r="A56" s="20">
        <v>37741</v>
      </c>
      <c r="B56" s="24">
        <f t="shared" si="10"/>
        <v>40</v>
      </c>
      <c r="C56" s="96" t="s">
        <v>77</v>
      </c>
      <c r="D56" s="27">
        <v>5.52</v>
      </c>
      <c r="E56" s="46">
        <f t="shared" si="3"/>
        <v>1316462.3217906416</v>
      </c>
      <c r="F56" s="8"/>
      <c r="H56" s="49"/>
      <c r="I56" s="39"/>
      <c r="J56" s="20">
        <f t="shared" si="4"/>
        <v>37741</v>
      </c>
      <c r="K56" s="27">
        <v>8.2347753314583301</v>
      </c>
      <c r="L56" s="46">
        <f t="shared" si="11"/>
        <v>654026.81640292658</v>
      </c>
      <c r="M56" s="8"/>
      <c r="O56" s="39"/>
      <c r="P56" s="20">
        <f t="shared" si="6"/>
        <v>37741</v>
      </c>
      <c r="Q56" s="27">
        <v>5.7619830723556333</v>
      </c>
      <c r="R56" s="46">
        <f t="shared" si="12"/>
        <v>768697.2726757999</v>
      </c>
      <c r="S56" s="8"/>
      <c r="U56" s="49"/>
      <c r="V56" s="39"/>
      <c r="W56" s="20">
        <f t="shared" si="8"/>
        <v>37741</v>
      </c>
      <c r="X56" s="36">
        <v>5.3792498214051516</v>
      </c>
      <c r="Y56" s="46">
        <f t="shared" si="9"/>
        <v>1241738.9440098871</v>
      </c>
    </row>
    <row r="57" spans="1:27" x14ac:dyDescent="0.25">
      <c r="A57" s="20">
        <v>37772</v>
      </c>
      <c r="B57" s="24">
        <f t="shared" si="10"/>
        <v>41</v>
      </c>
      <c r="C57" s="96" t="s">
        <v>77</v>
      </c>
      <c r="D57" s="27">
        <v>5.62</v>
      </c>
      <c r="E57" s="46">
        <f t="shared" si="3"/>
        <v>1390447.5042752756</v>
      </c>
      <c r="F57" s="8"/>
      <c r="H57" s="49"/>
      <c r="I57" s="39"/>
      <c r="J57" s="20">
        <f t="shared" si="4"/>
        <v>37772</v>
      </c>
      <c r="K57" s="27">
        <v>5.2682982060379278</v>
      </c>
      <c r="L57" s="46">
        <f t="shared" si="11"/>
        <v>688482.89943848888</v>
      </c>
      <c r="M57" s="8"/>
      <c r="O57" s="39"/>
      <c r="P57" s="20">
        <f t="shared" si="6"/>
        <v>37772</v>
      </c>
      <c r="Q57" s="27">
        <v>3.5828549331467441</v>
      </c>
      <c r="R57" s="46">
        <f t="shared" si="12"/>
        <v>796238.58083082933</v>
      </c>
      <c r="S57" s="8"/>
      <c r="U57" s="49"/>
      <c r="V57" s="39"/>
      <c r="W57" s="20">
        <f t="shared" si="8"/>
        <v>37772</v>
      </c>
      <c r="X57" s="36">
        <v>6.2604098960026038</v>
      </c>
      <c r="Y57" s="46">
        <f t="shared" si="9"/>
        <v>1319476.8917432004</v>
      </c>
    </row>
    <row r="58" spans="1:27" x14ac:dyDescent="0.25">
      <c r="A58" s="20">
        <v>37802</v>
      </c>
      <c r="B58" s="24">
        <f t="shared" si="10"/>
        <v>42</v>
      </c>
      <c r="C58" s="96" t="s">
        <v>77</v>
      </c>
      <c r="D58" s="27">
        <v>3.92</v>
      </c>
      <c r="E58" s="46">
        <f t="shared" si="3"/>
        <v>1444953.0464428663</v>
      </c>
      <c r="F58" s="8"/>
      <c r="G58" s="5">
        <f>(E58/E55-1)*100</f>
        <v>15.819072780799992</v>
      </c>
      <c r="H58" s="49"/>
      <c r="I58" s="39"/>
      <c r="J58" s="20">
        <f t="shared" si="4"/>
        <v>37802</v>
      </c>
      <c r="K58" s="27">
        <v>1.275187125545022</v>
      </c>
      <c r="L58" s="46">
        <f t="shared" si="11"/>
        <v>697262.34473370761</v>
      </c>
      <c r="M58" s="8"/>
      <c r="N58" s="5">
        <f>(L58/L55-1)*100</f>
        <v>15.389814815857727</v>
      </c>
      <c r="O58" s="39"/>
      <c r="P58" s="20">
        <f t="shared" si="6"/>
        <v>37802</v>
      </c>
      <c r="Q58" s="27">
        <v>0.88071284837872466</v>
      </c>
      <c r="R58" s="46">
        <f t="shared" si="12"/>
        <v>803251.15631595487</v>
      </c>
      <c r="S58" s="8"/>
      <c r="T58" s="5">
        <f>(R58/R55-1)*100</f>
        <v>10.516113711993658</v>
      </c>
      <c r="U58" s="49"/>
      <c r="V58" s="39"/>
      <c r="W58" s="20">
        <f t="shared" si="8"/>
        <v>37802</v>
      </c>
      <c r="X58" s="36">
        <v>-0.62865430703467751</v>
      </c>
      <c r="Y58" s="46">
        <f t="shared" si="9"/>
        <v>1311181.9434329295</v>
      </c>
      <c r="AA58" s="106">
        <f>(Y58/Y55-1)*100</f>
        <v>11.272478200727232</v>
      </c>
    </row>
    <row r="59" spans="1:27" x14ac:dyDescent="0.25">
      <c r="A59" s="20">
        <v>37833</v>
      </c>
      <c r="B59" s="24">
        <f t="shared" si="10"/>
        <v>43</v>
      </c>
      <c r="C59" s="96" t="s">
        <v>77</v>
      </c>
      <c r="D59" s="27">
        <v>1.97</v>
      </c>
      <c r="E59" s="46">
        <f t="shared" si="3"/>
        <v>1473418.6214577907</v>
      </c>
      <c r="F59" s="8"/>
      <c r="H59" s="49"/>
      <c r="I59" s="39"/>
      <c r="J59" s="20">
        <f t="shared" si="4"/>
        <v>37833</v>
      </c>
      <c r="K59" s="27">
        <v>1.7595248663017788</v>
      </c>
      <c r="L59" s="46">
        <f t="shared" si="11"/>
        <v>709530.84907265601</v>
      </c>
      <c r="M59" s="8"/>
      <c r="O59" s="39"/>
      <c r="P59" s="20">
        <f t="shared" si="6"/>
        <v>37833</v>
      </c>
      <c r="Q59" s="27">
        <v>0.37610460294573611</v>
      </c>
      <c r="R59" s="46">
        <f t="shared" si="12"/>
        <v>806272.22088807402</v>
      </c>
      <c r="S59" s="8"/>
      <c r="U59" s="49"/>
      <c r="V59" s="39"/>
      <c r="W59" s="20">
        <f t="shared" si="8"/>
        <v>37833</v>
      </c>
      <c r="X59" s="36">
        <v>0.35346564650551665</v>
      </c>
      <c r="Y59" s="46">
        <f t="shared" si="9"/>
        <v>1315816.5211661484</v>
      </c>
    </row>
    <row r="60" spans="1:27" x14ac:dyDescent="0.25">
      <c r="A60" s="20">
        <v>37864</v>
      </c>
      <c r="B60" s="24">
        <f t="shared" si="10"/>
        <v>44</v>
      </c>
      <c r="C60" s="96" t="s">
        <v>77</v>
      </c>
      <c r="D60" s="27">
        <v>1.26</v>
      </c>
      <c r="E60" s="46">
        <f t="shared" si="3"/>
        <v>1491983.696088159</v>
      </c>
      <c r="F60" s="8"/>
      <c r="H60" s="49"/>
      <c r="I60" s="39"/>
      <c r="J60" s="20">
        <f t="shared" si="4"/>
        <v>37864</v>
      </c>
      <c r="K60" s="27">
        <v>1.9495851328114169</v>
      </c>
      <c r="L60" s="46">
        <f t="shared" si="11"/>
        <v>723363.75701888709</v>
      </c>
      <c r="M60" s="8"/>
      <c r="O60" s="39"/>
      <c r="P60" s="20">
        <f t="shared" si="6"/>
        <v>37864</v>
      </c>
      <c r="Q60" s="27">
        <v>0.58757200871798743</v>
      </c>
      <c r="R60" s="46">
        <f t="shared" si="12"/>
        <v>811009.65077208122</v>
      </c>
      <c r="S60" s="8"/>
      <c r="U60" s="49"/>
      <c r="V60" s="39"/>
      <c r="W60" s="20">
        <f t="shared" si="8"/>
        <v>37864</v>
      </c>
      <c r="X60" s="36">
        <v>1.0315033832352372</v>
      </c>
      <c r="Y60" s="46">
        <f t="shared" si="9"/>
        <v>1329389.2130991453</v>
      </c>
    </row>
    <row r="61" spans="1:27" x14ac:dyDescent="0.25">
      <c r="A61" s="20">
        <v>37894</v>
      </c>
      <c r="B61" s="24">
        <f t="shared" si="10"/>
        <v>45</v>
      </c>
      <c r="C61" s="96" t="s">
        <v>77</v>
      </c>
      <c r="D61" s="27">
        <v>0.93</v>
      </c>
      <c r="E61" s="46">
        <f t="shared" si="3"/>
        <v>1505859.1444617789</v>
      </c>
      <c r="F61" s="8"/>
      <c r="G61" s="5">
        <f>(E61/E58-1)*100</f>
        <v>4.2150918446000052</v>
      </c>
      <c r="H61" s="49"/>
      <c r="I61" s="39"/>
      <c r="J61" s="20">
        <f t="shared" si="4"/>
        <v>37894</v>
      </c>
      <c r="K61" s="27">
        <v>-1.0626342324093958</v>
      </c>
      <c r="L61" s="46">
        <f t="shared" si="11"/>
        <v>715677.04611196171</v>
      </c>
      <c r="M61" s="8"/>
      <c r="N61" s="5">
        <f>(L61/L58-1)*100</f>
        <v>2.6410004092916939</v>
      </c>
      <c r="O61" s="39"/>
      <c r="P61" s="20">
        <f t="shared" si="6"/>
        <v>37894</v>
      </c>
      <c r="Q61" s="27">
        <v>-0.3223487596915271</v>
      </c>
      <c r="R61" s="46">
        <f t="shared" si="12"/>
        <v>808395.37122183887</v>
      </c>
      <c r="S61" s="8"/>
      <c r="T61" s="5">
        <f>(R61/R58-1)*100</f>
        <v>0.64042421419938655</v>
      </c>
      <c r="U61" s="49"/>
      <c r="V61" s="39"/>
      <c r="W61" s="20">
        <f t="shared" si="8"/>
        <v>37894</v>
      </c>
      <c r="X61" s="36">
        <v>0.92539670869926127</v>
      </c>
      <c r="Y61" s="46">
        <f t="shared" si="9"/>
        <v>1341691.3371229679</v>
      </c>
      <c r="AA61" s="106">
        <f>(Y61/Y58-1)*100</f>
        <v>2.3268619464175133</v>
      </c>
    </row>
    <row r="62" spans="1:27" x14ac:dyDescent="0.25">
      <c r="A62" s="20">
        <v>37925</v>
      </c>
      <c r="B62" s="24">
        <f t="shared" si="10"/>
        <v>46</v>
      </c>
      <c r="C62" s="96" t="s">
        <v>77</v>
      </c>
      <c r="D62" s="27">
        <v>4.71</v>
      </c>
      <c r="E62" s="46">
        <f t="shared" si="3"/>
        <v>1576785.1101659287</v>
      </c>
      <c r="F62" s="8"/>
      <c r="H62" s="49"/>
      <c r="I62" s="39"/>
      <c r="J62" s="20">
        <f t="shared" si="4"/>
        <v>37925</v>
      </c>
      <c r="K62" s="27">
        <v>5.653287633908807</v>
      </c>
      <c r="L62" s="46">
        <f t="shared" si="11"/>
        <v>756136.32805853302</v>
      </c>
      <c r="M62" s="8"/>
      <c r="O62" s="39"/>
      <c r="P62" s="20">
        <f t="shared" si="6"/>
        <v>37925</v>
      </c>
      <c r="Q62" s="27">
        <v>3.6363759317724247</v>
      </c>
      <c r="R62" s="46">
        <f t="shared" si="12"/>
        <v>837791.66593451216</v>
      </c>
      <c r="S62" s="8"/>
      <c r="U62" s="49"/>
      <c r="V62" s="39"/>
      <c r="W62" s="20">
        <f t="shared" si="8"/>
        <v>37925</v>
      </c>
      <c r="X62" s="36">
        <v>4.750927603458047</v>
      </c>
      <c r="Y62" s="46">
        <f t="shared" si="9"/>
        <v>1405434.1212115483</v>
      </c>
    </row>
    <row r="63" spans="1:27" x14ac:dyDescent="0.25">
      <c r="A63" s="20">
        <v>37955</v>
      </c>
      <c r="B63" s="24">
        <f t="shared" si="10"/>
        <v>47</v>
      </c>
      <c r="C63" s="96" t="s">
        <v>77</v>
      </c>
      <c r="D63" s="27">
        <v>2.69</v>
      </c>
      <c r="E63" s="46">
        <f t="shared" si="3"/>
        <v>1619200.6296293922</v>
      </c>
      <c r="F63" s="8"/>
      <c r="H63" s="49"/>
      <c r="I63" s="39"/>
      <c r="J63" s="20">
        <f t="shared" si="4"/>
        <v>37955</v>
      </c>
      <c r="K63" s="27">
        <v>0.87824573724206845</v>
      </c>
      <c r="L63" s="46">
        <f t="shared" si="11"/>
        <v>762777.06312744576</v>
      </c>
      <c r="M63" s="8"/>
      <c r="O63" s="39"/>
      <c r="P63" s="20">
        <f t="shared" si="6"/>
        <v>37955</v>
      </c>
      <c r="Q63" s="27">
        <v>0.81258476926447176</v>
      </c>
      <c r="R63" s="46">
        <f t="shared" si="12"/>
        <v>844599.43341006304</v>
      </c>
      <c r="S63" s="8"/>
      <c r="U63" s="49"/>
      <c r="V63" s="39"/>
      <c r="W63" s="20">
        <f t="shared" si="8"/>
        <v>37955</v>
      </c>
      <c r="X63" s="36">
        <v>1.1537158713885951</v>
      </c>
      <c r="Y63" s="46">
        <f t="shared" si="9"/>
        <v>1421648.8377298769</v>
      </c>
    </row>
    <row r="64" spans="1:27" x14ac:dyDescent="0.25">
      <c r="A64" s="20">
        <v>37986</v>
      </c>
      <c r="B64" s="24">
        <f t="shared" si="10"/>
        <v>48</v>
      </c>
      <c r="C64" s="96" t="s">
        <v>77</v>
      </c>
      <c r="D64" s="27">
        <v>5.07</v>
      </c>
      <c r="E64" s="46">
        <f t="shared" si="3"/>
        <v>1701294.1015516024</v>
      </c>
      <c r="F64" s="11">
        <f>(E64-E52)/E52*100</f>
        <v>33.27397109444</v>
      </c>
      <c r="G64" s="5">
        <f>(E64/E61-1)*100</f>
        <v>12.978302639299999</v>
      </c>
      <c r="H64" s="49"/>
      <c r="I64" s="39"/>
      <c r="J64" s="20">
        <f t="shared" si="4"/>
        <v>37986</v>
      </c>
      <c r="K64" s="27">
        <v>5.2430503443262957</v>
      </c>
      <c r="L64" s="46">
        <f t="shared" si="11"/>
        <v>802769.84856219136</v>
      </c>
      <c r="M64" s="11">
        <f>(L64-L52)/L52*100</f>
        <v>28.664858512460601</v>
      </c>
      <c r="N64" s="5">
        <f>(L64/L61-1)*100</f>
        <v>12.169288217831809</v>
      </c>
      <c r="O64" s="39"/>
      <c r="P64" s="20">
        <f t="shared" si="6"/>
        <v>37986</v>
      </c>
      <c r="Q64" s="27">
        <v>4.7449351046833081</v>
      </c>
      <c r="R64" s="46">
        <f t="shared" si="12"/>
        <v>884675.12841989344</v>
      </c>
      <c r="S64" s="11">
        <f>(R64-R52)/R52*100</f>
        <v>17.040158244228827</v>
      </c>
      <c r="T64" s="5">
        <f>(R64/R61-1)*100</f>
        <v>9.435946804440821</v>
      </c>
      <c r="U64" s="49"/>
      <c r="V64" s="39"/>
      <c r="W64" s="20">
        <f t="shared" si="8"/>
        <v>37986</v>
      </c>
      <c r="X64" s="36">
        <v>4.6021467222567294</v>
      </c>
      <c r="Y64" s="46">
        <f t="shared" si="9"/>
        <v>1487075.2031174633</v>
      </c>
      <c r="AA64" s="106">
        <f>(Y64/Y61-1)*100</f>
        <v>10.835865297173841</v>
      </c>
    </row>
    <row r="65" spans="1:27" x14ac:dyDescent="0.25">
      <c r="A65" s="20">
        <v>38017</v>
      </c>
      <c r="B65" s="24">
        <f t="shared" si="10"/>
        <v>49</v>
      </c>
      <c r="C65" s="96" t="s">
        <v>77</v>
      </c>
      <c r="D65" s="27">
        <v>2.39</v>
      </c>
      <c r="E65" s="46">
        <f t="shared" si="3"/>
        <v>1741955.0305786857</v>
      </c>
      <c r="F65" s="10"/>
      <c r="H65" s="49"/>
      <c r="I65" s="39"/>
      <c r="J65" s="20">
        <f t="shared" si="4"/>
        <v>38017</v>
      </c>
      <c r="K65" s="27">
        <v>1.8354690956002737</v>
      </c>
      <c r="L65" s="46">
        <f t="shared" si="11"/>
        <v>817504.44104134745</v>
      </c>
      <c r="M65" s="10"/>
      <c r="O65" s="39"/>
      <c r="P65" s="20">
        <f t="shared" si="6"/>
        <v>38017</v>
      </c>
      <c r="Q65" s="27">
        <v>1.2549239261818839</v>
      </c>
      <c r="R65" s="46">
        <f t="shared" si="12"/>
        <v>895777.12827541505</v>
      </c>
      <c r="S65" s="10"/>
      <c r="U65" s="49"/>
      <c r="V65" s="39"/>
      <c r="W65" s="20">
        <f t="shared" si="8"/>
        <v>38017</v>
      </c>
      <c r="X65" s="36">
        <v>1.2911514781458224</v>
      </c>
      <c r="Y65" s="46">
        <f t="shared" si="9"/>
        <v>1506275.5965836544</v>
      </c>
    </row>
    <row r="66" spans="1:27" x14ac:dyDescent="0.25">
      <c r="A66" s="20">
        <v>38046</v>
      </c>
      <c r="B66" s="24">
        <f t="shared" si="10"/>
        <v>50</v>
      </c>
      <c r="C66" s="96" t="s">
        <v>77</v>
      </c>
      <c r="D66" s="27">
        <v>2.25</v>
      </c>
      <c r="E66" s="46">
        <f t="shared" si="3"/>
        <v>1781149.0187667061</v>
      </c>
      <c r="F66" s="8"/>
      <c r="H66" s="49"/>
      <c r="I66" s="39"/>
      <c r="J66" s="20">
        <f t="shared" si="4"/>
        <v>38046</v>
      </c>
      <c r="K66" s="27">
        <v>1.3894050744705935</v>
      </c>
      <c r="L66" s="46">
        <f t="shared" si="11"/>
        <v>828862.88922919845</v>
      </c>
      <c r="M66" s="8"/>
      <c r="O66" s="39"/>
      <c r="P66" s="20">
        <f t="shared" si="6"/>
        <v>38046</v>
      </c>
      <c r="Q66" s="27">
        <v>1.5268346885193596</v>
      </c>
      <c r="R66" s="46">
        <f t="shared" si="12"/>
        <v>909454.16420174669</v>
      </c>
      <c r="S66" s="8"/>
      <c r="U66" s="49"/>
      <c r="V66" s="39"/>
      <c r="W66" s="20">
        <f t="shared" si="8"/>
        <v>38046</v>
      </c>
      <c r="X66" s="36">
        <v>3.0044247972840026</v>
      </c>
      <c r="Y66" s="46">
        <f t="shared" si="9"/>
        <v>1551530.5141228512</v>
      </c>
    </row>
    <row r="67" spans="1:27" x14ac:dyDescent="0.25">
      <c r="A67" s="20">
        <v>38077</v>
      </c>
      <c r="B67" s="24">
        <f t="shared" si="10"/>
        <v>51</v>
      </c>
      <c r="C67" s="96" t="s">
        <v>77</v>
      </c>
      <c r="D67" s="27">
        <v>1.81</v>
      </c>
      <c r="E67" s="46">
        <f t="shared" si="3"/>
        <v>1813387.8160063834</v>
      </c>
      <c r="F67" s="8"/>
      <c r="G67" s="5">
        <f>(E67/E64-1)*100</f>
        <v>6.5887323274999909</v>
      </c>
      <c r="H67" s="49"/>
      <c r="I67" s="39"/>
      <c r="J67" s="20">
        <f t="shared" si="4"/>
        <v>38077</v>
      </c>
      <c r="K67" s="27">
        <v>-1.5087779112417521</v>
      </c>
      <c r="L67" s="46">
        <f t="shared" si="11"/>
        <v>816357.18904202816</v>
      </c>
      <c r="M67" s="8"/>
      <c r="N67" s="5">
        <f>(L67/L64-1)*100</f>
        <v>1.6925574003772814</v>
      </c>
      <c r="O67" s="39"/>
      <c r="P67" s="20">
        <f t="shared" si="6"/>
        <v>38077</v>
      </c>
      <c r="Q67" s="27">
        <v>-1.383566625577014</v>
      </c>
      <c r="R67" s="46">
        <f t="shared" si="12"/>
        <v>896871.259910931</v>
      </c>
      <c r="S67" s="8"/>
      <c r="T67" s="5">
        <f>(R67/R64-1)*100</f>
        <v>1.3786000192885339</v>
      </c>
      <c r="U67" s="49"/>
      <c r="V67" s="39"/>
      <c r="W67" s="20">
        <f t="shared" si="8"/>
        <v>38077</v>
      </c>
      <c r="X67" s="36">
        <v>0.49398922205334517</v>
      </c>
      <c r="Y67" s="46">
        <f t="shared" si="9"/>
        <v>1559194.9076394869</v>
      </c>
      <c r="AA67" s="106">
        <f>(Y67/Y64-1)*100</f>
        <v>4.8497684831832366</v>
      </c>
    </row>
    <row r="68" spans="1:27" x14ac:dyDescent="0.25">
      <c r="A68" s="20">
        <v>38107</v>
      </c>
      <c r="B68" s="24">
        <f t="shared" si="10"/>
        <v>52</v>
      </c>
      <c r="C68" s="96" t="s">
        <v>77</v>
      </c>
      <c r="D68" s="27">
        <v>-2.23</v>
      </c>
      <c r="E68" s="46">
        <f t="shared" si="3"/>
        <v>1772949.267709441</v>
      </c>
      <c r="F68" s="8"/>
      <c r="H68" s="49"/>
      <c r="I68" s="39"/>
      <c r="J68" s="20">
        <f t="shared" si="4"/>
        <v>38107</v>
      </c>
      <c r="K68" s="27">
        <v>-1.5698170001687444</v>
      </c>
      <c r="L68" s="46">
        <f t="shared" si="11"/>
        <v>803541.87510634668</v>
      </c>
      <c r="M68" s="8"/>
      <c r="O68" s="39"/>
      <c r="P68" s="20">
        <f t="shared" si="6"/>
        <v>38107</v>
      </c>
      <c r="Q68" s="27">
        <v>0.29481950985467864</v>
      </c>
      <c r="R68" s="46">
        <f t="shared" si="12"/>
        <v>899515.41136342788</v>
      </c>
      <c r="S68" s="8"/>
      <c r="U68" s="49"/>
      <c r="V68" s="39"/>
      <c r="W68" s="20">
        <f t="shared" si="8"/>
        <v>38107</v>
      </c>
      <c r="X68" s="36">
        <v>-1.0898862999876764</v>
      </c>
      <c r="Y68" s="46">
        <f t="shared" si="9"/>
        <v>1542201.4559510187</v>
      </c>
    </row>
    <row r="69" spans="1:27" x14ac:dyDescent="0.25">
      <c r="A69" s="20">
        <v>38138</v>
      </c>
      <c r="B69" s="24">
        <f t="shared" si="10"/>
        <v>53</v>
      </c>
      <c r="C69" s="96" t="s">
        <v>77</v>
      </c>
      <c r="D69" s="27">
        <v>0.09</v>
      </c>
      <c r="E69" s="46">
        <f t="shared" si="3"/>
        <v>1774544.9220503794</v>
      </c>
      <c r="F69" s="8"/>
      <c r="H69" s="49"/>
      <c r="I69" s="39"/>
      <c r="J69" s="20">
        <f t="shared" si="4"/>
        <v>38138</v>
      </c>
      <c r="K69" s="27">
        <v>1.3714252510939533</v>
      </c>
      <c r="L69" s="46">
        <f t="shared" si="11"/>
        <v>814561.8512846689</v>
      </c>
      <c r="M69" s="8"/>
      <c r="O69" s="39"/>
      <c r="P69" s="20">
        <f t="shared" si="6"/>
        <v>38138</v>
      </c>
      <c r="Q69" s="27">
        <v>1.1161332010476621</v>
      </c>
      <c r="R69" s="46">
        <f t="shared" si="12"/>
        <v>909555.20151819556</v>
      </c>
      <c r="S69" s="8"/>
      <c r="U69" s="49"/>
      <c r="V69" s="39"/>
      <c r="W69" s="20">
        <f t="shared" si="8"/>
        <v>38138</v>
      </c>
      <c r="X69" s="36">
        <v>1.9537694441662008</v>
      </c>
      <c r="Y69" s="46">
        <f t="shared" si="9"/>
        <v>1572332.516764876</v>
      </c>
    </row>
    <row r="70" spans="1:27" x14ac:dyDescent="0.25">
      <c r="A70" s="20">
        <v>38168</v>
      </c>
      <c r="B70" s="24">
        <f t="shared" si="10"/>
        <v>54</v>
      </c>
      <c r="C70" s="96" t="s">
        <v>77</v>
      </c>
      <c r="D70" s="27">
        <v>5.27</v>
      </c>
      <c r="E70" s="46">
        <f t="shared" si="3"/>
        <v>1868063.4394424343</v>
      </c>
      <c r="F70" s="8"/>
      <c r="G70" s="5">
        <f>(E70/E67-1)*100</f>
        <v>3.0151092310999994</v>
      </c>
      <c r="H70" s="49"/>
      <c r="I70" s="39"/>
      <c r="J70" s="20">
        <f t="shared" si="4"/>
        <v>38168</v>
      </c>
      <c r="K70" s="27">
        <v>1.9445435517360854</v>
      </c>
      <c r="L70" s="46">
        <f t="shared" si="11"/>
        <v>830401.361238727</v>
      </c>
      <c r="M70" s="8"/>
      <c r="N70" s="5">
        <f>(L70/L67-1)*100</f>
        <v>1.7203464837713067</v>
      </c>
      <c r="O70" s="39"/>
      <c r="P70" s="20">
        <f t="shared" si="6"/>
        <v>38168</v>
      </c>
      <c r="Q70" s="27">
        <v>1.3143367348745805</v>
      </c>
      <c r="R70" s="46">
        <f t="shared" si="12"/>
        <v>921509.81965571176</v>
      </c>
      <c r="S70" s="8"/>
      <c r="T70" s="5">
        <f>(R70/R67-1)*100</f>
        <v>2.747167943281803</v>
      </c>
      <c r="U70" s="49"/>
      <c r="V70" s="39"/>
      <c r="W70" s="20">
        <f t="shared" si="8"/>
        <v>38168</v>
      </c>
      <c r="X70" s="36">
        <v>1.313378008237186</v>
      </c>
      <c r="Y70" s="46">
        <f t="shared" si="9"/>
        <v>1592983.186256428</v>
      </c>
      <c r="AA70" s="106">
        <f>(Y70/Y67-1)*100</f>
        <v>2.1670336691962611</v>
      </c>
    </row>
    <row r="71" spans="1:27" x14ac:dyDescent="0.25">
      <c r="A71" s="20">
        <v>38199</v>
      </c>
      <c r="B71" s="24">
        <f t="shared" si="10"/>
        <v>55</v>
      </c>
      <c r="C71" s="96" t="s">
        <v>77</v>
      </c>
      <c r="D71" s="27">
        <v>-1.78</v>
      </c>
      <c r="E71" s="46">
        <f t="shared" si="3"/>
        <v>1834811.910220359</v>
      </c>
      <c r="F71" s="8"/>
      <c r="H71" s="49"/>
      <c r="I71" s="39"/>
      <c r="J71" s="20">
        <f t="shared" si="4"/>
        <v>38199</v>
      </c>
      <c r="K71" s="27">
        <v>-3.3097521185718324</v>
      </c>
      <c r="L71" s="46">
        <f t="shared" si="11"/>
        <v>802917.13459247886</v>
      </c>
      <c r="M71" s="8"/>
      <c r="O71" s="39"/>
      <c r="P71" s="20">
        <f t="shared" si="6"/>
        <v>38199</v>
      </c>
      <c r="Q71" s="27">
        <v>-1.9831653673148983</v>
      </c>
      <c r="R71" s="46">
        <f t="shared" si="12"/>
        <v>903234.75605589373</v>
      </c>
      <c r="S71" s="8"/>
      <c r="U71" s="49"/>
      <c r="V71" s="39"/>
      <c r="W71" s="20">
        <f t="shared" si="8"/>
        <v>38199</v>
      </c>
      <c r="X71" s="36">
        <v>-1.4762579562367424</v>
      </c>
      <c r="Y71" s="46">
        <f t="shared" si="9"/>
        <v>1569466.6452278038</v>
      </c>
    </row>
    <row r="72" spans="1:27" x14ac:dyDescent="0.25">
      <c r="A72" s="20">
        <v>38230</v>
      </c>
      <c r="B72" s="24">
        <f t="shared" si="10"/>
        <v>56</v>
      </c>
      <c r="C72" s="96" t="s">
        <v>77</v>
      </c>
      <c r="D72" s="27">
        <v>0.78</v>
      </c>
      <c r="E72" s="46">
        <f t="shared" si="3"/>
        <v>1849123.4431200777</v>
      </c>
      <c r="F72" s="8"/>
      <c r="H72" s="49"/>
      <c r="I72" s="39"/>
      <c r="J72" s="20">
        <f t="shared" si="4"/>
        <v>38230</v>
      </c>
      <c r="K72" s="27">
        <v>0.40338700298215713</v>
      </c>
      <c r="L72" s="46">
        <f t="shared" si="11"/>
        <v>806155.99795814173</v>
      </c>
      <c r="M72" s="8"/>
      <c r="O72" s="39"/>
      <c r="P72" s="20">
        <f t="shared" si="6"/>
        <v>38230</v>
      </c>
      <c r="Q72" s="27">
        <v>1.3836257479328318</v>
      </c>
      <c r="R72" s="46">
        <f t="shared" si="12"/>
        <v>915732.14470496133</v>
      </c>
      <c r="S72" s="8"/>
      <c r="U72" s="49"/>
      <c r="V72" s="39"/>
      <c r="W72" s="20">
        <f t="shared" si="8"/>
        <v>38230</v>
      </c>
      <c r="X72" s="36">
        <v>2.542360964634736</v>
      </c>
      <c r="Y72" s="46">
        <f t="shared" si="9"/>
        <v>1609368.1525690379</v>
      </c>
    </row>
    <row r="73" spans="1:27" x14ac:dyDescent="0.25">
      <c r="A73" s="20">
        <v>38260</v>
      </c>
      <c r="B73" s="24">
        <f t="shared" si="10"/>
        <v>57</v>
      </c>
      <c r="C73" s="96" t="s">
        <v>77</v>
      </c>
      <c r="D73" s="27">
        <v>2.0099999999999998</v>
      </c>
      <c r="E73" s="46">
        <f t="shared" si="3"/>
        <v>1886290.8243267913</v>
      </c>
      <c r="F73" s="8"/>
      <c r="G73" s="5">
        <f>(E73/E70-1)*100</f>
        <v>0.97573693160000197</v>
      </c>
      <c r="H73" s="49"/>
      <c r="I73" s="39"/>
      <c r="J73" s="20">
        <f t="shared" si="4"/>
        <v>38260</v>
      </c>
      <c r="K73" s="27">
        <v>1.0830982653727967</v>
      </c>
      <c r="L73" s="46">
        <f t="shared" si="11"/>
        <v>814887.45958822512</v>
      </c>
      <c r="M73" s="8"/>
      <c r="N73" s="5">
        <f>(L73/L70-1)*100</f>
        <v>-1.8682413558859579</v>
      </c>
      <c r="O73" s="39"/>
      <c r="P73" s="20">
        <f t="shared" si="6"/>
        <v>38260</v>
      </c>
      <c r="Q73" s="27">
        <v>0.37522432120515598</v>
      </c>
      <c r="R73" s="46">
        <f t="shared" si="12"/>
        <v>919168.19442898792</v>
      </c>
      <c r="S73" s="8"/>
      <c r="T73" s="5">
        <f>(R73/R70-1)*100</f>
        <v>-0.25410746329308509</v>
      </c>
      <c r="U73" s="49"/>
      <c r="V73" s="39"/>
      <c r="W73" s="20">
        <f t="shared" si="8"/>
        <v>38260</v>
      </c>
      <c r="X73" s="36">
        <v>0.46291489457568963</v>
      </c>
      <c r="Y73" s="46">
        <f t="shared" si="9"/>
        <v>1616818.1574558376</v>
      </c>
      <c r="AA73" s="106">
        <f>(Y73/Y70-1)*100</f>
        <v>1.4962475062541447</v>
      </c>
    </row>
    <row r="74" spans="1:27" x14ac:dyDescent="0.25">
      <c r="A74" s="20">
        <v>38291</v>
      </c>
      <c r="B74" s="24">
        <f t="shared" si="10"/>
        <v>58</v>
      </c>
      <c r="C74" s="96" t="s">
        <v>77</v>
      </c>
      <c r="D74" s="27">
        <v>0.82</v>
      </c>
      <c r="E74" s="46">
        <f t="shared" si="3"/>
        <v>1901758.409086271</v>
      </c>
      <c r="F74" s="8"/>
      <c r="H74" s="49"/>
      <c r="I74" s="39"/>
      <c r="J74" s="20">
        <f t="shared" si="4"/>
        <v>38291</v>
      </c>
      <c r="K74" s="27">
        <v>1.5277379418936301</v>
      </c>
      <c r="L74" s="46">
        <f t="shared" si="11"/>
        <v>827336.80449208757</v>
      </c>
      <c r="M74" s="8"/>
      <c r="O74" s="39"/>
      <c r="P74" s="20">
        <f t="shared" si="6"/>
        <v>38291</v>
      </c>
      <c r="Q74" s="27">
        <v>0.80763871483009586</v>
      </c>
      <c r="R74" s="46">
        <f t="shared" si="12"/>
        <v>926591.75262160122</v>
      </c>
      <c r="S74" s="8"/>
      <c r="U74" s="49"/>
      <c r="V74" s="39"/>
      <c r="W74" s="20">
        <f t="shared" si="8"/>
        <v>38291</v>
      </c>
      <c r="X74" s="36">
        <v>1.9375068249536018</v>
      </c>
      <c r="Y74" s="46">
        <f t="shared" si="9"/>
        <v>1648144.1196036334</v>
      </c>
    </row>
    <row r="75" spans="1:27" x14ac:dyDescent="0.25">
      <c r="A75" s="20">
        <v>38321</v>
      </c>
      <c r="B75" s="24">
        <f t="shared" si="10"/>
        <v>59</v>
      </c>
      <c r="C75" s="96" t="s">
        <v>77</v>
      </c>
      <c r="D75" s="27">
        <v>4.6100000000000003</v>
      </c>
      <c r="E75" s="46">
        <f t="shared" si="3"/>
        <v>1989429.4717451481</v>
      </c>
      <c r="F75" s="8"/>
      <c r="H75" s="49"/>
      <c r="I75" s="39"/>
      <c r="J75" s="20">
        <f t="shared" si="4"/>
        <v>38321</v>
      </c>
      <c r="K75" s="27">
        <v>4.046144482983471</v>
      </c>
      <c r="L75" s="46">
        <f t="shared" si="11"/>
        <v>860812.04696273594</v>
      </c>
      <c r="M75" s="8"/>
      <c r="O75" s="39"/>
      <c r="P75" s="20">
        <f t="shared" si="6"/>
        <v>38321</v>
      </c>
      <c r="Q75" s="27">
        <v>3.223583811862174</v>
      </c>
      <c r="R75" s="46">
        <f t="shared" si="12"/>
        <v>956461.21436116111</v>
      </c>
      <c r="S75" s="8"/>
      <c r="U75" s="49"/>
      <c r="V75" s="39"/>
      <c r="W75" s="20">
        <f t="shared" si="8"/>
        <v>38321</v>
      </c>
      <c r="X75" s="36">
        <v>3.3659805646950804</v>
      </c>
      <c r="Y75" s="46">
        <f t="shared" si="9"/>
        <v>1703620.3303476565</v>
      </c>
    </row>
    <row r="76" spans="1:27" x14ac:dyDescent="0.25">
      <c r="A76" s="20">
        <v>38352</v>
      </c>
      <c r="B76" s="24">
        <f t="shared" si="10"/>
        <v>60</v>
      </c>
      <c r="C76" s="96" t="s">
        <v>77</v>
      </c>
      <c r="D76" s="27">
        <v>5.23</v>
      </c>
      <c r="E76" s="46">
        <f t="shared" si="3"/>
        <v>2093476.6331174192</v>
      </c>
      <c r="F76" s="11">
        <f>(E76-E64)/E64*100</f>
        <v>23.052012653670005</v>
      </c>
      <c r="G76" s="5">
        <f>(E76/E73-1)*100</f>
        <v>10.983768044599994</v>
      </c>
      <c r="H76" s="49"/>
      <c r="I76" s="39"/>
      <c r="J76" s="20">
        <f t="shared" si="4"/>
        <v>38352</v>
      </c>
      <c r="K76" s="27">
        <v>3.3996651190857707</v>
      </c>
      <c r="L76" s="46">
        <f t="shared" si="11"/>
        <v>890076.77386421629</v>
      </c>
      <c r="M76" s="11">
        <f>(L76-L64)/L64*100</f>
        <v>10.875710573634128</v>
      </c>
      <c r="N76" s="5">
        <f>(L76/L73-1)*100</f>
        <v>9.2269568504570465</v>
      </c>
      <c r="O76" s="39"/>
      <c r="P76" s="20">
        <f t="shared" si="6"/>
        <v>38352</v>
      </c>
      <c r="Q76" s="27">
        <v>2.9684396605747803</v>
      </c>
      <c r="R76" s="46">
        <f t="shared" si="12"/>
        <v>984853.18838627299</v>
      </c>
      <c r="S76" s="11">
        <f>(R76-R64)/R64*100</f>
        <v>11.323711580465277</v>
      </c>
      <c r="T76" s="5">
        <f>(R76/R73-1)*100</f>
        <v>7.1461343370448516</v>
      </c>
      <c r="U76" s="49"/>
      <c r="V76" s="39"/>
      <c r="W76" s="20">
        <f t="shared" si="8"/>
        <v>38352</v>
      </c>
      <c r="X76" s="36">
        <v>2.7270910288772523</v>
      </c>
      <c r="Y76" s="46">
        <f t="shared" si="9"/>
        <v>1750079.6075426964</v>
      </c>
      <c r="AA76" s="106">
        <f>(Y76/Y73-1)*100</f>
        <v>8.2422039530131173</v>
      </c>
    </row>
    <row r="77" spans="1:27" x14ac:dyDescent="0.25">
      <c r="A77" s="20">
        <v>38383</v>
      </c>
      <c r="B77" s="24">
        <f t="shared" si="10"/>
        <v>61</v>
      </c>
      <c r="C77" s="96" t="s">
        <v>77</v>
      </c>
      <c r="D77" s="27">
        <v>-0.64</v>
      </c>
      <c r="E77" s="46">
        <f t="shared" si="3"/>
        <v>2080078.3826654677</v>
      </c>
      <c r="F77" s="10"/>
      <c r="H77" s="49"/>
      <c r="I77" s="39"/>
      <c r="J77" s="20">
        <f t="shared" si="4"/>
        <v>38383</v>
      </c>
      <c r="K77" s="27">
        <v>-2.4374624018912572</v>
      </c>
      <c r="L77" s="46">
        <f t="shared" si="11"/>
        <v>868381.4871533094</v>
      </c>
      <c r="M77" s="10"/>
      <c r="O77" s="39"/>
      <c r="P77" s="20">
        <f t="shared" si="6"/>
        <v>38383</v>
      </c>
      <c r="Q77" s="27">
        <v>-1.3978776002172693</v>
      </c>
      <c r="R77" s="46">
        <f t="shared" si="12"/>
        <v>971086.14627079573</v>
      </c>
      <c r="S77" s="10"/>
      <c r="U77" s="49"/>
      <c r="V77" s="39"/>
      <c r="W77" s="20">
        <f t="shared" si="8"/>
        <v>38383</v>
      </c>
      <c r="X77" s="36">
        <v>-1.4774127532012751</v>
      </c>
      <c r="Y77" s="46">
        <f t="shared" si="9"/>
        <v>1724223.7082296859</v>
      </c>
    </row>
    <row r="78" spans="1:27" x14ac:dyDescent="0.25">
      <c r="A78" s="20">
        <v>38411</v>
      </c>
      <c r="B78" s="24">
        <f t="shared" si="10"/>
        <v>62</v>
      </c>
      <c r="C78" s="96" t="s">
        <v>77</v>
      </c>
      <c r="D78" s="27">
        <v>0.84</v>
      </c>
      <c r="E78" s="46">
        <f t="shared" si="3"/>
        <v>2097551.0410798574</v>
      </c>
      <c r="F78" s="8"/>
      <c r="H78" s="49"/>
      <c r="I78" s="39"/>
      <c r="J78" s="20">
        <f t="shared" si="4"/>
        <v>38411</v>
      </c>
      <c r="K78" s="27">
        <v>2.1043923379311194</v>
      </c>
      <c r="L78" s="46">
        <f t="shared" si="11"/>
        <v>886655.64063297596</v>
      </c>
      <c r="M78" s="8"/>
      <c r="O78" s="39"/>
      <c r="P78" s="20">
        <f t="shared" si="6"/>
        <v>38411</v>
      </c>
      <c r="Q78" s="27">
        <v>2.214272976050196</v>
      </c>
      <c r="R78" s="46">
        <f t="shared" si="12"/>
        <v>992588.64438183722</v>
      </c>
      <c r="S78" s="8"/>
      <c r="U78" s="49"/>
      <c r="V78" s="39"/>
      <c r="W78" s="20">
        <f t="shared" si="8"/>
        <v>38411</v>
      </c>
      <c r="X78" s="36">
        <v>0.80546214876456523</v>
      </c>
      <c r="Y78" s="46">
        <f t="shared" si="9"/>
        <v>1738111.6775595008</v>
      </c>
    </row>
    <row r="79" spans="1:27" x14ac:dyDescent="0.25">
      <c r="A79" s="20">
        <v>38442</v>
      </c>
      <c r="B79" s="24">
        <f t="shared" si="10"/>
        <v>63</v>
      </c>
      <c r="C79" s="96" t="s">
        <v>77</v>
      </c>
      <c r="D79" s="27">
        <v>-0.53</v>
      </c>
      <c r="E79" s="46">
        <f t="shared" si="3"/>
        <v>2086434.0205621342</v>
      </c>
      <c r="F79" s="8"/>
      <c r="G79" s="5">
        <f>(E79/E76-1)*100</f>
        <v>-0.33640750720000945</v>
      </c>
      <c r="H79" s="49"/>
      <c r="I79" s="39"/>
      <c r="J79" s="20">
        <f t="shared" si="4"/>
        <v>38442</v>
      </c>
      <c r="K79" s="27">
        <v>-1.7707812307613995</v>
      </c>
      <c r="L79" s="46">
        <f t="shared" si="11"/>
        <v>870954.90896715992</v>
      </c>
      <c r="M79" s="8"/>
      <c r="N79" s="5">
        <f>(L79/L76-1)*100</f>
        <v>-2.1483388240814194</v>
      </c>
      <c r="O79" s="39"/>
      <c r="P79" s="20">
        <f t="shared" si="6"/>
        <v>38442</v>
      </c>
      <c r="Q79" s="27">
        <v>-1.8409354217521552</v>
      </c>
      <c r="R79" s="46">
        <f t="shared" si="12"/>
        <v>974315.72843512241</v>
      </c>
      <c r="S79" s="8"/>
      <c r="T79" s="5">
        <f>(R79/R76-1)*100</f>
        <v>-1.0699523619775997</v>
      </c>
      <c r="U79" s="49"/>
      <c r="V79" s="39"/>
      <c r="W79" s="20">
        <f t="shared" si="8"/>
        <v>38442</v>
      </c>
      <c r="X79" s="36">
        <v>-0.46381617134896153</v>
      </c>
      <c r="Y79" s="46">
        <f t="shared" si="9"/>
        <v>1730050.0345228752</v>
      </c>
      <c r="AA79" s="106">
        <f>(Y79/Y76-1)*100</f>
        <v>-1.1444949666001181</v>
      </c>
    </row>
    <row r="80" spans="1:27" x14ac:dyDescent="0.25">
      <c r="A80" s="20">
        <v>38472</v>
      </c>
      <c r="B80" s="24">
        <f t="shared" si="10"/>
        <v>64</v>
      </c>
      <c r="C80" s="96" t="s">
        <v>77</v>
      </c>
      <c r="D80" s="27">
        <v>-1.66</v>
      </c>
      <c r="E80" s="46">
        <f t="shared" si="3"/>
        <v>2051799.2158208028</v>
      </c>
      <c r="F80" s="8"/>
      <c r="H80" s="49"/>
      <c r="I80" s="39"/>
      <c r="J80" s="20">
        <f t="shared" si="4"/>
        <v>38472</v>
      </c>
      <c r="K80" s="27">
        <v>-1.8965256529028849</v>
      </c>
      <c r="L80" s="46">
        <f t="shared" si="11"/>
        <v>854437.02569338074</v>
      </c>
      <c r="M80" s="8"/>
      <c r="O80" s="39"/>
      <c r="P80" s="20">
        <f t="shared" si="6"/>
        <v>38472</v>
      </c>
      <c r="Q80" s="27">
        <v>-1.5651005041061061</v>
      </c>
      <c r="R80" s="46">
        <f t="shared" si="12"/>
        <v>959066.70805779926</v>
      </c>
      <c r="S80" s="8"/>
      <c r="U80" s="49"/>
      <c r="V80" s="39"/>
      <c r="W80" s="20">
        <f t="shared" si="8"/>
        <v>38472</v>
      </c>
      <c r="X80" s="36">
        <v>-6.0502351755581767E-2</v>
      </c>
      <c r="Y80" s="46">
        <f t="shared" si="9"/>
        <v>1729003.3135654407</v>
      </c>
    </row>
    <row r="81" spans="1:27" x14ac:dyDescent="0.25">
      <c r="A81" s="20">
        <v>38503</v>
      </c>
      <c r="B81" s="24">
        <f t="shared" si="10"/>
        <v>65</v>
      </c>
      <c r="C81" s="96" t="s">
        <v>77</v>
      </c>
      <c r="D81" s="27">
        <v>3.46</v>
      </c>
      <c r="E81" s="46">
        <f t="shared" ref="E81:E144" si="13">E80*D81/100+E80</f>
        <v>2122791.4686882026</v>
      </c>
      <c r="F81" s="8"/>
      <c r="H81" s="49"/>
      <c r="I81" s="39"/>
      <c r="J81" s="20">
        <f t="shared" ref="J81:J144" si="14">$A81</f>
        <v>38503</v>
      </c>
      <c r="K81" s="27">
        <v>3.1818293338057657</v>
      </c>
      <c r="L81" s="46">
        <f t="shared" ref="L81:L112" si="15">L80*K81/100+L80</f>
        <v>881623.75361579028</v>
      </c>
      <c r="M81" s="8"/>
      <c r="O81" s="39"/>
      <c r="P81" s="20">
        <f t="shared" ref="P81:P144" si="16">$A81</f>
        <v>38503</v>
      </c>
      <c r="Q81" s="27">
        <v>2.1340678288714976</v>
      </c>
      <c r="R81" s="46">
        <f t="shared" ref="R81:R112" si="17">R80*Q81/100+R80</f>
        <v>979533.84213187767</v>
      </c>
      <c r="S81" s="8"/>
      <c r="U81" s="49"/>
      <c r="V81" s="39"/>
      <c r="W81" s="20">
        <f t="shared" ref="W81:W144" si="18">$A81</f>
        <v>38503</v>
      </c>
      <c r="X81" s="36">
        <v>1.503445433774564</v>
      </c>
      <c r="Y81" s="46">
        <f t="shared" ref="Y81:Y144" si="19">Y80*X81/100+Y80</f>
        <v>1754997.9349330512</v>
      </c>
    </row>
    <row r="82" spans="1:27" x14ac:dyDescent="0.25">
      <c r="A82" s="20">
        <v>38533</v>
      </c>
      <c r="B82" s="24">
        <f t="shared" ref="B82:B145" si="20">IF(A82&gt;A81,1+B81,"-")</f>
        <v>66</v>
      </c>
      <c r="C82" s="96" t="s">
        <v>77</v>
      </c>
      <c r="D82" s="27">
        <v>3.38</v>
      </c>
      <c r="E82" s="46">
        <f t="shared" si="13"/>
        <v>2194541.8203298636</v>
      </c>
      <c r="F82" s="8"/>
      <c r="G82" s="5">
        <f>(E82/E79-1)*100</f>
        <v>5.1814626631999872</v>
      </c>
      <c r="H82" s="49"/>
      <c r="I82" s="39"/>
      <c r="J82" s="20">
        <f t="shared" si="14"/>
        <v>38533</v>
      </c>
      <c r="K82" s="27">
        <v>0.14197973528973573</v>
      </c>
      <c r="L82" s="46">
        <f t="shared" si="15"/>
        <v>882875.48068742536</v>
      </c>
      <c r="M82" s="8"/>
      <c r="N82" s="5">
        <f>(L82/L79-1)*100</f>
        <v>1.3686784008602348</v>
      </c>
      <c r="O82" s="39"/>
      <c r="P82" s="20">
        <f t="shared" si="16"/>
        <v>38533</v>
      </c>
      <c r="Q82" s="27">
        <v>-0.65988046748634099</v>
      </c>
      <c r="R82" s="46">
        <f t="shared" si="17"/>
        <v>973070.08963523095</v>
      </c>
      <c r="S82" s="8"/>
      <c r="T82" s="5">
        <f>(R82/R79-1)*100</f>
        <v>-0.1278475512134114</v>
      </c>
      <c r="U82" s="49"/>
      <c r="V82" s="39"/>
      <c r="W82" s="20">
        <f t="shared" si="18"/>
        <v>38533</v>
      </c>
      <c r="X82" s="36">
        <v>-3.5929090347421293E-3</v>
      </c>
      <c r="Y82" s="46">
        <f t="shared" si="19"/>
        <v>1754934.8794536875</v>
      </c>
      <c r="AA82" s="106">
        <f>(Y82/Y79-1)*100</f>
        <v>1.4383887421889119</v>
      </c>
    </row>
    <row r="83" spans="1:27" x14ac:dyDescent="0.25">
      <c r="A83" s="20">
        <v>38564</v>
      </c>
      <c r="B83" s="24">
        <f t="shared" si="20"/>
        <v>67</v>
      </c>
      <c r="C83" s="96" t="s">
        <v>77</v>
      </c>
      <c r="D83" s="27">
        <v>2.62</v>
      </c>
      <c r="E83" s="46">
        <f t="shared" si="13"/>
        <v>2252038.816022506</v>
      </c>
      <c r="F83" s="8"/>
      <c r="H83" s="49"/>
      <c r="I83" s="39"/>
      <c r="J83" s="20">
        <f t="shared" si="14"/>
        <v>38564</v>
      </c>
      <c r="K83" s="27">
        <v>3.718748766540688</v>
      </c>
      <c r="L83" s="46">
        <f t="shared" si="15"/>
        <v>915707.40173557913</v>
      </c>
      <c r="M83" s="8"/>
      <c r="O83" s="39"/>
      <c r="P83" s="20">
        <f t="shared" si="16"/>
        <v>38564</v>
      </c>
      <c r="Q83" s="27">
        <v>2.503772869588984</v>
      </c>
      <c r="R83" s="46">
        <f t="shared" si="17"/>
        <v>997433.55454160308</v>
      </c>
      <c r="S83" s="8"/>
      <c r="U83" s="49"/>
      <c r="V83" s="39"/>
      <c r="W83" s="20">
        <f t="shared" si="18"/>
        <v>38564</v>
      </c>
      <c r="X83" s="36">
        <v>2.4015866856379136</v>
      </c>
      <c r="Y83" s="46">
        <f t="shared" si="19"/>
        <v>1797081.161860263</v>
      </c>
    </row>
    <row r="84" spans="1:27" x14ac:dyDescent="0.25">
      <c r="A84" s="20">
        <v>38595</v>
      </c>
      <c r="B84" s="24">
        <f t="shared" si="20"/>
        <v>68</v>
      </c>
      <c r="C84" s="96" t="s">
        <v>77</v>
      </c>
      <c r="D84" s="27">
        <v>-1.69</v>
      </c>
      <c r="E84" s="46">
        <f t="shared" si="13"/>
        <v>2213979.3600317258</v>
      </c>
      <c r="F84" s="8"/>
      <c r="H84" s="49"/>
      <c r="I84" s="39"/>
      <c r="J84" s="20">
        <f t="shared" si="14"/>
        <v>38595</v>
      </c>
      <c r="K84" s="27">
        <v>-0.91215041796766405</v>
      </c>
      <c r="L84" s="46">
        <f t="shared" si="15"/>
        <v>907354.77284328721</v>
      </c>
      <c r="M84" s="8"/>
      <c r="O84" s="39"/>
      <c r="P84" s="20">
        <f t="shared" si="16"/>
        <v>38595</v>
      </c>
      <c r="Q84" s="27">
        <v>-1.1860102080264696</v>
      </c>
      <c r="R84" s="46">
        <f t="shared" si="17"/>
        <v>985603.89076645835</v>
      </c>
      <c r="S84" s="8"/>
      <c r="U84" s="49"/>
      <c r="V84" s="39"/>
      <c r="W84" s="20">
        <f t="shared" si="18"/>
        <v>38595</v>
      </c>
      <c r="X84" s="36">
        <v>-1.0084210526315713</v>
      </c>
      <c r="Y84" s="46">
        <f t="shared" si="19"/>
        <v>1778959.0170911881</v>
      </c>
    </row>
    <row r="85" spans="1:27" x14ac:dyDescent="0.25">
      <c r="A85" s="20">
        <v>38625</v>
      </c>
      <c r="B85" s="24">
        <f t="shared" si="20"/>
        <v>69</v>
      </c>
      <c r="C85" s="96" t="s">
        <v>77</v>
      </c>
      <c r="D85" s="27">
        <v>1.24</v>
      </c>
      <c r="E85" s="46">
        <f t="shared" si="13"/>
        <v>2241432.7040961194</v>
      </c>
      <c r="F85" s="8"/>
      <c r="G85" s="5">
        <f>(E85/E82-1)*100</f>
        <v>2.1367049528000059</v>
      </c>
      <c r="H85" s="49"/>
      <c r="I85" s="39"/>
      <c r="J85" s="20">
        <f t="shared" si="14"/>
        <v>38625</v>
      </c>
      <c r="K85" s="27">
        <v>0.80990540314492721</v>
      </c>
      <c r="L85" s="46">
        <f t="shared" si="15"/>
        <v>914703.48817423836</v>
      </c>
      <c r="M85" s="8"/>
      <c r="N85" s="5">
        <f>(L85/L82-1)*100</f>
        <v>3.6050392363406791</v>
      </c>
      <c r="O85" s="39"/>
      <c r="P85" s="20">
        <f t="shared" si="16"/>
        <v>38625</v>
      </c>
      <c r="Q85" s="27">
        <v>0.22018032402066012</v>
      </c>
      <c r="R85" s="46">
        <f t="shared" si="17"/>
        <v>987773.99660670816</v>
      </c>
      <c r="S85" s="8"/>
      <c r="T85" s="5">
        <f>(R85/R82-1)*100</f>
        <v>1.5110840553108851</v>
      </c>
      <c r="U85" s="49"/>
      <c r="V85" s="39"/>
      <c r="W85" s="20">
        <f t="shared" si="18"/>
        <v>38625</v>
      </c>
      <c r="X85" s="36">
        <v>-5.0509346887567322E-2</v>
      </c>
      <c r="Y85" s="46">
        <f t="shared" si="19"/>
        <v>1778060.4765102579</v>
      </c>
      <c r="AA85" s="106">
        <f>(Y85/Y82-1)*100</f>
        <v>1.3177467339283488</v>
      </c>
    </row>
    <row r="86" spans="1:27" x14ac:dyDescent="0.25">
      <c r="A86" s="20">
        <v>38656</v>
      </c>
      <c r="B86" s="24">
        <f t="shared" si="20"/>
        <v>70</v>
      </c>
      <c r="C86" s="96" t="s">
        <v>77</v>
      </c>
      <c r="D86" s="27">
        <v>-2.95</v>
      </c>
      <c r="E86" s="46">
        <f t="shared" si="13"/>
        <v>2175310.4393252837</v>
      </c>
      <c r="F86" s="8"/>
      <c r="H86" s="49"/>
      <c r="I86" s="39"/>
      <c r="J86" s="20">
        <f t="shared" si="14"/>
        <v>38656</v>
      </c>
      <c r="K86" s="27">
        <v>-1.6670311454906011</v>
      </c>
      <c r="L86" s="46">
        <f t="shared" si="15"/>
        <v>899455.09613748488</v>
      </c>
      <c r="M86" s="8"/>
      <c r="O86" s="39"/>
      <c r="P86" s="20">
        <f t="shared" si="16"/>
        <v>38656</v>
      </c>
      <c r="Q86" s="27">
        <v>-1.9101744329693198</v>
      </c>
      <c r="R86" s="46">
        <f t="shared" si="17"/>
        <v>968905.79026800755</v>
      </c>
      <c r="S86" s="8"/>
      <c r="U86" s="49"/>
      <c r="V86" s="39"/>
      <c r="W86" s="20">
        <f t="shared" si="18"/>
        <v>38656</v>
      </c>
      <c r="X86" s="36">
        <v>-1.6633951986552475</v>
      </c>
      <c r="Y86" s="46">
        <f t="shared" si="19"/>
        <v>1748484.3039147996</v>
      </c>
    </row>
    <row r="87" spans="1:27" x14ac:dyDescent="0.25">
      <c r="A87" s="20">
        <v>38686</v>
      </c>
      <c r="B87" s="24">
        <f t="shared" si="20"/>
        <v>71</v>
      </c>
      <c r="C87" s="96" t="s">
        <v>77</v>
      </c>
      <c r="D87" s="27">
        <v>0.33</v>
      </c>
      <c r="E87" s="46">
        <f t="shared" si="13"/>
        <v>2182488.9637750573</v>
      </c>
      <c r="F87" s="8"/>
      <c r="H87" s="49"/>
      <c r="I87" s="39"/>
      <c r="J87" s="20">
        <f t="shared" si="14"/>
        <v>38686</v>
      </c>
      <c r="K87" s="27">
        <v>3.7821851794790979</v>
      </c>
      <c r="L87" s="46">
        <f t="shared" si="15"/>
        <v>933474.15347966633</v>
      </c>
      <c r="M87" s="8"/>
      <c r="O87" s="39"/>
      <c r="P87" s="20">
        <f t="shared" si="16"/>
        <v>38686</v>
      </c>
      <c r="Q87" s="27">
        <v>2.745037666171406</v>
      </c>
      <c r="R87" s="46">
        <f t="shared" si="17"/>
        <v>995502.6191605801</v>
      </c>
      <c r="S87" s="8"/>
      <c r="U87" s="49"/>
      <c r="V87" s="39"/>
      <c r="W87" s="20">
        <f t="shared" si="18"/>
        <v>38686</v>
      </c>
      <c r="X87" s="36">
        <v>2.0530630055573091</v>
      </c>
      <c r="Y87" s="46">
        <f t="shared" si="19"/>
        <v>1784381.7883164505</v>
      </c>
    </row>
    <row r="88" spans="1:27" x14ac:dyDescent="0.25">
      <c r="A88" s="20">
        <v>38717</v>
      </c>
      <c r="B88" s="24">
        <f t="shared" si="20"/>
        <v>72</v>
      </c>
      <c r="C88" s="96" t="s">
        <v>77</v>
      </c>
      <c r="D88" s="27">
        <v>3.32</v>
      </c>
      <c r="E88" s="46">
        <f t="shared" si="13"/>
        <v>2254947.5973723894</v>
      </c>
      <c r="F88" s="11">
        <f>(E88-E76)/E76*100</f>
        <v>7.7130530955352476</v>
      </c>
      <c r="G88" s="5">
        <f>(E88/E85-1)*100</f>
        <v>0.60295779800001448</v>
      </c>
      <c r="H88" s="49"/>
      <c r="I88" s="39"/>
      <c r="J88" s="20">
        <f t="shared" si="14"/>
        <v>38717</v>
      </c>
      <c r="K88" s="27">
        <v>3.0360765957490956E-2</v>
      </c>
      <c r="L88" s="46">
        <f t="shared" si="15"/>
        <v>933757.56338267797</v>
      </c>
      <c r="M88" s="11">
        <f>(L88-L76)/L76*100</f>
        <v>4.9075305413064632</v>
      </c>
      <c r="N88" s="5">
        <f>(L88/L85-1)*100</f>
        <v>2.0830876294646972</v>
      </c>
      <c r="O88" s="39"/>
      <c r="P88" s="20">
        <f t="shared" si="16"/>
        <v>38717</v>
      </c>
      <c r="Q88" s="27">
        <v>-0.49207318926774735</v>
      </c>
      <c r="R88" s="46">
        <f t="shared" si="17"/>
        <v>990604.01767323271</v>
      </c>
      <c r="S88" s="11">
        <f>(R88-R76)/R76*100</f>
        <v>0.58392756958859193</v>
      </c>
      <c r="T88" s="5">
        <f>(R88/R85-1)*100</f>
        <v>0.286504916736674</v>
      </c>
      <c r="U88" s="49"/>
      <c r="V88" s="39"/>
      <c r="W88" s="20">
        <f t="shared" si="18"/>
        <v>38717</v>
      </c>
      <c r="X88" s="36">
        <v>0.23393383418260588</v>
      </c>
      <c r="Y88" s="46">
        <f t="shared" si="19"/>
        <v>1788556.0610503154</v>
      </c>
      <c r="AA88" s="106">
        <f>(Y88/Y85-1)*100</f>
        <v>0.59028276477168795</v>
      </c>
    </row>
    <row r="89" spans="1:27" x14ac:dyDescent="0.25">
      <c r="A89" s="20">
        <v>38748</v>
      </c>
      <c r="B89" s="24">
        <f t="shared" si="20"/>
        <v>73</v>
      </c>
      <c r="C89" s="96" t="s">
        <v>77</v>
      </c>
      <c r="D89" s="27">
        <v>1</v>
      </c>
      <c r="E89" s="46">
        <f t="shared" si="13"/>
        <v>2277497.0733461133</v>
      </c>
      <c r="F89" s="10"/>
      <c r="H89" s="49"/>
      <c r="I89" s="39"/>
      <c r="J89" s="20">
        <f t="shared" si="14"/>
        <v>38748</v>
      </c>
      <c r="K89" s="27">
        <v>2.6477865052660103</v>
      </c>
      <c r="L89" s="46">
        <f t="shared" si="15"/>
        <v>958481.47013782524</v>
      </c>
      <c r="M89" s="10"/>
      <c r="O89" s="39"/>
      <c r="P89" s="20">
        <f t="shared" si="16"/>
        <v>38748</v>
      </c>
      <c r="Q89" s="27">
        <v>1.3903930922819261</v>
      </c>
      <c r="R89" s="46">
        <f t="shared" si="17"/>
        <v>1004377.3075068286</v>
      </c>
      <c r="S89" s="10"/>
      <c r="U89" s="49"/>
      <c r="V89" s="39"/>
      <c r="W89" s="20">
        <f t="shared" si="18"/>
        <v>38748</v>
      </c>
      <c r="X89" s="36">
        <v>0.80187415388086258</v>
      </c>
      <c r="Y89" s="46">
        <f t="shared" si="19"/>
        <v>1802898.0298315475</v>
      </c>
    </row>
    <row r="90" spans="1:27" x14ac:dyDescent="0.25">
      <c r="A90" s="20">
        <v>38776</v>
      </c>
      <c r="B90" s="24">
        <f t="shared" si="20"/>
        <v>74</v>
      </c>
      <c r="C90" s="96" t="s">
        <v>77</v>
      </c>
      <c r="D90" s="27">
        <v>1.72</v>
      </c>
      <c r="E90" s="46">
        <f t="shared" si="13"/>
        <v>2316670.0230076667</v>
      </c>
      <c r="F90" s="8"/>
      <c r="H90" s="49"/>
      <c r="I90" s="39"/>
      <c r="J90" s="20">
        <f t="shared" si="14"/>
        <v>38776</v>
      </c>
      <c r="K90" s="27">
        <v>0.27106003775326626</v>
      </c>
      <c r="L90" s="46">
        <f t="shared" si="15"/>
        <v>961079.53037263884</v>
      </c>
      <c r="M90" s="8"/>
      <c r="O90" s="39"/>
      <c r="P90" s="20">
        <f t="shared" si="16"/>
        <v>38776</v>
      </c>
      <c r="Q90" s="27">
        <v>0.41842508878776896</v>
      </c>
      <c r="R90" s="46">
        <f t="shared" si="17"/>
        <v>1008579.8741475282</v>
      </c>
      <c r="S90" s="8"/>
      <c r="U90" s="49"/>
      <c r="V90" s="39"/>
      <c r="W90" s="20">
        <f t="shared" si="18"/>
        <v>38776</v>
      </c>
      <c r="X90" s="36">
        <v>2.3525605714835272</v>
      </c>
      <c r="Y90" s="46">
        <f t="shared" si="19"/>
        <v>1845312.2980254178</v>
      </c>
    </row>
    <row r="91" spans="1:27" x14ac:dyDescent="0.25">
      <c r="A91" s="20">
        <v>38807</v>
      </c>
      <c r="B91" s="24">
        <f t="shared" si="20"/>
        <v>75</v>
      </c>
      <c r="C91" s="96" t="s">
        <v>77</v>
      </c>
      <c r="D91" s="27">
        <v>1.47</v>
      </c>
      <c r="E91" s="46">
        <f t="shared" si="13"/>
        <v>2350725.0723458794</v>
      </c>
      <c r="F91" s="8"/>
      <c r="G91" s="5">
        <f>(E91/E88-1)*100</f>
        <v>4.2474368400000184</v>
      </c>
      <c r="H91" s="49"/>
      <c r="I91" s="39"/>
      <c r="J91" s="20">
        <f t="shared" si="14"/>
        <v>38807</v>
      </c>
      <c r="K91" s="27">
        <v>1.2433129015702551</v>
      </c>
      <c r="L91" s="46">
        <f t="shared" si="15"/>
        <v>973028.75616811262</v>
      </c>
      <c r="M91" s="8"/>
      <c r="N91" s="5">
        <f>(L91/L88-1)*100</f>
        <v>4.2057161650363328</v>
      </c>
      <c r="O91" s="39"/>
      <c r="P91" s="20">
        <f t="shared" si="16"/>
        <v>38807</v>
      </c>
      <c r="Q91" s="27">
        <v>0.80868168914295402</v>
      </c>
      <c r="R91" s="46">
        <f t="shared" si="17"/>
        <v>1016736.0749101404</v>
      </c>
      <c r="S91" s="8"/>
      <c r="T91" s="5">
        <f>(R91/R88-1)*100</f>
        <v>2.6379922522712596</v>
      </c>
      <c r="U91" s="49"/>
      <c r="V91" s="39"/>
      <c r="W91" s="20">
        <f t="shared" si="18"/>
        <v>38807</v>
      </c>
      <c r="X91" s="36">
        <v>0.65214642797344391</v>
      </c>
      <c r="Y91" s="46">
        <f t="shared" si="19"/>
        <v>1857346.4362619452</v>
      </c>
      <c r="AA91" s="106">
        <f>(Y91/Y88-1)*100</f>
        <v>3.8461402865523464</v>
      </c>
    </row>
    <row r="92" spans="1:27" x14ac:dyDescent="0.25">
      <c r="A92" s="20">
        <v>38837</v>
      </c>
      <c r="B92" s="24">
        <f t="shared" si="20"/>
        <v>76</v>
      </c>
      <c r="C92" s="96" t="s">
        <v>77</v>
      </c>
      <c r="D92" s="27">
        <v>-0.42</v>
      </c>
      <c r="E92" s="46">
        <f t="shared" si="13"/>
        <v>2340852.0270420266</v>
      </c>
      <c r="F92" s="8"/>
      <c r="H92" s="49"/>
      <c r="I92" s="39"/>
      <c r="J92" s="20">
        <f t="shared" si="14"/>
        <v>38837</v>
      </c>
      <c r="K92" s="27">
        <v>1.3427740539897763</v>
      </c>
      <c r="L92" s="46">
        <f t="shared" si="15"/>
        <v>986094.33384379745</v>
      </c>
      <c r="M92" s="8"/>
      <c r="O92" s="39"/>
      <c r="P92" s="20">
        <f t="shared" si="16"/>
        <v>38837</v>
      </c>
      <c r="Q92" s="27">
        <v>0.86556353322744994</v>
      </c>
      <c r="R92" s="46">
        <f t="shared" si="17"/>
        <v>1025536.5716037307</v>
      </c>
      <c r="S92" s="8"/>
      <c r="U92" s="49"/>
      <c r="V92" s="39"/>
      <c r="W92" s="20">
        <f t="shared" si="18"/>
        <v>38837</v>
      </c>
      <c r="X92" s="36">
        <v>2.1635843595902338</v>
      </c>
      <c r="Y92" s="46">
        <f t="shared" si="19"/>
        <v>1897531.6932603151</v>
      </c>
    </row>
    <row r="93" spans="1:27" x14ac:dyDescent="0.25">
      <c r="A93" s="20">
        <v>38868</v>
      </c>
      <c r="B93" s="24">
        <f t="shared" si="20"/>
        <v>77</v>
      </c>
      <c r="C93" s="96" t="s">
        <v>77</v>
      </c>
      <c r="D93" s="27">
        <v>-0.86</v>
      </c>
      <c r="E93" s="46">
        <f t="shared" si="13"/>
        <v>2320720.6996094654</v>
      </c>
      <c r="F93" s="8"/>
      <c r="H93" s="49"/>
      <c r="I93" s="39"/>
      <c r="J93" s="20">
        <f t="shared" si="14"/>
        <v>38868</v>
      </c>
      <c r="K93" s="27">
        <v>-2.8781301958263712</v>
      </c>
      <c r="L93" s="46">
        <f t="shared" si="15"/>
        <v>957713.25506210618</v>
      </c>
      <c r="M93" s="8"/>
      <c r="O93" s="39"/>
      <c r="P93" s="20">
        <f t="shared" si="16"/>
        <v>38868</v>
      </c>
      <c r="Q93" s="27">
        <v>-2.153573471751939</v>
      </c>
      <c r="R93" s="46">
        <f t="shared" si="17"/>
        <v>1003450.8880545584</v>
      </c>
      <c r="S93" s="8"/>
      <c r="U93" s="49"/>
      <c r="V93" s="39"/>
      <c r="W93" s="20">
        <f t="shared" si="18"/>
        <v>38868</v>
      </c>
      <c r="X93" s="36">
        <v>-0.7681175553823818</v>
      </c>
      <c r="Y93" s="46">
        <f t="shared" si="19"/>
        <v>1882956.4192054381</v>
      </c>
    </row>
    <row r="94" spans="1:27" x14ac:dyDescent="0.25">
      <c r="A94" s="20">
        <v>38898</v>
      </c>
      <c r="B94" s="24">
        <f t="shared" si="20"/>
        <v>78</v>
      </c>
      <c r="C94" s="96" t="s">
        <v>77</v>
      </c>
      <c r="D94" s="27">
        <v>1.49</v>
      </c>
      <c r="E94" s="46">
        <f t="shared" si="13"/>
        <v>2355299.4380336464</v>
      </c>
      <c r="F94" s="8"/>
      <c r="G94" s="5">
        <f>(E94/E91-1)*100</f>
        <v>0.19459381880000404</v>
      </c>
      <c r="H94" s="49"/>
      <c r="I94" s="39"/>
      <c r="J94" s="20">
        <f t="shared" si="14"/>
        <v>38898</v>
      </c>
      <c r="K94" s="27">
        <v>0.13289554083580712</v>
      </c>
      <c r="L94" s="46">
        <f t="shared" si="15"/>
        <v>958986.01327207719</v>
      </c>
      <c r="M94" s="8"/>
      <c r="N94" s="5">
        <f>(L94/L91-1)*100</f>
        <v>-1.4431991662134602</v>
      </c>
      <c r="O94" s="39"/>
      <c r="P94" s="20">
        <f t="shared" si="16"/>
        <v>38898</v>
      </c>
      <c r="Q94" s="27">
        <v>0.13473955379318509</v>
      </c>
      <c r="R94" s="46">
        <f t="shared" si="17"/>
        <v>1004802.9333036569</v>
      </c>
      <c r="S94" s="8"/>
      <c r="T94" s="5">
        <f>(R94/R91-1)*100</f>
        <v>-1.173671506397389</v>
      </c>
      <c r="U94" s="49"/>
      <c r="V94" s="39"/>
      <c r="W94" s="20">
        <f t="shared" si="18"/>
        <v>38898</v>
      </c>
      <c r="X94" s="36">
        <v>0.43667683570033933</v>
      </c>
      <c r="Y94" s="46">
        <f t="shared" si="19"/>
        <v>1891178.8537144409</v>
      </c>
      <c r="AA94" s="106">
        <f>(Y94/Y91-1)*100</f>
        <v>1.8215458781392524</v>
      </c>
    </row>
    <row r="95" spans="1:27" x14ac:dyDescent="0.25">
      <c r="A95" s="20">
        <v>38929</v>
      </c>
      <c r="B95" s="24">
        <f t="shared" si="20"/>
        <v>79</v>
      </c>
      <c r="C95" s="96" t="s">
        <v>77</v>
      </c>
      <c r="D95" s="27">
        <v>0.18</v>
      </c>
      <c r="E95" s="46">
        <f t="shared" si="13"/>
        <v>2359538.9770221072</v>
      </c>
      <c r="F95" s="8"/>
      <c r="H95" s="49"/>
      <c r="I95" s="39"/>
      <c r="J95" s="20">
        <f t="shared" si="14"/>
        <v>38929</v>
      </c>
      <c r="K95" s="27">
        <v>0.61685311934745402</v>
      </c>
      <c r="L95" s="46">
        <f t="shared" si="15"/>
        <v>964901.54840905184</v>
      </c>
      <c r="M95" s="8"/>
      <c r="O95" s="39"/>
      <c r="P95" s="20">
        <f t="shared" si="16"/>
        <v>38929</v>
      </c>
      <c r="Q95" s="27">
        <v>1.5581553958344272</v>
      </c>
      <c r="R95" s="46">
        <f t="shared" si="17"/>
        <v>1020459.3244264304</v>
      </c>
      <c r="S95" s="8"/>
      <c r="U95" s="49"/>
      <c r="V95" s="39"/>
      <c r="W95" s="20">
        <f t="shared" si="18"/>
        <v>38929</v>
      </c>
      <c r="X95" s="36">
        <v>2.1868946362899861</v>
      </c>
      <c r="Y95" s="46">
        <f t="shared" si="19"/>
        <v>1932536.9426289725</v>
      </c>
    </row>
    <row r="96" spans="1:27" x14ac:dyDescent="0.25">
      <c r="A96" s="20">
        <v>38960</v>
      </c>
      <c r="B96" s="24">
        <f t="shared" si="20"/>
        <v>80</v>
      </c>
      <c r="C96" s="96" t="s">
        <v>77</v>
      </c>
      <c r="D96" s="27">
        <v>2.6</v>
      </c>
      <c r="E96" s="46">
        <f t="shared" si="13"/>
        <v>2420886.9904246819</v>
      </c>
      <c r="F96" s="8"/>
      <c r="H96" s="49"/>
      <c r="I96" s="39"/>
      <c r="J96" s="20">
        <f t="shared" si="14"/>
        <v>38960</v>
      </c>
      <c r="K96" s="27">
        <v>2.3793071730634172</v>
      </c>
      <c r="L96" s="46">
        <f t="shared" si="15"/>
        <v>987859.52016334841</v>
      </c>
      <c r="M96" s="8"/>
      <c r="O96" s="39"/>
      <c r="P96" s="20">
        <f t="shared" si="16"/>
        <v>38960</v>
      </c>
      <c r="Q96" s="27">
        <v>2.1797859436045033</v>
      </c>
      <c r="R96" s="46">
        <f t="shared" si="17"/>
        <v>1042703.1533404792</v>
      </c>
      <c r="S96" s="8"/>
      <c r="U96" s="49"/>
      <c r="V96" s="39"/>
      <c r="W96" s="20">
        <f t="shared" si="18"/>
        <v>38960</v>
      </c>
      <c r="X96" s="36">
        <v>2.1864253039330128</v>
      </c>
      <c r="Y96" s="46">
        <f t="shared" si="19"/>
        <v>1974790.4193504658</v>
      </c>
    </row>
    <row r="97" spans="1:27" x14ac:dyDescent="0.25">
      <c r="A97" s="20">
        <v>38990</v>
      </c>
      <c r="B97" s="24">
        <f t="shared" si="20"/>
        <v>81</v>
      </c>
      <c r="C97" s="96" t="s">
        <v>77</v>
      </c>
      <c r="D97" s="27">
        <v>2.72</v>
      </c>
      <c r="E97" s="46">
        <f t="shared" si="13"/>
        <v>2486735.1165642333</v>
      </c>
      <c r="F97" s="8"/>
      <c r="G97" s="5">
        <f>(E97/E94-1)*100</f>
        <v>5.5804232960000144</v>
      </c>
      <c r="H97" s="49"/>
      <c r="I97" s="39"/>
      <c r="J97" s="20">
        <f t="shared" si="14"/>
        <v>38990</v>
      </c>
      <c r="K97" s="27">
        <v>2.574498802063578</v>
      </c>
      <c r="L97" s="46">
        <f t="shared" si="15"/>
        <v>1013291.9516760248</v>
      </c>
      <c r="M97" s="8"/>
      <c r="N97" s="5">
        <f>(L97/L94-1)*100</f>
        <v>5.6628498906521996</v>
      </c>
      <c r="O97" s="39"/>
      <c r="P97" s="20">
        <f t="shared" si="16"/>
        <v>38990</v>
      </c>
      <c r="Q97" s="27">
        <v>1.9453843114712042</v>
      </c>
      <c r="R97" s="46">
        <f t="shared" si="17"/>
        <v>1062987.7369007803</v>
      </c>
      <c r="S97" s="8"/>
      <c r="T97" s="5">
        <f>(R97/R94-1)*100</f>
        <v>5.7906681667239557</v>
      </c>
      <c r="U97" s="49"/>
      <c r="V97" s="39"/>
      <c r="W97" s="20">
        <f t="shared" si="18"/>
        <v>38990</v>
      </c>
      <c r="X97" s="36">
        <v>2.0467266741809071</v>
      </c>
      <c r="Y97" s="46">
        <f t="shared" si="19"/>
        <v>2015208.9816224808</v>
      </c>
      <c r="AA97" s="106">
        <f>(Y97/Y94-1)*100</f>
        <v>6.5583499764939601</v>
      </c>
    </row>
    <row r="98" spans="1:27" x14ac:dyDescent="0.25">
      <c r="A98" s="20">
        <v>39021</v>
      </c>
      <c r="B98" s="24">
        <f t="shared" si="20"/>
        <v>82</v>
      </c>
      <c r="C98" s="96" t="s">
        <v>77</v>
      </c>
      <c r="D98" s="27">
        <v>2.75</v>
      </c>
      <c r="E98" s="46">
        <f t="shared" si="13"/>
        <v>2555120.3322697496</v>
      </c>
      <c r="F98" s="8"/>
      <c r="H98" s="49"/>
      <c r="I98" s="39"/>
      <c r="J98" s="20">
        <f t="shared" si="14"/>
        <v>39021</v>
      </c>
      <c r="K98" s="27">
        <v>3.2586430546584828</v>
      </c>
      <c r="L98" s="46">
        <f t="shared" si="15"/>
        <v>1046311.519482729</v>
      </c>
      <c r="M98" s="8"/>
      <c r="O98" s="39"/>
      <c r="P98" s="20">
        <f t="shared" si="16"/>
        <v>39021</v>
      </c>
      <c r="Q98" s="27">
        <v>2.5310933908349598</v>
      </c>
      <c r="R98" s="46">
        <f t="shared" si="17"/>
        <v>1089892.949254862</v>
      </c>
      <c r="S98" s="8"/>
      <c r="U98" s="49"/>
      <c r="V98" s="39"/>
      <c r="W98" s="20">
        <f t="shared" si="18"/>
        <v>39021</v>
      </c>
      <c r="X98" s="36">
        <v>2.8015319484469408</v>
      </c>
      <c r="Y98" s="46">
        <f t="shared" si="19"/>
        <v>2071665.7050706069</v>
      </c>
    </row>
    <row r="99" spans="1:27" x14ac:dyDescent="0.25">
      <c r="A99" s="20">
        <v>39051</v>
      </c>
      <c r="B99" s="24">
        <f t="shared" si="20"/>
        <v>83</v>
      </c>
      <c r="C99" s="96" t="s">
        <v>77</v>
      </c>
      <c r="D99" s="27">
        <v>1.75</v>
      </c>
      <c r="E99" s="46">
        <f t="shared" si="13"/>
        <v>2599834.9380844701</v>
      </c>
      <c r="F99" s="8"/>
      <c r="H99" s="49"/>
      <c r="I99" s="39"/>
      <c r="J99" s="20">
        <f t="shared" si="14"/>
        <v>39051</v>
      </c>
      <c r="K99" s="27">
        <v>1.9018102727573376</v>
      </c>
      <c r="L99" s="46">
        <f t="shared" si="15"/>
        <v>1066210.3794452948</v>
      </c>
      <c r="M99" s="8"/>
      <c r="O99" s="39"/>
      <c r="P99" s="20">
        <f t="shared" si="16"/>
        <v>39051</v>
      </c>
      <c r="Q99" s="27">
        <v>1.3980821490821798</v>
      </c>
      <c r="R99" s="46">
        <f t="shared" si="17"/>
        <v>1105130.5480224995</v>
      </c>
      <c r="S99" s="8"/>
      <c r="U99" s="49"/>
      <c r="V99" s="39"/>
      <c r="W99" s="20">
        <f t="shared" si="18"/>
        <v>39051</v>
      </c>
      <c r="X99" s="36">
        <v>1.0108158205916069</v>
      </c>
      <c r="Y99" s="46">
        <f t="shared" si="19"/>
        <v>2092606.4297672312</v>
      </c>
    </row>
    <row r="100" spans="1:27" x14ac:dyDescent="0.25">
      <c r="A100" s="20">
        <v>39082</v>
      </c>
      <c r="B100" s="24">
        <f t="shared" si="20"/>
        <v>84</v>
      </c>
      <c r="C100" s="96" t="s">
        <v>77</v>
      </c>
      <c r="D100" s="27">
        <v>2.85</v>
      </c>
      <c r="E100" s="46">
        <f t="shared" si="13"/>
        <v>2673930.2338198777</v>
      </c>
      <c r="F100" s="11">
        <f>(E100-E88)/E88*100</f>
        <v>18.580593045076256</v>
      </c>
      <c r="G100" s="5">
        <f>(E100/E97-1)*100</f>
        <v>7.5277465624999929</v>
      </c>
      <c r="H100" s="49"/>
      <c r="I100" s="39"/>
      <c r="J100" s="20">
        <f t="shared" si="14"/>
        <v>39082</v>
      </c>
      <c r="K100" s="27">
        <v>1.393864501507023</v>
      </c>
      <c r="L100" s="46">
        <f t="shared" si="15"/>
        <v>1081071.9074357662</v>
      </c>
      <c r="M100" s="11">
        <f>(L100-L88)/L88*100</f>
        <v>15.77650878879307</v>
      </c>
      <c r="N100" s="5">
        <f>(L100/L97-1)*100</f>
        <v>6.6890845868883719</v>
      </c>
      <c r="O100" s="39"/>
      <c r="P100" s="20">
        <f t="shared" si="16"/>
        <v>39082</v>
      </c>
      <c r="Q100" s="27">
        <v>1.7874383759971715</v>
      </c>
      <c r="R100" s="46">
        <f t="shared" si="17"/>
        <v>1124884.0755427214</v>
      </c>
      <c r="S100" s="11">
        <f>(R100-R88)/R88*100</f>
        <v>13.555371821011859</v>
      </c>
      <c r="T100" s="5">
        <f>(R100/R97-1)*100</f>
        <v>5.8228647888643126</v>
      </c>
      <c r="U100" s="49"/>
      <c r="V100" s="39"/>
      <c r="W100" s="20">
        <f t="shared" si="18"/>
        <v>39082</v>
      </c>
      <c r="X100" s="36">
        <v>2.2988090126330527</v>
      </c>
      <c r="Y100" s="46">
        <f t="shared" si="19"/>
        <v>2140711.454973659</v>
      </c>
      <c r="AA100" s="106">
        <f>(Y100/Y97-1)*100</f>
        <v>6.2277646882128224</v>
      </c>
    </row>
    <row r="101" spans="1:27" x14ac:dyDescent="0.25">
      <c r="A101" s="20">
        <v>39113</v>
      </c>
      <c r="B101" s="24">
        <f t="shared" si="20"/>
        <v>85</v>
      </c>
      <c r="C101" s="96" t="s">
        <v>77</v>
      </c>
      <c r="D101" s="27">
        <v>2.34</v>
      </c>
      <c r="E101" s="46">
        <f t="shared" si="13"/>
        <v>2736500.2012912626</v>
      </c>
      <c r="F101" s="10"/>
      <c r="H101" s="49"/>
      <c r="I101" s="39"/>
      <c r="J101" s="20">
        <f t="shared" si="14"/>
        <v>39113</v>
      </c>
      <c r="K101" s="27">
        <v>1.5122910358948396</v>
      </c>
      <c r="L101" s="46">
        <f t="shared" si="15"/>
        <v>1097420.8609834947</v>
      </c>
      <c r="M101" s="10"/>
      <c r="O101" s="39"/>
      <c r="P101" s="20">
        <f t="shared" si="16"/>
        <v>39113</v>
      </c>
      <c r="Q101" s="27">
        <v>0.72498355465841791</v>
      </c>
      <c r="R101" s="46">
        <f t="shared" si="17"/>
        <v>1133039.3000993775</v>
      </c>
      <c r="S101" s="10"/>
      <c r="U101" s="49"/>
      <c r="V101" s="39"/>
      <c r="W101" s="20">
        <f t="shared" si="18"/>
        <v>39113</v>
      </c>
      <c r="X101" s="36">
        <v>1.0263728786600097</v>
      </c>
      <c r="Y101" s="46">
        <f t="shared" si="19"/>
        <v>2162683.1367578767</v>
      </c>
    </row>
    <row r="102" spans="1:27" x14ac:dyDescent="0.25">
      <c r="A102" s="20">
        <v>39141</v>
      </c>
      <c r="B102" s="24">
        <f t="shared" si="20"/>
        <v>86</v>
      </c>
      <c r="C102" s="96" t="s">
        <v>77</v>
      </c>
      <c r="D102" s="27">
        <v>-1.73</v>
      </c>
      <c r="E102" s="46">
        <f t="shared" si="13"/>
        <v>2689158.7478089239</v>
      </c>
      <c r="F102" s="8"/>
      <c r="H102" s="49"/>
      <c r="I102" s="39"/>
      <c r="J102" s="20">
        <f t="shared" si="14"/>
        <v>39141</v>
      </c>
      <c r="K102" s="27">
        <v>-1.9557480543115775</v>
      </c>
      <c r="L102" s="46">
        <f t="shared" si="15"/>
        <v>1075958.0738472007</v>
      </c>
      <c r="M102" s="8"/>
      <c r="O102" s="39"/>
      <c r="P102" s="20">
        <f t="shared" si="16"/>
        <v>39141</v>
      </c>
      <c r="Q102" s="27">
        <v>-2.5164217477012896</v>
      </c>
      <c r="R102" s="46">
        <f t="shared" si="17"/>
        <v>1104527.2527416742</v>
      </c>
      <c r="S102" s="8"/>
      <c r="U102" s="49"/>
      <c r="V102" s="39"/>
      <c r="W102" s="20">
        <f t="shared" si="18"/>
        <v>39141</v>
      </c>
      <c r="X102" s="36">
        <v>6.3414591478833576E-2</v>
      </c>
      <c r="Y102" s="46">
        <f t="shared" si="19"/>
        <v>2164054.5934340334</v>
      </c>
    </row>
    <row r="103" spans="1:27" x14ac:dyDescent="0.25">
      <c r="A103" s="20">
        <v>39172</v>
      </c>
      <c r="B103" s="24">
        <f t="shared" si="20"/>
        <v>87</v>
      </c>
      <c r="C103" s="96" t="s">
        <v>77</v>
      </c>
      <c r="D103" s="27">
        <v>1.87</v>
      </c>
      <c r="E103" s="46">
        <f t="shared" si="13"/>
        <v>2739446.0163929509</v>
      </c>
      <c r="F103" s="8"/>
      <c r="G103" s="5">
        <f>(E103/E100-1)*100</f>
        <v>2.4501679866000048</v>
      </c>
      <c r="H103" s="49"/>
      <c r="I103" s="39"/>
      <c r="J103" s="20">
        <f t="shared" si="14"/>
        <v>39172</v>
      </c>
      <c r="K103" s="27">
        <v>1.1173156439624867</v>
      </c>
      <c r="L103" s="46">
        <f t="shared" si="15"/>
        <v>1087979.921728773</v>
      </c>
      <c r="M103" s="8"/>
      <c r="N103" s="5">
        <f>(L103/L100-1)*100</f>
        <v>0.63899674438792076</v>
      </c>
      <c r="O103" s="39"/>
      <c r="P103" s="20">
        <f t="shared" si="16"/>
        <v>39172</v>
      </c>
      <c r="Q103" s="27">
        <v>0.69088399035219505</v>
      </c>
      <c r="R103" s="46">
        <f t="shared" si="17"/>
        <v>1112158.2546999434</v>
      </c>
      <c r="S103" s="8"/>
      <c r="T103" s="5">
        <f>(R103/R100-1)*100</f>
        <v>-1.1313006486146859</v>
      </c>
      <c r="U103" s="49"/>
      <c r="V103" s="39"/>
      <c r="W103" s="20">
        <f t="shared" si="18"/>
        <v>39172</v>
      </c>
      <c r="X103" s="36">
        <v>0.59164011497718771</v>
      </c>
      <c r="Y103" s="46">
        <f t="shared" si="19"/>
        <v>2176858.0085187955</v>
      </c>
      <c r="AA103" s="106">
        <f>(Y103/Y100-1)*100</f>
        <v>1.6885299259344233</v>
      </c>
    </row>
    <row r="104" spans="1:27" x14ac:dyDescent="0.25">
      <c r="A104" s="20">
        <v>39202</v>
      </c>
      <c r="B104" s="24">
        <f t="shared" si="20"/>
        <v>88</v>
      </c>
      <c r="C104" s="96" t="s">
        <v>77</v>
      </c>
      <c r="D104" s="27">
        <v>1.96</v>
      </c>
      <c r="E104" s="46">
        <f t="shared" si="13"/>
        <v>2793139.1583142527</v>
      </c>
      <c r="F104" s="8"/>
      <c r="H104" s="49"/>
      <c r="I104" s="39"/>
      <c r="J104" s="20">
        <f t="shared" si="14"/>
        <v>39202</v>
      </c>
      <c r="K104" s="27">
        <v>4.429481246494797</v>
      </c>
      <c r="L104" s="46">
        <f t="shared" si="15"/>
        <v>1136171.7883273778</v>
      </c>
      <c r="M104" s="8"/>
      <c r="O104" s="39"/>
      <c r="P104" s="20">
        <f t="shared" si="16"/>
        <v>39202</v>
      </c>
      <c r="Q104" s="27">
        <v>3.7411807251335367</v>
      </c>
      <c r="R104" s="46">
        <f t="shared" si="17"/>
        <v>1153766.1049577591</v>
      </c>
      <c r="S104" s="8"/>
      <c r="U104" s="49"/>
      <c r="V104" s="39"/>
      <c r="W104" s="20">
        <f t="shared" si="18"/>
        <v>39202</v>
      </c>
      <c r="X104" s="36">
        <v>2.9478983515289845</v>
      </c>
      <c r="Y104" s="46">
        <f t="shared" si="19"/>
        <v>2241029.5698670479</v>
      </c>
    </row>
    <row r="105" spans="1:27" x14ac:dyDescent="0.25">
      <c r="A105" s="20">
        <v>39233</v>
      </c>
      <c r="B105" s="24">
        <f t="shared" si="20"/>
        <v>89</v>
      </c>
      <c r="C105" s="96" t="s">
        <v>77</v>
      </c>
      <c r="D105" s="27">
        <v>3.14</v>
      </c>
      <c r="E105" s="46">
        <f t="shared" si="13"/>
        <v>2880843.7278853203</v>
      </c>
      <c r="F105" s="8"/>
      <c r="H105" s="49"/>
      <c r="I105" s="39"/>
      <c r="J105" s="20">
        <f t="shared" si="14"/>
        <v>39233</v>
      </c>
      <c r="K105" s="27">
        <v>3.4887790264828626</v>
      </c>
      <c r="L105" s="46">
        <f t="shared" si="15"/>
        <v>1175810.3113833587</v>
      </c>
      <c r="M105" s="8"/>
      <c r="O105" s="39"/>
      <c r="P105" s="20">
        <f t="shared" si="16"/>
        <v>39233</v>
      </c>
      <c r="Q105" s="27">
        <v>2.4555626252233851</v>
      </c>
      <c r="R105" s="46">
        <f t="shared" si="17"/>
        <v>1182097.5542135974</v>
      </c>
      <c r="S105" s="8"/>
      <c r="U105" s="49"/>
      <c r="V105" s="39"/>
      <c r="W105" s="20">
        <f t="shared" si="18"/>
        <v>39233</v>
      </c>
      <c r="X105" s="36">
        <v>1.6364383268712361</v>
      </c>
      <c r="Y105" s="46">
        <f t="shared" si="19"/>
        <v>2277702.6366648697</v>
      </c>
    </row>
    <row r="106" spans="1:27" x14ac:dyDescent="0.25">
      <c r="A106" s="20">
        <v>39263</v>
      </c>
      <c r="B106" s="24">
        <f t="shared" si="20"/>
        <v>90</v>
      </c>
      <c r="C106" s="96" t="s">
        <v>77</v>
      </c>
      <c r="D106" s="27">
        <v>-0.54</v>
      </c>
      <c r="E106" s="46">
        <f t="shared" si="13"/>
        <v>2865287.1717547397</v>
      </c>
      <c r="F106" s="8"/>
      <c r="G106" s="5">
        <f>(E106/E103-1)*100</f>
        <v>4.5936716624000118</v>
      </c>
      <c r="H106" s="49"/>
      <c r="I106" s="39"/>
      <c r="J106" s="20">
        <f t="shared" si="14"/>
        <v>39263</v>
      </c>
      <c r="K106" s="27">
        <v>-1.6624031371889709</v>
      </c>
      <c r="L106" s="46">
        <f t="shared" si="15"/>
        <v>1156263.6038795302</v>
      </c>
      <c r="M106" s="8"/>
      <c r="N106" s="5">
        <f>(L106/L103-1)*100</f>
        <v>6.2761895497350784</v>
      </c>
      <c r="O106" s="39"/>
      <c r="P106" s="20">
        <f t="shared" si="16"/>
        <v>39263</v>
      </c>
      <c r="Q106" s="27">
        <v>-1.8693379359324964</v>
      </c>
      <c r="R106" s="46">
        <f t="shared" si="17"/>
        <v>1160000.1561929525</v>
      </c>
      <c r="S106" s="8"/>
      <c r="T106" s="5">
        <f>(R106/R103-1)*100</f>
        <v>4.3017170704646501</v>
      </c>
      <c r="U106" s="49"/>
      <c r="V106" s="39"/>
      <c r="W106" s="20">
        <f t="shared" si="18"/>
        <v>39263</v>
      </c>
      <c r="X106" s="36">
        <v>-2.9445880926410846</v>
      </c>
      <c r="Y106" s="46">
        <f t="shared" si="19"/>
        <v>2210633.6760398638</v>
      </c>
      <c r="AA106" s="106">
        <f>(Y106/Y103-1)*100</f>
        <v>1.5515788071106318</v>
      </c>
    </row>
    <row r="107" spans="1:27" x14ac:dyDescent="0.25">
      <c r="A107" s="20">
        <v>39294</v>
      </c>
      <c r="B107" s="24">
        <f t="shared" si="20"/>
        <v>91</v>
      </c>
      <c r="C107" s="96" t="s">
        <v>77</v>
      </c>
      <c r="D107" s="27">
        <v>-3.78</v>
      </c>
      <c r="E107" s="46">
        <f t="shared" si="13"/>
        <v>2756979.3166624107</v>
      </c>
      <c r="F107" s="8"/>
      <c r="H107" s="49"/>
      <c r="I107" s="39"/>
      <c r="J107" s="20">
        <f t="shared" si="14"/>
        <v>39294</v>
      </c>
      <c r="K107" s="27">
        <v>-3.1004915529729398</v>
      </c>
      <c r="L107" s="46">
        <f t="shared" si="15"/>
        <v>1120413.7485111449</v>
      </c>
      <c r="M107" s="8"/>
      <c r="O107" s="39"/>
      <c r="P107" s="20">
        <f t="shared" si="16"/>
        <v>39294</v>
      </c>
      <c r="Q107" s="27">
        <v>-2.9214642414123277</v>
      </c>
      <c r="R107" s="46">
        <f t="shared" si="17"/>
        <v>1126111.1664294482</v>
      </c>
      <c r="S107" s="8"/>
      <c r="U107" s="49"/>
      <c r="V107" s="39"/>
      <c r="W107" s="20">
        <f t="shared" si="18"/>
        <v>39294</v>
      </c>
      <c r="X107" s="36">
        <v>-4.7795758809192073</v>
      </c>
      <c r="Y107" s="46">
        <f t="shared" si="19"/>
        <v>2104974.7620443851</v>
      </c>
    </row>
    <row r="108" spans="1:27" x14ac:dyDescent="0.25">
      <c r="A108" s="20">
        <v>39325</v>
      </c>
      <c r="B108" s="24">
        <f t="shared" si="20"/>
        <v>92</v>
      </c>
      <c r="C108" s="96" t="s">
        <v>77</v>
      </c>
      <c r="D108" s="27">
        <v>1.21</v>
      </c>
      <c r="E108" s="46">
        <f t="shared" si="13"/>
        <v>2790338.7663940261</v>
      </c>
      <c r="F108" s="8"/>
      <c r="H108" s="49"/>
      <c r="I108" s="39"/>
      <c r="J108" s="20">
        <f t="shared" si="14"/>
        <v>39325</v>
      </c>
      <c r="K108" s="27">
        <v>1.4989965482864875</v>
      </c>
      <c r="L108" s="46">
        <f t="shared" si="15"/>
        <v>1137208.7119278542</v>
      </c>
      <c r="M108" s="8"/>
      <c r="O108" s="39"/>
      <c r="P108" s="20">
        <f t="shared" si="16"/>
        <v>39325</v>
      </c>
      <c r="Q108" s="27">
        <v>2.0543379228977532</v>
      </c>
      <c r="R108" s="46">
        <f t="shared" si="17"/>
        <v>1149245.2951753945</v>
      </c>
      <c r="S108" s="8"/>
      <c r="U108" s="49"/>
      <c r="V108" s="39"/>
      <c r="W108" s="20">
        <f t="shared" si="18"/>
        <v>39325</v>
      </c>
      <c r="X108" s="36">
        <v>2.6044771424891238</v>
      </c>
      <c r="Y108" s="46">
        <f t="shared" si="19"/>
        <v>2159798.348576996</v>
      </c>
    </row>
    <row r="109" spans="1:27" x14ac:dyDescent="0.25">
      <c r="A109" s="20">
        <v>39355</v>
      </c>
      <c r="B109" s="24">
        <f t="shared" si="20"/>
        <v>93</v>
      </c>
      <c r="C109" s="96" t="s">
        <v>77</v>
      </c>
      <c r="D109" s="27">
        <v>2.89</v>
      </c>
      <c r="E109" s="46">
        <f t="shared" si="13"/>
        <v>2870979.5567428134</v>
      </c>
      <c r="F109" s="8"/>
      <c r="G109" s="5">
        <f>(E109/E106-1)*100</f>
        <v>0.19866717180001547</v>
      </c>
      <c r="H109" s="49"/>
      <c r="I109" s="39"/>
      <c r="J109" s="20">
        <f t="shared" si="14"/>
        <v>39355</v>
      </c>
      <c r="K109" s="27">
        <v>3.7387813427693635</v>
      </c>
      <c r="L109" s="46">
        <f t="shared" si="15"/>
        <v>1179726.4590777606</v>
      </c>
      <c r="M109" s="8"/>
      <c r="N109" s="5">
        <f>(L109/L106-1)*100</f>
        <v>2.029196034494829</v>
      </c>
      <c r="O109" s="39"/>
      <c r="P109" s="20">
        <f t="shared" si="16"/>
        <v>39355</v>
      </c>
      <c r="Q109" s="27">
        <v>3.0590601712285355</v>
      </c>
      <c r="R109" s="46">
        <f t="shared" si="17"/>
        <v>1184401.4002698229</v>
      </c>
      <c r="S109" s="8"/>
      <c r="T109" s="5">
        <f>(R109/R106-1)*100</f>
        <v>2.1035552406263314</v>
      </c>
      <c r="U109" s="49"/>
      <c r="V109" s="39"/>
      <c r="W109" s="20">
        <f t="shared" si="18"/>
        <v>39355</v>
      </c>
      <c r="X109" s="36">
        <v>2.3236361884658918</v>
      </c>
      <c r="Y109" s="46">
        <f t="shared" si="19"/>
        <v>2209984.2046024199</v>
      </c>
      <c r="AA109" s="106">
        <f>(Y109/Y106-1)*100</f>
        <v>-2.9379423849518194E-2</v>
      </c>
    </row>
    <row r="110" spans="1:27" x14ac:dyDescent="0.25">
      <c r="A110" s="20">
        <v>39386</v>
      </c>
      <c r="B110" s="24">
        <f t="shared" si="20"/>
        <v>94</v>
      </c>
      <c r="C110" s="96" t="s">
        <v>77</v>
      </c>
      <c r="D110" s="27">
        <v>0.86</v>
      </c>
      <c r="E110" s="46">
        <f t="shared" si="13"/>
        <v>2895669.9809308015</v>
      </c>
      <c r="F110" s="8"/>
      <c r="H110" s="49"/>
      <c r="I110" s="39"/>
      <c r="J110" s="20">
        <f t="shared" si="14"/>
        <v>39386</v>
      </c>
      <c r="K110" s="27">
        <v>1.5906474139034625</v>
      </c>
      <c r="L110" s="46">
        <f t="shared" si="15"/>
        <v>1198491.7474902158</v>
      </c>
      <c r="M110" s="8"/>
      <c r="O110" s="39"/>
      <c r="P110" s="20">
        <f t="shared" si="16"/>
        <v>39386</v>
      </c>
      <c r="Q110" s="27">
        <v>0.55527623694644057</v>
      </c>
      <c r="R110" s="46">
        <f t="shared" si="17"/>
        <v>1190978.0997955822</v>
      </c>
      <c r="S110" s="8"/>
      <c r="U110" s="49"/>
      <c r="V110" s="39"/>
      <c r="W110" s="20">
        <f t="shared" si="18"/>
        <v>39386</v>
      </c>
      <c r="X110" s="36">
        <v>0.17975219875457926</v>
      </c>
      <c r="Y110" s="46">
        <f t="shared" si="19"/>
        <v>2213956.6998023214</v>
      </c>
    </row>
    <row r="111" spans="1:27" x14ac:dyDescent="0.25">
      <c r="A111" s="20">
        <v>39416</v>
      </c>
      <c r="B111" s="24">
        <f t="shared" si="20"/>
        <v>95</v>
      </c>
      <c r="C111" s="96" t="s">
        <v>77</v>
      </c>
      <c r="D111" s="27">
        <v>-2.89</v>
      </c>
      <c r="E111" s="46">
        <f t="shared" si="13"/>
        <v>2811985.1184819015</v>
      </c>
      <c r="F111" s="8"/>
      <c r="H111" s="49"/>
      <c r="I111" s="39"/>
      <c r="J111" s="20">
        <f t="shared" si="14"/>
        <v>39416</v>
      </c>
      <c r="K111" s="27">
        <v>-4.1027120469037097</v>
      </c>
      <c r="L111" s="46">
        <f t="shared" si="15"/>
        <v>1149321.0821847878</v>
      </c>
      <c r="M111" s="8"/>
      <c r="O111" s="39"/>
      <c r="P111" s="20">
        <f t="shared" si="16"/>
        <v>39416</v>
      </c>
      <c r="Q111" s="27">
        <v>-3.1718670466644956</v>
      </c>
      <c r="R111" s="46">
        <f t="shared" si="17"/>
        <v>1153201.8579151751</v>
      </c>
      <c r="S111" s="8"/>
      <c r="U111" s="49"/>
      <c r="V111" s="39"/>
      <c r="W111" s="20">
        <f t="shared" si="18"/>
        <v>39416</v>
      </c>
      <c r="X111" s="36">
        <v>-1.764961372779374</v>
      </c>
      <c r="Y111" s="46">
        <f t="shared" si="19"/>
        <v>2174881.2192407493</v>
      </c>
    </row>
    <row r="112" spans="1:27" x14ac:dyDescent="0.25">
      <c r="A112" s="20">
        <v>39447</v>
      </c>
      <c r="B112" s="24">
        <f t="shared" si="20"/>
        <v>96</v>
      </c>
      <c r="C112" s="96" t="s">
        <v>77</v>
      </c>
      <c r="D112" s="27">
        <v>4.5999999999999996</v>
      </c>
      <c r="E112" s="46">
        <f t="shared" si="13"/>
        <v>2941336.4339320688</v>
      </c>
      <c r="F112" s="11">
        <f>(E112-E100)/E100*100</f>
        <v>10.000492785115954</v>
      </c>
      <c r="G112" s="5">
        <f>(E112/E109-1)*100</f>
        <v>2.4506227159999838</v>
      </c>
      <c r="H112" s="49"/>
      <c r="I112" s="39"/>
      <c r="J112" s="20">
        <f t="shared" si="14"/>
        <v>39447</v>
      </c>
      <c r="K112" s="27">
        <v>-0.69811209020277187</v>
      </c>
      <c r="L112" s="46">
        <f t="shared" si="15"/>
        <v>1141297.5327548066</v>
      </c>
      <c r="M112" s="11">
        <f>(L112-L100)/L100*100</f>
        <v>5.5709176147118411</v>
      </c>
      <c r="N112" s="5">
        <f>(L112/L109-1)*100</f>
        <v>-3.2574437936227607</v>
      </c>
      <c r="O112" s="39"/>
      <c r="P112" s="20">
        <f t="shared" si="16"/>
        <v>39447</v>
      </c>
      <c r="Q112" s="27">
        <v>-1.2293132200692396</v>
      </c>
      <c r="R112" s="46">
        <f t="shared" si="17"/>
        <v>1139025.3950217399</v>
      </c>
      <c r="S112" s="11">
        <f>(R112-R100)/R100*100</f>
        <v>1.2571357161577474</v>
      </c>
      <c r="T112" s="5">
        <f>(R112/R109-1)*100</f>
        <v>-3.8311340427110041</v>
      </c>
      <c r="U112" s="49"/>
      <c r="V112" s="39"/>
      <c r="W112" s="20">
        <f t="shared" si="18"/>
        <v>39447</v>
      </c>
      <c r="X112" s="36">
        <v>-0.99575113324858555</v>
      </c>
      <c r="Y112" s="46">
        <f t="shared" si="19"/>
        <v>2153224.8148533488</v>
      </c>
      <c r="AA112" s="106">
        <f>(Y112/Y109-1)*100</f>
        <v>-2.5683165350623982</v>
      </c>
    </row>
    <row r="113" spans="1:27" x14ac:dyDescent="0.25">
      <c r="A113" s="20">
        <v>39478</v>
      </c>
      <c r="B113" s="24">
        <f t="shared" si="20"/>
        <v>97</v>
      </c>
      <c r="C113" s="96" t="s">
        <v>77</v>
      </c>
      <c r="D113" s="27">
        <v>-7.4</v>
      </c>
      <c r="E113" s="46">
        <f t="shared" si="13"/>
        <v>2723677.5378210954</v>
      </c>
      <c r="F113" s="10"/>
      <c r="H113" s="49"/>
      <c r="I113" s="39"/>
      <c r="J113" s="20">
        <f t="shared" si="14"/>
        <v>39478</v>
      </c>
      <c r="K113" s="27">
        <v>-5.9981761055273015</v>
      </c>
      <c r="L113" s="46">
        <f t="shared" ref="L113:L144" si="21">L112*K113/100+L112</f>
        <v>1072840.4968521351</v>
      </c>
      <c r="M113" s="10"/>
      <c r="O113" s="39"/>
      <c r="P113" s="20">
        <f t="shared" si="16"/>
        <v>39478</v>
      </c>
      <c r="Q113" s="27">
        <v>-4.3344635015101343</v>
      </c>
      <c r="R113" s="46">
        <f t="shared" ref="R113:R144" si="22">R112*Q113/100+R112</f>
        <v>1089654.7550015911</v>
      </c>
      <c r="S113" s="10"/>
      <c r="U113" s="49"/>
      <c r="V113" s="39"/>
      <c r="W113" s="20">
        <f t="shared" si="18"/>
        <v>39478</v>
      </c>
      <c r="X113" s="36">
        <v>-5.0901807128361503</v>
      </c>
      <c r="Y113" s="46">
        <f t="shared" si="19"/>
        <v>2043621.7806236816</v>
      </c>
    </row>
    <row r="114" spans="1:27" x14ac:dyDescent="0.25">
      <c r="A114" s="20">
        <v>39507</v>
      </c>
      <c r="B114" s="24">
        <f t="shared" si="20"/>
        <v>98</v>
      </c>
      <c r="C114" s="96" t="s">
        <v>77</v>
      </c>
      <c r="D114" s="27">
        <v>0.32</v>
      </c>
      <c r="E114" s="46">
        <f t="shared" si="13"/>
        <v>2732393.3059421228</v>
      </c>
      <c r="F114" s="8"/>
      <c r="H114" s="49"/>
      <c r="I114" s="39"/>
      <c r="J114" s="20">
        <f t="shared" si="14"/>
        <v>39507</v>
      </c>
      <c r="K114" s="27">
        <v>-3.2485532785005358</v>
      </c>
      <c r="L114" s="46">
        <f t="shared" si="21"/>
        <v>1037988.7017185636</v>
      </c>
      <c r="M114" s="8"/>
      <c r="O114" s="39"/>
      <c r="P114" s="20">
        <f t="shared" si="16"/>
        <v>39507</v>
      </c>
      <c r="Q114" s="27">
        <v>-3.7592253815128656</v>
      </c>
      <c r="R114" s="46">
        <f t="shared" si="22"/>
        <v>1048692.1768807094</v>
      </c>
      <c r="S114" s="8"/>
      <c r="U114" s="49"/>
      <c r="V114" s="39"/>
      <c r="W114" s="20">
        <f t="shared" si="18"/>
        <v>39507</v>
      </c>
      <c r="X114" s="36">
        <v>-2.5484497020971926</v>
      </c>
      <c r="Y114" s="46">
        <f t="shared" si="19"/>
        <v>1991541.1074433841</v>
      </c>
    </row>
    <row r="115" spans="1:27" x14ac:dyDescent="0.25">
      <c r="A115" s="20">
        <v>39538</v>
      </c>
      <c r="B115" s="24">
        <f t="shared" si="20"/>
        <v>99</v>
      </c>
      <c r="C115" s="96" t="s">
        <v>77</v>
      </c>
      <c r="D115" s="27">
        <v>-2.29</v>
      </c>
      <c r="E115" s="46">
        <f t="shared" si="13"/>
        <v>2669821.4992360482</v>
      </c>
      <c r="F115" s="8"/>
      <c r="G115" s="5">
        <f>(E115/E112-1)*100</f>
        <v>-9.2310057280000084</v>
      </c>
      <c r="H115" s="49"/>
      <c r="I115" s="39"/>
      <c r="J115" s="20">
        <f t="shared" si="14"/>
        <v>39538</v>
      </c>
      <c r="K115" s="27">
        <v>-0.43232258509129834</v>
      </c>
      <c r="L115" s="46">
        <f t="shared" si="21"/>
        <v>1033501.2421303382</v>
      </c>
      <c r="M115" s="8"/>
      <c r="N115" s="5">
        <f>(L115/L112-1)*100</f>
        <v>-9.4450647207021561</v>
      </c>
      <c r="O115" s="39"/>
      <c r="P115" s="20">
        <f t="shared" si="16"/>
        <v>39538</v>
      </c>
      <c r="Q115" s="27">
        <v>-0.14326234136651117</v>
      </c>
      <c r="R115" s="46">
        <f t="shared" si="22"/>
        <v>1047189.7959143827</v>
      </c>
      <c r="S115" s="8"/>
      <c r="T115" s="5">
        <f>(R115/R112-1)*100</f>
        <v>-8.0626471989770128</v>
      </c>
      <c r="U115" s="49"/>
      <c r="V115" s="39"/>
      <c r="W115" s="20">
        <f t="shared" si="18"/>
        <v>39538</v>
      </c>
      <c r="X115" s="36">
        <v>-5.1133566257538454E-2</v>
      </c>
      <c r="Y115" s="46">
        <f t="shared" si="19"/>
        <v>1990522.7614516634</v>
      </c>
      <c r="AA115" s="106">
        <f>(Y115/Y112-1)*100</f>
        <v>-7.5562037126516435</v>
      </c>
    </row>
    <row r="116" spans="1:27" x14ac:dyDescent="0.25">
      <c r="A116" s="20">
        <v>39568</v>
      </c>
      <c r="B116" s="24">
        <f t="shared" si="20"/>
        <v>100</v>
      </c>
      <c r="C116" s="96" t="s">
        <v>77</v>
      </c>
      <c r="D116" s="27">
        <v>2.06</v>
      </c>
      <c r="E116" s="46">
        <f t="shared" si="13"/>
        <v>2724819.8221203107</v>
      </c>
      <c r="F116" s="8"/>
      <c r="H116" s="49"/>
      <c r="I116" s="39"/>
      <c r="J116" s="20">
        <f t="shared" si="14"/>
        <v>39568</v>
      </c>
      <c r="K116" s="27">
        <v>4.8703904063539696</v>
      </c>
      <c r="L116" s="46">
        <f t="shared" si="21"/>
        <v>1083836.7874766034</v>
      </c>
      <c r="M116" s="8"/>
      <c r="O116" s="39"/>
      <c r="P116" s="20">
        <f t="shared" si="16"/>
        <v>39568</v>
      </c>
      <c r="Q116" s="27">
        <v>2.8409249809362178</v>
      </c>
      <c r="R116" s="46">
        <f t="shared" si="22"/>
        <v>1076939.6724243294</v>
      </c>
      <c r="S116" s="8"/>
      <c r="U116" s="49"/>
      <c r="V116" s="39"/>
      <c r="W116" s="20">
        <f t="shared" si="18"/>
        <v>39568</v>
      </c>
      <c r="X116" s="36">
        <v>1.9462870393248688</v>
      </c>
      <c r="Y116" s="46">
        <f t="shared" si="19"/>
        <v>2029264.0479726086</v>
      </c>
    </row>
    <row r="117" spans="1:27" x14ac:dyDescent="0.25">
      <c r="A117" s="20">
        <v>39599</v>
      </c>
      <c r="B117" s="24">
        <f t="shared" si="20"/>
        <v>101</v>
      </c>
      <c r="C117" s="96" t="s">
        <v>77</v>
      </c>
      <c r="D117" s="27">
        <v>2.5299999999999998</v>
      </c>
      <c r="E117" s="46">
        <f t="shared" si="13"/>
        <v>2793757.7636199547</v>
      </c>
      <c r="F117" s="8"/>
      <c r="H117" s="49"/>
      <c r="I117" s="39"/>
      <c r="J117" s="20">
        <f t="shared" si="14"/>
        <v>39599</v>
      </c>
      <c r="K117" s="27">
        <v>1.295242884572684</v>
      </c>
      <c r="L117" s="46">
        <f t="shared" si="21"/>
        <v>1097875.1063467753</v>
      </c>
      <c r="M117" s="8"/>
      <c r="O117" s="39"/>
      <c r="P117" s="20">
        <f t="shared" si="16"/>
        <v>39599</v>
      </c>
      <c r="Q117" s="27">
        <v>-8.6385922992340797E-2</v>
      </c>
      <c r="R117" s="46">
        <f t="shared" si="22"/>
        <v>1076009.3481482349</v>
      </c>
      <c r="S117" s="8"/>
      <c r="U117" s="49"/>
      <c r="V117" s="39"/>
      <c r="W117" s="20">
        <f t="shared" si="18"/>
        <v>39599</v>
      </c>
      <c r="X117" s="36">
        <v>2.1267968007159288</v>
      </c>
      <c r="Y117" s="46">
        <f t="shared" si="19"/>
        <v>2072422.3708229687</v>
      </c>
    </row>
    <row r="118" spans="1:27" x14ac:dyDescent="0.25">
      <c r="A118" s="20">
        <v>39629</v>
      </c>
      <c r="B118" s="24">
        <f t="shared" si="20"/>
        <v>102</v>
      </c>
      <c r="C118" s="96" t="s">
        <v>77</v>
      </c>
      <c r="D118" s="27">
        <v>-3.28</v>
      </c>
      <c r="E118" s="46">
        <f t="shared" si="13"/>
        <v>2702122.5089732204</v>
      </c>
      <c r="F118" s="8"/>
      <c r="G118" s="5">
        <f>(E118/E115-1)*100</f>
        <v>1.2098565296000174</v>
      </c>
      <c r="H118" s="49"/>
      <c r="I118" s="39"/>
      <c r="J118" s="20">
        <f t="shared" si="14"/>
        <v>39629</v>
      </c>
      <c r="K118" s="27">
        <v>-8.4309071059661456</v>
      </c>
      <c r="L118" s="46">
        <f t="shared" si="21"/>
        <v>1005314.2759911517</v>
      </c>
      <c r="M118" s="8"/>
      <c r="N118" s="5">
        <f>(L118/L115-1)*100</f>
        <v>-2.7273277467074197</v>
      </c>
      <c r="O118" s="39"/>
      <c r="P118" s="20">
        <f t="shared" si="16"/>
        <v>39629</v>
      </c>
      <c r="Q118" s="27">
        <v>-8.2154819838945627</v>
      </c>
      <c r="R118" s="46">
        <f t="shared" si="22"/>
        <v>987609.99400609534</v>
      </c>
      <c r="S118" s="8"/>
      <c r="T118" s="5">
        <f>(R118/R115-1)*100</f>
        <v>-5.689494124249328</v>
      </c>
      <c r="U118" s="49"/>
      <c r="V118" s="39"/>
      <c r="W118" s="20">
        <f t="shared" si="18"/>
        <v>39629</v>
      </c>
      <c r="X118" s="36">
        <v>-6.4679545983542566</v>
      </c>
      <c r="Y118" s="46">
        <f t="shared" si="19"/>
        <v>1938379.0327920022</v>
      </c>
      <c r="AA118" s="106">
        <f>(Y118/Y115-1)*100</f>
        <v>-2.6195997187007047</v>
      </c>
    </row>
    <row r="119" spans="1:27" x14ac:dyDescent="0.25">
      <c r="A119" s="20">
        <v>39660</v>
      </c>
      <c r="B119" s="24">
        <f t="shared" si="20"/>
        <v>103</v>
      </c>
      <c r="C119" s="96" t="s">
        <v>77</v>
      </c>
      <c r="D119" s="27">
        <v>1.41</v>
      </c>
      <c r="E119" s="46">
        <f t="shared" si="13"/>
        <v>2740222.4363497426</v>
      </c>
      <c r="F119" s="8"/>
      <c r="H119" s="49"/>
      <c r="I119" s="39"/>
      <c r="J119" s="20">
        <f t="shared" si="14"/>
        <v>39660</v>
      </c>
      <c r="K119" s="27">
        <v>-0.84061695613849063</v>
      </c>
      <c r="L119" s="46">
        <f t="shared" si="21"/>
        <v>996863.43372468918</v>
      </c>
      <c r="M119" s="8"/>
      <c r="O119" s="39"/>
      <c r="P119" s="20">
        <f t="shared" si="16"/>
        <v>39660</v>
      </c>
      <c r="Q119" s="27">
        <v>-0.47623660399216194</v>
      </c>
      <c r="R119" s="46">
        <f t="shared" si="22"/>
        <v>982906.63370995352</v>
      </c>
      <c r="S119" s="8"/>
      <c r="U119" s="49"/>
      <c r="V119" s="39"/>
      <c r="W119" s="20">
        <f t="shared" si="18"/>
        <v>39660</v>
      </c>
      <c r="X119" s="36">
        <v>2.8964716330225078</v>
      </c>
      <c r="Y119" s="46">
        <f t="shared" si="19"/>
        <v>1994523.6316172786</v>
      </c>
    </row>
    <row r="120" spans="1:27" x14ac:dyDescent="0.25">
      <c r="A120" s="20">
        <v>39691</v>
      </c>
      <c r="B120" s="24">
        <f t="shared" si="20"/>
        <v>104</v>
      </c>
      <c r="C120" s="96" t="s">
        <v>77</v>
      </c>
      <c r="D120" s="27">
        <v>2.15</v>
      </c>
      <c r="E120" s="46">
        <f t="shared" si="13"/>
        <v>2799137.2187312623</v>
      </c>
      <c r="F120" s="8"/>
      <c r="H120" s="49"/>
      <c r="I120" s="39"/>
      <c r="J120" s="20">
        <f t="shared" si="14"/>
        <v>39691</v>
      </c>
      <c r="K120" s="27">
        <v>1.4464630801146197</v>
      </c>
      <c r="L120" s="46">
        <f t="shared" si="21"/>
        <v>1011282.6952526796</v>
      </c>
      <c r="M120" s="8"/>
      <c r="O120" s="39"/>
      <c r="P120" s="20">
        <f t="shared" si="16"/>
        <v>39691</v>
      </c>
      <c r="Q120" s="27">
        <v>2.1155786680226853</v>
      </c>
      <c r="R120" s="46">
        <f t="shared" si="22"/>
        <v>1003700.7967793011</v>
      </c>
      <c r="S120" s="8"/>
      <c r="U120" s="49"/>
      <c r="V120" s="39"/>
      <c r="W120" s="20">
        <f t="shared" si="18"/>
        <v>39691</v>
      </c>
      <c r="X120" s="36">
        <v>3.2619640387275188</v>
      </c>
      <c r="Y120" s="46">
        <f t="shared" si="19"/>
        <v>2059584.2752245562</v>
      </c>
    </row>
    <row r="121" spans="1:27" x14ac:dyDescent="0.25">
      <c r="A121" s="20">
        <v>39721</v>
      </c>
      <c r="B121" s="24">
        <f t="shared" si="20"/>
        <v>105</v>
      </c>
      <c r="C121" s="96" t="s">
        <v>77</v>
      </c>
      <c r="D121" s="27">
        <v>-3.48</v>
      </c>
      <c r="E121" s="46">
        <f t="shared" si="13"/>
        <v>2701727.2435194142</v>
      </c>
      <c r="F121" s="8"/>
      <c r="G121" s="5">
        <f>(E121/E118-1)*100</f>
        <v>-1.462796200000227E-2</v>
      </c>
      <c r="H121" s="49"/>
      <c r="I121" s="39"/>
      <c r="J121" s="20">
        <f t="shared" si="14"/>
        <v>39721</v>
      </c>
      <c r="K121" s="27">
        <v>-8.9113127631068245</v>
      </c>
      <c r="L121" s="46">
        <f t="shared" si="21"/>
        <v>921164.1313595369</v>
      </c>
      <c r="M121" s="8"/>
      <c r="N121" s="5">
        <f>(L121/L118-1)*100</f>
        <v>-8.370531150435534</v>
      </c>
      <c r="O121" s="39"/>
      <c r="P121" s="20">
        <f t="shared" si="16"/>
        <v>39721</v>
      </c>
      <c r="Q121" s="27">
        <v>-6.1349394309279077</v>
      </c>
      <c r="R121" s="46">
        <f t="shared" si="22"/>
        <v>942124.36082915019</v>
      </c>
      <c r="S121" s="8"/>
      <c r="T121" s="5">
        <f>(R121/R118-1)*100</f>
        <v>-4.6056270646309798</v>
      </c>
      <c r="U121" s="49"/>
      <c r="V121" s="39"/>
      <c r="W121" s="20">
        <f t="shared" si="18"/>
        <v>39721</v>
      </c>
      <c r="X121" s="36">
        <v>-4.1583685540695017</v>
      </c>
      <c r="Y121" s="46">
        <f t="shared" si="19"/>
        <v>1973939.170379058</v>
      </c>
      <c r="AA121" s="106">
        <f>(Y121/Y118-1)*100</f>
        <v>1.83452962426216</v>
      </c>
    </row>
    <row r="122" spans="1:27" x14ac:dyDescent="0.25">
      <c r="A122" s="20">
        <v>39752</v>
      </c>
      <c r="B122" s="24">
        <f t="shared" si="20"/>
        <v>106</v>
      </c>
      <c r="C122" s="96" t="s">
        <v>77</v>
      </c>
      <c r="D122" s="27">
        <v>-16.39</v>
      </c>
      <c r="E122" s="46">
        <f t="shared" si="13"/>
        <v>2258914.1483065821</v>
      </c>
      <c r="F122" s="8"/>
      <c r="H122" s="49"/>
      <c r="I122" s="39"/>
      <c r="J122" s="20">
        <f t="shared" si="14"/>
        <v>39752</v>
      </c>
      <c r="K122" s="27">
        <v>-16.794825909229676</v>
      </c>
      <c r="L122" s="46">
        <f t="shared" si="21"/>
        <v>766456.2191594349</v>
      </c>
      <c r="M122" s="8"/>
      <c r="O122" s="39"/>
      <c r="P122" s="20">
        <f t="shared" si="16"/>
        <v>39752</v>
      </c>
      <c r="Q122" s="27">
        <v>-13.940235690497357</v>
      </c>
      <c r="R122" s="46">
        <f t="shared" si="22"/>
        <v>810790.00443197484</v>
      </c>
      <c r="S122" s="8"/>
      <c r="U122" s="49"/>
      <c r="V122" s="39"/>
      <c r="W122" s="20">
        <f t="shared" si="18"/>
        <v>39752</v>
      </c>
      <c r="X122" s="36">
        <v>-12.83349518284736</v>
      </c>
      <c r="Y122" s="46">
        <f t="shared" si="19"/>
        <v>1720613.7820361245</v>
      </c>
    </row>
    <row r="123" spans="1:27" x14ac:dyDescent="0.25">
      <c r="A123" s="20">
        <v>39782</v>
      </c>
      <c r="B123" s="24">
        <f t="shared" si="20"/>
        <v>107</v>
      </c>
      <c r="C123" s="96" t="s">
        <v>77</v>
      </c>
      <c r="D123" s="27">
        <v>-5.73</v>
      </c>
      <c r="E123" s="46">
        <f t="shared" si="13"/>
        <v>2129478.3676086147</v>
      </c>
      <c r="F123" s="8"/>
      <c r="H123" s="49"/>
      <c r="I123" s="39"/>
      <c r="J123" s="20">
        <f t="shared" si="14"/>
        <v>39782</v>
      </c>
      <c r="K123" s="27">
        <v>-7.1754609961071578</v>
      </c>
      <c r="L123" s="46">
        <f t="shared" si="21"/>
        <v>711459.452101412</v>
      </c>
      <c r="M123" s="8"/>
      <c r="O123" s="39"/>
      <c r="P123" s="20">
        <f t="shared" si="16"/>
        <v>39782</v>
      </c>
      <c r="Q123" s="27">
        <v>-4.1467231078311508</v>
      </c>
      <c r="R123" s="46">
        <f t="shared" si="22"/>
        <v>777168.78796220897</v>
      </c>
      <c r="S123" s="8"/>
      <c r="U123" s="49"/>
      <c r="V123" s="39"/>
      <c r="W123" s="20">
        <f t="shared" si="18"/>
        <v>39782</v>
      </c>
      <c r="X123" s="36">
        <v>-3.3612706277279099</v>
      </c>
      <c r="Y123" s="46">
        <f t="shared" si="19"/>
        <v>1662779.296363906</v>
      </c>
    </row>
    <row r="124" spans="1:27" x14ac:dyDescent="0.25">
      <c r="A124" s="20">
        <v>39813</v>
      </c>
      <c r="B124" s="24">
        <f t="shared" si="20"/>
        <v>108</v>
      </c>
      <c r="C124" s="96" t="s">
        <v>77</v>
      </c>
      <c r="D124" s="27">
        <v>2.92</v>
      </c>
      <c r="E124" s="46">
        <f t="shared" si="13"/>
        <v>2191659.1359427865</v>
      </c>
      <c r="F124" s="11">
        <f>(E124-E112)/E112*100</f>
        <v>-25.48764192157001</v>
      </c>
      <c r="G124" s="5">
        <f>(E124/E121-1)*100</f>
        <v>-18.879333907600003</v>
      </c>
      <c r="H124" s="49"/>
      <c r="I124" s="39"/>
      <c r="J124" s="20">
        <f t="shared" si="14"/>
        <v>39813</v>
      </c>
      <c r="K124" s="27">
        <v>1.0634243294680077</v>
      </c>
      <c r="L124" s="46">
        <f t="shared" si="21"/>
        <v>719025.28500935819</v>
      </c>
      <c r="M124" s="11">
        <f>(L124-L112)/L112*100</f>
        <v>-36.999313117429502</v>
      </c>
      <c r="N124" s="5">
        <f>(L124/L121-1)*100</f>
        <v>-21.943846863842165</v>
      </c>
      <c r="O124" s="39"/>
      <c r="P124" s="20">
        <f t="shared" si="16"/>
        <v>39813</v>
      </c>
      <c r="Q124" s="27">
        <v>1.0061404715294266</v>
      </c>
      <c r="R124" s="46">
        <f t="shared" si="22"/>
        <v>784988.19766999152</v>
      </c>
      <c r="S124" s="11">
        <f>(R124-R112)/R112*100</f>
        <v>-31.082467423387961</v>
      </c>
      <c r="T124" s="5">
        <f>(R124/R121-1)*100</f>
        <v>-16.678919439134908</v>
      </c>
      <c r="U124" s="49"/>
      <c r="V124" s="39"/>
      <c r="W124" s="20">
        <f t="shared" si="18"/>
        <v>39813</v>
      </c>
      <c r="X124" s="36">
        <v>1.7728412103101618</v>
      </c>
      <c r="Y124" s="46">
        <f t="shared" si="19"/>
        <v>1692257.7329663506</v>
      </c>
      <c r="AA124" s="106">
        <f>(Y124/Y121-1)*100</f>
        <v>-14.270016099767435</v>
      </c>
    </row>
    <row r="125" spans="1:27" x14ac:dyDescent="0.25">
      <c r="A125" s="20">
        <v>39844</v>
      </c>
      <c r="B125" s="24">
        <f t="shared" si="20"/>
        <v>109</v>
      </c>
      <c r="C125" s="96" t="s">
        <v>77</v>
      </c>
      <c r="D125" s="27">
        <v>-3.18</v>
      </c>
      <c r="E125" s="46">
        <f t="shared" si="13"/>
        <v>2121964.3754198058</v>
      </c>
      <c r="F125" s="10"/>
      <c r="H125" s="49"/>
      <c r="I125" s="39"/>
      <c r="J125" s="20">
        <f t="shared" si="14"/>
        <v>39844</v>
      </c>
      <c r="K125" s="27">
        <v>-8.4286395692502936</v>
      </c>
      <c r="L125" s="46">
        <f t="shared" si="21"/>
        <v>658421.23532414471</v>
      </c>
      <c r="M125" s="10"/>
      <c r="O125" s="39"/>
      <c r="P125" s="20">
        <f t="shared" si="16"/>
        <v>39844</v>
      </c>
      <c r="Q125" s="27">
        <v>-7.4157450086833814</v>
      </c>
      <c r="R125" s="46">
        <f t="shared" si="22"/>
        <v>726775.47458252544</v>
      </c>
      <c r="S125" s="10"/>
      <c r="U125" s="49"/>
      <c r="V125" s="39"/>
      <c r="W125" s="20">
        <f t="shared" si="18"/>
        <v>39844</v>
      </c>
      <c r="X125" s="36">
        <v>-2.9607714549736204</v>
      </c>
      <c r="Y125" s="46">
        <f t="shared" si="19"/>
        <v>1642153.8490640991</v>
      </c>
    </row>
    <row r="126" spans="1:27" x14ac:dyDescent="0.25">
      <c r="A126" s="20">
        <v>39872</v>
      </c>
      <c r="B126" s="24">
        <f t="shared" si="20"/>
        <v>110</v>
      </c>
      <c r="C126" s="96" t="s">
        <v>77</v>
      </c>
      <c r="D126" s="27">
        <v>-8.5</v>
      </c>
      <c r="E126" s="46">
        <f t="shared" si="13"/>
        <v>1941597.4035091223</v>
      </c>
      <c r="F126" s="8"/>
      <c r="H126" s="49"/>
      <c r="I126" s="39"/>
      <c r="J126" s="20">
        <f t="shared" si="14"/>
        <v>39872</v>
      </c>
      <c r="K126" s="27">
        <v>-10.647783189616048</v>
      </c>
      <c r="L126" s="46">
        <f t="shared" si="21"/>
        <v>588313.96971243806</v>
      </c>
      <c r="M126" s="8"/>
      <c r="O126" s="39"/>
      <c r="P126" s="20">
        <f t="shared" si="16"/>
        <v>39872</v>
      </c>
      <c r="Q126" s="27">
        <v>-10.677673397584034</v>
      </c>
      <c r="R126" s="46">
        <f t="shared" si="22"/>
        <v>649172.76307286206</v>
      </c>
      <c r="S126" s="8"/>
      <c r="U126" s="49"/>
      <c r="V126" s="39"/>
      <c r="W126" s="20">
        <f t="shared" si="18"/>
        <v>39872</v>
      </c>
      <c r="X126" s="36">
        <v>-10.340206581423029</v>
      </c>
      <c r="Y126" s="46">
        <f t="shared" si="19"/>
        <v>1472351.7486860815</v>
      </c>
    </row>
    <row r="127" spans="1:27" x14ac:dyDescent="0.25">
      <c r="A127" s="20">
        <v>39903</v>
      </c>
      <c r="B127" s="24">
        <f t="shared" si="20"/>
        <v>111</v>
      </c>
      <c r="C127" s="96" t="s">
        <v>77</v>
      </c>
      <c r="D127" s="27">
        <v>5.69</v>
      </c>
      <c r="E127" s="46">
        <f t="shared" si="13"/>
        <v>2052074.2957687913</v>
      </c>
      <c r="F127" s="8"/>
      <c r="G127" s="5">
        <f>(E127/E124-1)*100</f>
        <v>-6.3689119299999986</v>
      </c>
      <c r="H127" s="49"/>
      <c r="I127" s="39"/>
      <c r="J127" s="20">
        <f t="shared" si="14"/>
        <v>39903</v>
      </c>
      <c r="K127" s="27">
        <v>8.7591422432926702</v>
      </c>
      <c r="L127" s="46">
        <f t="shared" si="21"/>
        <v>639845.22715671232</v>
      </c>
      <c r="M127" s="8"/>
      <c r="N127" s="5">
        <f>(L127/L124-1)*100</f>
        <v>-11.012138168634134</v>
      </c>
      <c r="O127" s="39"/>
      <c r="P127" s="20">
        <f t="shared" si="16"/>
        <v>39903</v>
      </c>
      <c r="Q127" s="27">
        <v>6.8517285149362506</v>
      </c>
      <c r="R127" s="46">
        <f t="shared" si="22"/>
        <v>693652.31839152484</v>
      </c>
      <c r="S127" s="8"/>
      <c r="T127" s="5">
        <f>(R127/R124-1)*100</f>
        <v>-11.635318791998483</v>
      </c>
      <c r="U127" s="49"/>
      <c r="V127" s="39"/>
      <c r="W127" s="20">
        <f t="shared" si="18"/>
        <v>39903</v>
      </c>
      <c r="X127" s="36">
        <v>4.570001841533851</v>
      </c>
      <c r="Y127" s="46">
        <f t="shared" si="19"/>
        <v>1539638.2507148914</v>
      </c>
      <c r="AA127" s="106">
        <f>(Y127/Y124-1)*100</f>
        <v>-9.018690195844659</v>
      </c>
    </row>
    <row r="128" spans="1:27" x14ac:dyDescent="0.25">
      <c r="A128" s="20">
        <v>39933</v>
      </c>
      <c r="B128" s="24">
        <f t="shared" si="20"/>
        <v>112</v>
      </c>
      <c r="C128" s="96" t="s">
        <v>77</v>
      </c>
      <c r="D128" s="27">
        <v>2.94</v>
      </c>
      <c r="E128" s="46">
        <f t="shared" si="13"/>
        <v>2112405.2800643938</v>
      </c>
      <c r="F128" s="8"/>
      <c r="H128" s="49"/>
      <c r="I128" s="39"/>
      <c r="J128" s="20">
        <f t="shared" si="14"/>
        <v>39933</v>
      </c>
      <c r="K128" s="27">
        <v>9.5690679833029275</v>
      </c>
      <c r="L128" s="46">
        <f t="shared" si="21"/>
        <v>701072.45193125715</v>
      </c>
      <c r="M128" s="8"/>
      <c r="O128" s="39"/>
      <c r="P128" s="20">
        <f t="shared" si="16"/>
        <v>39933</v>
      </c>
      <c r="Q128" s="27">
        <v>5.894552939557208</v>
      </c>
      <c r="R128" s="46">
        <f t="shared" si="22"/>
        <v>734540.0215155792</v>
      </c>
      <c r="S128" s="8"/>
      <c r="U128" s="49"/>
      <c r="V128" s="39"/>
      <c r="W128" s="20">
        <f t="shared" si="18"/>
        <v>39933</v>
      </c>
      <c r="X128" s="36">
        <v>4.2017512245466415</v>
      </c>
      <c r="Y128" s="46">
        <f t="shared" si="19"/>
        <v>1604330.0197678928</v>
      </c>
    </row>
    <row r="129" spans="1:27" x14ac:dyDescent="0.25">
      <c r="A129" s="20">
        <v>39964</v>
      </c>
      <c r="B129" s="24">
        <f t="shared" si="20"/>
        <v>113</v>
      </c>
      <c r="C129" s="96" t="s">
        <v>77</v>
      </c>
      <c r="D129" s="27">
        <v>1.61</v>
      </c>
      <c r="E129" s="46">
        <f t="shared" si="13"/>
        <v>2146415.0050734305</v>
      </c>
      <c r="F129" s="8"/>
      <c r="H129" s="49"/>
      <c r="I129" s="39"/>
      <c r="J129" s="20">
        <f t="shared" si="14"/>
        <v>39964</v>
      </c>
      <c r="K129" s="27">
        <v>5.5903558921905452</v>
      </c>
      <c r="L129" s="46">
        <f t="shared" si="21"/>
        <v>740264.89705632091</v>
      </c>
      <c r="M129" s="8"/>
      <c r="O129" s="39"/>
      <c r="P129" s="20">
        <f t="shared" si="16"/>
        <v>39964</v>
      </c>
      <c r="Q129" s="27">
        <v>4.1096230854215392</v>
      </c>
      <c r="R129" s="46">
        <f t="shared" si="22"/>
        <v>764726.84781144373</v>
      </c>
      <c r="S129" s="8"/>
      <c r="U129" s="49"/>
      <c r="V129" s="39"/>
      <c r="W129" s="20">
        <f t="shared" si="18"/>
        <v>39964</v>
      </c>
      <c r="X129" s="36">
        <v>2.9935365707469384</v>
      </c>
      <c r="Y129" s="46">
        <f t="shared" si="19"/>
        <v>1652356.2256251161</v>
      </c>
    </row>
    <row r="130" spans="1:27" x14ac:dyDescent="0.25">
      <c r="A130" s="20">
        <v>39994</v>
      </c>
      <c r="B130" s="24">
        <f t="shared" si="20"/>
        <v>114</v>
      </c>
      <c r="C130" s="96" t="s">
        <v>77</v>
      </c>
      <c r="D130" s="27">
        <v>5.53</v>
      </c>
      <c r="E130" s="46">
        <f t="shared" si="13"/>
        <v>2265111.7548539913</v>
      </c>
      <c r="F130" s="8"/>
      <c r="G130" s="5">
        <f>(E130/E127-1)*100</f>
        <v>10.381566570199997</v>
      </c>
      <c r="H130" s="49"/>
      <c r="I130" s="39"/>
      <c r="J130" s="20">
        <f t="shared" si="14"/>
        <v>39994</v>
      </c>
      <c r="K130" s="27">
        <v>0.19835713146939041</v>
      </c>
      <c r="L130" s="46">
        <f t="shared" si="21"/>
        <v>741733.26527139673</v>
      </c>
      <c r="M130" s="8"/>
      <c r="N130" s="5">
        <f>(L130/L127-1)*100</f>
        <v>15.923856862611196</v>
      </c>
      <c r="O130" s="39"/>
      <c r="P130" s="20">
        <f t="shared" si="16"/>
        <v>39994</v>
      </c>
      <c r="Q130" s="27">
        <v>0.7347520566049397</v>
      </c>
      <c r="R130" s="46">
        <f t="shared" si="22"/>
        <v>770345.69405314839</v>
      </c>
      <c r="S130" s="8"/>
      <c r="T130" s="5">
        <f>(R130/R127-1)*100</f>
        <v>11.05645777115889</v>
      </c>
      <c r="U130" s="49"/>
      <c r="V130" s="39"/>
      <c r="W130" s="20">
        <f t="shared" si="18"/>
        <v>39994</v>
      </c>
      <c r="X130" s="36">
        <v>2.8231469043839303</v>
      </c>
      <c r="Y130" s="46">
        <f t="shared" si="19"/>
        <v>1699004.6692582467</v>
      </c>
      <c r="AA130" s="106">
        <f>(Y130/Y127-1)*100</f>
        <v>10.350900185115396</v>
      </c>
    </row>
    <row r="131" spans="1:27" x14ac:dyDescent="0.25">
      <c r="A131" s="20">
        <v>40025</v>
      </c>
      <c r="B131" s="24">
        <f t="shared" si="20"/>
        <v>115</v>
      </c>
      <c r="C131" s="96" t="s">
        <v>77</v>
      </c>
      <c r="D131" s="27">
        <v>4.42</v>
      </c>
      <c r="E131" s="46">
        <f t="shared" si="13"/>
        <v>2365229.6944185379</v>
      </c>
      <c r="F131" s="8"/>
      <c r="H131" s="49"/>
      <c r="I131" s="39"/>
      <c r="J131" s="20">
        <f t="shared" si="14"/>
        <v>40025</v>
      </c>
      <c r="K131" s="27">
        <v>7.5621155457612241</v>
      </c>
      <c r="L131" s="46">
        <f t="shared" si="21"/>
        <v>797823.99183256738</v>
      </c>
      <c r="M131" s="8"/>
      <c r="O131" s="39"/>
      <c r="P131" s="20">
        <f t="shared" si="16"/>
        <v>40025</v>
      </c>
      <c r="Q131" s="27">
        <v>5.8327729004168027</v>
      </c>
      <c r="R131" s="46">
        <f t="shared" si="22"/>
        <v>815278.20893540815</v>
      </c>
      <c r="S131" s="8"/>
      <c r="U131" s="49"/>
      <c r="V131" s="39"/>
      <c r="W131" s="20">
        <f t="shared" si="18"/>
        <v>40025</v>
      </c>
      <c r="X131" s="36">
        <v>4.2355425576924501</v>
      </c>
      <c r="Y131" s="46">
        <f t="shared" si="19"/>
        <v>1770966.7350818615</v>
      </c>
    </row>
    <row r="132" spans="1:27" x14ac:dyDescent="0.25">
      <c r="A132" s="20">
        <v>40056</v>
      </c>
      <c r="B132" s="24">
        <f t="shared" si="20"/>
        <v>116</v>
      </c>
      <c r="C132" s="96" t="s">
        <v>77</v>
      </c>
      <c r="D132" s="27">
        <v>1.31</v>
      </c>
      <c r="E132" s="46">
        <f t="shared" si="13"/>
        <v>2396214.2034154208</v>
      </c>
      <c r="F132" s="8"/>
      <c r="H132" s="49"/>
      <c r="I132" s="39"/>
      <c r="J132" s="20">
        <f t="shared" si="14"/>
        <v>40056</v>
      </c>
      <c r="K132" s="27">
        <v>3.6084111376963857</v>
      </c>
      <c r="L132" s="46">
        <f t="shared" si="21"/>
        <v>826612.76161306759</v>
      </c>
      <c r="M132" s="8"/>
      <c r="O132" s="39"/>
      <c r="P132" s="20">
        <f t="shared" si="16"/>
        <v>40056</v>
      </c>
      <c r="Q132" s="27">
        <v>1.4112677749548652</v>
      </c>
      <c r="R132" s="46">
        <f t="shared" si="22"/>
        <v>826783.96757434274</v>
      </c>
      <c r="S132" s="8"/>
      <c r="U132" s="49"/>
      <c r="V132" s="39"/>
      <c r="W132" s="20">
        <f t="shared" si="18"/>
        <v>40056</v>
      </c>
      <c r="X132" s="36">
        <v>2.0061703669285351</v>
      </c>
      <c r="Y132" s="46">
        <f t="shared" si="19"/>
        <v>1806495.3449292355</v>
      </c>
    </row>
    <row r="133" spans="1:27" x14ac:dyDescent="0.25">
      <c r="A133" s="20">
        <v>40086</v>
      </c>
      <c r="B133" s="24">
        <f t="shared" si="20"/>
        <v>117</v>
      </c>
      <c r="C133" s="96" t="s">
        <v>77</v>
      </c>
      <c r="D133" s="27">
        <v>3.96</v>
      </c>
      <c r="E133" s="46">
        <f t="shared" si="13"/>
        <v>2491104.2858706713</v>
      </c>
      <c r="F133" s="8"/>
      <c r="G133" s="5">
        <f>(E133/E130-1)*100</f>
        <v>9.9771029191999983</v>
      </c>
      <c r="H133" s="49"/>
      <c r="I133" s="39"/>
      <c r="J133" s="20">
        <f t="shared" si="14"/>
        <v>40086</v>
      </c>
      <c r="K133" s="27">
        <v>3.7315166857032853</v>
      </c>
      <c r="L133" s="46">
        <f t="shared" si="21"/>
        <v>857457.95473881194</v>
      </c>
      <c r="M133" s="8"/>
      <c r="N133" s="5">
        <f>(L133/L130-1)*100</f>
        <v>15.601927928238734</v>
      </c>
      <c r="O133" s="39"/>
      <c r="P133" s="20">
        <f t="shared" si="16"/>
        <v>40086</v>
      </c>
      <c r="Q133" s="27">
        <v>2.4930573266456966</v>
      </c>
      <c r="R133" s="46">
        <f t="shared" si="22"/>
        <v>847396.16585348686</v>
      </c>
      <c r="S133" s="8"/>
      <c r="T133" s="5">
        <f>(R133/R130-1)*100</f>
        <v>10.002064319323956</v>
      </c>
      <c r="U133" s="49"/>
      <c r="V133" s="39"/>
      <c r="W133" s="20">
        <f t="shared" si="18"/>
        <v>40086</v>
      </c>
      <c r="X133" s="36">
        <v>2.672491125437622</v>
      </c>
      <c r="Y133" s="46">
        <f t="shared" si="19"/>
        <v>1854773.772703913</v>
      </c>
      <c r="AA133" s="106">
        <f>(Y133/Y130-1)*100</f>
        <v>9.1682563482107469</v>
      </c>
    </row>
    <row r="134" spans="1:27" x14ac:dyDescent="0.25">
      <c r="A134" s="20">
        <v>40117</v>
      </c>
      <c r="B134" s="24">
        <f t="shared" si="20"/>
        <v>118</v>
      </c>
      <c r="C134" s="96" t="s">
        <v>77</v>
      </c>
      <c r="D134" s="27">
        <v>-0.1</v>
      </c>
      <c r="E134" s="46">
        <f t="shared" si="13"/>
        <v>2488613.1815848006</v>
      </c>
      <c r="F134" s="8"/>
      <c r="H134" s="49"/>
      <c r="I134" s="39"/>
      <c r="J134" s="20">
        <f t="shared" si="14"/>
        <v>40117</v>
      </c>
      <c r="K134" s="27">
        <v>-1.8590670207595392</v>
      </c>
      <c r="L134" s="46">
        <f t="shared" si="21"/>
        <v>841517.23668538348</v>
      </c>
      <c r="M134" s="8"/>
      <c r="O134" s="39"/>
      <c r="P134" s="20">
        <f t="shared" si="16"/>
        <v>40117</v>
      </c>
      <c r="Q134" s="27">
        <v>-0.15067094015026516</v>
      </c>
      <c r="R134" s="46">
        <f t="shared" si="22"/>
        <v>846119.38608359813</v>
      </c>
      <c r="S134" s="8"/>
      <c r="U134" s="49"/>
      <c r="V134" s="39"/>
      <c r="W134" s="20">
        <f t="shared" si="18"/>
        <v>40117</v>
      </c>
      <c r="X134" s="36">
        <v>-0.50093574865840917</v>
      </c>
      <c r="Y134" s="46">
        <f t="shared" si="19"/>
        <v>1845482.5478196989</v>
      </c>
    </row>
    <row r="135" spans="1:27" x14ac:dyDescent="0.25">
      <c r="A135" s="20">
        <v>40147</v>
      </c>
      <c r="B135" s="24">
        <f t="shared" si="20"/>
        <v>119</v>
      </c>
      <c r="C135" s="96" t="s">
        <v>77</v>
      </c>
      <c r="D135" s="27">
        <v>4.57</v>
      </c>
      <c r="E135" s="46">
        <f t="shared" si="13"/>
        <v>2602342.803983226</v>
      </c>
      <c r="F135" s="8"/>
      <c r="H135" s="49"/>
      <c r="I135" s="39"/>
      <c r="J135" s="20">
        <f t="shared" si="14"/>
        <v>40147</v>
      </c>
      <c r="K135" s="27">
        <v>5.994617272479621</v>
      </c>
      <c r="L135" s="46">
        <f t="shared" si="21"/>
        <v>891962.97430661868</v>
      </c>
      <c r="M135" s="8"/>
      <c r="O135" s="39"/>
      <c r="P135" s="20">
        <f t="shared" si="16"/>
        <v>40147</v>
      </c>
      <c r="Q135" s="27">
        <v>5.6967309906388568</v>
      </c>
      <c r="R135" s="46">
        <f t="shared" si="22"/>
        <v>894320.5313684257</v>
      </c>
      <c r="S135" s="8"/>
      <c r="U135" s="49"/>
      <c r="V135" s="39"/>
      <c r="W135" s="20">
        <f t="shared" si="18"/>
        <v>40147</v>
      </c>
      <c r="X135" s="36">
        <v>5.9494116360753866</v>
      </c>
      <c r="Y135" s="46">
        <f t="shared" si="19"/>
        <v>1955277.9012614246</v>
      </c>
    </row>
    <row r="136" spans="1:27" x14ac:dyDescent="0.25">
      <c r="A136" s="20">
        <v>40178</v>
      </c>
      <c r="B136" s="24">
        <f t="shared" si="20"/>
        <v>120</v>
      </c>
      <c r="C136" s="96" t="s">
        <v>77</v>
      </c>
      <c r="D136" s="27">
        <v>3.31</v>
      </c>
      <c r="E136" s="46">
        <f t="shared" si="13"/>
        <v>2688480.3507950706</v>
      </c>
      <c r="F136" s="11">
        <f>(E136-E124)/E124*100</f>
        <v>22.668726477786269</v>
      </c>
      <c r="G136" s="5">
        <f>(E136/E133-1)*100</f>
        <v>7.9232357330000003</v>
      </c>
      <c r="H136" s="49"/>
      <c r="I136" s="39"/>
      <c r="J136" s="20">
        <f t="shared" si="14"/>
        <v>40178</v>
      </c>
      <c r="K136" s="27">
        <v>1.9315360064878291</v>
      </c>
      <c r="L136" s="46">
        <f t="shared" si="21"/>
        <v>909191.56031989085</v>
      </c>
      <c r="M136" s="11">
        <f>(L136-L124)/L124*100</f>
        <v>26.447786924218892</v>
      </c>
      <c r="N136" s="5">
        <f>(L136/L133-1)*100</f>
        <v>6.033369367578767</v>
      </c>
      <c r="O136" s="39"/>
      <c r="P136" s="20">
        <f t="shared" si="16"/>
        <v>40178</v>
      </c>
      <c r="Q136" s="27">
        <v>1.4356982343008589</v>
      </c>
      <c r="R136" s="46">
        <f t="shared" si="22"/>
        <v>907160.27544627222</v>
      </c>
      <c r="S136" s="11">
        <f>(R136-R124)/R124*100</f>
        <v>15.563556004907191</v>
      </c>
      <c r="T136" s="5">
        <f>(R136/R133-1)*100</f>
        <v>7.0526764223191485</v>
      </c>
      <c r="U136" s="49"/>
      <c r="V136" s="39"/>
      <c r="W136" s="20">
        <f t="shared" si="18"/>
        <v>40178</v>
      </c>
      <c r="X136" s="36">
        <v>3.182962283348135</v>
      </c>
      <c r="Y136" s="46">
        <f t="shared" si="19"/>
        <v>2017513.6593932167</v>
      </c>
      <c r="AA136" s="106">
        <f>(Y136/Y133-1)*100</f>
        <v>8.7741097639125734</v>
      </c>
    </row>
    <row r="137" spans="1:27" x14ac:dyDescent="0.25">
      <c r="A137" s="20">
        <v>40209</v>
      </c>
      <c r="B137" s="24">
        <f t="shared" si="20"/>
        <v>121</v>
      </c>
      <c r="C137" s="96" t="s">
        <v>77</v>
      </c>
      <c r="D137" s="27">
        <v>-0.91</v>
      </c>
      <c r="E137" s="46">
        <f t="shared" si="13"/>
        <v>2664015.1796028353</v>
      </c>
      <c r="F137" s="10"/>
      <c r="H137" s="49"/>
      <c r="I137" s="39"/>
      <c r="J137" s="20">
        <f t="shared" si="14"/>
        <v>40209</v>
      </c>
      <c r="K137" s="27">
        <v>-3.5974271271255565</v>
      </c>
      <c r="L137" s="46">
        <f t="shared" si="21"/>
        <v>876484.05649140698</v>
      </c>
      <c r="M137" s="10"/>
      <c r="O137" s="39"/>
      <c r="P137" s="20">
        <f t="shared" si="16"/>
        <v>40209</v>
      </c>
      <c r="Q137" s="27">
        <v>-4.0853296464305258</v>
      </c>
      <c r="R137" s="46">
        <f t="shared" si="22"/>
        <v>870099.78777282487</v>
      </c>
      <c r="S137" s="10"/>
      <c r="U137" s="49"/>
      <c r="V137" s="39"/>
      <c r="W137" s="20">
        <f t="shared" si="18"/>
        <v>40209</v>
      </c>
      <c r="X137" s="36">
        <v>-2.3271768057419959</v>
      </c>
      <c r="Y137" s="46">
        <f t="shared" si="19"/>
        <v>1970562.5494591412</v>
      </c>
    </row>
    <row r="138" spans="1:27" x14ac:dyDescent="0.25">
      <c r="A138" s="20">
        <v>40237</v>
      </c>
      <c r="B138" s="24">
        <f t="shared" si="20"/>
        <v>122</v>
      </c>
      <c r="C138" s="96" t="s">
        <v>77</v>
      </c>
      <c r="D138" s="27">
        <v>3.08</v>
      </c>
      <c r="E138" s="46">
        <f t="shared" si="13"/>
        <v>2746066.8471346027</v>
      </c>
      <c r="F138" s="8"/>
      <c r="H138" s="49"/>
      <c r="I138" s="39"/>
      <c r="J138" s="20">
        <f t="shared" si="14"/>
        <v>40237</v>
      </c>
      <c r="K138" s="27">
        <v>3.0959464788159261</v>
      </c>
      <c r="L138" s="46">
        <f t="shared" si="21"/>
        <v>903619.53377573565</v>
      </c>
      <c r="M138" s="8"/>
      <c r="O138" s="39"/>
      <c r="P138" s="20">
        <f t="shared" si="16"/>
        <v>40237</v>
      </c>
      <c r="Q138" s="27">
        <v>2.1049971973760861</v>
      </c>
      <c r="R138" s="46">
        <f t="shared" si="22"/>
        <v>888415.36391981808</v>
      </c>
      <c r="S138" s="8"/>
      <c r="U138" s="49"/>
      <c r="V138" s="39"/>
      <c r="W138" s="20">
        <f t="shared" si="18"/>
        <v>40237</v>
      </c>
      <c r="X138" s="36">
        <v>1.7983280668773192</v>
      </c>
      <c r="Y138" s="46">
        <f t="shared" si="19"/>
        <v>2005999.7288614381</v>
      </c>
    </row>
    <row r="139" spans="1:27" x14ac:dyDescent="0.25">
      <c r="A139" s="20">
        <v>40268</v>
      </c>
      <c r="B139" s="24">
        <f t="shared" si="20"/>
        <v>123</v>
      </c>
      <c r="C139" s="96" t="s">
        <v>77</v>
      </c>
      <c r="D139" s="27">
        <v>4.51</v>
      </c>
      <c r="E139" s="46">
        <f t="shared" si="13"/>
        <v>2869914.4619403733</v>
      </c>
      <c r="F139" s="8"/>
      <c r="G139" s="5">
        <f>(E139/E136-1)*100</f>
        <v>6.7485749372000026</v>
      </c>
      <c r="H139" s="49"/>
      <c r="I139" s="39"/>
      <c r="J139" s="20">
        <f t="shared" si="14"/>
        <v>40268</v>
      </c>
      <c r="K139" s="27">
        <v>6.0345062641086527</v>
      </c>
      <c r="L139" s="46">
        <f t="shared" si="21"/>
        <v>958148.51114514179</v>
      </c>
      <c r="M139" s="8"/>
      <c r="N139" s="5">
        <f>(L139/L136-1)*100</f>
        <v>5.3846684199340578</v>
      </c>
      <c r="O139" s="39"/>
      <c r="P139" s="20">
        <f t="shared" si="16"/>
        <v>40268</v>
      </c>
      <c r="Q139" s="27">
        <v>4.2422249902644724</v>
      </c>
      <c r="R139" s="46">
        <f t="shared" si="22"/>
        <v>926103.94250537362</v>
      </c>
      <c r="S139" s="8"/>
      <c r="T139" s="5">
        <f>(R139/R136-1)*100</f>
        <v>2.088238161639322</v>
      </c>
      <c r="U139" s="49"/>
      <c r="V139" s="39"/>
      <c r="W139" s="20">
        <f t="shared" si="18"/>
        <v>40268</v>
      </c>
      <c r="X139" s="36">
        <v>3.8512255113828355</v>
      </c>
      <c r="Y139" s="46">
        <f t="shared" si="19"/>
        <v>2083255.3021776204</v>
      </c>
      <c r="AA139" s="106">
        <f>(Y139/Y136-1)*100</f>
        <v>3.258547592890948</v>
      </c>
    </row>
    <row r="140" spans="1:27" x14ac:dyDescent="0.25">
      <c r="A140" s="20">
        <v>40298</v>
      </c>
      <c r="B140" s="24">
        <f t="shared" si="20"/>
        <v>124</v>
      </c>
      <c r="C140" s="96" t="s">
        <v>77</v>
      </c>
      <c r="D140" s="27">
        <v>2.44</v>
      </c>
      <c r="E140" s="46">
        <f t="shared" si="13"/>
        <v>2939940.3748117182</v>
      </c>
      <c r="F140" s="8"/>
      <c r="H140" s="49"/>
      <c r="I140" s="39"/>
      <c r="J140" s="20">
        <f t="shared" si="14"/>
        <v>40298</v>
      </c>
      <c r="K140" s="27">
        <v>1.5778687229077404</v>
      </c>
      <c r="L140" s="46">
        <f t="shared" si="21"/>
        <v>973266.8368215072</v>
      </c>
      <c r="M140" s="8"/>
      <c r="O140" s="39"/>
      <c r="P140" s="20">
        <f t="shared" si="16"/>
        <v>40298</v>
      </c>
      <c r="Q140" s="27">
        <v>0.77351949578613388</v>
      </c>
      <c r="R140" s="46">
        <f t="shared" si="22"/>
        <v>933267.53705189668</v>
      </c>
      <c r="S140" s="8"/>
      <c r="U140" s="49"/>
      <c r="V140" s="39"/>
      <c r="W140" s="20">
        <f t="shared" si="18"/>
        <v>40298</v>
      </c>
      <c r="X140" s="36">
        <v>0.75654275548642103</v>
      </c>
      <c r="Y140" s="46">
        <f t="shared" si="19"/>
        <v>2099016.0192445321</v>
      </c>
    </row>
    <row r="141" spans="1:27" x14ac:dyDescent="0.25">
      <c r="A141" s="20">
        <v>40329</v>
      </c>
      <c r="B141" s="24">
        <f t="shared" si="20"/>
        <v>125</v>
      </c>
      <c r="C141" s="96" t="s">
        <v>77</v>
      </c>
      <c r="D141" s="27">
        <v>-5.18</v>
      </c>
      <c r="E141" s="46">
        <f t="shared" si="13"/>
        <v>2787651.463396471</v>
      </c>
      <c r="F141" s="8"/>
      <c r="H141" s="49"/>
      <c r="I141" s="39"/>
      <c r="J141" s="20">
        <f t="shared" si="14"/>
        <v>40329</v>
      </c>
      <c r="K141" s="27">
        <v>-7.985035794049983</v>
      </c>
      <c r="L141" s="46">
        <f t="shared" si="21"/>
        <v>895551.13152969186</v>
      </c>
      <c r="M141" s="8"/>
      <c r="O141" s="39"/>
      <c r="P141" s="20">
        <f t="shared" si="16"/>
        <v>40329</v>
      </c>
      <c r="Q141" s="27">
        <v>-7.498438832026693</v>
      </c>
      <c r="R141" s="46">
        <f t="shared" si="22"/>
        <v>863287.04164689814</v>
      </c>
      <c r="S141" s="8"/>
      <c r="U141" s="49"/>
      <c r="V141" s="39"/>
      <c r="W141" s="20">
        <f t="shared" si="18"/>
        <v>40329</v>
      </c>
      <c r="X141" s="36">
        <v>-5.2189351245478903</v>
      </c>
      <c r="Y141" s="46">
        <f t="shared" si="19"/>
        <v>1989469.7349462924</v>
      </c>
    </row>
    <row r="142" spans="1:27" x14ac:dyDescent="0.25">
      <c r="A142" s="20">
        <v>40359</v>
      </c>
      <c r="B142" s="24">
        <f t="shared" si="20"/>
        <v>126</v>
      </c>
      <c r="C142" s="96" t="s">
        <v>77</v>
      </c>
      <c r="D142" s="27">
        <v>-1.88</v>
      </c>
      <c r="E142" s="46">
        <f t="shared" si="13"/>
        <v>2735243.6158846174</v>
      </c>
      <c r="F142" s="8"/>
      <c r="G142" s="5">
        <f>(E142/E139-1)*100</f>
        <v>-4.6925038304000077</v>
      </c>
      <c r="H142" s="49"/>
      <c r="I142" s="39"/>
      <c r="J142" s="20">
        <f t="shared" si="14"/>
        <v>40359</v>
      </c>
      <c r="K142" s="27">
        <v>-5.2351726740277833</v>
      </c>
      <c r="L142" s="46">
        <f t="shared" si="21"/>
        <v>848667.48340990278</v>
      </c>
      <c r="M142" s="8"/>
      <c r="N142" s="5">
        <f>(L142/L139-1)*100</f>
        <v>-11.426310896667946</v>
      </c>
      <c r="O142" s="39"/>
      <c r="P142" s="20">
        <f t="shared" si="16"/>
        <v>40359</v>
      </c>
      <c r="Q142" s="27">
        <v>-4.3438142012337462</v>
      </c>
      <c r="R142" s="46">
        <f t="shared" si="22"/>
        <v>825787.45653442945</v>
      </c>
      <c r="S142" s="8"/>
      <c r="T142" s="5">
        <f>(R142/R139-1)*100</f>
        <v>-10.832097928398799</v>
      </c>
      <c r="U142" s="49"/>
      <c r="V142" s="39"/>
      <c r="W142" s="20">
        <f t="shared" si="18"/>
        <v>40359</v>
      </c>
      <c r="X142" s="36">
        <v>-1.3089876422692135</v>
      </c>
      <c r="Y142" s="46">
        <f t="shared" si="19"/>
        <v>1963427.8219691594</v>
      </c>
      <c r="AA142" s="106">
        <f>(Y142/Y139-1)*100</f>
        <v>-5.7519344884520702</v>
      </c>
    </row>
    <row r="143" spans="1:27" x14ac:dyDescent="0.25">
      <c r="A143" s="20">
        <v>40390</v>
      </c>
      <c r="B143" s="24">
        <f t="shared" si="20"/>
        <v>127</v>
      </c>
      <c r="C143" s="96" t="s">
        <v>77</v>
      </c>
      <c r="D143" s="27">
        <v>3.69</v>
      </c>
      <c r="E143" s="46">
        <f t="shared" si="13"/>
        <v>2836174.10531076</v>
      </c>
      <c r="F143" s="8"/>
      <c r="H143" s="49"/>
      <c r="I143" s="39"/>
      <c r="J143" s="20">
        <f t="shared" si="14"/>
        <v>40390</v>
      </c>
      <c r="K143" s="27">
        <v>7.0055955358897952</v>
      </c>
      <c r="L143" s="46">
        <f t="shared" si="21"/>
        <v>908121.69474221522</v>
      </c>
      <c r="M143" s="8"/>
      <c r="O143" s="39"/>
      <c r="P143" s="20">
        <f t="shared" si="16"/>
        <v>40390</v>
      </c>
      <c r="Q143" s="27">
        <v>5.4383938248183696</v>
      </c>
      <c r="R143" s="46">
        <f t="shared" si="22"/>
        <v>870697.03057672258</v>
      </c>
      <c r="S143" s="8"/>
      <c r="U143" s="49"/>
      <c r="V143" s="39"/>
      <c r="W143" s="20">
        <f t="shared" si="18"/>
        <v>40390</v>
      </c>
      <c r="X143" s="36">
        <v>5.0054434920563597</v>
      </c>
      <c r="Y143" s="46">
        <f t="shared" si="19"/>
        <v>2061706.0921051386</v>
      </c>
    </row>
    <row r="144" spans="1:27" x14ac:dyDescent="0.25">
      <c r="A144" s="20">
        <v>40421</v>
      </c>
      <c r="B144" s="24">
        <f t="shared" si="20"/>
        <v>128</v>
      </c>
      <c r="C144" s="96" t="s">
        <v>77</v>
      </c>
      <c r="D144" s="27">
        <v>-2.96</v>
      </c>
      <c r="E144" s="46">
        <f t="shared" si="13"/>
        <v>2752223.3517935616</v>
      </c>
      <c r="F144" s="8"/>
      <c r="H144" s="49"/>
      <c r="I144" s="39"/>
      <c r="J144" s="20">
        <f t="shared" si="14"/>
        <v>40421</v>
      </c>
      <c r="K144" s="27">
        <v>-4.5147721827071274</v>
      </c>
      <c r="L144" s="46">
        <f t="shared" si="21"/>
        <v>867122.06908286514</v>
      </c>
      <c r="M144" s="8"/>
      <c r="O144" s="39"/>
      <c r="P144" s="20">
        <f t="shared" si="16"/>
        <v>40421</v>
      </c>
      <c r="Q144" s="27">
        <v>-3.2740065974571255</v>
      </c>
      <c r="R144" s="46">
        <f t="shared" si="22"/>
        <v>842190.35235177737</v>
      </c>
      <c r="S144" s="8"/>
      <c r="U144" s="49"/>
      <c r="V144" s="39"/>
      <c r="W144" s="20">
        <f t="shared" si="18"/>
        <v>40421</v>
      </c>
      <c r="X144" s="36">
        <v>-0.61458801652766959</v>
      </c>
      <c r="Y144" s="46">
        <f t="shared" si="19"/>
        <v>2049035.0935270395</v>
      </c>
    </row>
    <row r="145" spans="1:27" x14ac:dyDescent="0.25">
      <c r="A145" s="20">
        <v>40451</v>
      </c>
      <c r="B145" s="24">
        <f t="shared" si="20"/>
        <v>129</v>
      </c>
      <c r="C145" s="96" t="s">
        <v>77</v>
      </c>
      <c r="D145" s="27">
        <v>6.52</v>
      </c>
      <c r="E145" s="46">
        <f t="shared" ref="E145:E208" si="23">E144*D145/100+E144</f>
        <v>2931668.3143305019</v>
      </c>
      <c r="F145" s="8"/>
      <c r="G145" s="5">
        <f>(E145/E142-1)*100</f>
        <v>7.1812505952000061</v>
      </c>
      <c r="H145" s="49"/>
      <c r="I145" s="39"/>
      <c r="J145" s="20">
        <f t="shared" ref="J145:J212" si="24">$A145</f>
        <v>40451</v>
      </c>
      <c r="K145" s="27">
        <v>8.9245051349701168</v>
      </c>
      <c r="L145" s="46">
        <f t="shared" ref="L145:L176" si="25">L144*K145/100+L144</f>
        <v>944508.42266462452</v>
      </c>
      <c r="M145" s="8"/>
      <c r="N145" s="5">
        <f>(L145/L142-1)*100</f>
        <v>11.293108446860444</v>
      </c>
      <c r="O145" s="39"/>
      <c r="P145" s="20">
        <f t="shared" ref="P145:P212" si="26">$A145</f>
        <v>40451</v>
      </c>
      <c r="Q145" s="27">
        <v>7.9708558266844785</v>
      </c>
      <c r="R145" s="46">
        <f t="shared" ref="R145:R176" si="27">R144*Q145/100+R144</f>
        <v>909320.13112398353</v>
      </c>
      <c r="S145" s="8"/>
      <c r="T145" s="5">
        <f>(R145/R142-1)*100</f>
        <v>10.115517489223503</v>
      </c>
      <c r="U145" s="49"/>
      <c r="V145" s="39"/>
      <c r="W145" s="20">
        <f t="shared" ref="W145:W212" si="28">$A145</f>
        <v>40451</v>
      </c>
      <c r="X145" s="36">
        <v>5.4813321742074077</v>
      </c>
      <c r="Y145" s="46">
        <f t="shared" ref="Y145:Y208" si="29">Y144*X145/100+Y144</f>
        <v>2161349.5133693381</v>
      </c>
      <c r="AA145" s="106">
        <f>(Y145/Y142-1)*100</f>
        <v>10.08041595344611</v>
      </c>
    </row>
    <row r="146" spans="1:27" x14ac:dyDescent="0.25">
      <c r="A146" s="20">
        <v>40482</v>
      </c>
      <c r="B146" s="24">
        <f t="shared" ref="B146:B197" si="30">IF(A146&gt;A145,1+B145,"-")</f>
        <v>130</v>
      </c>
      <c r="C146" s="96" t="s">
        <v>77</v>
      </c>
      <c r="D146" s="27">
        <v>2.54</v>
      </c>
      <c r="E146" s="46">
        <f t="shared" si="23"/>
        <v>3006132.6895144968</v>
      </c>
      <c r="F146" s="8"/>
      <c r="H146" s="49"/>
      <c r="I146" s="39"/>
      <c r="J146" s="20">
        <f t="shared" si="24"/>
        <v>40482</v>
      </c>
      <c r="K146" s="27">
        <v>3.8045454447189919</v>
      </c>
      <c r="L146" s="46">
        <f t="shared" si="25"/>
        <v>980442.67483409867</v>
      </c>
      <c r="M146" s="8"/>
      <c r="O146" s="39"/>
      <c r="P146" s="20">
        <f t="shared" si="26"/>
        <v>40482</v>
      </c>
      <c r="Q146" s="27">
        <v>3.36900079539754</v>
      </c>
      <c r="R146" s="46">
        <f t="shared" si="27"/>
        <v>939955.13357426052</v>
      </c>
      <c r="S146" s="8"/>
      <c r="U146" s="49"/>
      <c r="V146" s="39"/>
      <c r="W146" s="20">
        <f t="shared" si="28"/>
        <v>40482</v>
      </c>
      <c r="X146" s="36">
        <v>2.428454106914407</v>
      </c>
      <c r="Y146" s="46">
        <f t="shared" si="29"/>
        <v>2213836.8943915302</v>
      </c>
    </row>
    <row r="147" spans="1:27" x14ac:dyDescent="0.25">
      <c r="A147" s="20">
        <v>40512</v>
      </c>
      <c r="B147" s="24">
        <f t="shared" si="30"/>
        <v>131</v>
      </c>
      <c r="C147" s="96" t="s">
        <v>77</v>
      </c>
      <c r="D147" s="27">
        <v>-1.1200000000000001</v>
      </c>
      <c r="E147" s="46">
        <f t="shared" si="23"/>
        <v>2972464.0033919346</v>
      </c>
      <c r="F147" s="8"/>
      <c r="H147" s="49"/>
      <c r="I147" s="39"/>
      <c r="J147" s="20">
        <f t="shared" si="24"/>
        <v>40512</v>
      </c>
      <c r="K147" s="27">
        <v>1.2467759803188268E-2</v>
      </c>
      <c r="L147" s="46">
        <f t="shared" si="25"/>
        <v>980564.91407180496</v>
      </c>
      <c r="M147" s="8"/>
      <c r="O147" s="39"/>
      <c r="P147" s="20">
        <f t="shared" si="26"/>
        <v>40512</v>
      </c>
      <c r="Q147" s="27">
        <v>-1.1185569408648446</v>
      </c>
      <c r="R147" s="46">
        <f t="shared" si="27"/>
        <v>929441.20018665015</v>
      </c>
      <c r="S147" s="8"/>
      <c r="U147" s="49"/>
      <c r="V147" s="39"/>
      <c r="W147" s="20">
        <f t="shared" si="28"/>
        <v>40512</v>
      </c>
      <c r="X147" s="36">
        <v>-1.4234100033182018</v>
      </c>
      <c r="Y147" s="46">
        <f t="shared" si="29"/>
        <v>2182324.9185796119</v>
      </c>
    </row>
    <row r="148" spans="1:27" x14ac:dyDescent="0.25">
      <c r="A148" s="20">
        <v>40543</v>
      </c>
      <c r="B148" s="24">
        <f t="shared" si="30"/>
        <v>132</v>
      </c>
      <c r="C148" s="96" t="s">
        <v>77</v>
      </c>
      <c r="D148" s="27">
        <v>5.67</v>
      </c>
      <c r="E148" s="46">
        <f t="shared" si="23"/>
        <v>3141002.7123842575</v>
      </c>
      <c r="F148" s="11">
        <f>(E148-E136)/E136*100</f>
        <v>16.831901392002415</v>
      </c>
      <c r="G148" s="49">
        <f>(E148/E145-1)*100</f>
        <v>7.1404529984000265</v>
      </c>
      <c r="H148" s="49"/>
      <c r="I148" s="39"/>
      <c r="J148" s="20">
        <f t="shared" si="24"/>
        <v>40543</v>
      </c>
      <c r="K148" s="27">
        <v>6.6831355699853177</v>
      </c>
      <c r="L148" s="46">
        <f t="shared" si="25"/>
        <v>1046097.3966309337</v>
      </c>
      <c r="M148" s="11">
        <f>(L148-L136)/L136*100</f>
        <v>15.057974830174823</v>
      </c>
      <c r="N148" s="49">
        <f>(L148/L145-1)*100</f>
        <v>10.755750984168966</v>
      </c>
      <c r="O148" s="39"/>
      <c r="P148" s="20">
        <f t="shared" si="26"/>
        <v>40543</v>
      </c>
      <c r="Q148" s="27">
        <v>5.0314915921240617</v>
      </c>
      <c r="R148" s="46">
        <f t="shared" si="27"/>
        <v>976205.95602777845</v>
      </c>
      <c r="S148" s="11">
        <f>(R148-R136)/R136*100</f>
        <v>7.6111887226917654</v>
      </c>
      <c r="T148" s="49">
        <f>(R148/R145-1)*100</f>
        <v>7.3555860707844811</v>
      </c>
      <c r="U148" s="49"/>
      <c r="V148" s="39"/>
      <c r="W148" s="20">
        <f t="shared" si="28"/>
        <v>40543</v>
      </c>
      <c r="X148" s="36">
        <v>4.7980907031575031</v>
      </c>
      <c r="Y148" s="46">
        <f t="shared" si="29"/>
        <v>2287034.8476106697</v>
      </c>
      <c r="AA148" s="106">
        <f>(Y148/Y145-1)*100</f>
        <v>5.815132326534278</v>
      </c>
    </row>
    <row r="149" spans="1:27" x14ac:dyDescent="0.25">
      <c r="A149" s="20">
        <v>40574</v>
      </c>
      <c r="B149" s="24">
        <f t="shared" si="30"/>
        <v>133</v>
      </c>
      <c r="C149" s="96" t="s">
        <v>77</v>
      </c>
      <c r="D149" s="75">
        <v>-0.84</v>
      </c>
      <c r="E149" s="46">
        <f t="shared" si="23"/>
        <v>3114618.2896002298</v>
      </c>
      <c r="F149" s="10"/>
      <c r="H149" s="255"/>
      <c r="I149" s="39"/>
      <c r="J149" s="20">
        <f t="shared" si="24"/>
        <v>40574</v>
      </c>
      <c r="K149" s="27">
        <v>2.3701370988509525</v>
      </c>
      <c r="L149" s="46">
        <f t="shared" si="25"/>
        <v>1070891.3391185976</v>
      </c>
      <c r="M149" s="10"/>
      <c r="O149" s="39"/>
      <c r="P149" s="20">
        <f t="shared" si="26"/>
        <v>40574</v>
      </c>
      <c r="Q149" s="28">
        <v>1.3311000000000035</v>
      </c>
      <c r="R149" s="46">
        <f t="shared" si="27"/>
        <v>989200.23350846418</v>
      </c>
      <c r="S149" s="10"/>
      <c r="U149" s="49"/>
      <c r="V149" s="39"/>
      <c r="W149" s="20">
        <f t="shared" si="28"/>
        <v>40574</v>
      </c>
      <c r="X149" s="36">
        <v>-0.31637542665879725</v>
      </c>
      <c r="Y149" s="46">
        <f t="shared" si="29"/>
        <v>2279799.2313537062</v>
      </c>
    </row>
    <row r="150" spans="1:27" x14ac:dyDescent="0.25">
      <c r="A150" s="21">
        <v>40602</v>
      </c>
      <c r="B150" s="24">
        <f t="shared" si="30"/>
        <v>134</v>
      </c>
      <c r="C150" s="97" t="s">
        <v>78</v>
      </c>
      <c r="D150" s="29">
        <f>2.23+(1/12)</f>
        <v>2.3133333333333335</v>
      </c>
      <c r="E150" s="47">
        <f t="shared" si="23"/>
        <v>3186669.7926996485</v>
      </c>
      <c r="F150" s="8"/>
      <c r="H150" s="255"/>
      <c r="I150" s="39"/>
      <c r="J150" s="20">
        <f t="shared" si="24"/>
        <v>40602</v>
      </c>
      <c r="K150" s="29">
        <v>3.4253055042143896</v>
      </c>
      <c r="L150" s="46">
        <f t="shared" si="25"/>
        <v>1107572.6391015821</v>
      </c>
      <c r="M150" s="8"/>
      <c r="O150" s="39"/>
      <c r="P150" s="20">
        <f t="shared" si="26"/>
        <v>40602</v>
      </c>
      <c r="Q150" s="28">
        <v>2.815256125710651</v>
      </c>
      <c r="R150" s="46">
        <f t="shared" si="27"/>
        <v>1017048.7536778552</v>
      </c>
      <c r="S150" s="8"/>
      <c r="U150" s="49"/>
      <c r="V150" s="39"/>
      <c r="W150" s="20">
        <f t="shared" si="28"/>
        <v>40602</v>
      </c>
      <c r="X150" s="36">
        <v>2.6601798622337665</v>
      </c>
      <c r="Y150" s="46">
        <f t="shared" si="29"/>
        <v>2340445.9914055378</v>
      </c>
    </row>
    <row r="151" spans="1:27" x14ac:dyDescent="0.25">
      <c r="A151" s="21">
        <v>40633</v>
      </c>
      <c r="B151" s="24">
        <f t="shared" si="30"/>
        <v>135</v>
      </c>
      <c r="C151" s="97" t="s">
        <v>78</v>
      </c>
      <c r="D151" s="29">
        <f>2.53+(1/12)</f>
        <v>2.6133333333333333</v>
      </c>
      <c r="E151" s="47">
        <f t="shared" si="23"/>
        <v>3269948.0966155329</v>
      </c>
      <c r="F151" s="8"/>
      <c r="G151" s="49">
        <f>(E151/E148-1)*100</f>
        <v>4.1052299548444582</v>
      </c>
      <c r="H151" s="255"/>
      <c r="I151" s="39"/>
      <c r="J151" s="20">
        <f t="shared" si="24"/>
        <v>40633</v>
      </c>
      <c r="K151" s="29">
        <v>3.9808244460732466E-2</v>
      </c>
      <c r="L151" s="46">
        <f t="shared" si="25"/>
        <v>1108013.5443253359</v>
      </c>
      <c r="M151" s="8"/>
      <c r="N151" s="49">
        <f>(L151/L148-1)*100</f>
        <v>5.9187746660884111</v>
      </c>
      <c r="O151" s="39"/>
      <c r="P151" s="20">
        <f t="shared" si="26"/>
        <v>40633</v>
      </c>
      <c r="Q151" s="28">
        <v>0.26984993736552487</v>
      </c>
      <c r="R151" s="46">
        <f t="shared" si="27"/>
        <v>1019793.2591026318</v>
      </c>
      <c r="S151" s="8"/>
      <c r="T151" s="49">
        <f>(R151/R148-1)*100</f>
        <v>4.4649699999999903</v>
      </c>
      <c r="U151" s="49"/>
      <c r="V151" s="39"/>
      <c r="W151" s="20">
        <f t="shared" si="28"/>
        <v>40633</v>
      </c>
      <c r="X151" s="36">
        <v>1.2930645454606657</v>
      </c>
      <c r="Y151" s="46">
        <f t="shared" si="29"/>
        <v>2370709.468726058</v>
      </c>
      <c r="AA151" s="106">
        <f>(Y151/Y148-1)*100</f>
        <v>3.6586509034965298</v>
      </c>
    </row>
    <row r="152" spans="1:27" x14ac:dyDescent="0.25">
      <c r="A152" s="21">
        <v>40663</v>
      </c>
      <c r="B152" s="24">
        <f t="shared" si="30"/>
        <v>136</v>
      </c>
      <c r="C152" s="97" t="s">
        <v>78</v>
      </c>
      <c r="D152" s="29">
        <f>4+(1/12)</f>
        <v>4.083333333333333</v>
      </c>
      <c r="E152" s="47">
        <f t="shared" si="23"/>
        <v>3403470.9772273339</v>
      </c>
      <c r="F152" s="10"/>
      <c r="H152" s="255"/>
      <c r="I152" s="39"/>
      <c r="J152" s="20">
        <f t="shared" si="24"/>
        <v>40663</v>
      </c>
      <c r="K152" s="29">
        <v>2.9610634584414655</v>
      </c>
      <c r="L152" s="46">
        <f t="shared" si="25"/>
        <v>1140822.5285009355</v>
      </c>
      <c r="M152" s="10"/>
      <c r="O152" s="39"/>
      <c r="P152" s="20">
        <f t="shared" si="26"/>
        <v>40663</v>
      </c>
      <c r="Q152" s="28">
        <v>4.0469642598854092</v>
      </c>
      <c r="R152" s="46">
        <f t="shared" si="27"/>
        <v>1061063.927823236</v>
      </c>
      <c r="S152" s="10"/>
      <c r="U152" s="49"/>
      <c r="V152" s="39"/>
      <c r="W152" s="20">
        <f t="shared" si="28"/>
        <v>40663</v>
      </c>
      <c r="X152" s="36">
        <v>4.0238368814699053</v>
      </c>
      <c r="Y152" s="46">
        <f t="shared" si="29"/>
        <v>2466102.9506811565</v>
      </c>
    </row>
    <row r="153" spans="1:27" x14ac:dyDescent="0.25">
      <c r="A153" s="21">
        <v>40694</v>
      </c>
      <c r="B153" s="24">
        <f t="shared" si="30"/>
        <v>137</v>
      </c>
      <c r="C153" s="97" t="s">
        <v>78</v>
      </c>
      <c r="D153" s="29">
        <f>2.08+(1/12)</f>
        <v>2.1633333333333336</v>
      </c>
      <c r="E153" s="47">
        <f t="shared" si="23"/>
        <v>3477099.3993680184</v>
      </c>
      <c r="F153" s="10"/>
      <c r="H153" s="255"/>
      <c r="I153" s="39"/>
      <c r="J153" s="20">
        <f t="shared" si="24"/>
        <v>40694</v>
      </c>
      <c r="K153" s="29">
        <v>-1.1326170306001107</v>
      </c>
      <c r="L153" s="46">
        <f t="shared" si="25"/>
        <v>1127901.378254211</v>
      </c>
      <c r="M153" s="10"/>
      <c r="O153" s="39"/>
      <c r="P153" s="20">
        <f t="shared" si="26"/>
        <v>40694</v>
      </c>
      <c r="Q153" s="28">
        <v>-0.18857764321279463</v>
      </c>
      <c r="R153" s="46">
        <f t="shared" si="27"/>
        <v>1059062.9984751658</v>
      </c>
      <c r="S153" s="10"/>
      <c r="U153" s="49"/>
      <c r="V153" s="39"/>
      <c r="W153" s="20">
        <f t="shared" si="28"/>
        <v>40694</v>
      </c>
      <c r="X153" s="36">
        <v>1.9190719520941506</v>
      </c>
      <c r="Y153" s="46">
        <f t="shared" si="29"/>
        <v>2513429.2407174446</v>
      </c>
    </row>
    <row r="154" spans="1:27" x14ac:dyDescent="0.25">
      <c r="A154" s="21">
        <v>40724</v>
      </c>
      <c r="B154" s="24">
        <f t="shared" si="30"/>
        <v>138</v>
      </c>
      <c r="C154" s="97" t="s">
        <v>78</v>
      </c>
      <c r="D154" s="29">
        <f>-0.17+(1/12)</f>
        <v>-8.6666666666666684E-2</v>
      </c>
      <c r="E154" s="47">
        <f t="shared" si="23"/>
        <v>3474085.9132218994</v>
      </c>
      <c r="F154" s="10"/>
      <c r="G154" s="49">
        <f>(E154/E151-1)*100</f>
        <v>6.2428457753703759</v>
      </c>
      <c r="H154" s="255"/>
      <c r="I154" s="39"/>
      <c r="J154" s="20">
        <f t="shared" si="24"/>
        <v>40724</v>
      </c>
      <c r="K154" s="29">
        <v>-1.6668968785382234</v>
      </c>
      <c r="L154" s="46">
        <f t="shared" si="25"/>
        <v>1109100.4253871019</v>
      </c>
      <c r="M154" s="10"/>
      <c r="N154" s="49">
        <f>(L154/L151-1)*100</f>
        <v>9.8092759545442831E-2</v>
      </c>
      <c r="O154" s="39"/>
      <c r="P154" s="20">
        <f t="shared" si="26"/>
        <v>40724</v>
      </c>
      <c r="Q154" s="28">
        <v>-1.398739727633544</v>
      </c>
      <c r="R154" s="46">
        <f t="shared" si="27"/>
        <v>1044249.4635748266</v>
      </c>
      <c r="S154" s="10"/>
      <c r="T154" s="49">
        <f>(R154/R151-1)*100</f>
        <v>2.3981531799607048</v>
      </c>
      <c r="U154" s="49"/>
      <c r="V154" s="39"/>
      <c r="W154" s="20">
        <f t="shared" si="28"/>
        <v>40724</v>
      </c>
      <c r="X154" s="36">
        <v>-1.2216323888752343</v>
      </c>
      <c r="Y154" s="46">
        <f t="shared" si="29"/>
        <v>2482724.3750413796</v>
      </c>
      <c r="AA154" s="106">
        <f>(Y154/Y151-1)*100</f>
        <v>4.7249529220261044</v>
      </c>
    </row>
    <row r="155" spans="1:27" x14ac:dyDescent="0.25">
      <c r="A155" s="21">
        <v>40755</v>
      </c>
      <c r="B155" s="24">
        <f t="shared" si="30"/>
        <v>139</v>
      </c>
      <c r="C155" s="97" t="s">
        <v>78</v>
      </c>
      <c r="D155" s="29">
        <f>-1.96+(1/12)</f>
        <v>-1.8766666666666667</v>
      </c>
      <c r="E155" s="47">
        <f t="shared" si="23"/>
        <v>3408888.9009171017</v>
      </c>
      <c r="F155" s="10"/>
      <c r="H155" s="255"/>
      <c r="I155" s="39"/>
      <c r="J155" s="20">
        <f t="shared" si="24"/>
        <v>40755</v>
      </c>
      <c r="K155" s="29">
        <v>-2.0337691643892444</v>
      </c>
      <c r="L155" s="46">
        <f t="shared" si="25"/>
        <v>1086543.882933469</v>
      </c>
      <c r="M155" s="10"/>
      <c r="O155" s="39"/>
      <c r="P155" s="20">
        <f t="shared" si="26"/>
        <v>40755</v>
      </c>
      <c r="Q155" s="28">
        <v>-2.0223950221650409</v>
      </c>
      <c r="R155" s="46">
        <f t="shared" si="27"/>
        <v>1023130.6144045042</v>
      </c>
      <c r="S155" s="10"/>
      <c r="U155" s="49"/>
      <c r="V155" s="39"/>
      <c r="W155" s="20">
        <f t="shared" si="28"/>
        <v>40755</v>
      </c>
      <c r="X155" s="36">
        <v>-2.3596999516173853</v>
      </c>
      <c r="Y155" s="46">
        <f t="shared" si="29"/>
        <v>2424139.5291647352</v>
      </c>
    </row>
    <row r="156" spans="1:27" x14ac:dyDescent="0.25">
      <c r="A156" s="21">
        <v>40786</v>
      </c>
      <c r="B156" s="24">
        <f t="shared" si="30"/>
        <v>140</v>
      </c>
      <c r="C156" s="97" t="s">
        <v>78</v>
      </c>
      <c r="D156" s="29">
        <f>0.34+(1/12)</f>
        <v>0.42333333333333334</v>
      </c>
      <c r="E156" s="47">
        <f t="shared" si="23"/>
        <v>3423319.8639309839</v>
      </c>
      <c r="F156" s="10"/>
      <c r="H156" s="255"/>
      <c r="I156" s="39"/>
      <c r="J156" s="20">
        <f t="shared" si="24"/>
        <v>40786</v>
      </c>
      <c r="K156" s="29">
        <v>-5.4329272165715432</v>
      </c>
      <c r="L156" s="46">
        <f t="shared" si="25"/>
        <v>1027512.7445975833</v>
      </c>
      <c r="M156" s="10"/>
      <c r="O156" s="39"/>
      <c r="P156" s="20">
        <f t="shared" si="26"/>
        <v>40786</v>
      </c>
      <c r="Q156" s="28">
        <v>-3.1644976606488795</v>
      </c>
      <c r="R156" s="46">
        <f t="shared" si="27"/>
        <v>990753.6700462912</v>
      </c>
      <c r="S156" s="10"/>
      <c r="U156" s="49"/>
      <c r="V156" s="39"/>
      <c r="W156" s="20">
        <f t="shared" si="28"/>
        <v>40786</v>
      </c>
      <c r="X156" s="36">
        <v>0.13343893997979192</v>
      </c>
      <c r="Y156" s="46">
        <f t="shared" si="29"/>
        <v>2427374.2752560838</v>
      </c>
    </row>
    <row r="157" spans="1:27" x14ac:dyDescent="0.25">
      <c r="A157" s="21">
        <v>40816</v>
      </c>
      <c r="B157" s="24">
        <f t="shared" si="30"/>
        <v>141</v>
      </c>
      <c r="C157" s="97" t="s">
        <v>78</v>
      </c>
      <c r="D157" s="29">
        <f>-1.2+(1/12)</f>
        <v>-1.1166666666666667</v>
      </c>
      <c r="E157" s="47">
        <f t="shared" si="23"/>
        <v>3385092.7921170881</v>
      </c>
      <c r="F157" s="10"/>
      <c r="G157" s="49">
        <f>(E157/E154-1)*100</f>
        <v>-2.5616269524629698</v>
      </c>
      <c r="H157" s="255"/>
      <c r="I157" s="39"/>
      <c r="J157" s="20">
        <f t="shared" si="24"/>
        <v>40816</v>
      </c>
      <c r="K157" s="29">
        <v>-7.0299391305309671</v>
      </c>
      <c r="L157" s="46">
        <f t="shared" si="25"/>
        <v>955279.22409392509</v>
      </c>
      <c r="M157" s="10"/>
      <c r="N157" s="49">
        <f>(L157/L154-1)*100</f>
        <v>-13.869005706989036</v>
      </c>
      <c r="O157" s="39"/>
      <c r="P157" s="20">
        <f t="shared" si="26"/>
        <v>40816</v>
      </c>
      <c r="Q157" s="28">
        <v>-3.8775456514385662</v>
      </c>
      <c r="R157" s="46">
        <f t="shared" si="27"/>
        <v>952336.74419694324</v>
      </c>
      <c r="S157" s="10"/>
      <c r="T157" s="49">
        <f>(R157/R154-1)*100</f>
        <v>-8.801797136024792</v>
      </c>
      <c r="U157" s="49"/>
      <c r="V157" s="39"/>
      <c r="W157" s="20">
        <f t="shared" si="28"/>
        <v>40816</v>
      </c>
      <c r="X157" s="36">
        <v>-2.1512708512735803</v>
      </c>
      <c r="Y157" s="46">
        <f t="shared" si="29"/>
        <v>2375154.8800211865</v>
      </c>
      <c r="AA157" s="106">
        <f>(Y157/Y154-1)*100</f>
        <v>-4.3327199789706894</v>
      </c>
    </row>
    <row r="158" spans="1:27" x14ac:dyDescent="0.25">
      <c r="A158" s="21">
        <v>40847</v>
      </c>
      <c r="B158" s="24">
        <f t="shared" si="30"/>
        <v>142</v>
      </c>
      <c r="C158" s="97" t="s">
        <v>78</v>
      </c>
      <c r="D158" s="29">
        <f>3.39+(1/12)</f>
        <v>3.4733333333333336</v>
      </c>
      <c r="E158" s="47">
        <f t="shared" si="23"/>
        <v>3502668.3484299551</v>
      </c>
      <c r="F158" s="10"/>
      <c r="H158" s="255"/>
      <c r="I158" s="39"/>
      <c r="J158" s="20">
        <f t="shared" si="24"/>
        <v>40847</v>
      </c>
      <c r="K158" s="29">
        <v>10.928827311434473</v>
      </c>
      <c r="L158" s="46">
        <f t="shared" si="25"/>
        <v>1059680.0408371612</v>
      </c>
      <c r="M158" s="10"/>
      <c r="O158" s="39"/>
      <c r="P158" s="20">
        <f t="shared" si="26"/>
        <v>40847</v>
      </c>
      <c r="Q158" s="28">
        <v>8.3062665227477037</v>
      </c>
      <c r="R158" s="46">
        <f t="shared" si="27"/>
        <v>1031440.3723639994</v>
      </c>
      <c r="S158" s="10"/>
      <c r="U158" s="49"/>
      <c r="V158" s="39"/>
      <c r="W158" s="20">
        <f t="shared" si="28"/>
        <v>40847</v>
      </c>
      <c r="X158" s="36">
        <v>5.9136873236220984</v>
      </c>
      <c r="Y158" s="46">
        <f t="shared" si="29"/>
        <v>2515614.1130773909</v>
      </c>
    </row>
    <row r="159" spans="1:27" x14ac:dyDescent="0.25">
      <c r="A159" s="21">
        <v>40877</v>
      </c>
      <c r="B159" s="24">
        <f t="shared" si="30"/>
        <v>143</v>
      </c>
      <c r="C159" s="97" t="s">
        <v>78</v>
      </c>
      <c r="D159" s="29">
        <f>0.43+(1/12)</f>
        <v>0.51333333333333331</v>
      </c>
      <c r="E159" s="47">
        <f t="shared" si="23"/>
        <v>3520648.7126185624</v>
      </c>
      <c r="F159" s="10"/>
      <c r="H159" s="255"/>
      <c r="I159" s="39"/>
      <c r="J159" s="20">
        <f t="shared" si="24"/>
        <v>40877</v>
      </c>
      <c r="K159" s="29">
        <v>-0.22168556951224463</v>
      </c>
      <c r="L159" s="46">
        <f t="shared" si="25"/>
        <v>1057330.8831036238</v>
      </c>
      <c r="M159" s="10"/>
      <c r="O159" s="39"/>
      <c r="P159" s="20">
        <f t="shared" si="26"/>
        <v>40877</v>
      </c>
      <c r="Q159" s="28">
        <v>1.2099501722868951</v>
      </c>
      <c r="R159" s="46">
        <f t="shared" si="27"/>
        <v>1043920.2869264542</v>
      </c>
      <c r="S159" s="10"/>
      <c r="U159" s="49"/>
      <c r="V159" s="39"/>
      <c r="W159" s="20">
        <f t="shared" si="28"/>
        <v>40877</v>
      </c>
      <c r="X159" s="36">
        <v>1.1541474235654638</v>
      </c>
      <c r="Y159" s="46">
        <f t="shared" si="29"/>
        <v>2544648.0085503226</v>
      </c>
    </row>
    <row r="160" spans="1:27" x14ac:dyDescent="0.25">
      <c r="A160" s="21">
        <v>40908</v>
      </c>
      <c r="B160" s="24">
        <f t="shared" si="30"/>
        <v>144</v>
      </c>
      <c r="C160" s="97" t="s">
        <v>78</v>
      </c>
      <c r="D160" s="29">
        <f>3.14+(1/12)</f>
        <v>3.2233333333333336</v>
      </c>
      <c r="E160" s="47">
        <f t="shared" si="23"/>
        <v>3634130.9561219672</v>
      </c>
      <c r="F160" s="12">
        <f>(E160-E148)/E148*100</f>
        <v>15.699707669573716</v>
      </c>
      <c r="G160" s="49">
        <f>(E160/E157-1)*100</f>
        <v>7.3569080465037073</v>
      </c>
      <c r="H160" s="255"/>
      <c r="I160" s="39"/>
      <c r="J160" s="20">
        <f t="shared" si="24"/>
        <v>40908</v>
      </c>
      <c r="K160" s="29">
        <v>1.0206481768649647</v>
      </c>
      <c r="L160" s="46">
        <f t="shared" si="25"/>
        <v>1068122.5114854511</v>
      </c>
      <c r="M160" s="12">
        <f>(L160-L148)/L148*100</f>
        <v>2.1054554695816643</v>
      </c>
      <c r="N160" s="49">
        <f>(L160/L157-1)*100</f>
        <v>11.812597253808899</v>
      </c>
      <c r="O160" s="39"/>
      <c r="P160" s="20">
        <f t="shared" si="26"/>
        <v>40908</v>
      </c>
      <c r="Q160" s="28">
        <v>1.6358589697360397</v>
      </c>
      <c r="R160" s="46">
        <f t="shared" si="27"/>
        <v>1060997.3505770348</v>
      </c>
      <c r="S160" s="37">
        <f>(R160-R148)/R148*100</f>
        <v>8.6858099999999929</v>
      </c>
      <c r="T160" s="49">
        <f>(R160/R157-1)*100</f>
        <v>11.409893301105312</v>
      </c>
      <c r="U160" s="49"/>
      <c r="V160" s="39"/>
      <c r="W160" s="20">
        <f t="shared" si="28"/>
        <v>40908</v>
      </c>
      <c r="X160" s="36">
        <v>3.1585377034718687</v>
      </c>
      <c r="Y160" s="46">
        <f t="shared" si="29"/>
        <v>2625021.6753210304</v>
      </c>
      <c r="AA160" s="106">
        <f>(Y160/Y157-1)*100</f>
        <v>10.520021132163592</v>
      </c>
    </row>
    <row r="161" spans="1:31" x14ac:dyDescent="0.25">
      <c r="A161" s="21">
        <v>40939</v>
      </c>
      <c r="B161" s="24">
        <f t="shared" si="30"/>
        <v>145</v>
      </c>
      <c r="C161" s="97" t="s">
        <v>78</v>
      </c>
      <c r="D161" s="29">
        <f>-0.07+(1/12)</f>
        <v>1.3333333333333322E-2</v>
      </c>
      <c r="E161" s="47">
        <f t="shared" si="23"/>
        <v>3634615.5069161169</v>
      </c>
      <c r="F161" s="84">
        <f>(E160-E149)/E149*100</f>
        <v>16.679818141966226</v>
      </c>
      <c r="H161" s="49"/>
      <c r="I161" s="39"/>
      <c r="J161" s="20">
        <f t="shared" si="24"/>
        <v>40939</v>
      </c>
      <c r="K161" s="29">
        <v>4.4816384477796118</v>
      </c>
      <c r="L161" s="46">
        <f t="shared" si="25"/>
        <v>1115991.9006295723</v>
      </c>
      <c r="M161" s="84">
        <f>(L160-L149)/L149*100</f>
        <v>-0.25855355552929643</v>
      </c>
      <c r="O161" s="39"/>
      <c r="P161" s="20">
        <f t="shared" si="26"/>
        <v>40939</v>
      </c>
      <c r="Q161" s="28">
        <v>2.4133601249325989</v>
      </c>
      <c r="R161" s="46">
        <f t="shared" si="27"/>
        <v>1086603.0375624523</v>
      </c>
      <c r="S161" s="10"/>
      <c r="U161" s="49"/>
      <c r="V161" s="39"/>
      <c r="W161" s="20">
        <f t="shared" si="28"/>
        <v>40939</v>
      </c>
      <c r="X161" s="36">
        <v>-0.50203757595119036</v>
      </c>
      <c r="Y161" s="46">
        <f t="shared" si="29"/>
        <v>2611843.0801340556</v>
      </c>
      <c r="Z161" s="102">
        <f>(Y160-Y149)/Y149*100</f>
        <v>15.142668670974899</v>
      </c>
    </row>
    <row r="162" spans="1:31" x14ac:dyDescent="0.25">
      <c r="A162" s="21">
        <v>40968</v>
      </c>
      <c r="B162" s="24">
        <f t="shared" si="30"/>
        <v>146</v>
      </c>
      <c r="C162" s="97" t="s">
        <v>78</v>
      </c>
      <c r="D162" s="29">
        <f>0.42+(1/12)</f>
        <v>0.5033333333333333</v>
      </c>
      <c r="E162" s="47">
        <f t="shared" si="23"/>
        <v>3652909.7383009279</v>
      </c>
      <c r="F162" s="10"/>
      <c r="H162" s="49"/>
      <c r="I162" s="39"/>
      <c r="J162" s="20">
        <f t="shared" si="24"/>
        <v>40968</v>
      </c>
      <c r="K162" s="29">
        <v>4.3244770246911024</v>
      </c>
      <c r="L162" s="46">
        <f t="shared" si="25"/>
        <v>1164252.7139697117</v>
      </c>
      <c r="M162" s="10"/>
      <c r="O162" s="39"/>
      <c r="P162" s="20">
        <f t="shared" si="26"/>
        <v>40968</v>
      </c>
      <c r="Q162" s="28">
        <v>3.4262792722838911</v>
      </c>
      <c r="R162" s="46">
        <f t="shared" si="27"/>
        <v>1123833.0922104616</v>
      </c>
      <c r="S162" s="10"/>
      <c r="U162" s="49"/>
      <c r="V162" s="39"/>
      <c r="W162" s="20">
        <f t="shared" si="28"/>
        <v>40968</v>
      </c>
      <c r="X162" s="36">
        <v>1.8952786425357964</v>
      </c>
      <c r="Y162" s="46">
        <f t="shared" si="29"/>
        <v>2661344.7842083853</v>
      </c>
    </row>
    <row r="163" spans="1:31" x14ac:dyDescent="0.25">
      <c r="A163" s="21">
        <v>40999</v>
      </c>
      <c r="B163" s="24">
        <f t="shared" si="30"/>
        <v>147</v>
      </c>
      <c r="C163" s="97" t="s">
        <v>78</v>
      </c>
      <c r="D163" s="29">
        <f>2.78+(1/12)</f>
        <v>2.8633333333333333</v>
      </c>
      <c r="E163" s="47">
        <f t="shared" si="23"/>
        <v>3757504.7204742776</v>
      </c>
      <c r="F163" s="10"/>
      <c r="G163" s="49">
        <f>(E163/E160-1)*100</f>
        <v>3.3948629216148163</v>
      </c>
      <c r="H163" s="49"/>
      <c r="I163" s="39"/>
      <c r="J163" s="20">
        <f t="shared" si="24"/>
        <v>40999</v>
      </c>
      <c r="K163" s="29">
        <v>3.2849592444847491</v>
      </c>
      <c r="L163" s="46">
        <f t="shared" si="25"/>
        <v>1202497.9411264244</v>
      </c>
      <c r="M163" s="10"/>
      <c r="N163" s="49">
        <f>(L163/L160-1)*100</f>
        <v>12.580525941176512</v>
      </c>
      <c r="O163" s="39"/>
      <c r="P163" s="20">
        <f t="shared" si="26"/>
        <v>40999</v>
      </c>
      <c r="Q163" s="28">
        <v>2.9620698083971986</v>
      </c>
      <c r="R163" s="46">
        <f t="shared" si="27"/>
        <v>1157121.8129316045</v>
      </c>
      <c r="S163" s="10"/>
      <c r="T163" s="49">
        <f>(R163/R160-1)*100</f>
        <v>9.0598211486853764</v>
      </c>
      <c r="U163" s="49"/>
      <c r="V163" s="39"/>
      <c r="W163" s="20">
        <f t="shared" si="28"/>
        <v>40999</v>
      </c>
      <c r="X163" s="36">
        <v>2.8290733158952133</v>
      </c>
      <c r="Y163" s="46">
        <f t="shared" si="29"/>
        <v>2736636.1793423938</v>
      </c>
      <c r="AA163" s="106">
        <f>(Y163/Y160-1)*100</f>
        <v>4.2519459961302353</v>
      </c>
    </row>
    <row r="164" spans="1:31" ht="16.5" thickBot="1" x14ac:dyDescent="0.3">
      <c r="A164" s="21">
        <v>41029</v>
      </c>
      <c r="B164" s="24">
        <f t="shared" si="30"/>
        <v>148</v>
      </c>
      <c r="C164" s="97" t="s">
        <v>78</v>
      </c>
      <c r="D164" s="29">
        <f>1.22+(1/12)</f>
        <v>1.3033333333333332</v>
      </c>
      <c r="E164" s="47">
        <f t="shared" si="23"/>
        <v>3806477.5319977924</v>
      </c>
      <c r="F164" s="10"/>
      <c r="H164" s="49"/>
      <c r="I164" s="39"/>
      <c r="J164" s="20">
        <f t="shared" si="24"/>
        <v>41029</v>
      </c>
      <c r="K164" s="29">
        <v>-0.62799908148773587</v>
      </c>
      <c r="L164" s="46">
        <f t="shared" si="25"/>
        <v>1194946.2651012414</v>
      </c>
      <c r="M164" s="10"/>
      <c r="O164" s="39"/>
      <c r="P164" s="20">
        <f t="shared" si="26"/>
        <v>41029</v>
      </c>
      <c r="Q164" s="28">
        <v>0.16558320900040038</v>
      </c>
      <c r="R164" s="46">
        <f t="shared" si="27"/>
        <v>1159037.8123615002</v>
      </c>
      <c r="S164" s="10"/>
      <c r="U164" s="49"/>
      <c r="V164" s="39"/>
      <c r="W164" s="20">
        <f t="shared" si="28"/>
        <v>41029</v>
      </c>
      <c r="X164" s="36">
        <v>1.0961867906899541</v>
      </c>
      <c r="Y164" s="46">
        <f t="shared" si="29"/>
        <v>2766634.8236495871</v>
      </c>
    </row>
    <row r="165" spans="1:31" x14ac:dyDescent="0.25">
      <c r="A165" s="21">
        <v>41060</v>
      </c>
      <c r="B165" s="24">
        <f t="shared" si="30"/>
        <v>149</v>
      </c>
      <c r="C165" s="97" t="s">
        <v>78</v>
      </c>
      <c r="D165" s="29">
        <f>-0.39+(1/12)</f>
        <v>-0.3066666666666667</v>
      </c>
      <c r="E165" s="47">
        <f t="shared" si="23"/>
        <v>3794804.334232999</v>
      </c>
      <c r="F165" s="10"/>
      <c r="H165" s="49"/>
      <c r="I165" s="39"/>
      <c r="J165" s="20">
        <f t="shared" si="24"/>
        <v>41060</v>
      </c>
      <c r="K165" s="29">
        <v>-6.0101506269839993</v>
      </c>
      <c r="L165" s="46">
        <f t="shared" si="25"/>
        <v>1123128.1946571372</v>
      </c>
      <c r="M165" s="10"/>
      <c r="O165" s="39"/>
      <c r="P165" s="20">
        <f t="shared" si="26"/>
        <v>41060</v>
      </c>
      <c r="Q165" s="28">
        <v>-4.1314484553960744</v>
      </c>
      <c r="R165" s="46">
        <f t="shared" si="27"/>
        <v>1111152.7625652347</v>
      </c>
      <c r="S165" s="10"/>
      <c r="U165" s="49"/>
      <c r="V165" s="39"/>
      <c r="W165" s="20">
        <f t="shared" si="28"/>
        <v>41060</v>
      </c>
      <c r="X165" s="36">
        <v>-1.55391761364932</v>
      </c>
      <c r="Y165" s="46">
        <f t="shared" si="29"/>
        <v>2723643.5978195402</v>
      </c>
      <c r="AC165" s="324" t="s">
        <v>57</v>
      </c>
      <c r="AD165" s="325"/>
    </row>
    <row r="166" spans="1:31" x14ac:dyDescent="0.25">
      <c r="A166" s="21">
        <v>41090</v>
      </c>
      <c r="B166" s="24">
        <f t="shared" si="30"/>
        <v>150</v>
      </c>
      <c r="C166" s="97" t="s">
        <v>79</v>
      </c>
      <c r="D166" s="114">
        <f>AC166+(0.98/12)</f>
        <v>3.804520854877623</v>
      </c>
      <c r="E166" s="47">
        <f t="shared" si="23"/>
        <v>3939178.4565306935</v>
      </c>
      <c r="F166" s="10"/>
      <c r="G166" s="49">
        <f>(E166/E163-1)*100</f>
        <v>4.8349569613710175</v>
      </c>
      <c r="H166" s="49"/>
      <c r="I166" s="39"/>
      <c r="J166" s="20">
        <f t="shared" si="24"/>
        <v>41090</v>
      </c>
      <c r="K166" s="29">
        <v>4.1204404843881131</v>
      </c>
      <c r="L166" s="46">
        <f t="shared" si="25"/>
        <v>1169406.0234813672</v>
      </c>
      <c r="M166" s="10"/>
      <c r="N166" s="49">
        <f>(L166/L163-1)*100</f>
        <v>-2.7519313350390262</v>
      </c>
      <c r="O166" s="39"/>
      <c r="P166" s="20">
        <f t="shared" si="26"/>
        <v>41090</v>
      </c>
      <c r="Q166" s="28">
        <v>4.010574257008205</v>
      </c>
      <c r="R166" s="46">
        <f t="shared" si="27"/>
        <v>1155716.3692167115</v>
      </c>
      <c r="S166" s="10"/>
      <c r="T166" s="49">
        <f>(R166/R163-1)*100</f>
        <v>-0.12146030773823036</v>
      </c>
      <c r="U166" s="49"/>
      <c r="V166" s="39"/>
      <c r="W166" s="20">
        <f t="shared" si="28"/>
        <v>41090</v>
      </c>
      <c r="X166" s="36">
        <v>4.1571361102365243</v>
      </c>
      <c r="Y166" s="46">
        <f t="shared" si="29"/>
        <v>2836869.1693386417</v>
      </c>
      <c r="AA166" s="106">
        <f>(Y166/Y163-1)*100</f>
        <v>3.662634834431433</v>
      </c>
      <c r="AC166" s="107">
        <v>3.7228541882109565</v>
      </c>
      <c r="AE166" s="223"/>
    </row>
    <row r="167" spans="1:31" x14ac:dyDescent="0.25">
      <c r="A167" s="21">
        <v>41121</v>
      </c>
      <c r="B167" s="24">
        <f t="shared" si="30"/>
        <v>151</v>
      </c>
      <c r="C167" s="97" t="s">
        <v>79</v>
      </c>
      <c r="D167" s="114">
        <f t="shared" ref="D167:D209" si="31">AC167+(0.98/12)</f>
        <v>0.98166666666666658</v>
      </c>
      <c r="E167" s="47">
        <f t="shared" si="23"/>
        <v>3977848.0583789698</v>
      </c>
      <c r="F167" s="10"/>
      <c r="H167" s="49"/>
      <c r="I167" s="39"/>
      <c r="J167" s="20">
        <f t="shared" si="24"/>
        <v>41121</v>
      </c>
      <c r="K167" s="29">
        <v>1.388953396263829</v>
      </c>
      <c r="L167" s="46">
        <f t="shared" si="25"/>
        <v>1185648.5281606254</v>
      </c>
      <c r="M167" s="10"/>
      <c r="O167" s="39"/>
      <c r="P167" s="20">
        <f t="shared" si="26"/>
        <v>41121</v>
      </c>
      <c r="Q167" s="28">
        <v>1.6327334950719066</v>
      </c>
      <c r="R167" s="46">
        <f t="shared" si="27"/>
        <v>1174586.1374849416</v>
      </c>
      <c r="S167" s="10"/>
      <c r="U167" s="49"/>
      <c r="V167" s="39"/>
      <c r="W167" s="20">
        <f t="shared" si="28"/>
        <v>41121</v>
      </c>
      <c r="X167" s="36">
        <v>2.103576235189788</v>
      </c>
      <c r="Y167" s="46">
        <f t="shared" si="29"/>
        <v>2896544.8750082753</v>
      </c>
      <c r="AC167" s="107">
        <v>0.89999999999999991</v>
      </c>
      <c r="AE167" s="223"/>
    </row>
    <row r="168" spans="1:31" x14ac:dyDescent="0.25">
      <c r="A168" s="21">
        <v>41152</v>
      </c>
      <c r="B168" s="24">
        <f t="shared" si="30"/>
        <v>152</v>
      </c>
      <c r="C168" s="97" t="s">
        <v>79</v>
      </c>
      <c r="D168" s="114">
        <f t="shared" si="31"/>
        <v>0.67166666666666663</v>
      </c>
      <c r="E168" s="47">
        <f t="shared" si="23"/>
        <v>4004565.9378377483</v>
      </c>
      <c r="F168" s="10"/>
      <c r="H168" s="49"/>
      <c r="I168" s="39"/>
      <c r="J168" s="20">
        <f t="shared" si="24"/>
        <v>41152</v>
      </c>
      <c r="K168" s="29">
        <v>2.2536384751420702</v>
      </c>
      <c r="L168" s="46">
        <f t="shared" si="25"/>
        <v>1212368.7595712089</v>
      </c>
      <c r="M168" s="10"/>
      <c r="O168" s="39"/>
      <c r="P168" s="20">
        <f t="shared" si="26"/>
        <v>41152</v>
      </c>
      <c r="Q168" s="28">
        <v>1.1354990024646383</v>
      </c>
      <c r="R168" s="46">
        <f t="shared" si="27"/>
        <v>1187923.551359171</v>
      </c>
      <c r="S168" s="10"/>
      <c r="U168" s="49"/>
      <c r="V168" s="39"/>
      <c r="W168" s="20">
        <f t="shared" si="28"/>
        <v>41152</v>
      </c>
      <c r="X168" s="36">
        <v>-0.8573801414780684</v>
      </c>
      <c r="Y168" s="46">
        <f t="shared" si="29"/>
        <v>2871710.4744609534</v>
      </c>
      <c r="AC168" s="107">
        <v>0.59</v>
      </c>
      <c r="AE168" s="223"/>
    </row>
    <row r="169" spans="1:31" x14ac:dyDescent="0.25">
      <c r="A169" s="21">
        <v>41182</v>
      </c>
      <c r="B169" s="24">
        <f t="shared" si="30"/>
        <v>153</v>
      </c>
      <c r="C169" s="97" t="s">
        <v>79</v>
      </c>
      <c r="D169" s="114">
        <f t="shared" si="31"/>
        <v>1.6533759004584168</v>
      </c>
      <c r="E169" s="47">
        <f t="shared" si="23"/>
        <v>4070776.4659719244</v>
      </c>
      <c r="F169" s="10"/>
      <c r="G169" s="49">
        <f>(E169/E166-1)*100</f>
        <v>3.3407475922563767</v>
      </c>
      <c r="H169" s="49"/>
      <c r="I169" s="39"/>
      <c r="J169" s="20">
        <f t="shared" si="24"/>
        <v>41182</v>
      </c>
      <c r="K169" s="29">
        <v>2.5841465720466861</v>
      </c>
      <c r="L169" s="46">
        <f t="shared" si="25"/>
        <v>1243698.1453122331</v>
      </c>
      <c r="M169" s="15"/>
      <c r="N169" s="49">
        <f>(L169/L166-1)*100</f>
        <v>6.3529792338246516</v>
      </c>
      <c r="O169" s="39"/>
      <c r="P169" s="20">
        <f t="shared" si="26"/>
        <v>41182</v>
      </c>
      <c r="Q169" s="28">
        <v>2.1597152713747931</v>
      </c>
      <c r="R169" s="46">
        <f t="shared" si="27"/>
        <v>1213579.3177101328</v>
      </c>
      <c r="S169" s="10"/>
      <c r="T169" s="49">
        <f>(R169/R166-1)*100</f>
        <v>5.0066737855965382</v>
      </c>
      <c r="U169" s="49"/>
      <c r="V169" s="39"/>
      <c r="W169" s="20">
        <f t="shared" si="28"/>
        <v>41182</v>
      </c>
      <c r="X169" s="36">
        <v>1.7094983597774296</v>
      </c>
      <c r="Y169" s="46">
        <f t="shared" si="29"/>
        <v>2920802.3179194201</v>
      </c>
      <c r="AA169" s="106">
        <f>(Y169/Y166-1)*100</f>
        <v>2.9586541913156239</v>
      </c>
      <c r="AC169" s="107">
        <v>1.5717092337917502</v>
      </c>
      <c r="AE169" s="223"/>
    </row>
    <row r="170" spans="1:31" x14ac:dyDescent="0.25">
      <c r="A170" s="21">
        <v>41213</v>
      </c>
      <c r="B170" s="24">
        <f t="shared" si="30"/>
        <v>154</v>
      </c>
      <c r="C170" s="97" t="s">
        <v>79</v>
      </c>
      <c r="D170" s="114">
        <f t="shared" si="31"/>
        <v>-0.40189232753063231</v>
      </c>
      <c r="E170" s="47">
        <f t="shared" si="23"/>
        <v>4054416.3276842604</v>
      </c>
      <c r="F170" s="10"/>
      <c r="H170" s="49"/>
      <c r="I170" s="39"/>
      <c r="J170" s="20">
        <f t="shared" si="24"/>
        <v>41213</v>
      </c>
      <c r="K170" s="29">
        <v>-1.8463927858727345</v>
      </c>
      <c r="L170" s="46">
        <f t="shared" si="25"/>
        <v>1220734.5924791552</v>
      </c>
      <c r="M170" s="15"/>
      <c r="O170" s="39"/>
      <c r="P170" s="20">
        <f t="shared" si="26"/>
        <v>41213</v>
      </c>
      <c r="Q170" s="28">
        <v>-1.7705537448907398</v>
      </c>
      <c r="R170" s="46">
        <f t="shared" si="27"/>
        <v>1192092.2436531966</v>
      </c>
      <c r="S170" s="10"/>
      <c r="U170" s="49"/>
      <c r="V170" s="39"/>
      <c r="W170" s="20">
        <f t="shared" si="28"/>
        <v>41213</v>
      </c>
      <c r="X170" s="36">
        <v>-8.0416829029492029E-2</v>
      </c>
      <c r="Y170" s="46">
        <f t="shared" si="29"/>
        <v>2918453.5013131294</v>
      </c>
      <c r="AC170" s="107">
        <v>-0.48355899419729897</v>
      </c>
      <c r="AE170" s="223"/>
    </row>
    <row r="171" spans="1:31" x14ac:dyDescent="0.25">
      <c r="A171" s="21">
        <v>41243</v>
      </c>
      <c r="B171" s="24">
        <f t="shared" si="30"/>
        <v>155</v>
      </c>
      <c r="C171" s="97" t="s">
        <v>79</v>
      </c>
      <c r="D171" s="114">
        <f t="shared" si="31"/>
        <v>1.1506656948493803</v>
      </c>
      <c r="E171" s="47">
        <f t="shared" si="23"/>
        <v>4101069.1054932955</v>
      </c>
      <c r="F171" s="10"/>
      <c r="H171" s="49"/>
      <c r="I171" s="39"/>
      <c r="J171" s="20">
        <f t="shared" si="24"/>
        <v>41243</v>
      </c>
      <c r="K171" s="29">
        <v>0.57985654598500125</v>
      </c>
      <c r="L171" s="46">
        <f t="shared" si="25"/>
        <v>1227813.1019227488</v>
      </c>
      <c r="M171" s="15"/>
      <c r="O171" s="39"/>
      <c r="P171" s="20">
        <f t="shared" si="26"/>
        <v>41243</v>
      </c>
      <c r="Q171" s="28">
        <v>0.53296557019323232</v>
      </c>
      <c r="R171" s="46">
        <f t="shared" si="27"/>
        <v>1198445.6848768122</v>
      </c>
      <c r="S171" s="10"/>
      <c r="U171" s="49"/>
      <c r="V171" s="39"/>
      <c r="W171" s="20">
        <f t="shared" si="28"/>
        <v>41243</v>
      </c>
      <c r="X171" s="36">
        <v>-0.24198479384841656</v>
      </c>
      <c r="Y171" s="46">
        <f t="shared" si="29"/>
        <v>2911391.287624415</v>
      </c>
      <c r="AC171" s="107">
        <v>1.0689990281827135</v>
      </c>
      <c r="AE171" s="223"/>
    </row>
    <row r="172" spans="1:31" x14ac:dyDescent="0.25">
      <c r="A172" s="21">
        <v>41274</v>
      </c>
      <c r="B172" s="24">
        <f t="shared" si="30"/>
        <v>156</v>
      </c>
      <c r="C172" s="97" t="s">
        <v>79</v>
      </c>
      <c r="D172" s="114">
        <f t="shared" si="31"/>
        <v>-0.6839784333333333</v>
      </c>
      <c r="E172" s="47">
        <f t="shared" si="23"/>
        <v>4073018.6772756251</v>
      </c>
      <c r="F172" s="12">
        <f>(E172-E160)/E160*100</f>
        <v>12.076827347520828</v>
      </c>
      <c r="G172" s="49">
        <f>(E172/E169-1)*100</f>
        <v>5.5080678648011805E-2</v>
      </c>
      <c r="H172" s="49"/>
      <c r="I172" s="39"/>
      <c r="J172" s="20">
        <f t="shared" si="24"/>
        <v>41274</v>
      </c>
      <c r="K172" s="29">
        <v>0.90745693207692124</v>
      </c>
      <c r="L172" s="46">
        <f t="shared" si="25"/>
        <v>1238954.9770290954</v>
      </c>
      <c r="M172" s="12">
        <f>(L172-L160)/L160*100</f>
        <v>15.993714551158131</v>
      </c>
      <c r="N172" s="49">
        <f>(L172/L169-1)*100</f>
        <v>-0.38137616438649324</v>
      </c>
      <c r="O172" s="39"/>
      <c r="P172" s="20">
        <f t="shared" si="26"/>
        <v>41274</v>
      </c>
      <c r="Q172" s="28">
        <v>-0.26478088416582263</v>
      </c>
      <c r="R172" s="46">
        <f t="shared" si="27"/>
        <v>1195272.4297961481</v>
      </c>
      <c r="S172" s="12">
        <f>(R172-R160)/R160*100</f>
        <v>12.655552734989056</v>
      </c>
      <c r="T172" s="49">
        <f>(R172/R169-1)*100</f>
        <v>-1.5085036179198763</v>
      </c>
      <c r="U172" s="49"/>
      <c r="V172" s="39"/>
      <c r="W172" s="20">
        <f t="shared" si="28"/>
        <v>41274</v>
      </c>
      <c r="X172" s="36">
        <v>-0.54795232598180443</v>
      </c>
      <c r="Y172" s="46">
        <f t="shared" si="29"/>
        <v>2895438.2513454454</v>
      </c>
      <c r="Z172" s="33">
        <f>(Y172-Y160)/Y160*100</f>
        <v>10.301498786342176</v>
      </c>
      <c r="AA172" s="106">
        <f>(Y172/Y169-1)*100</f>
        <v>-0.86839381146623928</v>
      </c>
      <c r="AC172" s="107">
        <v>-0.76564509999999997</v>
      </c>
      <c r="AE172" s="223"/>
    </row>
    <row r="173" spans="1:31" x14ac:dyDescent="0.25">
      <c r="A173" s="21">
        <v>41305</v>
      </c>
      <c r="B173" s="24">
        <f t="shared" si="30"/>
        <v>157</v>
      </c>
      <c r="C173" s="97" t="s">
        <v>79</v>
      </c>
      <c r="D173" s="114">
        <f t="shared" si="31"/>
        <v>4.8855882352941205</v>
      </c>
      <c r="E173" s="47">
        <f t="shared" si="23"/>
        <v>4272009.5985939354</v>
      </c>
      <c r="F173" s="10"/>
      <c r="H173" s="49"/>
      <c r="I173" s="39"/>
      <c r="J173" s="20">
        <f t="shared" si="24"/>
        <v>41305</v>
      </c>
      <c r="K173" s="29">
        <v>5.1790588389629049</v>
      </c>
      <c r="L173" s="46">
        <f t="shared" si="25"/>
        <v>1303121.1842776916</v>
      </c>
      <c r="M173" s="15"/>
      <c r="O173" s="39"/>
      <c r="P173" s="20">
        <f t="shared" si="26"/>
        <v>41305</v>
      </c>
      <c r="Q173" s="28">
        <v>5.487722209789891</v>
      </c>
      <c r="R173" s="46">
        <f t="shared" si="27"/>
        <v>1260865.6603935666</v>
      </c>
      <c r="S173" s="10"/>
      <c r="U173" s="49"/>
      <c r="V173" s="39"/>
      <c r="W173" s="20">
        <f t="shared" si="28"/>
        <v>41305</v>
      </c>
      <c r="X173" s="36">
        <v>5.0441103772085105</v>
      </c>
      <c r="Y173" s="46">
        <f t="shared" si="29"/>
        <v>3041487.3526472258</v>
      </c>
      <c r="AC173" s="107">
        <v>4.8039215686274535</v>
      </c>
      <c r="AE173" s="223"/>
    </row>
    <row r="174" spans="1:31" x14ac:dyDescent="0.25">
      <c r="A174" s="21">
        <v>41333</v>
      </c>
      <c r="B174" s="24">
        <f t="shared" si="30"/>
        <v>158</v>
      </c>
      <c r="C174" s="97" t="s">
        <v>79</v>
      </c>
      <c r="D174" s="114">
        <f t="shared" si="31"/>
        <v>3.9170268163392592</v>
      </c>
      <c r="E174" s="47">
        <f t="shared" si="23"/>
        <v>4439345.3601674465</v>
      </c>
      <c r="F174" s="10"/>
      <c r="H174" s="49"/>
      <c r="I174" s="39"/>
      <c r="J174" s="20">
        <f t="shared" si="24"/>
        <v>41333</v>
      </c>
      <c r="K174" s="29">
        <v>1.35685017550303</v>
      </c>
      <c r="L174" s="46">
        <f t="shared" si="25"/>
        <v>1320802.5863535807</v>
      </c>
      <c r="M174" s="15"/>
      <c r="O174" s="39"/>
      <c r="P174" s="20">
        <f t="shared" si="26"/>
        <v>41333</v>
      </c>
      <c r="Q174" s="28">
        <v>1.9114616157658963</v>
      </c>
      <c r="R174" s="46">
        <f t="shared" si="27"/>
        <v>1284966.6235183629</v>
      </c>
      <c r="S174" s="10"/>
      <c r="U174" s="49"/>
      <c r="V174" s="39"/>
      <c r="W174" s="20">
        <f t="shared" si="28"/>
        <v>41333</v>
      </c>
      <c r="X174" s="36">
        <v>2.7228097381367515</v>
      </c>
      <c r="Y174" s="46">
        <f t="shared" si="29"/>
        <v>3124301.2664693021</v>
      </c>
      <c r="AC174" s="107">
        <v>3.8353601496725926</v>
      </c>
      <c r="AE174" s="223"/>
    </row>
    <row r="175" spans="1:31" x14ac:dyDescent="0.25">
      <c r="A175" s="21">
        <v>41364</v>
      </c>
      <c r="B175" s="24">
        <f t="shared" si="30"/>
        <v>159</v>
      </c>
      <c r="C175" s="97" t="s">
        <v>79</v>
      </c>
      <c r="D175" s="114">
        <f t="shared" si="31"/>
        <v>4.4059909909909951</v>
      </c>
      <c r="E175" s="47">
        <f t="shared" si="23"/>
        <v>4634942.5167954005</v>
      </c>
      <c r="F175" s="10"/>
      <c r="G175" s="49">
        <f>(E175/E172-1)*100</f>
        <v>13.796250006288634</v>
      </c>
      <c r="H175" s="49"/>
      <c r="I175" s="39"/>
      <c r="J175" s="20">
        <f t="shared" si="24"/>
        <v>41364</v>
      </c>
      <c r="K175" s="29">
        <v>3.7504846466217607</v>
      </c>
      <c r="L175" s="46">
        <f t="shared" si="25"/>
        <v>1370339.0845669548</v>
      </c>
      <c r="M175" s="15"/>
      <c r="N175" s="49">
        <f>(L175/L172-1)*100</f>
        <v>10.604429537294969</v>
      </c>
      <c r="O175" s="39"/>
      <c r="P175" s="20">
        <f t="shared" si="26"/>
        <v>41364</v>
      </c>
      <c r="Q175" s="28">
        <v>4.0247244064817593</v>
      </c>
      <c r="R175" s="46">
        <f t="shared" si="27"/>
        <v>1336682.9888302509</v>
      </c>
      <c r="S175" s="10"/>
      <c r="T175" s="49">
        <f>(R175/R172-1)*100</f>
        <v>11.830822455950084</v>
      </c>
      <c r="U175" s="49"/>
      <c r="V175" s="39"/>
      <c r="W175" s="20">
        <f t="shared" si="28"/>
        <v>41364</v>
      </c>
      <c r="X175" s="36">
        <v>4.8732099591410032</v>
      </c>
      <c r="Y175" s="46">
        <f t="shared" si="29"/>
        <v>3276555.0269404529</v>
      </c>
      <c r="AA175" s="106">
        <f>(Y175/Y172-1)*100</f>
        <v>13.162662868666297</v>
      </c>
      <c r="AC175" s="107">
        <v>4.3243243243243281</v>
      </c>
      <c r="AE175" s="223"/>
    </row>
    <row r="176" spans="1:31" x14ac:dyDescent="0.25">
      <c r="A176" s="21">
        <v>41394</v>
      </c>
      <c r="B176" s="24">
        <f t="shared" si="30"/>
        <v>160</v>
      </c>
      <c r="C176" s="97" t="s">
        <v>79</v>
      </c>
      <c r="D176" s="114">
        <f t="shared" si="31"/>
        <v>2.5859844559585419</v>
      </c>
      <c r="E176" s="47">
        <f t="shared" si="23"/>
        <v>4754801.4098223429</v>
      </c>
      <c r="F176" s="10"/>
      <c r="H176" s="49"/>
      <c r="I176" s="39"/>
      <c r="J176" s="20">
        <f t="shared" si="24"/>
        <v>41394</v>
      </c>
      <c r="K176" s="29">
        <v>1.9264708679827447</v>
      </c>
      <c r="L176" s="46">
        <f t="shared" si="25"/>
        <v>1396738.2678237185</v>
      </c>
      <c r="M176" s="15"/>
      <c r="O176" s="39"/>
      <c r="P176" s="20">
        <f t="shared" si="26"/>
        <v>41394</v>
      </c>
      <c r="Q176" s="28">
        <v>2.6750954327045702</v>
      </c>
      <c r="R176" s="46">
        <f t="shared" si="27"/>
        <v>1372440.534414188</v>
      </c>
      <c r="S176" s="10"/>
      <c r="U176" s="49"/>
      <c r="V176" s="39"/>
      <c r="W176" s="20">
        <f t="shared" si="28"/>
        <v>41394</v>
      </c>
      <c r="X176" s="36">
        <v>3.8395552224128378</v>
      </c>
      <c r="Y176" s="46">
        <f t="shared" si="29"/>
        <v>3402360.1665925756</v>
      </c>
      <c r="AC176" s="107">
        <v>2.5043177892918753</v>
      </c>
      <c r="AE176" s="223"/>
    </row>
    <row r="177" spans="1:31" x14ac:dyDescent="0.25">
      <c r="A177" s="21">
        <v>41425</v>
      </c>
      <c r="B177" s="24">
        <f t="shared" si="30"/>
        <v>161</v>
      </c>
      <c r="C177" s="97" t="s">
        <v>79</v>
      </c>
      <c r="D177" s="114">
        <f t="shared" si="31"/>
        <v>-1.2662693063746002</v>
      </c>
      <c r="E177" s="47">
        <f t="shared" si="23"/>
        <v>4694592.8189906962</v>
      </c>
      <c r="F177" s="10"/>
      <c r="H177" s="49"/>
      <c r="I177" s="39"/>
      <c r="J177" s="20">
        <f t="shared" si="24"/>
        <v>41425</v>
      </c>
      <c r="K177" s="29">
        <v>2.3380172001401065</v>
      </c>
      <c r="L177" s="46">
        <f t="shared" ref="L177:L197" si="32">L176*K177/100+L176</f>
        <v>1429394.2487663759</v>
      </c>
      <c r="M177" s="15"/>
      <c r="O177" s="39"/>
      <c r="P177" s="20">
        <f t="shared" si="26"/>
        <v>41425</v>
      </c>
      <c r="Q177" s="28">
        <v>0.61008936388019086</v>
      </c>
      <c r="R177" s="46">
        <f t="shared" ref="R177:R194" si="33">R176*Q177/100+R176</f>
        <v>1380813.6481402295</v>
      </c>
      <c r="S177" s="10"/>
      <c r="U177" s="49"/>
      <c r="V177" s="39"/>
      <c r="W177" s="20">
        <f t="shared" si="28"/>
        <v>41425</v>
      </c>
      <c r="X177" s="36">
        <v>-3.4338617670715457</v>
      </c>
      <c r="Y177" s="46">
        <f t="shared" si="29"/>
        <v>3285527.8216538816</v>
      </c>
      <c r="AC177" s="107">
        <v>-1.3479359730412668</v>
      </c>
      <c r="AE177" s="223"/>
    </row>
    <row r="178" spans="1:31" x14ac:dyDescent="0.25">
      <c r="A178" s="21">
        <v>41455</v>
      </c>
      <c r="B178" s="24">
        <f t="shared" si="30"/>
        <v>162</v>
      </c>
      <c r="C178" s="97" t="s">
        <v>79</v>
      </c>
      <c r="D178" s="114">
        <f t="shared" si="31"/>
        <v>0.5086521491602527</v>
      </c>
      <c r="E178" s="47">
        <f t="shared" si="23"/>
        <v>4718471.9662588155</v>
      </c>
      <c r="F178" s="10"/>
      <c r="G178" s="49">
        <f>(E178/E175-1)*100</f>
        <v>1.8021679699528947</v>
      </c>
      <c r="H178" s="49"/>
      <c r="I178" s="39"/>
      <c r="J178" s="20">
        <f t="shared" si="24"/>
        <v>41455</v>
      </c>
      <c r="K178" s="29">
        <v>-1.3426216140609801</v>
      </c>
      <c r="L178" s="46">
        <f t="shared" si="32"/>
        <v>1410202.892632294</v>
      </c>
      <c r="M178" s="15"/>
      <c r="N178" s="49">
        <f>(L178/L175-1)*100</f>
        <v>2.9090470026210236</v>
      </c>
      <c r="O178" s="39"/>
      <c r="P178" s="20">
        <f t="shared" si="26"/>
        <v>41455</v>
      </c>
      <c r="Q178" s="28">
        <v>-0.92038740175114964</v>
      </c>
      <c r="R178" s="46">
        <f t="shared" si="33"/>
        <v>1368104.8132810865</v>
      </c>
      <c r="S178" s="10"/>
      <c r="T178" s="49">
        <f>(R178/R175-1)*100</f>
        <v>2.3507312289754889</v>
      </c>
      <c r="U178" s="49"/>
      <c r="V178" s="39"/>
      <c r="W178" s="20">
        <f t="shared" si="28"/>
        <v>41455</v>
      </c>
      <c r="X178" s="36">
        <v>0.60416060922727655</v>
      </c>
      <c r="Y178" s="46">
        <f t="shared" si="29"/>
        <v>3305377.6865575174</v>
      </c>
      <c r="AA178" s="106">
        <f>(Y178/Y175-1)*100</f>
        <v>0.87966353014305998</v>
      </c>
      <c r="AC178" s="107">
        <v>0.42698548249358609</v>
      </c>
      <c r="AE178" s="223"/>
    </row>
    <row r="179" spans="1:31" x14ac:dyDescent="0.25">
      <c r="A179" s="21">
        <v>41486</v>
      </c>
      <c r="B179" s="24">
        <f t="shared" si="30"/>
        <v>163</v>
      </c>
      <c r="C179" s="97" t="s">
        <v>79</v>
      </c>
      <c r="D179" s="114">
        <f t="shared" si="31"/>
        <v>4.5884693877550973</v>
      </c>
      <c r="E179" s="47">
        <f t="shared" si="23"/>
        <v>4934977.608000407</v>
      </c>
      <c r="F179" s="10"/>
      <c r="H179" s="49"/>
      <c r="I179" s="39"/>
      <c r="J179" s="20">
        <f t="shared" si="24"/>
        <v>41486</v>
      </c>
      <c r="K179" s="29">
        <v>5.0883842905535053</v>
      </c>
      <c r="L179" s="46">
        <f t="shared" si="32"/>
        <v>1481959.4350859267</v>
      </c>
      <c r="M179" s="15"/>
      <c r="O179" s="39"/>
      <c r="P179" s="20">
        <f t="shared" si="26"/>
        <v>41486</v>
      </c>
      <c r="Q179" s="28">
        <v>4.4449288630141188</v>
      </c>
      <c r="R179" s="46">
        <f t="shared" si="33"/>
        <v>1428916.0990029029</v>
      </c>
      <c r="S179" s="10"/>
      <c r="U179" s="49"/>
      <c r="V179" s="39"/>
      <c r="W179" s="20">
        <f t="shared" si="28"/>
        <v>41486</v>
      </c>
      <c r="X179" s="36">
        <v>4.2384464752580708</v>
      </c>
      <c r="Y179" s="46">
        <f t="shared" si="29"/>
        <v>3445474.3506073812</v>
      </c>
      <c r="AC179" s="107">
        <v>4.5068027210884303</v>
      </c>
      <c r="AE179" s="223"/>
    </row>
    <row r="180" spans="1:31" x14ac:dyDescent="0.25">
      <c r="A180" s="21">
        <v>41517</v>
      </c>
      <c r="B180" s="24">
        <f t="shared" si="30"/>
        <v>164</v>
      </c>
      <c r="C180" s="97" t="s">
        <v>79</v>
      </c>
      <c r="D180" s="114">
        <f t="shared" si="31"/>
        <v>-3.4984797938703518</v>
      </c>
      <c r="E180" s="47">
        <f t="shared" si="23"/>
        <v>4762328.4135524863</v>
      </c>
      <c r="F180" s="10"/>
      <c r="H180" s="49"/>
      <c r="I180" s="39"/>
      <c r="J180" s="20">
        <f t="shared" si="24"/>
        <v>41517</v>
      </c>
      <c r="K180" s="29">
        <v>-2.897235282454881</v>
      </c>
      <c r="L180" s="46">
        <f t="shared" si="32"/>
        <v>1439023.5834609482</v>
      </c>
      <c r="M180" s="15"/>
      <c r="O180" s="39"/>
      <c r="P180" s="20">
        <f t="shared" si="26"/>
        <v>41517</v>
      </c>
      <c r="Q180" s="28">
        <v>-3.2021093845271453</v>
      </c>
      <c r="R180" s="46">
        <f t="shared" si="33"/>
        <v>1383160.6424997118</v>
      </c>
      <c r="S180" s="10"/>
      <c r="U180" s="49"/>
      <c r="V180" s="39"/>
      <c r="W180" s="20">
        <f t="shared" si="28"/>
        <v>41517</v>
      </c>
      <c r="X180" s="36">
        <v>-4.8339233867019633</v>
      </c>
      <c r="Y180" s="46">
        <f t="shared" si="29"/>
        <v>3278922.7601905535</v>
      </c>
      <c r="AC180" s="107">
        <v>-3.5801464605370183</v>
      </c>
      <c r="AE180" s="223"/>
    </row>
    <row r="181" spans="1:31" x14ac:dyDescent="0.25">
      <c r="A181" s="21">
        <v>41547</v>
      </c>
      <c r="B181" s="24">
        <f t="shared" si="30"/>
        <v>165</v>
      </c>
      <c r="C181" s="97" t="s">
        <v>79</v>
      </c>
      <c r="D181" s="114">
        <f t="shared" si="31"/>
        <v>2.106983122362871</v>
      </c>
      <c r="E181" s="47">
        <f t="shared" si="23"/>
        <v>4862669.8694575289</v>
      </c>
      <c r="F181" s="10"/>
      <c r="G181" s="49">
        <f>(E181/E178-1)*100</f>
        <v>3.0560296687117017</v>
      </c>
      <c r="H181" s="49"/>
      <c r="I181" s="39"/>
      <c r="J181" s="20">
        <f t="shared" si="24"/>
        <v>41547</v>
      </c>
      <c r="K181" s="29">
        <v>3.1362227634925532</v>
      </c>
      <c r="L181" s="46">
        <f t="shared" si="32"/>
        <v>1484154.5686574767</v>
      </c>
      <c r="M181" s="15"/>
      <c r="N181" s="49">
        <f>(L181/L178-1)*100</f>
        <v>5.244045123687413</v>
      </c>
      <c r="O181" s="39"/>
      <c r="P181" s="20">
        <f t="shared" si="26"/>
        <v>41547</v>
      </c>
      <c r="Q181" s="28">
        <v>2.6107124007797928</v>
      </c>
      <c r="R181" s="46">
        <f t="shared" si="33"/>
        <v>1419270.9889161573</v>
      </c>
      <c r="S181" s="10"/>
      <c r="T181" s="49">
        <f>(R181/R178-1)*100</f>
        <v>3.7399309715430595</v>
      </c>
      <c r="U181" s="49"/>
      <c r="V181" s="39"/>
      <c r="W181" s="20">
        <f t="shared" si="28"/>
        <v>41547</v>
      </c>
      <c r="X181" s="36">
        <v>1.9794963904262544</v>
      </c>
      <c r="Y181" s="46">
        <f t="shared" si="29"/>
        <v>3343828.9178733905</v>
      </c>
      <c r="AA181" s="106">
        <f>(Y181/Y178-1)*100</f>
        <v>1.1632931229689225</v>
      </c>
      <c r="AC181" s="107">
        <v>2.0253164556962044</v>
      </c>
      <c r="AE181" s="223"/>
    </row>
    <row r="182" spans="1:31" x14ac:dyDescent="0.25">
      <c r="A182" s="21">
        <v>41578</v>
      </c>
      <c r="B182" s="24">
        <f t="shared" si="30"/>
        <v>166</v>
      </c>
      <c r="C182" s="97" t="s">
        <v>79</v>
      </c>
      <c r="D182" s="114">
        <f t="shared" si="31"/>
        <v>3.8037510339123184</v>
      </c>
      <c r="E182" s="47">
        <f t="shared" si="23"/>
        <v>5047633.7248927625</v>
      </c>
      <c r="F182" s="1"/>
      <c r="H182" s="49"/>
      <c r="I182" s="39"/>
      <c r="J182" s="20">
        <f t="shared" si="24"/>
        <v>41578</v>
      </c>
      <c r="K182" s="29">
        <v>4.5962932762223021</v>
      </c>
      <c r="L182" s="46">
        <f t="shared" si="32"/>
        <v>1552370.6653054263</v>
      </c>
      <c r="M182" s="4"/>
      <c r="O182" s="39"/>
      <c r="P182" s="20">
        <f t="shared" si="26"/>
        <v>41578</v>
      </c>
      <c r="Q182" s="28">
        <v>4.6154995345851768</v>
      </c>
      <c r="R182" s="46">
        <f t="shared" si="33"/>
        <v>1484777.4348040849</v>
      </c>
      <c r="S182" s="54"/>
      <c r="U182" s="49"/>
      <c r="V182" s="39"/>
      <c r="W182" s="20">
        <f t="shared" si="28"/>
        <v>41578</v>
      </c>
      <c r="X182" s="36">
        <v>4.5744904530364456</v>
      </c>
      <c r="Y182" s="46">
        <f t="shared" si="29"/>
        <v>3496792.0524873808</v>
      </c>
      <c r="AC182" s="107">
        <v>3.7220843672456518</v>
      </c>
      <c r="AE182" s="223"/>
    </row>
    <row r="183" spans="1:31" x14ac:dyDescent="0.25">
      <c r="A183" s="21">
        <v>41608</v>
      </c>
      <c r="B183" s="24">
        <f t="shared" si="30"/>
        <v>167</v>
      </c>
      <c r="C183" s="97" t="s">
        <v>79</v>
      </c>
      <c r="D183" s="114">
        <f t="shared" si="31"/>
        <v>1.9157974481658728</v>
      </c>
      <c r="E183" s="47">
        <f t="shared" si="23"/>
        <v>5144336.162987018</v>
      </c>
      <c r="F183" s="1"/>
      <c r="H183" s="49"/>
      <c r="I183" s="39"/>
      <c r="J183" s="20">
        <f t="shared" si="24"/>
        <v>41608</v>
      </c>
      <c r="K183" s="29">
        <v>3.0467850036079138</v>
      </c>
      <c r="L183" s="46">
        <f t="shared" si="32"/>
        <v>1599668.0619363606</v>
      </c>
      <c r="M183" s="4"/>
      <c r="O183" s="39"/>
      <c r="P183" s="20">
        <f t="shared" si="26"/>
        <v>41608</v>
      </c>
      <c r="Q183" s="28">
        <v>2.9453819983255345</v>
      </c>
      <c r="R183" s="46">
        <f t="shared" si="33"/>
        <v>1528509.802084004</v>
      </c>
      <c r="S183" s="54"/>
      <c r="U183" s="49"/>
      <c r="V183" s="39"/>
      <c r="W183" s="20">
        <f t="shared" si="28"/>
        <v>41608</v>
      </c>
      <c r="X183" s="36">
        <v>1.1941041333819051</v>
      </c>
      <c r="Y183" s="46">
        <f t="shared" si="29"/>
        <v>3538547.3909219024</v>
      </c>
      <c r="AC183" s="107">
        <v>1.8341307814992061</v>
      </c>
      <c r="AE183" s="223"/>
    </row>
    <row r="184" spans="1:31" x14ac:dyDescent="0.25">
      <c r="A184" s="21">
        <v>41639</v>
      </c>
      <c r="B184" s="24">
        <f t="shared" si="30"/>
        <v>168</v>
      </c>
      <c r="C184" s="97" t="s">
        <v>79</v>
      </c>
      <c r="D184" s="114">
        <f t="shared" si="31"/>
        <v>2.0869416666666667</v>
      </c>
      <c r="E184" s="47">
        <f t="shared" si="23"/>
        <v>5251695.457845795</v>
      </c>
      <c r="F184" s="12">
        <f>(E184-E172)/E172*100</f>
        <v>28.93865395575763</v>
      </c>
      <c r="G184" s="49">
        <f>(E184/E181-1)*100</f>
        <v>8.0002467539846513</v>
      </c>
      <c r="H184" s="49"/>
      <c r="I184" s="39"/>
      <c r="J184" s="20">
        <f t="shared" si="24"/>
        <v>41639</v>
      </c>
      <c r="K184" s="29">
        <v>2.5247921308159684</v>
      </c>
      <c r="L184" s="46">
        <f t="shared" si="32"/>
        <v>1640056.355283306</v>
      </c>
      <c r="M184" s="12">
        <f>(L184-L172)/L172*100</f>
        <v>32.374169012663899</v>
      </c>
      <c r="N184" s="49">
        <f>(L184/L181-1)*100</f>
        <v>10.504417121921028</v>
      </c>
      <c r="O184" s="39"/>
      <c r="P184" s="20">
        <f t="shared" si="26"/>
        <v>41639</v>
      </c>
      <c r="Q184" s="28">
        <v>2.1549712067392979</v>
      </c>
      <c r="R184" s="46">
        <f t="shared" si="33"/>
        <v>1561448.7482111021</v>
      </c>
      <c r="S184" s="12">
        <f>(R184-R172)/R172*100</f>
        <v>30.635385648224549</v>
      </c>
      <c r="T184" s="49">
        <f>(R184/R181-1)*100</f>
        <v>10.017661208133365</v>
      </c>
      <c r="U184" s="49"/>
      <c r="V184" s="39"/>
      <c r="W184" s="20">
        <f t="shared" si="28"/>
        <v>41639</v>
      </c>
      <c r="X184" s="36">
        <v>1.1263765636694114</v>
      </c>
      <c r="Y184" s="46">
        <f t="shared" si="29"/>
        <v>3578404.7594275819</v>
      </c>
      <c r="Z184" s="33">
        <f>(Y184-Y172)/Y172*100</f>
        <v>23.587673049659312</v>
      </c>
      <c r="AA184" s="106">
        <f>(Y184/Y181-1)*100</f>
        <v>7.0151867011000402</v>
      </c>
      <c r="AC184" s="107">
        <v>2.0052750000000001</v>
      </c>
      <c r="AE184" s="223"/>
    </row>
    <row r="185" spans="1:31" x14ac:dyDescent="0.25">
      <c r="A185" s="21">
        <v>41670</v>
      </c>
      <c r="B185" s="24">
        <f t="shared" si="30"/>
        <v>169</v>
      </c>
      <c r="C185" s="97" t="s">
        <v>79</v>
      </c>
      <c r="D185" s="114">
        <f t="shared" si="31"/>
        <v>-3.2202201257861627</v>
      </c>
      <c r="E185" s="47">
        <f t="shared" si="23"/>
        <v>5082579.3037672471</v>
      </c>
      <c r="F185" s="10"/>
      <c r="H185" s="49"/>
      <c r="I185" s="39"/>
      <c r="J185" s="20">
        <f t="shared" si="24"/>
        <v>41670</v>
      </c>
      <c r="K185" s="29">
        <v>-3.4574234097127894</v>
      </c>
      <c r="L185" s="46">
        <f t="shared" si="32"/>
        <v>1583352.6629232585</v>
      </c>
      <c r="M185" s="15"/>
      <c r="O185" s="39"/>
      <c r="P185" s="20">
        <f t="shared" si="26"/>
        <v>41670</v>
      </c>
      <c r="Q185" s="28">
        <v>-3.3712627168050076</v>
      </c>
      <c r="R185" s="46">
        <f t="shared" si="33"/>
        <v>1508808.2087206426</v>
      </c>
      <c r="S185" s="10"/>
      <c r="U185" s="49"/>
      <c r="V185" s="39"/>
      <c r="W185" s="20">
        <f t="shared" si="28"/>
        <v>41670</v>
      </c>
      <c r="X185" s="36">
        <v>-2.4884537648391851</v>
      </c>
      <c r="Y185" s="46">
        <f t="shared" si="29"/>
        <v>3489357.8114704215</v>
      </c>
      <c r="AC185" s="107">
        <v>-3.3018867924528292</v>
      </c>
      <c r="AE185" s="223"/>
    </row>
    <row r="186" spans="1:31" x14ac:dyDescent="0.25">
      <c r="A186" s="21">
        <v>41698</v>
      </c>
      <c r="B186" s="24">
        <f t="shared" si="30"/>
        <v>170</v>
      </c>
      <c r="C186" s="97" t="s">
        <v>79</v>
      </c>
      <c r="D186" s="114">
        <f t="shared" si="31"/>
        <v>3.6589024390243861</v>
      </c>
      <c r="E186" s="47">
        <f t="shared" si="23"/>
        <v>5268545.9218781358</v>
      </c>
      <c r="F186" s="10"/>
      <c r="H186" s="49"/>
      <c r="I186" s="39"/>
      <c r="J186" s="20">
        <f t="shared" si="24"/>
        <v>41698</v>
      </c>
      <c r="K186" s="29">
        <v>4.5734913571781322</v>
      </c>
      <c r="L186" s="46">
        <f t="shared" si="32"/>
        <v>1655767.1601157035</v>
      </c>
      <c r="M186" s="15"/>
      <c r="O186" s="39"/>
      <c r="P186" s="20">
        <f t="shared" si="26"/>
        <v>41698</v>
      </c>
      <c r="Q186" s="28">
        <v>4.2773090480561953</v>
      </c>
      <c r="R186" s="46">
        <f t="shared" si="33"/>
        <v>1573344.5987500653</v>
      </c>
      <c r="S186" s="10"/>
      <c r="U186" s="49"/>
      <c r="V186" s="39"/>
      <c r="W186" s="20">
        <f t="shared" si="28"/>
        <v>41698</v>
      </c>
      <c r="X186" s="36">
        <v>3.7290898281286364</v>
      </c>
      <c r="Y186" s="46">
        <f t="shared" si="29"/>
        <v>3619479.0986849768</v>
      </c>
      <c r="AC186" s="107">
        <v>3.5772357723577195</v>
      </c>
      <c r="AE186" s="223"/>
    </row>
    <row r="187" spans="1:31" x14ac:dyDescent="0.25">
      <c r="A187" s="21">
        <v>41729</v>
      </c>
      <c r="B187" s="24">
        <f t="shared" si="30"/>
        <v>171</v>
      </c>
      <c r="C187" s="97" t="s">
        <v>79</v>
      </c>
      <c r="D187" s="114">
        <f t="shared" si="31"/>
        <v>1.8870041862899041</v>
      </c>
      <c r="E187" s="47">
        <f t="shared" si="23"/>
        <v>5367963.6039805822</v>
      </c>
      <c r="F187" s="10"/>
      <c r="G187" s="49">
        <f>(E187/E184-1)*100</f>
        <v>2.2139163831575104</v>
      </c>
      <c r="H187" s="49"/>
      <c r="I187" s="39"/>
      <c r="J187" s="20">
        <f t="shared" si="24"/>
        <v>41729</v>
      </c>
      <c r="K187" s="29">
        <v>0.84079821406014832</v>
      </c>
      <c r="L187" s="46">
        <f t="shared" si="32"/>
        <v>1669688.8208269507</v>
      </c>
      <c r="M187" s="15"/>
      <c r="N187" s="49">
        <f>(L187/L184-1)*100</f>
        <v>1.8067955682246062</v>
      </c>
      <c r="O187" s="39"/>
      <c r="P187" s="20">
        <f t="shared" si="26"/>
        <v>41729</v>
      </c>
      <c r="Q187" s="28">
        <v>1.1740198957208625</v>
      </c>
      <c r="R187" s="46">
        <f t="shared" si="33"/>
        <v>1591815.9773676407</v>
      </c>
      <c r="S187" s="10"/>
      <c r="T187" s="49">
        <f>(R187/R184-1)*100</f>
        <v>1.9448111371781707</v>
      </c>
      <c r="U187" s="49"/>
      <c r="V187" s="39"/>
      <c r="W187" s="20">
        <f t="shared" si="28"/>
        <v>41729</v>
      </c>
      <c r="X187" s="36">
        <v>2.1060425250211288</v>
      </c>
      <c r="Y187" s="46">
        <f t="shared" si="29"/>
        <v>3695706.8676875341</v>
      </c>
      <c r="AA187" s="106">
        <f>(Y187/Y184-1)*100</f>
        <v>3.2780558976988505</v>
      </c>
      <c r="AC187" s="107">
        <v>1.8053375196232375</v>
      </c>
      <c r="AE187" s="223"/>
    </row>
    <row r="188" spans="1:31" x14ac:dyDescent="0.25">
      <c r="A188" s="21">
        <v>41759</v>
      </c>
      <c r="B188" s="24">
        <f t="shared" si="30"/>
        <v>172</v>
      </c>
      <c r="C188" s="97" t="s">
        <v>79</v>
      </c>
      <c r="D188" s="114">
        <f t="shared" si="31"/>
        <v>0.69847468517090772</v>
      </c>
      <c r="E188" s="47">
        <f t="shared" si="23"/>
        <v>5405457.4708635742</v>
      </c>
      <c r="F188" s="10"/>
      <c r="H188" s="49"/>
      <c r="I188" s="39"/>
      <c r="J188" s="20">
        <f t="shared" si="24"/>
        <v>41759</v>
      </c>
      <c r="K188" s="29">
        <v>0.73893574420213537</v>
      </c>
      <c r="L188" s="46">
        <f t="shared" si="32"/>
        <v>1682026.7483409883</v>
      </c>
      <c r="M188" s="15"/>
      <c r="O188" s="39"/>
      <c r="P188" s="20">
        <f t="shared" si="26"/>
        <v>41759</v>
      </c>
      <c r="Q188" s="28">
        <v>1.4185078279365659</v>
      </c>
      <c r="R188" s="46">
        <f t="shared" si="33"/>
        <v>1614396.0116129457</v>
      </c>
      <c r="S188" s="10"/>
      <c r="U188" s="49"/>
      <c r="V188" s="39"/>
      <c r="W188" s="20">
        <f t="shared" si="28"/>
        <v>41759</v>
      </c>
      <c r="X188" s="36">
        <v>1.9478624953933084</v>
      </c>
      <c r="Y188" s="46">
        <f t="shared" si="29"/>
        <v>3767694.1557028946</v>
      </c>
      <c r="AC188" s="107">
        <v>0.61680801850424105</v>
      </c>
      <c r="AE188" s="223"/>
    </row>
    <row r="189" spans="1:31" x14ac:dyDescent="0.25">
      <c r="A189" s="21">
        <v>41790</v>
      </c>
      <c r="B189" s="24">
        <f t="shared" si="30"/>
        <v>173</v>
      </c>
      <c r="C189" s="97" t="s">
        <v>79</v>
      </c>
      <c r="D189" s="114">
        <f t="shared" si="31"/>
        <v>1.2310919540229777</v>
      </c>
      <c r="E189" s="47">
        <f t="shared" si="23"/>
        <v>5472003.6228655092</v>
      </c>
      <c r="F189" s="10"/>
      <c r="H189" s="49"/>
      <c r="I189" s="39"/>
      <c r="J189" s="20">
        <f t="shared" si="24"/>
        <v>41790</v>
      </c>
      <c r="K189" s="29">
        <v>2.3465618221986664</v>
      </c>
      <c r="L189" s="46">
        <f t="shared" si="32"/>
        <v>1721496.5458567275</v>
      </c>
      <c r="M189" s="15"/>
      <c r="O189" s="39"/>
      <c r="P189" s="20">
        <f t="shared" si="26"/>
        <v>41790</v>
      </c>
      <c r="Q189" s="28">
        <v>1.7756785159117283</v>
      </c>
      <c r="R189" s="46">
        <f t="shared" si="33"/>
        <v>1643062.4947528925</v>
      </c>
      <c r="S189" s="10"/>
      <c r="U189" s="49"/>
      <c r="V189" s="39"/>
      <c r="W189" s="20">
        <f t="shared" si="28"/>
        <v>41790</v>
      </c>
      <c r="X189" s="36">
        <v>1.0427257307489917</v>
      </c>
      <c r="Y189" s="46">
        <f t="shared" si="29"/>
        <v>3806980.8721203348</v>
      </c>
      <c r="AC189" s="107">
        <v>1.1494252873563109</v>
      </c>
      <c r="AE189" s="223"/>
    </row>
    <row r="190" spans="1:31" x14ac:dyDescent="0.25">
      <c r="A190" s="21">
        <v>41820</v>
      </c>
      <c r="B190" s="24">
        <f t="shared" si="30"/>
        <v>174</v>
      </c>
      <c r="C190" s="97" t="s">
        <v>79</v>
      </c>
      <c r="D190" s="114">
        <f t="shared" si="31"/>
        <v>1.4453030303030419</v>
      </c>
      <c r="E190" s="47">
        <f t="shared" si="23"/>
        <v>5551090.6570450766</v>
      </c>
      <c r="F190" s="10"/>
      <c r="G190" s="49">
        <f>(E190/E187-1)*100</f>
        <v>3.411480899920738</v>
      </c>
      <c r="H190" s="49"/>
      <c r="I190" s="39"/>
      <c r="J190" s="20">
        <f t="shared" si="24"/>
        <v>41820</v>
      </c>
      <c r="K190" s="29">
        <v>2.0658252562913795</v>
      </c>
      <c r="L190" s="46">
        <f t="shared" si="32"/>
        <v>1757059.6562872196</v>
      </c>
      <c r="M190" s="15"/>
      <c r="N190" s="49">
        <f>(L190/L187-1)*100</f>
        <v>5.2327616002721067</v>
      </c>
      <c r="O190" s="39"/>
      <c r="P190" s="20">
        <f t="shared" si="26"/>
        <v>41820</v>
      </c>
      <c r="Q190" s="28">
        <v>1.3691376769380306</v>
      </c>
      <c r="R190" s="46">
        <f t="shared" si="33"/>
        <v>1665558.2824241924</v>
      </c>
      <c r="S190" s="10"/>
      <c r="T190" s="49">
        <f>(R190/R187-1)*100</f>
        <v>4.6325898285364708</v>
      </c>
      <c r="U190" s="49"/>
      <c r="V190" s="39"/>
      <c r="W190" s="20">
        <f t="shared" si="28"/>
        <v>41820</v>
      </c>
      <c r="X190" s="36">
        <v>2.1555243800838326</v>
      </c>
      <c r="Y190" s="46">
        <f t="shared" si="29"/>
        <v>3889041.2729640165</v>
      </c>
      <c r="AA190" s="106">
        <f>(Y190/Y187-1)*100</f>
        <v>5.2313241336008565</v>
      </c>
      <c r="AC190" s="107">
        <v>1.3636363636363751</v>
      </c>
      <c r="AE190" s="223"/>
    </row>
    <row r="191" spans="1:31" x14ac:dyDescent="0.25">
      <c r="A191" s="21">
        <v>41851</v>
      </c>
      <c r="B191" s="24">
        <f t="shared" si="30"/>
        <v>175</v>
      </c>
      <c r="C191" s="97" t="s">
        <v>79</v>
      </c>
      <c r="D191" s="114">
        <f t="shared" si="31"/>
        <v>-0.96467115097160361</v>
      </c>
      <c r="E191" s="47">
        <f t="shared" si="23"/>
        <v>5497540.8869122826</v>
      </c>
      <c r="F191" s="22"/>
      <c r="H191" s="49"/>
      <c r="I191" s="39"/>
      <c r="J191" s="20">
        <f t="shared" si="24"/>
        <v>41851</v>
      </c>
      <c r="K191" s="29">
        <v>-1.379228117077598</v>
      </c>
      <c r="L191" s="46">
        <f t="shared" si="32"/>
        <v>1732825.7954738792</v>
      </c>
      <c r="M191" s="113"/>
      <c r="O191" s="39"/>
      <c r="P191" s="20">
        <f t="shared" si="26"/>
        <v>41851</v>
      </c>
      <c r="Q191" s="28">
        <v>-1.5425272715614404</v>
      </c>
      <c r="R191" s="46">
        <f t="shared" si="33"/>
        <v>1639866.5916940488</v>
      </c>
      <c r="S191" s="22"/>
      <c r="U191" s="49"/>
      <c r="V191" s="39"/>
      <c r="W191" s="20">
        <f t="shared" si="28"/>
        <v>41851</v>
      </c>
      <c r="X191" s="36">
        <v>-3.8000697186124377</v>
      </c>
      <c r="Y191" s="46">
        <f t="shared" si="29"/>
        <v>3741254.9932057713</v>
      </c>
      <c r="AC191" s="107">
        <v>-1.0463378176382703</v>
      </c>
      <c r="AE191" s="223"/>
    </row>
    <row r="192" spans="1:31" x14ac:dyDescent="0.25">
      <c r="A192" s="21">
        <v>41882</v>
      </c>
      <c r="B192" s="24">
        <f t="shared" si="30"/>
        <v>176</v>
      </c>
      <c r="C192" s="97" t="s">
        <v>79</v>
      </c>
      <c r="D192" s="114">
        <f t="shared" si="31"/>
        <v>3.7070443101712014</v>
      </c>
      <c r="E192" s="47">
        <f t="shared" si="23"/>
        <v>5701337.1635598997</v>
      </c>
      <c r="F192" s="4"/>
      <c r="H192" s="49"/>
      <c r="I192" s="39"/>
      <c r="J192" s="20">
        <f t="shared" si="24"/>
        <v>41882</v>
      </c>
      <c r="K192" s="29">
        <v>4.0001307171931559</v>
      </c>
      <c r="L192" s="46">
        <f t="shared" si="32"/>
        <v>1802141.0923940765</v>
      </c>
      <c r="M192" s="4"/>
      <c r="O192" s="39"/>
      <c r="P192" s="20">
        <f t="shared" si="26"/>
        <v>41882</v>
      </c>
      <c r="Q192" s="28">
        <v>3.6376809722040209</v>
      </c>
      <c r="R192" s="46">
        <f t="shared" si="33"/>
        <v>1699519.7066696337</v>
      </c>
      <c r="S192" s="54"/>
      <c r="U192" s="49"/>
      <c r="V192" s="39"/>
      <c r="W192" s="20">
        <f t="shared" si="28"/>
        <v>41882</v>
      </c>
      <c r="X192" s="36">
        <v>3.7552616388082538</v>
      </c>
      <c r="Y192" s="46">
        <f t="shared" si="29"/>
        <v>3881748.9067756259</v>
      </c>
      <c r="AC192" s="107">
        <v>3.6253776435045348</v>
      </c>
      <c r="AE192" s="223"/>
    </row>
    <row r="193" spans="1:56" x14ac:dyDescent="0.25">
      <c r="A193" s="21">
        <v>41912</v>
      </c>
      <c r="B193" s="24">
        <f t="shared" si="30"/>
        <v>177</v>
      </c>
      <c r="C193" s="97" t="s">
        <v>79</v>
      </c>
      <c r="D193" s="114">
        <f t="shared" si="31"/>
        <v>-0.79296890184645996</v>
      </c>
      <c r="E193" s="47">
        <f t="shared" si="23"/>
        <v>5656127.3328634547</v>
      </c>
      <c r="F193" s="12"/>
      <c r="G193" s="49">
        <f>(E193/E190-1)*100</f>
        <v>1.8921808759342129</v>
      </c>
      <c r="H193" s="49"/>
      <c r="I193" s="39"/>
      <c r="J193" s="20">
        <f t="shared" si="24"/>
        <v>41912</v>
      </c>
      <c r="K193" s="29">
        <v>-1.4020945270779435</v>
      </c>
      <c r="L193" s="46">
        <f t="shared" si="32"/>
        <v>1776873.3707673964</v>
      </c>
      <c r="M193" s="12"/>
      <c r="N193" s="49">
        <f>(L193/L190-1)*100</f>
        <v>1.1276631621059741</v>
      </c>
      <c r="O193" s="39"/>
      <c r="P193" s="20">
        <f t="shared" si="26"/>
        <v>41912</v>
      </c>
      <c r="Q193" s="28">
        <v>-0.96347165255995126</v>
      </c>
      <c r="R193" s="46">
        <f t="shared" si="33"/>
        <v>1683145.3160662018</v>
      </c>
      <c r="S193" s="37"/>
      <c r="T193" s="49">
        <f>(R193/R190-1)*100</f>
        <v>1.0559242403941349</v>
      </c>
      <c r="U193" s="49"/>
      <c r="V193" s="39"/>
      <c r="W193" s="20">
        <f t="shared" si="28"/>
        <v>41912</v>
      </c>
      <c r="X193" s="36">
        <v>-0.86028701682969022</v>
      </c>
      <c r="Y193" s="46">
        <f t="shared" si="29"/>
        <v>3848354.7249047067</v>
      </c>
      <c r="AA193" s="106">
        <f>(Y193/Y190-1)*100</f>
        <v>-1.046184527332128</v>
      </c>
      <c r="AC193" s="107">
        <v>-0.87463556851312663</v>
      </c>
      <c r="AE193" s="223"/>
    </row>
    <row r="194" spans="1:56" x14ac:dyDescent="0.25">
      <c r="A194" s="21">
        <v>41943</v>
      </c>
      <c r="B194" s="24">
        <f t="shared" si="30"/>
        <v>178</v>
      </c>
      <c r="C194" s="97" t="s">
        <v>79</v>
      </c>
      <c r="D194" s="114">
        <f t="shared" si="31"/>
        <v>3.3169607843137223</v>
      </c>
      <c r="E194" s="47">
        <f t="shared" si="23"/>
        <v>5843738.8584053852</v>
      </c>
      <c r="F194" s="12"/>
      <c r="G194" s="49"/>
      <c r="H194" s="49"/>
      <c r="I194" s="39"/>
      <c r="J194" s="20">
        <f t="shared" si="24"/>
        <v>41943</v>
      </c>
      <c r="K194" s="29">
        <v>2.4420309995375749</v>
      </c>
      <c r="L194" s="46">
        <f t="shared" si="32"/>
        <v>1820265.1693040645</v>
      </c>
      <c r="M194" s="12"/>
      <c r="N194" s="49"/>
      <c r="O194" s="39"/>
      <c r="P194" s="20">
        <f t="shared" si="26"/>
        <v>41943</v>
      </c>
      <c r="Q194" s="28">
        <v>2.8811423094342814</v>
      </c>
      <c r="R194" s="46">
        <f t="shared" si="33"/>
        <v>1731639.1278966465</v>
      </c>
      <c r="S194" s="37"/>
      <c r="T194" s="49"/>
      <c r="U194" s="49"/>
      <c r="V194" s="39"/>
      <c r="W194" s="20">
        <f t="shared" si="28"/>
        <v>41943</v>
      </c>
      <c r="X194" s="36">
        <v>4.9408294930875591</v>
      </c>
      <c r="Y194" s="46">
        <f t="shared" si="29"/>
        <v>4038495.3701514271</v>
      </c>
      <c r="AC194" s="107">
        <v>3.2352941176470558</v>
      </c>
      <c r="AE194" s="223"/>
    </row>
    <row r="195" spans="1:56" x14ac:dyDescent="0.25">
      <c r="A195" s="21">
        <v>41973</v>
      </c>
      <c r="B195" s="24">
        <f t="shared" si="30"/>
        <v>179</v>
      </c>
      <c r="C195" s="97" t="s">
        <v>79</v>
      </c>
      <c r="D195" s="114">
        <f t="shared" si="31"/>
        <v>4.2127207977207988</v>
      </c>
      <c r="E195" s="47">
        <f t="shared" si="23"/>
        <v>6089919.2606579205</v>
      </c>
      <c r="F195" s="12"/>
      <c r="H195" s="49"/>
      <c r="I195" s="39"/>
      <c r="J195" s="20">
        <f t="shared" si="24"/>
        <v>41973</v>
      </c>
      <c r="K195" s="29">
        <v>2.6882268432619147</v>
      </c>
      <c r="L195" s="46">
        <f t="shared" si="32"/>
        <v>1869198.0262038433</v>
      </c>
      <c r="M195" s="12"/>
      <c r="N195" s="22"/>
      <c r="O195" s="39"/>
      <c r="P195" s="20">
        <f t="shared" si="26"/>
        <v>41973</v>
      </c>
      <c r="Q195" s="28">
        <v>2.5824788294768029</v>
      </c>
      <c r="R195" s="46">
        <f t="shared" ref="R195:R200" si="34">R194*Q195/100+R194</f>
        <v>1776358.3417775142</v>
      </c>
      <c r="S195" s="37"/>
      <c r="U195" s="49"/>
      <c r="V195" s="39"/>
      <c r="W195" s="20">
        <f t="shared" si="28"/>
        <v>41973</v>
      </c>
      <c r="X195" s="36">
        <v>2.854635757970355</v>
      </c>
      <c r="Y195" s="46">
        <f t="shared" si="29"/>
        <v>4153779.703071747</v>
      </c>
      <c r="AC195" s="107">
        <v>4.1310541310541318</v>
      </c>
      <c r="AE195" s="223"/>
    </row>
    <row r="196" spans="1:56" x14ac:dyDescent="0.25">
      <c r="A196" s="21">
        <v>42004</v>
      </c>
      <c r="B196" s="24">
        <f t="shared" si="30"/>
        <v>180</v>
      </c>
      <c r="C196" s="97" t="s">
        <v>79</v>
      </c>
      <c r="D196" s="114">
        <f t="shared" si="31"/>
        <v>8.5224666666666671E-2</v>
      </c>
      <c r="E196" s="47">
        <f t="shared" si="23"/>
        <v>6095109.374048085</v>
      </c>
      <c r="F196" s="12">
        <f>(E196-E$184)/E$184*100</f>
        <v>16.059840540491887</v>
      </c>
      <c r="G196" s="49">
        <f>(E196/E193-1)*100</f>
        <v>7.7611767796322395</v>
      </c>
      <c r="H196" s="49"/>
      <c r="I196" s="39"/>
      <c r="J196" s="20">
        <f t="shared" si="24"/>
        <v>42004</v>
      </c>
      <c r="K196" s="29">
        <v>-0.25732260110186045</v>
      </c>
      <c r="L196" s="46">
        <f t="shared" si="32"/>
        <v>1864388.157223071</v>
      </c>
      <c r="M196" s="12">
        <f>(L196-L$184)/L$184*100</f>
        <v>13.678298383899959</v>
      </c>
      <c r="N196" s="49">
        <f>(L196/L193-1)*100</f>
        <v>4.9252123361992028</v>
      </c>
      <c r="O196" s="39"/>
      <c r="P196" s="20">
        <f t="shared" si="26"/>
        <v>42004</v>
      </c>
      <c r="Q196" s="28">
        <v>-0.22762552885702175</v>
      </c>
      <c r="R196" s="46">
        <f t="shared" si="34"/>
        <v>1772314.8967076472</v>
      </c>
      <c r="S196" s="12">
        <f>(R196-R$184)/R$184*100</f>
        <v>13.50451935986546</v>
      </c>
      <c r="T196" s="49">
        <f>(R196/R193-1)*100</f>
        <v>5.2977945392053361</v>
      </c>
      <c r="U196" s="49"/>
      <c r="V196" s="39"/>
      <c r="W196" s="20">
        <f t="shared" si="28"/>
        <v>42004</v>
      </c>
      <c r="X196" s="36">
        <v>1.2122201138519857</v>
      </c>
      <c r="Y196" s="46">
        <f t="shared" si="29"/>
        <v>4204132.656117484</v>
      </c>
      <c r="Z196" s="33">
        <f>(Y196-Y$184)/Y$184*100</f>
        <v>17.48622469387718</v>
      </c>
      <c r="AA196" s="106">
        <f>(Y196/Y193-1)*100</f>
        <v>9.2449359959037238</v>
      </c>
      <c r="AB196" s="61">
        <f>STDEVP(X161:X196)*SQRT(12)</f>
        <v>8.6701963641964834</v>
      </c>
      <c r="AC196" s="107">
        <v>3.558E-3</v>
      </c>
      <c r="AE196" s="223"/>
    </row>
    <row r="197" spans="1:56" x14ac:dyDescent="0.25">
      <c r="A197" s="21">
        <v>42035</v>
      </c>
      <c r="B197" s="24">
        <f t="shared" si="30"/>
        <v>181</v>
      </c>
      <c r="C197" s="97" t="s">
        <v>79</v>
      </c>
      <c r="D197" s="114">
        <f t="shared" si="31"/>
        <v>-1.1317523197715911</v>
      </c>
      <c r="E197" s="47">
        <f t="shared" si="23"/>
        <v>6026127.8323146803</v>
      </c>
      <c r="F197" s="22"/>
      <c r="H197" s="49"/>
      <c r="I197" s="39"/>
      <c r="J197" s="20">
        <f t="shared" si="24"/>
        <v>42035</v>
      </c>
      <c r="K197" s="29">
        <v>-3.0018337485743869</v>
      </c>
      <c r="L197" s="46">
        <f t="shared" si="32"/>
        <v>1808422.3243151247</v>
      </c>
      <c r="M197" s="12"/>
      <c r="O197" s="39"/>
      <c r="P197" s="20">
        <f t="shared" si="26"/>
        <v>42035</v>
      </c>
      <c r="Q197" s="28">
        <v>-2.7810151542266355</v>
      </c>
      <c r="R197" s="46">
        <f t="shared" si="34"/>
        <v>1723026.5508495914</v>
      </c>
      <c r="U197" s="49"/>
      <c r="V197" s="39"/>
      <c r="W197" s="20">
        <f t="shared" si="28"/>
        <v>42035</v>
      </c>
      <c r="X197" s="36">
        <v>-0.44297926239115598</v>
      </c>
      <c r="Y197" s="46">
        <f t="shared" si="29"/>
        <v>4185509.2202874692</v>
      </c>
      <c r="AC197" s="107">
        <v>-1.2134189864382579</v>
      </c>
      <c r="AE197" s="223"/>
    </row>
    <row r="198" spans="1:56" x14ac:dyDescent="0.25">
      <c r="A198" s="21">
        <v>42063</v>
      </c>
      <c r="B198" s="24">
        <f>IF(A198&gt;A197,1+B197,"-")</f>
        <v>182</v>
      </c>
      <c r="C198" s="97" t="s">
        <v>79</v>
      </c>
      <c r="D198" s="114">
        <f t="shared" si="31"/>
        <v>3.1163487475915215</v>
      </c>
      <c r="E198" s="47">
        <f t="shared" si="23"/>
        <v>6213922.9915452832</v>
      </c>
      <c r="F198" s="22"/>
      <c r="H198" s="49"/>
      <c r="I198" s="39"/>
      <c r="J198" s="20">
        <f t="shared" si="24"/>
        <v>42063</v>
      </c>
      <c r="K198" s="29">
        <v>5.747011365533143</v>
      </c>
      <c r="L198" s="46">
        <f t="shared" ref="L198:L203" si="35">L197*K198/100+L197</f>
        <v>1912352.5608303535</v>
      </c>
      <c r="M198" s="12"/>
      <c r="O198" s="39"/>
      <c r="P198" s="20">
        <f t="shared" si="26"/>
        <v>42063</v>
      </c>
      <c r="Q198" s="28">
        <v>5.0496605257856046</v>
      </c>
      <c r="R198" s="46">
        <f t="shared" si="34"/>
        <v>1810033.5424366484</v>
      </c>
      <c r="U198" s="49"/>
      <c r="V198" s="39"/>
      <c r="W198" s="20">
        <f t="shared" si="28"/>
        <v>42063</v>
      </c>
      <c r="X198" s="36">
        <v>1.521508567571882</v>
      </c>
      <c r="Y198" s="46">
        <f t="shared" si="29"/>
        <v>4249192.1016706545</v>
      </c>
      <c r="AC198" s="107">
        <v>3.0346820809248549</v>
      </c>
      <c r="AE198" s="223"/>
    </row>
    <row r="199" spans="1:56" x14ac:dyDescent="0.25">
      <c r="A199" s="21">
        <v>42094</v>
      </c>
      <c r="B199" s="24">
        <f t="shared" ref="B199:B225" si="36">IF(A199&gt;A198,1+B198,"-")</f>
        <v>183</v>
      </c>
      <c r="C199" s="97" t="s">
        <v>79</v>
      </c>
      <c r="D199" s="114">
        <f t="shared" si="31"/>
        <v>-0.61959560542309244</v>
      </c>
      <c r="E199" s="47">
        <f t="shared" si="23"/>
        <v>6175421.7977652932</v>
      </c>
      <c r="F199" s="12"/>
      <c r="G199" s="49">
        <f>(E199/E196-1)*100</f>
        <v>1.3176535282396262</v>
      </c>
      <c r="H199" s="49"/>
      <c r="I199" s="39"/>
      <c r="J199" s="20">
        <f t="shared" si="24"/>
        <v>42094</v>
      </c>
      <c r="K199" s="29">
        <v>-1.5811659792919264</v>
      </c>
      <c r="L199" s="46">
        <f t="shared" si="35"/>
        <v>1882115.092734386</v>
      </c>
      <c r="M199" s="12"/>
      <c r="N199" s="49">
        <f>(L199/L196-1)*100</f>
        <v>0.95081785639095084</v>
      </c>
      <c r="O199" s="39"/>
      <c r="P199" s="20">
        <f t="shared" si="26"/>
        <v>42094</v>
      </c>
      <c r="Q199" s="28">
        <v>-1.6815618013481388</v>
      </c>
      <c r="R199" s="46">
        <f t="shared" si="34"/>
        <v>1779596.7097954452</v>
      </c>
      <c r="T199" s="49">
        <f>(R199/R196-1)*100</f>
        <v>0.41086451969258864</v>
      </c>
      <c r="U199" s="49"/>
      <c r="V199" s="39"/>
      <c r="W199" s="20">
        <f t="shared" si="28"/>
        <v>42094</v>
      </c>
      <c r="X199" s="36">
        <v>-0.34857760600342619</v>
      </c>
      <c r="Y199" s="46">
        <f t="shared" si="29"/>
        <v>4234380.3695681645</v>
      </c>
      <c r="AA199" s="106">
        <f>(Y199/Y196-1)*100</f>
        <v>0.71947571413253364</v>
      </c>
      <c r="AC199" s="107">
        <v>-0.70126227208975911</v>
      </c>
      <c r="AE199" s="223"/>
    </row>
    <row r="200" spans="1:56" x14ac:dyDescent="0.25">
      <c r="A200" s="21">
        <v>42124</v>
      </c>
      <c r="B200" s="24">
        <f t="shared" si="36"/>
        <v>184</v>
      </c>
      <c r="C200" s="97" t="s">
        <v>79</v>
      </c>
      <c r="D200" s="114">
        <f t="shared" si="31"/>
        <v>-1.3307627118644016</v>
      </c>
      <c r="E200" s="47">
        <f t="shared" si="23"/>
        <v>6093241.5871802866</v>
      </c>
      <c r="F200" s="12"/>
      <c r="G200" s="49"/>
      <c r="H200" s="49"/>
      <c r="I200" s="39"/>
      <c r="J200" s="20">
        <f t="shared" si="24"/>
        <v>42124</v>
      </c>
      <c r="K200" s="29">
        <v>0.95901070467064142</v>
      </c>
      <c r="L200" s="46">
        <f t="shared" si="35"/>
        <v>1900164.7779479306</v>
      </c>
      <c r="M200" s="12"/>
      <c r="N200" s="54"/>
      <c r="O200" s="39"/>
      <c r="P200" s="20">
        <f t="shared" si="26"/>
        <v>42124</v>
      </c>
      <c r="Q200" s="28">
        <v>0.59177521373607234</v>
      </c>
      <c r="R200" s="46">
        <f t="shared" si="34"/>
        <v>1790127.9220284773</v>
      </c>
      <c r="T200" s="49"/>
      <c r="U200" s="49"/>
      <c r="V200" s="39"/>
      <c r="W200" s="20">
        <f t="shared" si="28"/>
        <v>42124</v>
      </c>
      <c r="X200" s="36">
        <v>-1.978534173699706</v>
      </c>
      <c r="Y200" s="46">
        <f t="shared" si="29"/>
        <v>4150601.7069118265</v>
      </c>
      <c r="AC200" s="107">
        <v>-1.4124293785310684</v>
      </c>
      <c r="AE200" s="223"/>
    </row>
    <row r="201" spans="1:56" x14ac:dyDescent="0.25">
      <c r="A201" s="21">
        <v>42155</v>
      </c>
      <c r="B201" s="24">
        <f>IF(A201&gt;A200,1+B200,"-")</f>
        <v>185</v>
      </c>
      <c r="C201" s="97" t="s">
        <v>79</v>
      </c>
      <c r="D201" s="114">
        <f t="shared" si="31"/>
        <v>1.0845319961795519</v>
      </c>
      <c r="E201" s="47">
        <f t="shared" si="23"/>
        <v>6159324.741797776</v>
      </c>
      <c r="F201" s="12"/>
      <c r="G201" s="49"/>
      <c r="H201" s="49"/>
      <c r="I201" s="39"/>
      <c r="J201" s="20">
        <f t="shared" si="24"/>
        <v>42155</v>
      </c>
      <c r="K201" s="29">
        <v>1.2861229340560991</v>
      </c>
      <c r="L201" s="46">
        <f t="shared" si="35"/>
        <v>1924603.2329419751</v>
      </c>
      <c r="M201" s="12"/>
      <c r="N201" s="54"/>
      <c r="O201" s="39"/>
      <c r="P201" s="20">
        <f t="shared" si="26"/>
        <v>42155</v>
      </c>
      <c r="Q201" s="28">
        <v>0.95062032364640803</v>
      </c>
      <c r="R201" s="46">
        <f t="shared" ref="R201:R210" si="37">R200*Q201/100+R200</f>
        <v>1807145.2418745491</v>
      </c>
      <c r="T201" s="49"/>
      <c r="U201" s="49"/>
      <c r="V201" s="39"/>
      <c r="W201" s="20">
        <f t="shared" si="28"/>
        <v>42155</v>
      </c>
      <c r="X201" s="36">
        <v>0.94052983231192977</v>
      </c>
      <c r="Y201" s="46">
        <f t="shared" si="29"/>
        <v>4189639.3541857805</v>
      </c>
      <c r="AC201" s="107">
        <v>1.0028653295128853</v>
      </c>
      <c r="AE201" s="223"/>
    </row>
    <row r="202" spans="1:56" x14ac:dyDescent="0.25">
      <c r="A202" s="21">
        <v>42185</v>
      </c>
      <c r="B202" s="24">
        <f t="shared" si="36"/>
        <v>186</v>
      </c>
      <c r="C202" s="97" t="s">
        <v>79</v>
      </c>
      <c r="D202" s="114">
        <f t="shared" si="31"/>
        <v>-1.8332269503546068</v>
      </c>
      <c r="E202" s="47">
        <f t="shared" si="23"/>
        <v>6046410.3406712795</v>
      </c>
      <c r="F202" s="12"/>
      <c r="G202" s="49">
        <f>(E202/E199-1)*100</f>
        <v>-2.0891116642542396</v>
      </c>
      <c r="H202" s="49"/>
      <c r="I202" s="39"/>
      <c r="J202" s="20">
        <f t="shared" si="24"/>
        <v>42185</v>
      </c>
      <c r="K202" s="29">
        <v>-1.9358188264035552</v>
      </c>
      <c r="L202" s="46">
        <f t="shared" si="35"/>
        <v>1887346.4012251128</v>
      </c>
      <c r="M202" s="12"/>
      <c r="N202" s="49">
        <f>(L202/L199-1)*100</f>
        <v>0.27794838428965019</v>
      </c>
      <c r="O202" s="39"/>
      <c r="P202" s="20">
        <f t="shared" si="26"/>
        <v>42185</v>
      </c>
      <c r="Q202" s="28">
        <v>-2.3656425592885362</v>
      </c>
      <c r="R202" s="46">
        <f t="shared" si="37"/>
        <v>1764394.6449246069</v>
      </c>
      <c r="T202" s="49">
        <f>(R202/R199-1)*100</f>
        <v>-0.85424213177971442</v>
      </c>
      <c r="U202" s="49"/>
      <c r="V202" s="39"/>
      <c r="W202" s="20">
        <f t="shared" si="28"/>
        <v>42185</v>
      </c>
      <c r="X202" s="36">
        <v>-1.7730048146024422</v>
      </c>
      <c r="Y202" s="46">
        <f t="shared" si="29"/>
        <v>4115356.8467215882</v>
      </c>
      <c r="AA202" s="106">
        <f>(Y202/Y199-1)*100</f>
        <v>-2.8108840599673113</v>
      </c>
      <c r="AC202" s="107">
        <v>-1.9148936170212734</v>
      </c>
      <c r="AE202" s="223"/>
    </row>
    <row r="203" spans="1:56" x14ac:dyDescent="0.25">
      <c r="A203" s="21">
        <v>42216</v>
      </c>
      <c r="B203" s="24">
        <f t="shared" si="36"/>
        <v>187</v>
      </c>
      <c r="C203" s="97" t="s">
        <v>79</v>
      </c>
      <c r="D203" s="114">
        <f t="shared" si="31"/>
        <v>4.7092877801880011</v>
      </c>
      <c r="E203" s="47">
        <f t="shared" si="23"/>
        <v>6331153.2039845353</v>
      </c>
      <c r="F203" s="12"/>
      <c r="G203" s="49"/>
      <c r="H203" s="49"/>
      <c r="I203" s="39"/>
      <c r="J203" s="20">
        <f t="shared" si="24"/>
        <v>42216</v>
      </c>
      <c r="K203" s="29">
        <v>2.0954396522417249</v>
      </c>
      <c r="L203" s="46">
        <f t="shared" si="35"/>
        <v>1926894.606091541</v>
      </c>
      <c r="M203" s="12"/>
      <c r="N203" s="54"/>
      <c r="O203" s="39"/>
      <c r="P203" s="20">
        <f t="shared" si="26"/>
        <v>42216</v>
      </c>
      <c r="Q203" s="28">
        <v>3.081642137877612</v>
      </c>
      <c r="R203" s="46">
        <f t="shared" si="37"/>
        <v>1818766.9737810597</v>
      </c>
      <c r="T203" s="49"/>
      <c r="U203" s="49"/>
      <c r="V203" s="39"/>
      <c r="W203" s="20">
        <f t="shared" si="28"/>
        <v>42216</v>
      </c>
      <c r="X203" s="36">
        <v>4.3381932149607065</v>
      </c>
      <c r="Y203" s="46">
        <f t="shared" si="29"/>
        <v>4293888.9782174854</v>
      </c>
      <c r="AC203" s="107">
        <v>4.6276211135213341</v>
      </c>
      <c r="AE203" s="223"/>
    </row>
    <row r="204" spans="1:56" x14ac:dyDescent="0.25">
      <c r="A204" s="21">
        <v>42247</v>
      </c>
      <c r="B204" s="24">
        <f t="shared" si="36"/>
        <v>188</v>
      </c>
      <c r="C204" s="97" t="s">
        <v>79</v>
      </c>
      <c r="D204" s="114">
        <f t="shared" si="31"/>
        <v>-4.6868198571757747</v>
      </c>
      <c r="E204" s="47">
        <f t="shared" si="23"/>
        <v>6034423.4584319675</v>
      </c>
      <c r="F204" s="12"/>
      <c r="G204" s="105"/>
      <c r="H204" s="49"/>
      <c r="I204" s="39"/>
      <c r="J204" s="20">
        <f t="shared" si="24"/>
        <v>42247</v>
      </c>
      <c r="K204" s="29">
        <v>-6.0338140445487154</v>
      </c>
      <c r="L204" s="46">
        <f t="shared" ref="L204:L210" si="38">L203*K204/100+L203</f>
        <v>1810629.368725538</v>
      </c>
      <c r="M204" s="12"/>
      <c r="N204" s="105"/>
      <c r="O204" s="39"/>
      <c r="P204" s="20">
        <f t="shared" si="26"/>
        <v>42247</v>
      </c>
      <c r="Q204" s="28">
        <v>-5.7390122771882766</v>
      </c>
      <c r="R204" s="46">
        <f t="shared" si="37"/>
        <v>1714387.713862319</v>
      </c>
      <c r="T204" s="105"/>
      <c r="U204" s="49"/>
      <c r="V204" s="39"/>
      <c r="W204" s="20">
        <f t="shared" si="28"/>
        <v>42247</v>
      </c>
      <c r="X204" s="36">
        <v>-4.9050618969998618</v>
      </c>
      <c r="Y204" s="46">
        <f t="shared" si="29"/>
        <v>4083271.0660474626</v>
      </c>
      <c r="AC204" s="107">
        <v>-4.7684865238424416</v>
      </c>
      <c r="AE204" s="223"/>
    </row>
    <row r="205" spans="1:56" x14ac:dyDescent="0.25">
      <c r="A205" s="21">
        <v>42277</v>
      </c>
      <c r="B205" s="24">
        <f>IF(A205&gt;A204,1+B204,"-")</f>
        <v>189</v>
      </c>
      <c r="C205" s="97" t="s">
        <v>79</v>
      </c>
      <c r="D205" s="114">
        <f t="shared" si="31"/>
        <v>0.44451136913401579</v>
      </c>
      <c r="E205" s="47">
        <f t="shared" si="23"/>
        <v>6061247.1567663876</v>
      </c>
      <c r="F205" s="12"/>
      <c r="G205" s="49">
        <f>(E205/E202-1)*100</f>
        <v>0.24538222282579625</v>
      </c>
      <c r="H205" s="49"/>
      <c r="I205" s="39"/>
      <c r="J205" s="20">
        <f t="shared" si="24"/>
        <v>42277</v>
      </c>
      <c r="K205" s="29">
        <v>-2.4739432189367951</v>
      </c>
      <c r="L205" s="46">
        <f t="shared" si="38"/>
        <v>1765835.4262378744</v>
      </c>
      <c r="M205" s="12"/>
      <c r="N205" s="49">
        <f>(L205/L202-1)*100</f>
        <v>-6.4381914686335922</v>
      </c>
      <c r="O205" s="39"/>
      <c r="P205" s="20">
        <f t="shared" si="26"/>
        <v>42277</v>
      </c>
      <c r="Q205" s="28">
        <v>-0.81155958218722568</v>
      </c>
      <c r="R205" s="46">
        <f t="shared" si="37"/>
        <v>1700474.4360946289</v>
      </c>
      <c r="S205" s="37"/>
      <c r="T205" s="49">
        <f>(R205/R202-1)*100</f>
        <v>-3.6227841097709379</v>
      </c>
      <c r="U205" s="49"/>
      <c r="V205" s="39"/>
      <c r="W205" s="20">
        <f t="shared" si="28"/>
        <v>42277</v>
      </c>
      <c r="X205" s="36">
        <v>-0.40605774219850382</v>
      </c>
      <c r="Y205" s="46">
        <f t="shared" si="29"/>
        <v>4066690.6277488256</v>
      </c>
      <c r="AA205" s="106">
        <f>(Y205/Y202-1)*100</f>
        <v>-1.1825516178878059</v>
      </c>
      <c r="AC205" s="107">
        <v>0.36284470246734912</v>
      </c>
      <c r="AE205" s="223"/>
    </row>
    <row r="206" spans="1:56" x14ac:dyDescent="0.25">
      <c r="A206" s="21">
        <v>42308</v>
      </c>
      <c r="B206" s="24">
        <f t="shared" si="36"/>
        <v>190</v>
      </c>
      <c r="C206" s="97" t="s">
        <v>79</v>
      </c>
      <c r="D206" s="114">
        <f t="shared" si="31"/>
        <v>5.8661930585683351</v>
      </c>
      <c r="E206" s="47">
        <f t="shared" si="23"/>
        <v>6416811.616739288</v>
      </c>
      <c r="F206" s="12"/>
      <c r="G206" s="49"/>
      <c r="H206" s="49"/>
      <c r="I206" s="39"/>
      <c r="J206" s="20">
        <f t="shared" si="24"/>
        <v>42308</v>
      </c>
      <c r="K206" s="29">
        <v>8.435220871353371</v>
      </c>
      <c r="L206" s="46">
        <f t="shared" si="38"/>
        <v>1914787.5446656435</v>
      </c>
      <c r="M206" s="12"/>
      <c r="N206" s="49"/>
      <c r="O206" s="39"/>
      <c r="P206" s="20">
        <f t="shared" si="26"/>
        <v>42308</v>
      </c>
      <c r="Q206" s="28">
        <v>7.5894738787929414</v>
      </c>
      <c r="R206" s="46">
        <f t="shared" si="37"/>
        <v>1829531.4992375823</v>
      </c>
      <c r="S206" s="37"/>
      <c r="T206" s="49"/>
      <c r="U206" s="49"/>
      <c r="V206" s="39"/>
      <c r="W206" s="20">
        <f t="shared" si="28"/>
        <v>42308</v>
      </c>
      <c r="X206" s="36">
        <v>6.8115021819909982</v>
      </c>
      <c r="Y206" s="46">
        <f t="shared" si="29"/>
        <v>4343693.34859276</v>
      </c>
      <c r="AC206" s="107">
        <v>5.7845263919016681</v>
      </c>
      <c r="AE206" s="223"/>
    </row>
    <row r="207" spans="1:56" ht="16.5" thickBot="1" x14ac:dyDescent="0.3">
      <c r="A207" s="21">
        <v>42338</v>
      </c>
      <c r="B207" s="24">
        <f t="shared" si="36"/>
        <v>191</v>
      </c>
      <c r="C207" s="97" t="s">
        <v>79</v>
      </c>
      <c r="D207" s="114">
        <f t="shared" si="31"/>
        <v>-0.46515493278651221</v>
      </c>
      <c r="E207" s="47">
        <f t="shared" si="23"/>
        <v>6386963.500976407</v>
      </c>
      <c r="F207" s="12"/>
      <c r="G207" s="49"/>
      <c r="H207" s="49"/>
      <c r="I207" s="39"/>
      <c r="J207" s="20">
        <f t="shared" si="24"/>
        <v>42338</v>
      </c>
      <c r="K207" s="29">
        <v>0.29752942236979663</v>
      </c>
      <c r="L207" s="46">
        <f t="shared" si="38"/>
        <v>1920484.6009868961</v>
      </c>
      <c r="M207" s="12"/>
      <c r="N207" s="49"/>
      <c r="O207" s="39"/>
      <c r="P207" s="20">
        <f t="shared" si="26"/>
        <v>42338</v>
      </c>
      <c r="Q207" s="28">
        <v>0.17547393462921421</v>
      </c>
      <c r="R207" s="46">
        <f t="shared" si="37"/>
        <v>1832741.8501445753</v>
      </c>
      <c r="S207" s="37"/>
      <c r="T207" s="49"/>
      <c r="U207" s="49"/>
      <c r="V207" s="39"/>
      <c r="W207" s="20">
        <f t="shared" si="28"/>
        <v>42338</v>
      </c>
      <c r="X207" s="36">
        <v>1.0936049478238594</v>
      </c>
      <c r="Y207" s="46">
        <f t="shared" si="29"/>
        <v>4391196.193971266</v>
      </c>
      <c r="AB207" s="92"/>
      <c r="AC207" s="107">
        <v>-0.54682159945317887</v>
      </c>
      <c r="AD207" s="193"/>
      <c r="AE207" s="222"/>
      <c r="AF207" s="224"/>
      <c r="AG207" s="224"/>
      <c r="AH207" s="224"/>
      <c r="AI207" s="224"/>
      <c r="AJ207" s="224"/>
      <c r="AK207" s="224"/>
      <c r="AL207" s="224"/>
      <c r="AM207" s="224"/>
      <c r="AN207" s="224"/>
      <c r="AO207" s="224"/>
      <c r="AP207" s="224"/>
      <c r="AQ207" s="224"/>
      <c r="AR207" s="224"/>
      <c r="AS207" s="224"/>
      <c r="AT207" s="224"/>
      <c r="AU207" s="224"/>
      <c r="AV207" s="224"/>
      <c r="AW207" s="224"/>
      <c r="AX207" s="224"/>
      <c r="AY207" s="326"/>
      <c r="AZ207" s="327"/>
      <c r="BC207" s="61"/>
      <c r="BD207" s="16"/>
    </row>
    <row r="208" spans="1:56" x14ac:dyDescent="0.25">
      <c r="A208" s="21">
        <v>42369</v>
      </c>
      <c r="B208" s="24">
        <f t="shared" si="36"/>
        <v>192</v>
      </c>
      <c r="C208" s="97" t="s">
        <v>79</v>
      </c>
      <c r="D208" s="114">
        <f t="shared" si="31"/>
        <v>-0.19502273333333331</v>
      </c>
      <c r="E208" s="47">
        <f t="shared" si="23"/>
        <v>6374507.4701798009</v>
      </c>
      <c r="F208" s="12">
        <f>(E208-E$196)/E$196*100</f>
        <v>4.5839718204458215</v>
      </c>
      <c r="G208" s="49">
        <f>(E208/E205-1)*100</f>
        <v>5.1682484695201536</v>
      </c>
      <c r="H208" s="49"/>
      <c r="I208" s="39"/>
      <c r="J208" s="20">
        <f t="shared" si="24"/>
        <v>42369</v>
      </c>
      <c r="K208" s="29">
        <v>-1.5862368127833484</v>
      </c>
      <c r="L208" s="46">
        <f t="shared" si="38"/>
        <v>1890021.1672622066</v>
      </c>
      <c r="M208" s="12">
        <f>(L208-L$196)/L$196*100</f>
        <v>1.3748751803548727</v>
      </c>
      <c r="N208" s="49">
        <f>(L208/L205-1)*100</f>
        <v>7.032690542906983</v>
      </c>
      <c r="O208" s="39"/>
      <c r="P208" s="20">
        <f t="shared" si="26"/>
        <v>42369</v>
      </c>
      <c r="Q208" s="28">
        <v>-0.92391493379907064</v>
      </c>
      <c r="R208" s="46">
        <f t="shared" si="37"/>
        <v>1815808.8744931042</v>
      </c>
      <c r="S208" s="12">
        <f>(R208-R$196)/R$196*100</f>
        <v>2.4540773124603201</v>
      </c>
      <c r="T208" s="49">
        <f>(R208/R205-1)*100</f>
        <v>6.7824858727871584</v>
      </c>
      <c r="U208" s="49"/>
      <c r="V208" s="39"/>
      <c r="W208" s="20">
        <f t="shared" si="28"/>
        <v>42369</v>
      </c>
      <c r="X208" s="36">
        <v>-0.1071220358356242</v>
      </c>
      <c r="Y208" s="46">
        <f t="shared" si="29"/>
        <v>4386492.2552107479</v>
      </c>
      <c r="Z208" s="33">
        <f>(Y208-Y$196)/Y$196*100</f>
        <v>4.3376271399978386</v>
      </c>
      <c r="AA208" s="106">
        <f>(Y208/Y205-1)*100</f>
        <v>7.863928110974916</v>
      </c>
      <c r="AB208" s="61">
        <f>STDEVP(X173:X208)*SQRT(12)</f>
        <v>9.9827844061829936</v>
      </c>
      <c r="AC208" s="107">
        <v>-0.27668939999999997</v>
      </c>
      <c r="AD208" s="93"/>
      <c r="AE208" s="324" t="s">
        <v>80</v>
      </c>
      <c r="AF208" s="325" t="s">
        <v>81</v>
      </c>
      <c r="AG208" s="94"/>
      <c r="AH208" s="229"/>
      <c r="AI208" s="229"/>
      <c r="AJ208" s="229"/>
      <c r="AK208" s="229"/>
      <c r="AL208" s="229"/>
      <c r="AM208" s="229"/>
      <c r="AN208" s="229"/>
      <c r="AO208" s="229"/>
      <c r="AP208" s="229"/>
      <c r="AQ208" s="229"/>
      <c r="AR208" s="229"/>
      <c r="AS208" s="229"/>
      <c r="AT208" s="229"/>
      <c r="AU208" s="229"/>
      <c r="AV208" s="229"/>
      <c r="AW208" s="229"/>
      <c r="AX208" s="229"/>
      <c r="AY208" s="94"/>
      <c r="AZ208" s="93"/>
      <c r="BC208" s="61"/>
      <c r="BD208" s="16"/>
    </row>
    <row r="209" spans="1:56" x14ac:dyDescent="0.25">
      <c r="A209" s="21">
        <v>42400</v>
      </c>
      <c r="B209" s="24">
        <f t="shared" si="36"/>
        <v>193</v>
      </c>
      <c r="C209" s="97" t="s">
        <v>79</v>
      </c>
      <c r="D209" s="114">
        <f t="shared" si="31"/>
        <v>-2.4238602309014974</v>
      </c>
      <c r="E209" s="47">
        <f t="shared" ref="E209:E238" si="39">E208*D209/100+E208</f>
        <v>6219998.3186942674</v>
      </c>
      <c r="F209" s="12"/>
      <c r="G209" s="49"/>
      <c r="H209" s="49"/>
      <c r="I209" s="39"/>
      <c r="J209" s="20">
        <f t="shared" si="24"/>
        <v>42400</v>
      </c>
      <c r="K209" s="29">
        <v>-4.96255266998583</v>
      </c>
      <c r="L209" s="46">
        <f t="shared" si="38"/>
        <v>1796227.8713629385</v>
      </c>
      <c r="M209" s="12"/>
      <c r="N209" s="49"/>
      <c r="O209" s="39"/>
      <c r="P209" s="20">
        <f t="shared" si="26"/>
        <v>42400</v>
      </c>
      <c r="Q209" s="28">
        <v>-2.8676057652534443</v>
      </c>
      <c r="R209" s="46">
        <f t="shared" si="37"/>
        <v>1763738.6345221563</v>
      </c>
      <c r="S209" s="12"/>
      <c r="T209" s="6"/>
      <c r="U209" s="49"/>
      <c r="V209" s="39"/>
      <c r="W209" s="20">
        <f t="shared" si="28"/>
        <v>42400</v>
      </c>
      <c r="X209" s="36">
        <v>-1.7217561553411533</v>
      </c>
      <c r="Y209" s="46">
        <f t="shared" ref="Y209:Y220" si="40">Y208*X209/100+Y208</f>
        <v>4310967.5548030939</v>
      </c>
      <c r="AB209" s="36"/>
      <c r="AC209" s="107">
        <v>-2.5055268975681639</v>
      </c>
      <c r="AD209" s="108">
        <v>79613453.459999993</v>
      </c>
      <c r="AE209" s="107"/>
      <c r="AF209" s="108">
        <v>60533887.5</v>
      </c>
      <c r="AG209" s="133"/>
      <c r="AH209" s="133"/>
      <c r="AI209" s="133"/>
      <c r="AJ209" s="133"/>
      <c r="AK209" s="133"/>
      <c r="AL209" s="133"/>
      <c r="AM209" s="133"/>
      <c r="AN209" s="133"/>
      <c r="AO209" s="133"/>
      <c r="AP209" s="133"/>
      <c r="AQ209" s="133"/>
      <c r="AR209" s="133"/>
      <c r="AS209" s="133"/>
      <c r="AT209" s="133"/>
      <c r="AU209" s="133"/>
      <c r="AV209" s="133"/>
      <c r="AW209" s="133"/>
      <c r="AX209" s="133"/>
      <c r="AY209" s="95"/>
      <c r="AZ209" s="111">
        <f t="shared" ref="AZ209:AZ220" si="41">AD209+AF209</f>
        <v>140147340.95999998</v>
      </c>
      <c r="BC209" s="61"/>
      <c r="BD209" s="16"/>
    </row>
    <row r="210" spans="1:56" x14ac:dyDescent="0.25">
      <c r="A210" s="21">
        <v>42429</v>
      </c>
      <c r="B210" s="24">
        <f t="shared" si="36"/>
        <v>194</v>
      </c>
      <c r="C210" s="97" t="s">
        <v>82</v>
      </c>
      <c r="D210" s="84">
        <f>AY210</f>
        <v>2.0731000000000002</v>
      </c>
      <c r="E210" s="47">
        <f t="shared" si="39"/>
        <v>6348945.103839118</v>
      </c>
      <c r="F210" s="104"/>
      <c r="G210" s="49"/>
      <c r="H210" s="49"/>
      <c r="I210" s="39"/>
      <c r="J210" s="20">
        <f t="shared" si="24"/>
        <v>42429</v>
      </c>
      <c r="K210" s="29">
        <v>-0.1347500848582405</v>
      </c>
      <c r="L210" s="46">
        <f t="shared" si="38"/>
        <v>1793807.4527820295</v>
      </c>
      <c r="M210" s="104"/>
      <c r="N210" s="49"/>
      <c r="O210" s="39"/>
      <c r="P210" s="20">
        <f t="shared" si="26"/>
        <v>42429</v>
      </c>
      <c r="Q210" s="28">
        <v>0.25837314747985679</v>
      </c>
      <c r="R210" s="46">
        <f t="shared" si="37"/>
        <v>1768295.6615454894</v>
      </c>
      <c r="S210" s="104"/>
      <c r="T210" s="6"/>
      <c r="U210" s="49"/>
      <c r="V210" s="39"/>
      <c r="W210" s="20">
        <f t="shared" si="28"/>
        <v>42429</v>
      </c>
      <c r="X210" s="36">
        <v>1.0310401745849809</v>
      </c>
      <c r="Y210" s="46">
        <f t="shared" si="40"/>
        <v>4355415.3622064376</v>
      </c>
      <c r="AB210" s="36"/>
      <c r="AC210" s="107">
        <v>1.8896447467876039</v>
      </c>
      <c r="AD210" s="108">
        <v>92880464.780000001</v>
      </c>
      <c r="AE210" s="107">
        <v>2.2069999999999999</v>
      </c>
      <c r="AF210" s="108">
        <v>61869873.369999997</v>
      </c>
      <c r="AG210" s="133"/>
      <c r="AH210" s="133"/>
      <c r="AI210" s="133"/>
      <c r="AJ210" s="133"/>
      <c r="AK210" s="133"/>
      <c r="AL210" s="133"/>
      <c r="AM210" s="133"/>
      <c r="AN210" s="133"/>
      <c r="AO210" s="133"/>
      <c r="AP210" s="133"/>
      <c r="AQ210" s="133"/>
      <c r="AR210" s="133"/>
      <c r="AS210" s="133"/>
      <c r="AT210" s="133"/>
      <c r="AU210" s="133"/>
      <c r="AV210" s="133"/>
      <c r="AW210" s="133"/>
      <c r="AX210" s="133"/>
      <c r="AY210" s="110">
        <f>ROUND(AD209/AZ209*(AC210+0.98/12)+AF209/AZ209*AE210,4)</f>
        <v>2.0731000000000002</v>
      </c>
      <c r="AZ210" s="111">
        <f t="shared" si="41"/>
        <v>154750338.15000001</v>
      </c>
      <c r="BC210" s="61"/>
      <c r="BD210" s="16"/>
    </row>
    <row r="211" spans="1:56" x14ac:dyDescent="0.25">
      <c r="A211" s="21">
        <v>42460</v>
      </c>
      <c r="B211" s="24">
        <f>IF(A211&gt;A210,1+B210,"-")</f>
        <v>195</v>
      </c>
      <c r="C211" s="97" t="s">
        <v>82</v>
      </c>
      <c r="D211" s="84">
        <f t="shared" ref="D211:D240" si="42">AY211</f>
        <v>6.2298</v>
      </c>
      <c r="E211" s="47">
        <f t="shared" si="39"/>
        <v>6744471.6859180871</v>
      </c>
      <c r="F211" s="104"/>
      <c r="G211" s="49">
        <f>(E211/E208-1)*100</f>
        <v>5.8038086466914329</v>
      </c>
      <c r="H211" s="49"/>
      <c r="I211" s="39"/>
      <c r="J211" s="20">
        <f t="shared" si="24"/>
        <v>42460</v>
      </c>
      <c r="K211" s="29">
        <v>6.7835590849369094</v>
      </c>
      <c r="L211" s="46">
        <f>L210*K211/100+L210</f>
        <v>1915491.4412115002</v>
      </c>
      <c r="M211" s="104"/>
      <c r="N211" s="49">
        <f>(L211/L208-1)*100</f>
        <v>1.3476184494900956</v>
      </c>
      <c r="O211" s="39"/>
      <c r="P211" s="20">
        <f t="shared" si="26"/>
        <v>42460</v>
      </c>
      <c r="Q211" s="28">
        <v>6.4870902614839512</v>
      </c>
      <c r="R211" s="46">
        <f>R210*Q211/100+R210</f>
        <v>1883006.59719985</v>
      </c>
      <c r="S211" s="106"/>
      <c r="T211" s="49">
        <f>(R211/R208-1)*100</f>
        <v>3.7007046088760154</v>
      </c>
      <c r="U211" s="49"/>
      <c r="V211" s="39"/>
      <c r="W211" s="20">
        <f t="shared" si="28"/>
        <v>42460</v>
      </c>
      <c r="X211" s="36">
        <v>5.9656666340923232</v>
      </c>
      <c r="Y211" s="46">
        <f t="shared" si="40"/>
        <v>4615244.9232457187</v>
      </c>
      <c r="AA211" s="106">
        <f>(Y211/Y208-1)*100</f>
        <v>5.2149338178639981</v>
      </c>
      <c r="AB211" s="36"/>
      <c r="AC211" s="107">
        <v>6.0830860534124644</v>
      </c>
      <c r="AD211" s="108">
        <v>101535195.39</v>
      </c>
      <c r="AE211" s="107">
        <v>6.3274899999999992</v>
      </c>
      <c r="AF211" s="108">
        <v>102503829.15000001</v>
      </c>
      <c r="AG211" s="133"/>
      <c r="AH211" s="133"/>
      <c r="AI211" s="133"/>
      <c r="AJ211" s="133"/>
      <c r="AK211" s="133"/>
      <c r="AL211" s="133"/>
      <c r="AM211" s="133"/>
      <c r="AN211" s="133"/>
      <c r="AO211" s="133"/>
      <c r="AP211" s="133"/>
      <c r="AQ211" s="133"/>
      <c r="AR211" s="133"/>
      <c r="AS211" s="133"/>
      <c r="AT211" s="133"/>
      <c r="AU211" s="133"/>
      <c r="AV211" s="133"/>
      <c r="AW211" s="133"/>
      <c r="AX211" s="133"/>
      <c r="AY211" s="110">
        <f t="shared" ref="AY211:AY220" si="43">ROUND(AD210/AZ210*(AC211+0.98/12)+AF210/AZ210*AE211,4)</f>
        <v>6.2298</v>
      </c>
      <c r="AZ211" s="111">
        <f t="shared" si="41"/>
        <v>204039024.54000002</v>
      </c>
      <c r="BC211" s="61"/>
      <c r="BD211" s="16"/>
    </row>
    <row r="212" spans="1:56" x14ac:dyDescent="0.25">
      <c r="A212" s="21">
        <v>42490</v>
      </c>
      <c r="B212" s="24">
        <f t="shared" ref="B212:B213" si="44">IF(A212&gt;A211,1+B211,"-")</f>
        <v>196</v>
      </c>
      <c r="C212" s="97" t="s">
        <v>82</v>
      </c>
      <c r="D212" s="84">
        <f t="shared" si="42"/>
        <v>-1.3212999999999999</v>
      </c>
      <c r="E212" s="47">
        <f t="shared" si="39"/>
        <v>6655356.9815320512</v>
      </c>
      <c r="F212" s="112"/>
      <c r="G212" s="49"/>
      <c r="H212" s="49"/>
      <c r="I212" s="39"/>
      <c r="J212" s="20">
        <f t="shared" si="24"/>
        <v>42490</v>
      </c>
      <c r="K212" s="29">
        <v>0.3879103552603822</v>
      </c>
      <c r="L212" s="46">
        <f t="shared" ref="L212:L213" si="45">L211*K212/100+L211</f>
        <v>1922921.8308660861</v>
      </c>
      <c r="M212" s="112"/>
      <c r="N212" s="49"/>
      <c r="O212" s="39"/>
      <c r="P212" s="20">
        <f t="shared" si="26"/>
        <v>42490</v>
      </c>
      <c r="Q212" s="28">
        <v>-0.31964282288948903</v>
      </c>
      <c r="R212" s="46">
        <f t="shared" ref="R212:R213" si="46">R211*Q212/100+R211</f>
        <v>1876987.7017573651</v>
      </c>
      <c r="S212" s="106"/>
      <c r="T212" s="49"/>
      <c r="U212" s="49"/>
      <c r="V212" s="39"/>
      <c r="W212" s="20">
        <f t="shared" si="28"/>
        <v>42490</v>
      </c>
      <c r="X212" s="36">
        <v>-0.70361535329688196</v>
      </c>
      <c r="Y212" s="46">
        <f t="shared" si="40"/>
        <v>4582771.3513735067</v>
      </c>
      <c r="AB212" s="36"/>
      <c r="AC212" s="107">
        <v>-1.3986013986014061</v>
      </c>
      <c r="AD212" s="108">
        <v>102153602.40000001</v>
      </c>
      <c r="AE212" s="107">
        <v>-1.32558</v>
      </c>
      <c r="AF212" s="108">
        <v>101145060.19</v>
      </c>
      <c r="AG212" s="107"/>
      <c r="AH212" s="133"/>
      <c r="AI212" s="133"/>
      <c r="AJ212" s="133"/>
      <c r="AK212" s="133"/>
      <c r="AL212" s="133"/>
      <c r="AM212" s="133"/>
      <c r="AN212" s="133"/>
      <c r="AO212" s="133"/>
      <c r="AP212" s="133"/>
      <c r="AQ212" s="133"/>
      <c r="AR212" s="133"/>
      <c r="AS212" s="133"/>
      <c r="AT212" s="133"/>
      <c r="AU212" s="133"/>
      <c r="AV212" s="133"/>
      <c r="AW212" s="133"/>
      <c r="AX212" s="133"/>
      <c r="AY212" s="110">
        <f t="shared" si="43"/>
        <v>-1.3212999999999999</v>
      </c>
      <c r="AZ212" s="111">
        <f t="shared" si="41"/>
        <v>203298662.59</v>
      </c>
      <c r="BC212" s="61"/>
      <c r="BD212" s="16"/>
    </row>
    <row r="213" spans="1:56" x14ac:dyDescent="0.25">
      <c r="A213" s="21">
        <v>42521</v>
      </c>
      <c r="B213" s="24">
        <f t="shared" si="44"/>
        <v>197</v>
      </c>
      <c r="C213" s="97" t="s">
        <v>82</v>
      </c>
      <c r="D213" s="84">
        <f t="shared" si="42"/>
        <v>1.9955000000000001</v>
      </c>
      <c r="E213" s="47">
        <f t="shared" si="39"/>
        <v>6788164.6300985236</v>
      </c>
      <c r="F213" s="112"/>
      <c r="G213" s="138"/>
      <c r="H213" s="49"/>
      <c r="I213" s="39"/>
      <c r="J213" s="20">
        <f t="shared" ref="J213:J292" si="47">$A213</f>
        <v>42521</v>
      </c>
      <c r="K213" s="29">
        <v>1.7954286499449399</v>
      </c>
      <c r="L213" s="46">
        <f t="shared" si="45"/>
        <v>1957446.5203335015</v>
      </c>
      <c r="M213" s="112"/>
      <c r="N213" s="138"/>
      <c r="O213" s="39"/>
      <c r="P213" s="20">
        <f t="shared" ref="P213:P292" si="48">$A213</f>
        <v>42521</v>
      </c>
      <c r="Q213" s="28">
        <v>1.8556096115881444</v>
      </c>
      <c r="R213" s="46">
        <f t="shared" si="46"/>
        <v>1911817.2659595022</v>
      </c>
      <c r="S213" s="106"/>
      <c r="T213" s="130"/>
      <c r="U213" s="49"/>
      <c r="V213" s="39"/>
      <c r="W213" s="20">
        <f t="shared" ref="W213:W292" si="49">$A213</f>
        <v>42521</v>
      </c>
      <c r="X213" s="36">
        <v>1.6645936069038334</v>
      </c>
      <c r="Y213" s="46">
        <f t="shared" si="40"/>
        <v>4659055.8703074902</v>
      </c>
      <c r="AB213" s="36"/>
      <c r="AC213" s="107">
        <v>1.9148936170212736</v>
      </c>
      <c r="AD213" s="108">
        <v>110002370.58</v>
      </c>
      <c r="AE213" s="107">
        <v>1.9944300000000001</v>
      </c>
      <c r="AF213" s="108">
        <v>103162331</v>
      </c>
      <c r="AG213" s="107"/>
      <c r="AH213" s="133"/>
      <c r="AI213" s="133"/>
      <c r="AJ213" s="133"/>
      <c r="AK213" s="133"/>
      <c r="AL213" s="133"/>
      <c r="AM213" s="133"/>
      <c r="AN213" s="133"/>
      <c r="AO213" s="133"/>
      <c r="AP213" s="133"/>
      <c r="AQ213" s="133"/>
      <c r="AR213" s="133"/>
      <c r="AS213" s="133"/>
      <c r="AT213" s="133"/>
      <c r="AU213" s="133"/>
      <c r="AV213" s="133"/>
      <c r="AW213" s="133"/>
      <c r="AX213" s="133"/>
      <c r="AY213" s="110">
        <f t="shared" si="43"/>
        <v>1.9955000000000001</v>
      </c>
      <c r="AZ213" s="111">
        <f t="shared" si="41"/>
        <v>213164701.57999998</v>
      </c>
      <c r="BC213" s="61"/>
      <c r="BD213" s="16"/>
    </row>
    <row r="214" spans="1:56" x14ac:dyDescent="0.25">
      <c r="A214" s="21">
        <v>42551</v>
      </c>
      <c r="B214" s="24">
        <f t="shared" ref="B214" si="50">IF(A214&gt;A213,1+B213,"-")</f>
        <v>198</v>
      </c>
      <c r="C214" s="97" t="s">
        <v>82</v>
      </c>
      <c r="D214" s="84">
        <f t="shared" si="42"/>
        <v>2.9489999999999998</v>
      </c>
      <c r="E214" s="47">
        <f t="shared" si="39"/>
        <v>6988347.6050401293</v>
      </c>
      <c r="F214" s="104"/>
      <c r="G214" s="131">
        <f>(E214/E211-1)*100</f>
        <v>3.6159380671911601</v>
      </c>
      <c r="H214" s="49"/>
      <c r="I214" s="39"/>
      <c r="J214" s="20">
        <f t="shared" si="47"/>
        <v>42551</v>
      </c>
      <c r="K214" s="29">
        <v>0.25953603335601977</v>
      </c>
      <c r="L214" s="46">
        <f t="shared" ref="L214" si="51">L213*K214/100+L213</f>
        <v>1962526.7993874406</v>
      </c>
      <c r="M214" s="104"/>
      <c r="N214" s="131">
        <f>(L214/L211-1)*100</f>
        <v>2.4555243194504417</v>
      </c>
      <c r="O214" s="39"/>
      <c r="P214" s="20">
        <f t="shared" si="48"/>
        <v>42551</v>
      </c>
      <c r="Q214" s="28">
        <v>1.7024116276833776</v>
      </c>
      <c r="R214" s="46">
        <f t="shared" ref="R214" si="52">R213*Q214/100+R213</f>
        <v>1944364.2653952553</v>
      </c>
      <c r="S214" s="106"/>
      <c r="T214" s="131">
        <f>(R214/R211-1)*100</f>
        <v>3.2584945951144251</v>
      </c>
      <c r="U214" s="49"/>
      <c r="V214" s="39"/>
      <c r="W214" s="20">
        <f t="shared" si="49"/>
        <v>42551</v>
      </c>
      <c r="X214" s="36">
        <v>5.7451663459117963</v>
      </c>
      <c r="Y214" s="46">
        <f t="shared" si="40"/>
        <v>4926726.3802056238</v>
      </c>
      <c r="AA214" s="106">
        <f>(Y214/Y211-1)*100</f>
        <v>6.7489691693513043</v>
      </c>
      <c r="AB214" s="36"/>
      <c r="AC214" s="107">
        <v>2.6443980514961782</v>
      </c>
      <c r="AD214" s="108">
        <v>124674744.19</v>
      </c>
      <c r="AE214" s="107">
        <v>3.1866899999999996</v>
      </c>
      <c r="AF214" s="108">
        <v>106475101.51000001</v>
      </c>
      <c r="AG214" s="107"/>
      <c r="AH214" s="133"/>
      <c r="AI214" s="133"/>
      <c r="AJ214" s="133"/>
      <c r="AK214" s="133"/>
      <c r="AL214" s="133"/>
      <c r="AM214" s="133"/>
      <c r="AN214" s="133"/>
      <c r="AO214" s="133"/>
      <c r="AP214" s="133"/>
      <c r="AQ214" s="133"/>
      <c r="AR214" s="133"/>
      <c r="AS214" s="133"/>
      <c r="AT214" s="133"/>
      <c r="AU214" s="133"/>
      <c r="AV214" s="133"/>
      <c r="AW214" s="133"/>
      <c r="AX214" s="133"/>
      <c r="AY214" s="110">
        <f t="shared" si="43"/>
        <v>2.9489999999999998</v>
      </c>
      <c r="AZ214" s="111">
        <f t="shared" si="41"/>
        <v>231149845.69999999</v>
      </c>
      <c r="BC214" s="61"/>
      <c r="BD214" s="16"/>
    </row>
    <row r="215" spans="1:56" x14ac:dyDescent="0.25">
      <c r="A215" s="21">
        <v>42582</v>
      </c>
      <c r="B215" s="24">
        <f t="shared" ref="B215" si="53">IF(A215&gt;A214,1+B214,"-")</f>
        <v>199</v>
      </c>
      <c r="C215" s="97" t="s">
        <v>82</v>
      </c>
      <c r="D215" s="84">
        <f t="shared" si="42"/>
        <v>1.6184000000000001</v>
      </c>
      <c r="E215" s="47">
        <f t="shared" si="39"/>
        <v>7101447.0226800991</v>
      </c>
      <c r="F215" s="104"/>
      <c r="G215" s="139"/>
      <c r="H215" s="49"/>
      <c r="I215" s="39"/>
      <c r="J215" s="20">
        <f t="shared" si="47"/>
        <v>42582</v>
      </c>
      <c r="K215" s="29">
        <v>3.6864546457923151</v>
      </c>
      <c r="L215" s="46">
        <f t="shared" ref="L215" si="54">L214*K215/100+L214</f>
        <v>2034874.4597583781</v>
      </c>
      <c r="M215" s="104"/>
      <c r="N215" s="139"/>
      <c r="O215" s="39"/>
      <c r="P215" s="20">
        <f t="shared" si="48"/>
        <v>42582</v>
      </c>
      <c r="Q215" s="28">
        <v>2.1649436813601994</v>
      </c>
      <c r="R215" s="46">
        <f t="shared" ref="R215" si="55">R214*Q215/100+R214</f>
        <v>1986458.6567015555</v>
      </c>
      <c r="S215" s="104"/>
      <c r="T215" s="104"/>
      <c r="U215" s="49"/>
      <c r="V215" s="39"/>
      <c r="W215" s="20">
        <f t="shared" si="49"/>
        <v>42582</v>
      </c>
      <c r="X215" s="36">
        <v>0.334812858042418</v>
      </c>
      <c r="Y215" s="46">
        <f t="shared" si="40"/>
        <v>4943221.6936071198</v>
      </c>
      <c r="AB215" s="36"/>
      <c r="AC215" s="107">
        <v>1.4237288135593278</v>
      </c>
      <c r="AD215" s="108">
        <v>127356437</v>
      </c>
      <c r="AE215" s="107">
        <v>1.7507299999999999</v>
      </c>
      <c r="AF215" s="108">
        <v>108258997.25999999</v>
      </c>
      <c r="AG215" s="107"/>
      <c r="AH215" s="133"/>
      <c r="AI215" s="133"/>
      <c r="AJ215" s="133"/>
      <c r="AK215" s="133"/>
      <c r="AL215" s="133"/>
      <c r="AM215" s="133"/>
      <c r="AN215" s="133"/>
      <c r="AO215" s="133"/>
      <c r="AP215" s="133"/>
      <c r="AQ215" s="133"/>
      <c r="AR215" s="133"/>
      <c r="AS215" s="133"/>
      <c r="AT215" s="133"/>
      <c r="AU215" s="133"/>
      <c r="AV215" s="133"/>
      <c r="AW215" s="133"/>
      <c r="AX215" s="133"/>
      <c r="AY215" s="110">
        <f t="shared" si="43"/>
        <v>1.6184000000000001</v>
      </c>
      <c r="AZ215" s="111">
        <f t="shared" si="41"/>
        <v>235615434.25999999</v>
      </c>
    </row>
    <row r="216" spans="1:56" x14ac:dyDescent="0.25">
      <c r="A216" s="21">
        <v>42613</v>
      </c>
      <c r="B216" s="24">
        <f t="shared" ref="B216" si="56">IF(A216&gt;A215,1+B215,"-")</f>
        <v>200</v>
      </c>
      <c r="C216" s="97" t="s">
        <v>82</v>
      </c>
      <c r="D216" s="84">
        <f t="shared" si="42"/>
        <v>-1.6609</v>
      </c>
      <c r="E216" s="47">
        <f t="shared" si="39"/>
        <v>6983499.0890804054</v>
      </c>
      <c r="F216" s="104"/>
      <c r="G216" s="139"/>
      <c r="H216" s="49"/>
      <c r="I216" s="39"/>
      <c r="J216" s="20">
        <f t="shared" si="47"/>
        <v>42613</v>
      </c>
      <c r="K216" s="29">
        <v>0.1407212996798694</v>
      </c>
      <c r="L216" s="46">
        <f t="shared" ref="L216" si="57">L215*K216/100+L215</f>
        <v>2037737.9615450038</v>
      </c>
      <c r="M216" s="104"/>
      <c r="N216" s="139"/>
      <c r="O216" s="39"/>
      <c r="P216" s="20">
        <f t="shared" si="48"/>
        <v>42613</v>
      </c>
      <c r="Q216" s="28">
        <v>-0.765176620538074</v>
      </c>
      <c r="R216" s="46">
        <f t="shared" ref="R216" si="58">R215*Q216/100+R215</f>
        <v>1971258.7394838205</v>
      </c>
      <c r="S216" s="104"/>
      <c r="T216" s="104"/>
      <c r="U216" s="49"/>
      <c r="V216" s="39"/>
      <c r="W216" s="20">
        <f t="shared" si="49"/>
        <v>42613</v>
      </c>
      <c r="X216" s="36">
        <v>-1.8827779393531134</v>
      </c>
      <c r="Y216" s="46">
        <f t="shared" si="40"/>
        <v>4850151.806066568</v>
      </c>
      <c r="AB216" s="36"/>
      <c r="AC216" s="107">
        <v>-1.8048128342246079</v>
      </c>
      <c r="AD216" s="108">
        <v>125670700</v>
      </c>
      <c r="AE216" s="107">
        <v>-1.58768</v>
      </c>
      <c r="AF216" s="108">
        <v>106540191.05</v>
      </c>
      <c r="AG216" s="107"/>
      <c r="AH216" s="133"/>
      <c r="AI216" s="133"/>
      <c r="AJ216" s="133"/>
      <c r="AK216" s="133"/>
      <c r="AL216" s="133"/>
      <c r="AM216" s="133"/>
      <c r="AN216" s="133"/>
      <c r="AO216" s="133"/>
      <c r="AP216" s="133"/>
      <c r="AQ216" s="133"/>
      <c r="AR216" s="133"/>
      <c r="AS216" s="133"/>
      <c r="AT216" s="133"/>
      <c r="AU216" s="133"/>
      <c r="AV216" s="133"/>
      <c r="AW216" s="133"/>
      <c r="AX216" s="133"/>
      <c r="AY216" s="110">
        <f t="shared" si="43"/>
        <v>-1.6609</v>
      </c>
      <c r="AZ216" s="111">
        <f t="shared" si="41"/>
        <v>232210891.05000001</v>
      </c>
    </row>
    <row r="217" spans="1:56" x14ac:dyDescent="0.25">
      <c r="A217" s="21">
        <v>42643</v>
      </c>
      <c r="B217" s="24">
        <f t="shared" si="36"/>
        <v>201</v>
      </c>
      <c r="C217" s="97" t="s">
        <v>82</v>
      </c>
      <c r="D217" s="84">
        <f t="shared" si="42"/>
        <v>-1.2157</v>
      </c>
      <c r="E217" s="47">
        <f t="shared" si="39"/>
        <v>6898600.6906544548</v>
      </c>
      <c r="F217" s="104"/>
      <c r="G217" s="106">
        <f>(E217/E$214-1)*100</f>
        <v>-1.2842365528719202</v>
      </c>
      <c r="H217" s="49"/>
      <c r="I217" s="39"/>
      <c r="J217" s="20">
        <f t="shared" si="47"/>
        <v>42643</v>
      </c>
      <c r="K217" s="29">
        <v>1.867100831628743E-2</v>
      </c>
      <c r="L217" s="46">
        <f t="shared" ref="L217:L228" si="59">L216*K217/100+L216</f>
        <v>2038118.4277692679</v>
      </c>
      <c r="M217" s="104"/>
      <c r="N217" s="106">
        <f>(L217/L$214-1)*100</f>
        <v>3.8517501215994399</v>
      </c>
      <c r="O217" s="39"/>
      <c r="P217" s="20">
        <f t="shared" si="48"/>
        <v>42643</v>
      </c>
      <c r="Q217" s="28">
        <v>-0.77393908858398386</v>
      </c>
      <c r="R217" s="46">
        <f t="shared" ref="R217:R219" si="60">R216*Q217/100+R216</f>
        <v>1956002.3975618272</v>
      </c>
      <c r="S217" s="104"/>
      <c r="T217" s="106">
        <f>(R217/R$214-1)*100</f>
        <v>0.59855719289338971</v>
      </c>
      <c r="U217" s="49"/>
      <c r="V217" s="39"/>
      <c r="W217" s="20">
        <f t="shared" si="49"/>
        <v>42643</v>
      </c>
      <c r="X217" s="36">
        <v>-0.9729740973598151</v>
      </c>
      <c r="Y217" s="46">
        <f t="shared" si="40"/>
        <v>4802961.0853109108</v>
      </c>
      <c r="AA217" s="106">
        <f>(Y217/Y214-1)*100</f>
        <v>-2.5121203278503867</v>
      </c>
      <c r="AB217" s="36"/>
      <c r="AC217" s="107">
        <v>-1.3614703880190557</v>
      </c>
      <c r="AD217" s="108">
        <v>118171781</v>
      </c>
      <c r="AE217" s="107">
        <v>-1.1400600000000001</v>
      </c>
      <c r="AF217" s="108">
        <v>105325567.60000001</v>
      </c>
      <c r="AG217" s="107"/>
      <c r="AH217" s="133"/>
      <c r="AI217" s="133"/>
      <c r="AJ217" s="133"/>
      <c r="AK217" s="133"/>
      <c r="AL217" s="133"/>
      <c r="AM217" s="133"/>
      <c r="AN217" s="133"/>
      <c r="AO217" s="133"/>
      <c r="AP217" s="133"/>
      <c r="AQ217" s="133"/>
      <c r="AR217" s="133"/>
      <c r="AS217" s="133"/>
      <c r="AT217" s="133"/>
      <c r="AU217" s="133"/>
      <c r="AV217" s="133"/>
      <c r="AW217" s="133"/>
      <c r="AX217" s="133"/>
      <c r="AY217" s="110">
        <f t="shared" si="43"/>
        <v>-1.2157</v>
      </c>
      <c r="AZ217" s="111">
        <f t="shared" si="41"/>
        <v>223497348.60000002</v>
      </c>
    </row>
    <row r="218" spans="1:56" x14ac:dyDescent="0.25">
      <c r="A218" s="21">
        <v>42674</v>
      </c>
      <c r="B218" s="24">
        <f t="shared" si="36"/>
        <v>202</v>
      </c>
      <c r="C218" s="97" t="s">
        <v>82</v>
      </c>
      <c r="D218" s="84">
        <f t="shared" si="42"/>
        <v>-2.4224999999999999</v>
      </c>
      <c r="E218" s="47">
        <f t="shared" si="39"/>
        <v>6731482.0889233509</v>
      </c>
      <c r="F218" s="104"/>
      <c r="H218" s="49"/>
      <c r="I218" s="39"/>
      <c r="J218" s="20">
        <f t="shared" si="47"/>
        <v>42674</v>
      </c>
      <c r="K218" s="29">
        <v>-1.8241743085794966</v>
      </c>
      <c r="L218" s="46">
        <f t="shared" si="59"/>
        <v>2000939.5950314766</v>
      </c>
      <c r="O218" s="39"/>
      <c r="P218" s="20">
        <f t="shared" si="48"/>
        <v>42674</v>
      </c>
      <c r="Q218" s="28">
        <v>-2.3478273455116114</v>
      </c>
      <c r="R218" s="46">
        <f t="shared" si="60"/>
        <v>1910078.8383930079</v>
      </c>
      <c r="U218" s="49"/>
      <c r="V218" s="39"/>
      <c r="W218" s="20">
        <f t="shared" si="49"/>
        <v>42674</v>
      </c>
      <c r="X218" s="36">
        <v>-2.2460824677302473</v>
      </c>
      <c r="Y218" s="46">
        <f t="shared" si="40"/>
        <v>4695082.618441836</v>
      </c>
      <c r="AB218" s="36"/>
      <c r="AC218" s="107">
        <v>-2.2774327122153215</v>
      </c>
      <c r="AD218" s="108">
        <v>110000276.52</v>
      </c>
      <c r="AE218" s="107">
        <v>-2.6769000000000003</v>
      </c>
      <c r="AF218" s="108">
        <v>102506111.655</v>
      </c>
      <c r="AG218" s="107"/>
      <c r="AH218" s="133"/>
      <c r="AI218" s="133"/>
      <c r="AJ218" s="133"/>
      <c r="AK218" s="133"/>
      <c r="AL218" s="133"/>
      <c r="AM218" s="133"/>
      <c r="AN218" s="133"/>
      <c r="AO218" s="133"/>
      <c r="AP218" s="133"/>
      <c r="AQ218" s="133"/>
      <c r="AR218" s="133"/>
      <c r="AS218" s="133"/>
      <c r="AT218" s="133"/>
      <c r="AU218" s="133"/>
      <c r="AV218" s="133"/>
      <c r="AW218" s="133"/>
      <c r="AX218" s="133"/>
      <c r="AY218" s="110">
        <f t="shared" si="43"/>
        <v>-2.4224999999999999</v>
      </c>
      <c r="AZ218" s="111">
        <f t="shared" si="41"/>
        <v>212506388.17500001</v>
      </c>
    </row>
    <row r="219" spans="1:56" x14ac:dyDescent="0.25">
      <c r="A219" s="21">
        <v>42704</v>
      </c>
      <c r="B219" s="24">
        <f t="shared" si="36"/>
        <v>203</v>
      </c>
      <c r="C219" s="97" t="s">
        <v>82</v>
      </c>
      <c r="D219" s="84">
        <f t="shared" si="42"/>
        <v>2.4836</v>
      </c>
      <c r="E219" s="47">
        <f t="shared" si="39"/>
        <v>6898665.178083851</v>
      </c>
      <c r="F219" s="104"/>
      <c r="G219" s="139"/>
      <c r="H219" s="49"/>
      <c r="I219" s="39"/>
      <c r="J219" s="20">
        <f t="shared" si="47"/>
        <v>42704</v>
      </c>
      <c r="K219" s="29">
        <v>3.7036267290456193</v>
      </c>
      <c r="L219" s="46">
        <f t="shared" si="59"/>
        <v>2075046.9287051195</v>
      </c>
      <c r="M219" s="104"/>
      <c r="N219" s="139"/>
      <c r="O219" s="39"/>
      <c r="P219" s="20">
        <f t="shared" si="48"/>
        <v>42704</v>
      </c>
      <c r="Q219" s="28">
        <v>2.2919296500405264</v>
      </c>
      <c r="R219" s="46">
        <f t="shared" si="60"/>
        <v>1953856.5016292869</v>
      </c>
      <c r="S219" s="104"/>
      <c r="T219" s="104"/>
      <c r="U219" s="49"/>
      <c r="V219" s="39"/>
      <c r="W219" s="20">
        <f t="shared" si="49"/>
        <v>42704</v>
      </c>
      <c r="X219" s="36">
        <v>0.53532421294514498</v>
      </c>
      <c r="Y219" s="46">
        <f t="shared" si="40"/>
        <v>4720216.532516134</v>
      </c>
      <c r="AB219" s="36"/>
      <c r="AC219" s="107">
        <v>2.8248587570621493</v>
      </c>
      <c r="AD219" s="108">
        <v>113274501</v>
      </c>
      <c r="AE219" s="107">
        <v>2.0297300000000003</v>
      </c>
      <c r="AF219" s="108">
        <v>104505210.90000001</v>
      </c>
      <c r="AG219" s="107"/>
      <c r="AH219" s="133"/>
      <c r="AI219" s="133"/>
      <c r="AJ219" s="133"/>
      <c r="AK219" s="133"/>
      <c r="AL219" s="133"/>
      <c r="AM219" s="133"/>
      <c r="AN219" s="133"/>
      <c r="AO219" s="133"/>
      <c r="AP219" s="133"/>
      <c r="AQ219" s="133"/>
      <c r="AR219" s="133"/>
      <c r="AS219" s="133"/>
      <c r="AT219" s="133"/>
      <c r="AU219" s="133"/>
      <c r="AV219" s="133"/>
      <c r="AW219" s="133"/>
      <c r="AX219" s="133"/>
      <c r="AY219" s="110">
        <f t="shared" si="43"/>
        <v>2.4836</v>
      </c>
      <c r="AZ219" s="111">
        <f t="shared" si="41"/>
        <v>217779711.90000001</v>
      </c>
    </row>
    <row r="220" spans="1:56" x14ac:dyDescent="0.25">
      <c r="A220" s="21">
        <v>42735</v>
      </c>
      <c r="B220" s="24">
        <f t="shared" si="36"/>
        <v>204</v>
      </c>
      <c r="C220" s="97" t="s">
        <v>82</v>
      </c>
      <c r="D220" s="84">
        <f t="shared" si="42"/>
        <v>1.6786000000000001</v>
      </c>
      <c r="E220" s="47">
        <f t="shared" si="39"/>
        <v>7014466.1717631668</v>
      </c>
      <c r="F220" s="112">
        <f>(E220/E$208-1)*100</f>
        <v>10.039343503433296</v>
      </c>
      <c r="G220" s="106">
        <v>1.68</v>
      </c>
      <c r="H220" s="49"/>
      <c r="I220" s="39"/>
      <c r="J220" s="20">
        <f t="shared" si="47"/>
        <v>42735</v>
      </c>
      <c r="K220" s="29">
        <v>1.969910613246475</v>
      </c>
      <c r="L220" s="46">
        <f t="shared" si="59"/>
        <v>2115923.4983835267</v>
      </c>
      <c r="M220" s="112">
        <f>(L220/L$208-1)*100</f>
        <v>11.952370430250326</v>
      </c>
      <c r="N220" s="106">
        <f>(L220/L$217-1)*100</f>
        <v>3.8174950755642145</v>
      </c>
      <c r="O220" s="39"/>
      <c r="P220" s="20">
        <f t="shared" si="48"/>
        <v>42735</v>
      </c>
      <c r="Q220" s="28">
        <v>2.257299823860325</v>
      </c>
      <c r="R220" s="46">
        <f t="shared" ref="R220:R226" si="61">R219*Q220/100+R219</f>
        <v>1997960.9009990483</v>
      </c>
      <c r="S220" s="112">
        <f>(R220/R$208-1)*100</f>
        <v>10.031453698935856</v>
      </c>
      <c r="T220" s="106">
        <f>(R220/R$217-1)*100</f>
        <v>2.1451151332699148</v>
      </c>
      <c r="U220" s="49"/>
      <c r="V220" s="39"/>
      <c r="W220" s="20">
        <f t="shared" si="49"/>
        <v>42735</v>
      </c>
      <c r="X220" s="36">
        <v>2.5687917748434885</v>
      </c>
      <c r="Y220" s="46">
        <f t="shared" si="40"/>
        <v>4841469.0665582111</v>
      </c>
      <c r="Z220" s="143">
        <f>(Y220/Y$208-1)*100</f>
        <v>10.372224202766866</v>
      </c>
      <c r="AA220" s="106">
        <f>(Y220/Y217-1)*100</f>
        <v>0.80175501244577063</v>
      </c>
      <c r="AB220" s="61">
        <f>STDEVP(X185:X220)*SQRT(12)</f>
        <v>9.3663011150353093</v>
      </c>
      <c r="AC220" s="107">
        <v>1.437368</v>
      </c>
      <c r="AD220" s="133">
        <v>115831369</v>
      </c>
      <c r="AE220" s="107">
        <v>1.8515400000000002</v>
      </c>
      <c r="AF220" s="108">
        <v>106440166.52</v>
      </c>
      <c r="AG220" s="107"/>
      <c r="AH220" s="133"/>
      <c r="AI220" s="133"/>
      <c r="AJ220" s="133"/>
      <c r="AK220" s="133"/>
      <c r="AL220" s="133"/>
      <c r="AM220" s="133"/>
      <c r="AN220" s="133"/>
      <c r="AO220" s="133"/>
      <c r="AP220" s="133"/>
      <c r="AQ220" s="133"/>
      <c r="AR220" s="133"/>
      <c r="AS220" s="133"/>
      <c r="AT220" s="133"/>
      <c r="AU220" s="133"/>
      <c r="AV220" s="133"/>
      <c r="AW220" s="133"/>
      <c r="AX220" s="133"/>
      <c r="AY220" s="110">
        <f t="shared" si="43"/>
        <v>1.6786000000000001</v>
      </c>
      <c r="AZ220" s="111">
        <f t="shared" si="41"/>
        <v>222271535.51999998</v>
      </c>
    </row>
    <row r="221" spans="1:56" ht="16.5" thickBot="1" x14ac:dyDescent="0.3">
      <c r="A221" s="21">
        <v>42766</v>
      </c>
      <c r="B221" s="24">
        <f t="shared" si="36"/>
        <v>205</v>
      </c>
      <c r="C221" s="97" t="s">
        <v>82</v>
      </c>
      <c r="D221" s="84">
        <f t="shared" si="42"/>
        <v>0.15690000000000001</v>
      </c>
      <c r="E221" s="47">
        <f t="shared" si="39"/>
        <v>7025471.8691866631</v>
      </c>
      <c r="F221" s="22"/>
      <c r="H221" s="49"/>
      <c r="I221" s="39"/>
      <c r="J221" s="20">
        <f t="shared" si="47"/>
        <v>42766</v>
      </c>
      <c r="K221" s="29">
        <v>1.8966324399677483</v>
      </c>
      <c r="L221" s="46">
        <f t="shared" si="59"/>
        <v>2156054.7898587692</v>
      </c>
      <c r="O221" s="39"/>
      <c r="P221" s="20">
        <f t="shared" si="48"/>
        <v>42766</v>
      </c>
      <c r="Q221" s="28">
        <v>1.29064965969908</v>
      </c>
      <c r="R221" s="46">
        <f t="shared" si="61"/>
        <v>2023747.5765687132</v>
      </c>
      <c r="U221" s="49"/>
      <c r="V221" s="39"/>
      <c r="W221" s="20">
        <f t="shared" si="49"/>
        <v>42766</v>
      </c>
      <c r="X221" s="36">
        <v>0.73983050516338389</v>
      </c>
      <c r="Y221" s="46">
        <f t="shared" ref="Y221:Y241" si="62">Y220*X221/100+Y220</f>
        <v>4877287.7316106576</v>
      </c>
      <c r="AB221" s="36"/>
      <c r="AC221" s="107">
        <v>0.13888888888888593</v>
      </c>
      <c r="AD221" s="133">
        <v>116458384.22</v>
      </c>
      <c r="AE221" s="107">
        <v>8.7719999999999992E-2</v>
      </c>
      <c r="AF221" s="108">
        <v>106533540.48</v>
      </c>
      <c r="AG221" s="107"/>
      <c r="AH221" s="133"/>
      <c r="AI221" s="133"/>
      <c r="AJ221" s="133"/>
      <c r="AK221" s="133"/>
      <c r="AL221" s="133"/>
      <c r="AM221" s="133"/>
      <c r="AN221" s="133"/>
      <c r="AO221" s="133"/>
      <c r="AP221" s="133"/>
      <c r="AQ221" s="133"/>
      <c r="AR221" s="133"/>
      <c r="AS221" s="133"/>
      <c r="AT221" s="133"/>
      <c r="AU221" s="133"/>
      <c r="AV221" s="133"/>
      <c r="AW221" s="133"/>
      <c r="AX221" s="133"/>
      <c r="AY221" s="110">
        <f t="shared" ref="AY221:AY223" si="63">ROUND(AD220/AZ220*(AC221+0.98/12)+AF220/AZ220*AE221,4)</f>
        <v>0.15690000000000001</v>
      </c>
      <c r="AZ221" s="111">
        <f t="shared" ref="AZ221:AZ222" si="64">AD221+AF221</f>
        <v>222991924.69999999</v>
      </c>
    </row>
    <row r="222" spans="1:56" ht="16.5" thickBot="1" x14ac:dyDescent="0.3">
      <c r="A222" s="21">
        <v>42794</v>
      </c>
      <c r="B222" s="24">
        <f t="shared" si="36"/>
        <v>206</v>
      </c>
      <c r="C222" s="97" t="s">
        <v>82</v>
      </c>
      <c r="D222" s="84">
        <f t="shared" si="42"/>
        <v>4.0064000000000002</v>
      </c>
      <c r="E222" s="47">
        <f t="shared" si="39"/>
        <v>7306940.3741537575</v>
      </c>
      <c r="F222" s="22"/>
      <c r="H222" s="49"/>
      <c r="I222" s="39"/>
      <c r="J222" s="20">
        <f t="shared" si="47"/>
        <v>42794</v>
      </c>
      <c r="K222" s="29">
        <v>3.9705270262314358</v>
      </c>
      <c r="L222" s="46">
        <f t="shared" si="59"/>
        <v>2241661.5279904688</v>
      </c>
      <c r="M222" s="112"/>
      <c r="O222" s="39"/>
      <c r="P222" s="20">
        <f t="shared" si="48"/>
        <v>42794</v>
      </c>
      <c r="Q222" s="28">
        <v>4.3478130837947813</v>
      </c>
      <c r="R222" s="46">
        <f t="shared" si="61"/>
        <v>2111736.3384857476</v>
      </c>
      <c r="U222" s="49"/>
      <c r="V222" s="39"/>
      <c r="W222" s="20">
        <f t="shared" si="49"/>
        <v>42794</v>
      </c>
      <c r="X222" s="36">
        <v>4.495007378878765</v>
      </c>
      <c r="Y222" s="46">
        <f t="shared" si="62"/>
        <v>5096522.1750357058</v>
      </c>
      <c r="Z222" s="143"/>
      <c r="AB222" s="36"/>
      <c r="AC222" s="107">
        <v>3.8141470180305181</v>
      </c>
      <c r="AD222" s="133">
        <v>113204259.98</v>
      </c>
      <c r="AE222" s="107">
        <v>4.1272000000000002</v>
      </c>
      <c r="AF222" s="108">
        <v>110850120.33</v>
      </c>
      <c r="AG222" s="324" t="s">
        <v>83</v>
      </c>
      <c r="AH222" s="325"/>
      <c r="AI222" s="230"/>
      <c r="AJ222" s="230"/>
      <c r="AK222" s="230"/>
      <c r="AL222" s="230"/>
      <c r="AM222" s="230"/>
      <c r="AN222" s="230"/>
      <c r="AO222" s="230"/>
      <c r="AP222" s="230"/>
      <c r="AQ222" s="230"/>
      <c r="AR222" s="230"/>
      <c r="AS222" s="230"/>
      <c r="AT222" s="230"/>
      <c r="AU222" s="230"/>
      <c r="AV222" s="230"/>
      <c r="AW222" s="230"/>
      <c r="AX222" s="230"/>
      <c r="AY222" s="110">
        <f t="shared" si="63"/>
        <v>4.0064000000000002</v>
      </c>
      <c r="AZ222" s="111">
        <f t="shared" si="64"/>
        <v>224054380.31</v>
      </c>
    </row>
    <row r="223" spans="1:56" ht="16.5" thickBot="1" x14ac:dyDescent="0.3">
      <c r="A223" s="21">
        <v>42825</v>
      </c>
      <c r="B223" s="24">
        <f t="shared" ref="B223" si="65">IF(A223&gt;A222,1+B222,"-")</f>
        <v>207</v>
      </c>
      <c r="C223" s="97" t="s">
        <v>82</v>
      </c>
      <c r="D223" s="84">
        <f t="shared" si="42"/>
        <v>-0.33079999999999998</v>
      </c>
      <c r="E223" s="47">
        <f t="shared" si="39"/>
        <v>7282769.0153960567</v>
      </c>
      <c r="F223" s="22"/>
      <c r="G223" s="106">
        <f>(E223/E$220-1)*100</f>
        <v>3.8249930509743901</v>
      </c>
      <c r="H223" s="49"/>
      <c r="I223" s="39"/>
      <c r="J223" s="20">
        <f t="shared" si="47"/>
        <v>42825</v>
      </c>
      <c r="K223" s="29">
        <v>0.11664881162675513</v>
      </c>
      <c r="L223" s="46">
        <f t="shared" si="59"/>
        <v>2244276.3995235637</v>
      </c>
      <c r="N223" s="106">
        <f>(L223/L$220-1)*100</f>
        <v>6.0660463971449419</v>
      </c>
      <c r="O223" s="39"/>
      <c r="P223" s="20">
        <f t="shared" si="48"/>
        <v>42825</v>
      </c>
      <c r="Q223" s="28">
        <v>-0.1369077903657748</v>
      </c>
      <c r="R223" s="46">
        <f t="shared" si="61"/>
        <v>2108845.2069263756</v>
      </c>
      <c r="S223" s="112"/>
      <c r="T223" s="106">
        <f>(R223/R$220-1)*100</f>
        <v>5.5498736672915605</v>
      </c>
      <c r="U223" s="49"/>
      <c r="V223" s="39"/>
      <c r="W223" s="20">
        <f t="shared" si="49"/>
        <v>42825</v>
      </c>
      <c r="X223" s="36">
        <v>-5.084997401826865E-2</v>
      </c>
      <c r="Y223" s="46">
        <f t="shared" si="62"/>
        <v>5093930.5948338648</v>
      </c>
      <c r="AA223" s="106">
        <f>(Y223/Y220-1)*100</f>
        <v>5.2145645217377856</v>
      </c>
      <c r="AB223" s="36"/>
      <c r="AC223" s="107">
        <v>-0.46760187040748352</v>
      </c>
      <c r="AD223" s="133">
        <v>112381511.09</v>
      </c>
      <c r="AE223" s="107">
        <v>-0.27445999999999998</v>
      </c>
      <c r="AF223" s="108">
        <v>110545879.28</v>
      </c>
      <c r="AG223" s="107"/>
      <c r="AH223" s="133">
        <v>20146171.039999999</v>
      </c>
      <c r="AI223" s="231"/>
      <c r="AJ223" s="133"/>
      <c r="AK223" s="133"/>
      <c r="AL223" s="133"/>
      <c r="AM223" s="133"/>
      <c r="AN223" s="133"/>
      <c r="AO223" s="133"/>
      <c r="AP223" s="133"/>
      <c r="AQ223" s="133"/>
      <c r="AR223" s="133"/>
      <c r="AS223" s="133"/>
      <c r="AT223" s="133"/>
      <c r="AU223" s="133"/>
      <c r="AV223" s="133"/>
      <c r="AW223" s="133"/>
      <c r="AX223" s="133"/>
      <c r="AY223" s="110">
        <f t="shared" si="63"/>
        <v>-0.33079999999999998</v>
      </c>
      <c r="AZ223" s="111">
        <f>AD223+AF223</f>
        <v>222927390.37</v>
      </c>
      <c r="BA223" s="149">
        <f>AD223+AF223+AH223</f>
        <v>243073561.41</v>
      </c>
    </row>
    <row r="224" spans="1:56" x14ac:dyDescent="0.25">
      <c r="A224" s="21">
        <v>42855</v>
      </c>
      <c r="B224" s="24">
        <f t="shared" si="36"/>
        <v>208</v>
      </c>
      <c r="C224" s="97" t="s">
        <v>82</v>
      </c>
      <c r="D224" s="84">
        <f t="shared" si="42"/>
        <v>0.87760000000000005</v>
      </c>
      <c r="E224" s="47">
        <f t="shared" si="39"/>
        <v>7346682.5962751722</v>
      </c>
      <c r="F224" s="106"/>
      <c r="H224" s="49"/>
      <c r="I224" s="39"/>
      <c r="J224" s="20">
        <f t="shared" si="47"/>
        <v>42855</v>
      </c>
      <c r="K224" s="29">
        <v>1.0271052392714737</v>
      </c>
      <c r="L224" s="46">
        <f t="shared" si="59"/>
        <v>2267327.4800068033</v>
      </c>
      <c r="M224" s="106"/>
      <c r="O224" s="39"/>
      <c r="P224" s="20">
        <f t="shared" si="48"/>
        <v>42855</v>
      </c>
      <c r="Q224" s="28">
        <v>1.0957501047797271</v>
      </c>
      <c r="R224" s="46">
        <f t="shared" si="61"/>
        <v>2131952.8804909135</v>
      </c>
      <c r="U224" s="49"/>
      <c r="V224" s="39"/>
      <c r="W224" s="20">
        <f t="shared" si="49"/>
        <v>42855</v>
      </c>
      <c r="X224" s="36">
        <v>1.0873319147513971</v>
      </c>
      <c r="Y224" s="46">
        <f t="shared" si="62"/>
        <v>5149318.5279067792</v>
      </c>
      <c r="AC224" s="107">
        <v>0.67114093959731302</v>
      </c>
      <c r="AD224" s="133">
        <v>111972789.14</v>
      </c>
      <c r="AE224" s="107">
        <v>0.92393999999999998</v>
      </c>
      <c r="AF224" s="108">
        <v>111567262</v>
      </c>
      <c r="AG224" s="107">
        <v>1.32</v>
      </c>
      <c r="AH224" s="133">
        <v>25106767.140000001</v>
      </c>
      <c r="AI224" s="231"/>
      <c r="AJ224" s="133"/>
      <c r="AK224" s="133"/>
      <c r="AL224" s="133"/>
      <c r="AM224" s="133"/>
      <c r="AN224" s="133"/>
      <c r="AO224" s="133"/>
      <c r="AP224" s="133"/>
      <c r="AQ224" s="133"/>
      <c r="AR224" s="133"/>
      <c r="AS224" s="133"/>
      <c r="AT224" s="133"/>
      <c r="AU224" s="133"/>
      <c r="AV224" s="133"/>
      <c r="AW224" s="133"/>
      <c r="AX224" s="133"/>
      <c r="AY224" s="110">
        <f>ROUND(AD223/BA223*(AC224+0.98/12)+AF223/BA223*AE224+AH223/BA223*AG224,4)</f>
        <v>0.87760000000000005</v>
      </c>
      <c r="AZ224" s="111">
        <f t="shared" ref="AZ224:AZ225" si="66">AD224+AF224+AH224</f>
        <v>248646818.27999997</v>
      </c>
      <c r="BA224" s="61"/>
      <c r="BB224" s="189"/>
    </row>
    <row r="225" spans="1:54" x14ac:dyDescent="0.25">
      <c r="A225" s="21">
        <v>42886</v>
      </c>
      <c r="B225" s="24">
        <f t="shared" si="36"/>
        <v>209</v>
      </c>
      <c r="C225" s="97" t="s">
        <v>82</v>
      </c>
      <c r="D225" s="84">
        <f t="shared" si="42"/>
        <v>1.2831999999999999</v>
      </c>
      <c r="E225" s="47">
        <f t="shared" si="39"/>
        <v>7440955.2273505749</v>
      </c>
      <c r="F225" s="22"/>
      <c r="H225" s="49"/>
      <c r="I225" s="39"/>
      <c r="J225" s="20">
        <f t="shared" si="47"/>
        <v>42886</v>
      </c>
      <c r="K225" s="29">
        <v>1.4072016778941636</v>
      </c>
      <c r="L225" s="46">
        <f t="shared" si="59"/>
        <v>2299233.3503488144</v>
      </c>
      <c r="M225" s="106"/>
      <c r="O225" s="39"/>
      <c r="P225" s="20">
        <f t="shared" si="48"/>
        <v>42886</v>
      </c>
      <c r="Q225" s="28">
        <v>1.7902098939561422</v>
      </c>
      <c r="R225" s="46">
        <f t="shared" si="61"/>
        <v>2170119.3118919446</v>
      </c>
      <c r="U225" s="49"/>
      <c r="V225" s="39"/>
      <c r="W225" s="20">
        <f t="shared" si="49"/>
        <v>42886</v>
      </c>
      <c r="X225" s="36">
        <v>2.6960703277971878</v>
      </c>
      <c r="Y225" s="46">
        <f t="shared" si="62"/>
        <v>5288147.7768214364</v>
      </c>
      <c r="AC225" s="107">
        <v>1.3333333333333286</v>
      </c>
      <c r="AD225" s="133">
        <v>113575928.79000001</v>
      </c>
      <c r="AE225" s="107">
        <v>1.1449</v>
      </c>
      <c r="AF225" s="108">
        <v>112761744.16</v>
      </c>
      <c r="AG225" s="107">
        <v>1.31</v>
      </c>
      <c r="AH225" s="133">
        <v>25441297.940000001</v>
      </c>
      <c r="AI225" s="231"/>
      <c r="AJ225" s="133"/>
      <c r="AK225" s="133"/>
      <c r="AL225" s="133"/>
      <c r="AM225" s="133"/>
      <c r="AN225" s="133"/>
      <c r="AO225" s="133"/>
      <c r="AP225" s="133"/>
      <c r="AQ225" s="133"/>
      <c r="AR225" s="133"/>
      <c r="AS225" s="133"/>
      <c r="AT225" s="133"/>
      <c r="AU225" s="133"/>
      <c r="AV225" s="133"/>
      <c r="AW225" s="133"/>
      <c r="AX225" s="133"/>
      <c r="AY225" s="110">
        <f t="shared" ref="AY225:AY227" si="67">ROUND(AD224/AZ224*(AC225+0.98/12)+AF224/AZ224*AE225+AH224/AZ224*AG225,4)</f>
        <v>1.2831999999999999</v>
      </c>
      <c r="AZ225" s="111">
        <f t="shared" si="66"/>
        <v>251778970.88999999</v>
      </c>
      <c r="BA225" s="61"/>
      <c r="BB225" s="1"/>
    </row>
    <row r="226" spans="1:54" x14ac:dyDescent="0.25">
      <c r="A226" s="21">
        <v>42916</v>
      </c>
      <c r="B226" s="24">
        <f t="shared" ref="B226:B276" si="68">IF(A226&gt;A225,1+B225,"-")</f>
        <v>210</v>
      </c>
      <c r="C226" s="97" t="s">
        <v>82</v>
      </c>
      <c r="D226" s="84">
        <f t="shared" si="42"/>
        <v>0.17480000000000001</v>
      </c>
      <c r="E226" s="47">
        <f t="shared" si="39"/>
        <v>7453962.0170879839</v>
      </c>
      <c r="F226" s="112"/>
      <c r="G226" s="106">
        <f>(E226/E$223-1)*100</f>
        <v>2.3506581264628679</v>
      </c>
      <c r="H226" s="49"/>
      <c r="I226" s="39"/>
      <c r="J226" s="20">
        <f t="shared" si="47"/>
        <v>42916</v>
      </c>
      <c r="K226" s="29">
        <v>0.62408740693053544</v>
      </c>
      <c r="L226" s="46">
        <f t="shared" si="59"/>
        <v>2313582.5761442883</v>
      </c>
      <c r="M226" s="112"/>
      <c r="N226" s="106">
        <f>(L226/L$223-1)*100</f>
        <v>3.088130171285397</v>
      </c>
      <c r="O226" s="39"/>
      <c r="P226" s="20">
        <f t="shared" si="48"/>
        <v>42916</v>
      </c>
      <c r="Q226" s="28">
        <v>-0.21335450099320977</v>
      </c>
      <c r="R226" s="46">
        <f t="shared" si="61"/>
        <v>2165489.2646631002</v>
      </c>
      <c r="S226" s="112"/>
      <c r="T226" s="106">
        <f>(R226/R$223-1)*100</f>
        <v>2.6860225468744892</v>
      </c>
      <c r="U226" s="49"/>
      <c r="V226" s="39"/>
      <c r="W226" s="20">
        <f t="shared" si="49"/>
        <v>42916</v>
      </c>
      <c r="X226" s="36">
        <v>-0.32260180051273224</v>
      </c>
      <c r="Y226" s="46">
        <f t="shared" si="62"/>
        <v>5271088.1168796364</v>
      </c>
      <c r="AA226" s="106">
        <f>(Y226/Y223-1)*100</f>
        <v>3.4778157799291609</v>
      </c>
      <c r="AC226" s="107">
        <v>6.578947368422082E-2</v>
      </c>
      <c r="AD226" s="133">
        <v>114281134.66</v>
      </c>
      <c r="AE226" s="107">
        <v>0.19891771999999999</v>
      </c>
      <c r="AF226" s="108">
        <v>112986047.25999999</v>
      </c>
      <c r="AG226" s="107">
        <v>0.19</v>
      </c>
      <c r="AH226" s="133">
        <v>25490896.539999999</v>
      </c>
      <c r="AI226" s="231"/>
      <c r="AJ226" s="133"/>
      <c r="AK226" s="133"/>
      <c r="AL226" s="133"/>
      <c r="AM226" s="133"/>
      <c r="AN226" s="133"/>
      <c r="AO226" s="133"/>
      <c r="AP226" s="133"/>
      <c r="AQ226" s="133"/>
      <c r="AR226" s="133"/>
      <c r="AS226" s="133"/>
      <c r="AT226" s="133"/>
      <c r="AU226" s="133"/>
      <c r="AV226" s="133"/>
      <c r="AW226" s="133"/>
      <c r="AX226" s="133"/>
      <c r="AY226" s="110">
        <f t="shared" si="67"/>
        <v>0.17480000000000001</v>
      </c>
      <c r="AZ226" s="111">
        <f>AD226+AF226+AH226</f>
        <v>252758078.45999998</v>
      </c>
      <c r="BA226" s="61"/>
      <c r="BB226" s="61"/>
    </row>
    <row r="227" spans="1:54" ht="16.5" thickBot="1" x14ac:dyDescent="0.3">
      <c r="A227" s="21">
        <v>42947</v>
      </c>
      <c r="B227" s="24">
        <f t="shared" si="68"/>
        <v>211</v>
      </c>
      <c r="C227" s="97" t="s">
        <v>82</v>
      </c>
      <c r="D227" s="84">
        <f t="shared" si="42"/>
        <v>1.5465</v>
      </c>
      <c r="E227" s="47">
        <f t="shared" si="39"/>
        <v>7569237.5396822495</v>
      </c>
      <c r="F227" s="112"/>
      <c r="G227" s="106"/>
      <c r="H227" s="49"/>
      <c r="I227" s="39"/>
      <c r="J227" s="20">
        <f t="shared" si="47"/>
        <v>42947</v>
      </c>
      <c r="K227" s="29">
        <v>2.0562208301688933</v>
      </c>
      <c r="L227" s="46">
        <f t="shared" si="59"/>
        <v>2361154.9429981252</v>
      </c>
      <c r="M227" s="112"/>
      <c r="O227" s="39"/>
      <c r="P227" s="20">
        <f t="shared" si="48"/>
        <v>42947</v>
      </c>
      <c r="Q227" s="28">
        <v>1.6477022711698481</v>
      </c>
      <c r="R227" s="46">
        <f t="shared" ref="R227:R238" si="69">R226*Q227/100+R226</f>
        <v>2201170.0804588934</v>
      </c>
      <c r="S227" s="112"/>
      <c r="U227" s="49"/>
      <c r="V227" s="39"/>
      <c r="W227" s="20">
        <f t="shared" si="49"/>
        <v>42947</v>
      </c>
      <c r="X227" s="36">
        <v>1.37873985653355</v>
      </c>
      <c r="Y227" s="46">
        <f t="shared" si="62"/>
        <v>5343762.7096200595</v>
      </c>
      <c r="Z227" s="143"/>
      <c r="AC227" s="107">
        <v>1.4464168310322081</v>
      </c>
      <c r="AD227" s="133">
        <v>115932688.12</v>
      </c>
      <c r="AE227" s="107">
        <v>1.5621389000000001</v>
      </c>
      <c r="AF227" s="108">
        <v>114751046.27000001</v>
      </c>
      <c r="AG227" s="107">
        <v>1.56</v>
      </c>
      <c r="AH227" s="133">
        <v>25893793.800000001</v>
      </c>
      <c r="AI227" s="231"/>
      <c r="AJ227" s="133"/>
      <c r="AK227" s="133"/>
      <c r="AL227" s="133"/>
      <c r="AM227" s="133"/>
      <c r="AN227" s="133"/>
      <c r="AO227" s="133"/>
      <c r="AP227" s="133"/>
      <c r="AQ227" s="133"/>
      <c r="AR227" s="133"/>
      <c r="AS227" s="133"/>
      <c r="AT227" s="133"/>
      <c r="AU227" s="133"/>
      <c r="AV227" s="133"/>
      <c r="AW227" s="133"/>
      <c r="AX227" s="133"/>
      <c r="AY227" s="110">
        <f t="shared" si="67"/>
        <v>1.5465</v>
      </c>
      <c r="AZ227" s="111">
        <f>AD227+AF227+AH227</f>
        <v>256577528.19000003</v>
      </c>
      <c r="BA227" s="61"/>
    </row>
    <row r="228" spans="1:54" ht="16.5" thickBot="1" x14ac:dyDescent="0.3">
      <c r="A228" s="21">
        <v>42978</v>
      </c>
      <c r="B228" s="24">
        <f t="shared" si="68"/>
        <v>212</v>
      </c>
      <c r="C228" s="97" t="s">
        <v>82</v>
      </c>
      <c r="D228" s="84">
        <f t="shared" si="42"/>
        <v>7.85E-2</v>
      </c>
      <c r="E228" s="47">
        <f t="shared" si="39"/>
        <v>7575179.3911509002</v>
      </c>
      <c r="F228" s="112"/>
      <c r="G228" s="106"/>
      <c r="H228" s="49"/>
      <c r="I228" s="39"/>
      <c r="J228" s="20">
        <f t="shared" si="47"/>
        <v>42978</v>
      </c>
      <c r="K228" s="29">
        <v>0.30611160404652787</v>
      </c>
      <c r="L228" s="46">
        <f t="shared" si="59"/>
        <v>2368382.7122681607</v>
      </c>
      <c r="M228" s="112"/>
      <c r="O228" s="39"/>
      <c r="P228" s="20">
        <f t="shared" si="48"/>
        <v>42978</v>
      </c>
      <c r="Q228" s="28">
        <v>0.73788105789665526</v>
      </c>
      <c r="R228" s="46">
        <f t="shared" si="69"/>
        <v>2217412.0975346882</v>
      </c>
      <c r="S228" s="112"/>
      <c r="U228" s="49"/>
      <c r="V228" s="39"/>
      <c r="W228" s="20">
        <f t="shared" si="49"/>
        <v>42978</v>
      </c>
      <c r="X228" s="36">
        <v>0.85165256587252958</v>
      </c>
      <c r="Y228" s="46">
        <f t="shared" si="62"/>
        <v>5389273.0018506777</v>
      </c>
      <c r="Z228" s="143"/>
      <c r="AC228" s="107">
        <v>0</v>
      </c>
      <c r="AD228" s="133">
        <v>115352709.26000001</v>
      </c>
      <c r="AE228" s="107">
        <v>7.0469000000000004E-2</v>
      </c>
      <c r="AF228" s="108">
        <v>114831910.61</v>
      </c>
      <c r="AG228" s="225">
        <v>0.1</v>
      </c>
      <c r="AH228" s="226">
        <v>25893794.800000001</v>
      </c>
      <c r="AI228" s="133"/>
      <c r="AJ228" s="133"/>
      <c r="AK228" s="133"/>
      <c r="AL228" s="133"/>
      <c r="AM228" s="133"/>
      <c r="AN228" s="133"/>
      <c r="AO228" s="133"/>
      <c r="AP228" s="133"/>
      <c r="AQ228" s="133"/>
      <c r="AR228" s="133"/>
      <c r="AS228" s="133"/>
      <c r="AT228" s="133"/>
      <c r="AU228" s="133"/>
      <c r="AV228" s="133"/>
      <c r="AW228" s="133"/>
      <c r="AX228" s="133"/>
      <c r="AY228" s="110">
        <f t="shared" ref="AY228" si="70">ROUND(AD227/AZ227*(AC228+0.98/12)+AF227/AZ227*AE228+AH227/AZ227*AG228,4)</f>
        <v>7.85E-2</v>
      </c>
      <c r="AZ228" s="111">
        <f>AD228+AF228+AH228</f>
        <v>256078414.67000002</v>
      </c>
      <c r="BA228" s="149">
        <f>AD228+AF228</f>
        <v>230184619.87</v>
      </c>
    </row>
    <row r="229" spans="1:54" x14ac:dyDescent="0.25">
      <c r="A229" s="21">
        <v>43008</v>
      </c>
      <c r="B229" s="24">
        <f t="shared" si="68"/>
        <v>213</v>
      </c>
      <c r="C229" s="97" t="s">
        <v>82</v>
      </c>
      <c r="D229" s="84">
        <f t="shared" si="42"/>
        <v>1.3938999999999999</v>
      </c>
      <c r="E229" s="47">
        <f t="shared" si="39"/>
        <v>7680769.8166841529</v>
      </c>
      <c r="F229" s="112"/>
      <c r="G229" s="106">
        <f>(E229/E$226-1)*100</f>
        <v>3.0427817994808537</v>
      </c>
      <c r="H229" s="49"/>
      <c r="I229" s="39"/>
      <c r="J229" s="20">
        <f t="shared" si="47"/>
        <v>43008</v>
      </c>
      <c r="K229" s="29">
        <v>2.062837167180839</v>
      </c>
      <c r="L229" s="46">
        <f t="shared" ref="L229:L238" si="71">L228*K229/100+L228</f>
        <v>2417238.5911179138</v>
      </c>
      <c r="M229" s="112"/>
      <c r="N229" s="106">
        <f>(L229/L$226-1)*100</f>
        <v>4.4803248452179201</v>
      </c>
      <c r="O229" s="39"/>
      <c r="P229" s="20">
        <f t="shared" si="48"/>
        <v>43008</v>
      </c>
      <c r="Q229" s="28">
        <v>1.4641776764391163</v>
      </c>
      <c r="R229" s="46">
        <f t="shared" ref="R229:R231" si="72">R228*Q229/100+R228</f>
        <v>2249878.9504614514</v>
      </c>
      <c r="S229" s="112"/>
      <c r="T229" s="106">
        <f>(R229/R$226-1)*100</f>
        <v>3.8970262829485902</v>
      </c>
      <c r="U229" s="49"/>
      <c r="V229" s="39"/>
      <c r="W229" s="20">
        <f t="shared" si="49"/>
        <v>43008</v>
      </c>
      <c r="X229" s="36">
        <v>0.78794881170017517</v>
      </c>
      <c r="Y229" s="46">
        <f t="shared" si="62"/>
        <v>5431737.7144280383</v>
      </c>
      <c r="AA229" s="106">
        <f>(Y229/Y226-1)*100</f>
        <v>3.0477501795872719</v>
      </c>
      <c r="AC229" s="107">
        <v>1.2961762799740835</v>
      </c>
      <c r="AD229" s="133">
        <v>116745083.69</v>
      </c>
      <c r="AE229" s="107">
        <v>1.4099889999999999</v>
      </c>
      <c r="AF229" s="108">
        <v>116365386.78999999</v>
      </c>
      <c r="AG229" s="107"/>
      <c r="AH229" s="133"/>
      <c r="AI229" s="133"/>
      <c r="AJ229" s="133"/>
      <c r="AK229" s="133"/>
      <c r="AL229" s="133"/>
      <c r="AM229" s="133"/>
      <c r="AN229" s="133"/>
      <c r="AO229" s="133"/>
      <c r="AP229" s="133"/>
      <c r="AQ229" s="133"/>
      <c r="AR229" s="133"/>
      <c r="AS229" s="133"/>
      <c r="AT229" s="133"/>
      <c r="AU229" s="133"/>
      <c r="AV229" s="133"/>
      <c r="AW229" s="133"/>
      <c r="AX229" s="133"/>
      <c r="AY229" s="110">
        <f>ROUND(AD228/BA228*(AC229+0.98/12)+AF228/BA228*AE229,4)</f>
        <v>1.3938999999999999</v>
      </c>
      <c r="AZ229" s="111">
        <f t="shared" ref="AZ229:AZ234" si="73">AD229+AF229</f>
        <v>233110470.47999999</v>
      </c>
    </row>
    <row r="230" spans="1:54" x14ac:dyDescent="0.25">
      <c r="A230" s="21">
        <v>43039</v>
      </c>
      <c r="B230" s="24">
        <f t="shared" si="68"/>
        <v>214</v>
      </c>
      <c r="C230" s="97" t="s">
        <v>82</v>
      </c>
      <c r="D230" s="84">
        <f t="shared" si="42"/>
        <v>0.71250000000000002</v>
      </c>
      <c r="E230" s="47">
        <f t="shared" si="39"/>
        <v>7735495.3016280271</v>
      </c>
      <c r="F230" s="142"/>
      <c r="H230" s="49"/>
      <c r="I230" s="39"/>
      <c r="J230" s="20">
        <f t="shared" si="47"/>
        <v>43039</v>
      </c>
      <c r="K230" s="29">
        <v>2.333376075501929</v>
      </c>
      <c r="L230" s="46">
        <f t="shared" si="71"/>
        <v>2473641.8580908589</v>
      </c>
      <c r="O230" s="39"/>
      <c r="P230" s="20">
        <f t="shared" si="48"/>
        <v>43039</v>
      </c>
      <c r="Q230" s="28">
        <v>2.6030348621902504</v>
      </c>
      <c r="R230" s="46">
        <f t="shared" si="69"/>
        <v>2308444.083899043</v>
      </c>
      <c r="U230" s="49"/>
      <c r="V230" s="39"/>
      <c r="W230" s="20">
        <f t="shared" si="49"/>
        <v>43039</v>
      </c>
      <c r="X230" s="36">
        <v>1.9045253081532783</v>
      </c>
      <c r="Y230" s="46">
        <f t="shared" si="62"/>
        <v>5535186.5338718267</v>
      </c>
      <c r="AC230" s="107">
        <v>0.70377479206653504</v>
      </c>
      <c r="AD230" s="133">
        <v>116441793.28</v>
      </c>
      <c r="AE230" s="107">
        <v>0.63941999999999999</v>
      </c>
      <c r="AF230" s="108">
        <v>117109454.2</v>
      </c>
      <c r="AG230" s="107"/>
      <c r="AH230" s="133"/>
      <c r="AI230" s="133"/>
      <c r="AJ230" s="133"/>
      <c r="AK230" s="133"/>
      <c r="AL230" s="133"/>
      <c r="AM230" s="133"/>
      <c r="AN230" s="133"/>
      <c r="AO230" s="133"/>
      <c r="AP230" s="133"/>
      <c r="AQ230" s="133"/>
      <c r="AR230" s="133"/>
      <c r="AS230" s="133"/>
      <c r="AT230" s="133"/>
      <c r="AU230" s="133"/>
      <c r="AV230" s="133"/>
      <c r="AW230" s="133"/>
      <c r="AX230" s="133"/>
      <c r="AY230" s="110">
        <f t="shared" ref="AY230:AY235" si="74">ROUND(AD229/AZ229*(AC230+0.98/12)+AF229/AZ229*AE230,4)</f>
        <v>0.71250000000000002</v>
      </c>
      <c r="AZ230" s="111">
        <f t="shared" si="73"/>
        <v>233551247.48000002</v>
      </c>
    </row>
    <row r="231" spans="1:54" x14ac:dyDescent="0.25">
      <c r="A231" s="21">
        <v>43069</v>
      </c>
      <c r="B231" s="24">
        <f t="shared" si="68"/>
        <v>215</v>
      </c>
      <c r="C231" s="97" t="s">
        <v>82</v>
      </c>
      <c r="D231" s="84">
        <f t="shared" si="42"/>
        <v>5.0007000000000001</v>
      </c>
      <c r="E231" s="47">
        <f t="shared" si="39"/>
        <v>8122324.2151765395</v>
      </c>
      <c r="F231" s="112"/>
      <c r="H231" s="49"/>
      <c r="I231" s="39"/>
      <c r="J231" s="20">
        <f t="shared" si="47"/>
        <v>43069</v>
      </c>
      <c r="K231" s="29">
        <v>3.0671349367514291</v>
      </c>
      <c r="L231" s="46">
        <f t="shared" si="71"/>
        <v>2549511.791730471</v>
      </c>
      <c r="M231" s="112"/>
      <c r="O231" s="39"/>
      <c r="P231" s="20">
        <f t="shared" si="48"/>
        <v>43069</v>
      </c>
      <c r="Q231" s="28">
        <v>3.5121979645623385</v>
      </c>
      <c r="R231" s="46">
        <f t="shared" si="72"/>
        <v>2389521.2100268048</v>
      </c>
      <c r="U231" s="49"/>
      <c r="V231" s="39"/>
      <c r="W231" s="20">
        <f t="shared" si="49"/>
        <v>43069</v>
      </c>
      <c r="X231" s="36">
        <v>3.8567919911417667</v>
      </c>
      <c r="Y231" s="46">
        <f t="shared" si="62"/>
        <v>5748667.1648049532</v>
      </c>
      <c r="AC231" s="107">
        <v>4.9555273189326519</v>
      </c>
      <c r="AD231" s="133">
        <v>104830068.44</v>
      </c>
      <c r="AE231" s="107">
        <v>4.96434</v>
      </c>
      <c r="AF231" s="108">
        <v>112353883.31999999</v>
      </c>
      <c r="AG231" s="107"/>
      <c r="AH231" s="133"/>
      <c r="AI231" s="133"/>
      <c r="AJ231" s="133"/>
      <c r="AK231" s="133"/>
      <c r="AL231" s="133"/>
      <c r="AM231" s="133"/>
      <c r="AN231" s="133"/>
      <c r="AO231" s="133"/>
      <c r="AP231" s="133"/>
      <c r="AQ231" s="133"/>
      <c r="AR231" s="133"/>
      <c r="AS231" s="133"/>
      <c r="AT231" s="133"/>
      <c r="AU231" s="133"/>
      <c r="AV231" s="133"/>
      <c r="AW231" s="133"/>
      <c r="AX231" s="133"/>
      <c r="AY231" s="110">
        <f t="shared" si="74"/>
        <v>5.0007000000000001</v>
      </c>
      <c r="AZ231" s="111">
        <f t="shared" si="73"/>
        <v>217183951.75999999</v>
      </c>
    </row>
    <row r="232" spans="1:54" x14ac:dyDescent="0.25">
      <c r="A232" s="21">
        <v>43100</v>
      </c>
      <c r="B232" s="24">
        <f t="shared" si="68"/>
        <v>216</v>
      </c>
      <c r="C232" s="97" t="s">
        <v>82</v>
      </c>
      <c r="D232" s="84">
        <f t="shared" si="42"/>
        <v>1.59</v>
      </c>
      <c r="E232" s="47">
        <f t="shared" si="39"/>
        <v>8251469.1701978464</v>
      </c>
      <c r="F232" s="112">
        <f t="shared" ref="F232" si="75">(E232/E$220-1)*100</f>
        <v>17.635026930691499</v>
      </c>
      <c r="G232" s="106">
        <f>(E232/E$229-1)*100</f>
        <v>7.4302363843012476</v>
      </c>
      <c r="H232" s="16">
        <f>STDEVP(D197:D232)*SQRT(12)</f>
        <v>8.2740911287894932</v>
      </c>
      <c r="I232" s="39"/>
      <c r="J232" s="20">
        <f t="shared" si="47"/>
        <v>43100</v>
      </c>
      <c r="K232" s="29">
        <v>1.1047152674964622</v>
      </c>
      <c r="L232" s="46">
        <f t="shared" si="71"/>
        <v>2577676.6377403401</v>
      </c>
      <c r="M232" s="112">
        <f>(L232/L$220-1)*100</f>
        <v>21.822770989101102</v>
      </c>
      <c r="N232" s="106">
        <f>(L232/L$229-1)*100</f>
        <v>6.637244962576383</v>
      </c>
      <c r="O232" s="39"/>
      <c r="P232" s="20">
        <f t="shared" si="48"/>
        <v>43100</v>
      </c>
      <c r="Q232" s="28">
        <v>0.85414301071745957</v>
      </c>
      <c r="R232" s="46">
        <f t="shared" si="69"/>
        <v>2409931.1384318601</v>
      </c>
      <c r="S232" s="112">
        <f>(R232/R$220-1)*100</f>
        <v>20.619534507748007</v>
      </c>
      <c r="T232" s="106">
        <f>(R232/R$229-1)*100</f>
        <v>7.1138132981590774</v>
      </c>
      <c r="U232" s="49"/>
      <c r="V232" s="39"/>
      <c r="W232" s="20">
        <f t="shared" si="49"/>
        <v>43100</v>
      </c>
      <c r="X232" s="36">
        <v>-1.1197410506272014</v>
      </c>
      <c r="Y232" s="46">
        <f t="shared" si="62"/>
        <v>5684296.9786967048</v>
      </c>
      <c r="Z232" s="112">
        <f>(Y232/Y$220-1)*100</f>
        <v>17.408515897792533</v>
      </c>
      <c r="AA232" s="106">
        <f>(Y232/Y229-1)*100</f>
        <v>4.6496955034814436</v>
      </c>
      <c r="AB232" s="61">
        <f>STDEVP(X197:X232)*SQRT(12)</f>
        <v>8.5367898428524747</v>
      </c>
      <c r="AC232" s="107">
        <v>1.4690719999999999</v>
      </c>
      <c r="AD232" s="133">
        <v>103468358.20999999</v>
      </c>
      <c r="AE232" s="107">
        <v>1.6266376</v>
      </c>
      <c r="AF232" s="108">
        <v>114181473.84</v>
      </c>
      <c r="AG232" s="107"/>
      <c r="AH232" s="133"/>
      <c r="AI232" s="133"/>
      <c r="AJ232" s="133"/>
      <c r="AK232" s="133"/>
      <c r="AL232" s="133"/>
      <c r="AM232" s="133"/>
      <c r="AN232" s="133"/>
      <c r="AO232" s="133"/>
      <c r="AP232" s="133"/>
      <c r="AQ232" s="133"/>
      <c r="AR232" s="133"/>
      <c r="AS232" s="133"/>
      <c r="AT232" s="133"/>
      <c r="AU232" s="133"/>
      <c r="AV232" s="133"/>
      <c r="AW232" s="133"/>
      <c r="AX232" s="133"/>
      <c r="AY232" s="110">
        <f t="shared" si="74"/>
        <v>1.59</v>
      </c>
      <c r="AZ232" s="111">
        <f t="shared" si="73"/>
        <v>217649832.05000001</v>
      </c>
    </row>
    <row r="233" spans="1:54" x14ac:dyDescent="0.25">
      <c r="A233" s="21">
        <v>43131</v>
      </c>
      <c r="B233" s="24">
        <f t="shared" si="68"/>
        <v>217</v>
      </c>
      <c r="C233" s="97" t="s">
        <v>82</v>
      </c>
      <c r="D233" s="84">
        <f t="shared" si="42"/>
        <v>4.8395000000000001</v>
      </c>
      <c r="E233" s="47">
        <f t="shared" si="39"/>
        <v>8650799.0206895713</v>
      </c>
      <c r="F233" s="22"/>
      <c r="H233" s="49"/>
      <c r="I233" s="39"/>
      <c r="J233" s="20">
        <f t="shared" si="47"/>
        <v>43131</v>
      </c>
      <c r="K233" s="29">
        <v>5.7232165786512033</v>
      </c>
      <c r="L233" s="46">
        <f t="shared" si="71"/>
        <v>2725202.6544155143</v>
      </c>
      <c r="O233" s="39"/>
      <c r="P233" s="20">
        <f t="shared" si="48"/>
        <v>43131</v>
      </c>
      <c r="Q233" s="28">
        <v>4.7205038436068492</v>
      </c>
      <c r="R233" s="46">
        <f t="shared" si="69"/>
        <v>2523692.0304498142</v>
      </c>
      <c r="U233" s="49"/>
      <c r="V233" s="39"/>
      <c r="W233" s="20">
        <f t="shared" si="49"/>
        <v>43131</v>
      </c>
      <c r="X233" s="36">
        <v>2.6513754394878313</v>
      </c>
      <c r="Y233" s="46">
        <f t="shared" si="62"/>
        <v>5835009.0326974178</v>
      </c>
      <c r="AC233" s="107">
        <v>4.865556978233033</v>
      </c>
      <c r="AD233" s="133">
        <v>106632569.67</v>
      </c>
      <c r="AE233" s="107">
        <v>4.7417999999999996</v>
      </c>
      <c r="AF233" s="108">
        <v>119595749.08</v>
      </c>
      <c r="AG233" s="107"/>
      <c r="AH233" s="133"/>
      <c r="AI233" s="133"/>
      <c r="AJ233" s="133"/>
      <c r="AK233" s="133"/>
      <c r="AL233" s="133"/>
      <c r="AM233" s="133"/>
      <c r="AN233" s="133"/>
      <c r="AO233" s="133"/>
      <c r="AP233" s="133"/>
      <c r="AQ233" s="133"/>
      <c r="AR233" s="133"/>
      <c r="AS233" s="133"/>
      <c r="AT233" s="133"/>
      <c r="AU233" s="133"/>
      <c r="AV233" s="133"/>
      <c r="AW233" s="133"/>
      <c r="AX233" s="133"/>
      <c r="AY233" s="110">
        <f t="shared" si="74"/>
        <v>4.8395000000000001</v>
      </c>
      <c r="AZ233" s="111">
        <f t="shared" si="73"/>
        <v>226228318.75</v>
      </c>
    </row>
    <row r="234" spans="1:54" x14ac:dyDescent="0.25">
      <c r="A234" s="21">
        <v>43159</v>
      </c>
      <c r="B234" s="24">
        <f t="shared" ref="B234" si="76">IF(A234&gt;A233,1+B233,"-")</f>
        <v>218</v>
      </c>
      <c r="C234" s="97" t="s">
        <v>82</v>
      </c>
      <c r="D234" s="84">
        <f t="shared" si="42"/>
        <v>-2.9588999999999999</v>
      </c>
      <c r="E234" s="47">
        <f t="shared" si="39"/>
        <v>8394830.5284663867</v>
      </c>
      <c r="F234" s="22"/>
      <c r="G234" s="106"/>
      <c r="H234" s="49"/>
      <c r="I234" s="39"/>
      <c r="J234" s="20">
        <f t="shared" si="47"/>
        <v>43159</v>
      </c>
      <c r="K234" s="29">
        <v>-3.6859753386859775</v>
      </c>
      <c r="L234" s="46">
        <f t="shared" si="71"/>
        <v>2624752.3566445429</v>
      </c>
      <c r="O234" s="39"/>
      <c r="P234" s="20">
        <f t="shared" si="48"/>
        <v>43159</v>
      </c>
      <c r="Q234" s="28">
        <v>-4.2955557287634223</v>
      </c>
      <c r="R234" s="46">
        <f t="shared" si="69"/>
        <v>2415285.4328594813</v>
      </c>
      <c r="U234" s="49"/>
      <c r="V234" s="39"/>
      <c r="W234" s="20">
        <f t="shared" si="49"/>
        <v>43159</v>
      </c>
      <c r="X234" s="36">
        <v>-4.2397855144443843</v>
      </c>
      <c r="Y234" s="46">
        <f t="shared" si="62"/>
        <v>5587617.1649625916</v>
      </c>
      <c r="AC234" s="107">
        <v>-2.9914529914529822</v>
      </c>
      <c r="AD234" s="133">
        <v>101563360.99000001</v>
      </c>
      <c r="AE234" s="107">
        <v>-3.0026999999999999</v>
      </c>
      <c r="AF234" s="108">
        <v>115920962.68000001</v>
      </c>
      <c r="AG234" s="107"/>
      <c r="AH234" s="133"/>
      <c r="AI234" s="133"/>
      <c r="AJ234" s="133"/>
      <c r="AK234" s="133"/>
      <c r="AL234" s="133"/>
      <c r="AM234" s="133"/>
      <c r="AN234" s="133"/>
      <c r="AO234" s="133"/>
      <c r="AP234" s="133"/>
      <c r="AQ234" s="133"/>
      <c r="AR234" s="133"/>
      <c r="AS234" s="133"/>
      <c r="AT234" s="133"/>
      <c r="AU234" s="133"/>
      <c r="AV234" s="133"/>
      <c r="AW234" s="133"/>
      <c r="AX234" s="133"/>
      <c r="AY234" s="110">
        <f t="shared" si="74"/>
        <v>-2.9588999999999999</v>
      </c>
      <c r="AZ234" s="111">
        <f t="shared" si="73"/>
        <v>217484323.67000002</v>
      </c>
    </row>
    <row r="235" spans="1:54" x14ac:dyDescent="0.25">
      <c r="A235" s="21">
        <v>43190</v>
      </c>
      <c r="B235" s="24">
        <f t="shared" si="68"/>
        <v>219</v>
      </c>
      <c r="C235" s="97" t="s">
        <v>82</v>
      </c>
      <c r="D235" s="84">
        <f t="shared" si="42"/>
        <v>-0.82730000000000004</v>
      </c>
      <c r="E235" s="47">
        <f t="shared" si="39"/>
        <v>8325380.0955043845</v>
      </c>
      <c r="F235" s="112"/>
      <c r="G235" s="106">
        <f>(E235/E$232-1)*100</f>
        <v>0.89573049092257495</v>
      </c>
      <c r="H235" s="49"/>
      <c r="I235" s="39"/>
      <c r="J235" s="20">
        <f t="shared" si="47"/>
        <v>43190</v>
      </c>
      <c r="K235" s="29">
        <v>-2.5411590560710544</v>
      </c>
      <c r="L235" s="46">
        <f t="shared" si="71"/>
        <v>2558053.2244342319</v>
      </c>
      <c r="M235" s="112"/>
      <c r="N235" s="106">
        <f>(L235/L$232-1)*100</f>
        <v>-0.76128297160308334</v>
      </c>
      <c r="O235" s="39"/>
      <c r="P235" s="20">
        <f t="shared" si="48"/>
        <v>43190</v>
      </c>
      <c r="Q235" s="28">
        <v>-1.7878867440673445</v>
      </c>
      <c r="R235" s="46">
        <f t="shared" si="69"/>
        <v>2372102.8647739971</v>
      </c>
      <c r="S235" s="112"/>
      <c r="T235" s="106">
        <f>(R235/R$232-1)*100</f>
        <v>-1.5696827620758413</v>
      </c>
      <c r="U235" s="49"/>
      <c r="V235" s="39"/>
      <c r="W235" s="20">
        <f t="shared" si="49"/>
        <v>43190</v>
      </c>
      <c r="X235" s="36">
        <v>0.85099131855693555</v>
      </c>
      <c r="Y235" s="46">
        <f t="shared" si="62"/>
        <v>5635167.3019506205</v>
      </c>
      <c r="AA235" s="106">
        <f>(Y235/Y232-1)*100</f>
        <v>-0.86430524179524904</v>
      </c>
      <c r="AC235" s="107">
        <v>-0.88105726872247048</v>
      </c>
      <c r="AD235" s="133">
        <v>135316535.74000001</v>
      </c>
      <c r="AE235" s="107">
        <v>-0.85174000000000005</v>
      </c>
      <c r="AF235" s="108">
        <v>114933616.52</v>
      </c>
      <c r="AG235" s="107"/>
      <c r="AH235" s="133"/>
      <c r="AI235" s="133"/>
      <c r="AJ235" s="133"/>
      <c r="AK235" s="133"/>
      <c r="AL235" s="133"/>
      <c r="AM235" s="133"/>
      <c r="AN235" s="133"/>
      <c r="AO235" s="133"/>
      <c r="AP235" s="133"/>
      <c r="AQ235" s="133"/>
      <c r="AR235" s="133"/>
      <c r="AS235" s="133"/>
      <c r="AT235" s="133"/>
      <c r="AU235" s="133"/>
      <c r="AV235" s="133"/>
      <c r="AW235" s="133"/>
      <c r="AX235" s="133"/>
      <c r="AY235" s="110">
        <f t="shared" si="74"/>
        <v>-0.82730000000000004</v>
      </c>
      <c r="AZ235" s="111">
        <f t="shared" ref="AZ235" si="77">AD235+AF235</f>
        <v>250250152.25999999</v>
      </c>
    </row>
    <row r="236" spans="1:54" x14ac:dyDescent="0.25">
      <c r="A236" s="21">
        <v>43220</v>
      </c>
      <c r="B236" s="24">
        <f t="shared" si="68"/>
        <v>220</v>
      </c>
      <c r="C236" s="97" t="s">
        <v>82</v>
      </c>
      <c r="D236" s="84">
        <f t="shared" si="42"/>
        <v>1.5746</v>
      </c>
      <c r="E236" s="47">
        <f t="shared" si="39"/>
        <v>8456471.5304881968</v>
      </c>
      <c r="F236" s="112"/>
      <c r="H236" s="49"/>
      <c r="I236" s="39"/>
      <c r="J236" s="20">
        <f t="shared" si="47"/>
        <v>43220</v>
      </c>
      <c r="K236" s="29">
        <v>0.38357610779871304</v>
      </c>
      <c r="L236" s="46">
        <f t="shared" si="71"/>
        <v>2567865.3054279364</v>
      </c>
      <c r="M236" s="112"/>
      <c r="O236" s="39"/>
      <c r="P236" s="20">
        <f t="shared" si="48"/>
        <v>43220</v>
      </c>
      <c r="Q236" s="28">
        <v>-3.5721333269972942E-3</v>
      </c>
      <c r="R236" s="46">
        <f t="shared" si="69"/>
        <v>2372018.1300970139</v>
      </c>
      <c r="U236" s="49"/>
      <c r="V236" s="39"/>
      <c r="W236" s="20">
        <f t="shared" si="49"/>
        <v>43220</v>
      </c>
      <c r="X236" s="36">
        <v>-0.5668110875880138</v>
      </c>
      <c r="Y236" s="46">
        <f t="shared" si="62"/>
        <v>5603226.5488790302</v>
      </c>
      <c r="AC236" s="107">
        <v>1.3333333333333388</v>
      </c>
      <c r="AD236" s="133">
        <v>243968624.47</v>
      </c>
      <c r="AE236" s="107">
        <v>1.76248</v>
      </c>
      <c r="AF236" s="108">
        <v>117311987.22</v>
      </c>
      <c r="AG236" s="107"/>
      <c r="AH236" s="133"/>
      <c r="AI236" s="133"/>
      <c r="AJ236" s="133"/>
      <c r="AK236" s="133"/>
      <c r="AL236" s="133"/>
      <c r="AM236" s="133"/>
      <c r="AN236" s="133"/>
      <c r="AO236" s="133"/>
      <c r="AP236" s="133"/>
      <c r="AQ236" s="133"/>
      <c r="AR236" s="133"/>
      <c r="AS236" s="133"/>
      <c r="AT236" s="133"/>
      <c r="AU236" s="133"/>
      <c r="AV236" s="133"/>
      <c r="AW236" s="133"/>
      <c r="AX236" s="133"/>
      <c r="AY236" s="110">
        <f t="shared" ref="AY236" si="78">ROUND(AD235/AZ235*(AC236+0.98/12)+AF235/AZ235*AE236,4)</f>
        <v>1.5746</v>
      </c>
      <c r="AZ236" s="111">
        <f t="shared" ref="AZ236" si="79">AD236+AF236</f>
        <v>361280611.69</v>
      </c>
    </row>
    <row r="237" spans="1:54" x14ac:dyDescent="0.25">
      <c r="A237" s="21">
        <v>43251</v>
      </c>
      <c r="B237" s="24">
        <f t="shared" si="68"/>
        <v>221</v>
      </c>
      <c r="C237" s="97" t="s">
        <v>82</v>
      </c>
      <c r="D237" s="84">
        <f t="shared" si="42"/>
        <v>2.3361000000000001</v>
      </c>
      <c r="E237" s="47">
        <f t="shared" si="39"/>
        <v>8654023.1619119309</v>
      </c>
      <c r="F237" s="112"/>
      <c r="H237" s="49"/>
      <c r="I237" s="39"/>
      <c r="J237" s="20">
        <f t="shared" si="47"/>
        <v>43251</v>
      </c>
      <c r="K237" s="29">
        <v>2.407992226325443</v>
      </c>
      <c r="L237" s="46">
        <f t="shared" si="71"/>
        <v>2629699.3023651494</v>
      </c>
      <c r="M237" s="112"/>
      <c r="O237" s="39"/>
      <c r="P237" s="20">
        <f t="shared" si="48"/>
        <v>43251</v>
      </c>
      <c r="Q237" s="28">
        <v>2.0633798930354788</v>
      </c>
      <c r="R237" s="46">
        <f t="shared" si="69"/>
        <v>2420961.8752525919</v>
      </c>
      <c r="S237" s="112"/>
      <c r="U237" s="49"/>
      <c r="V237" s="39"/>
      <c r="W237" s="20">
        <f t="shared" si="49"/>
        <v>43251</v>
      </c>
      <c r="X237" s="36">
        <v>0.72798394361585439</v>
      </c>
      <c r="Y237" s="46">
        <f t="shared" si="62"/>
        <v>5644017.1384792905</v>
      </c>
      <c r="AC237" s="107">
        <v>2.255639097744357</v>
      </c>
      <c r="AD237" s="133">
        <v>385388924.14999998</v>
      </c>
      <c r="AE237" s="107">
        <v>2.3336000000000001</v>
      </c>
      <c r="AF237" s="108">
        <v>119598839.23</v>
      </c>
      <c r="AG237" s="107"/>
      <c r="AH237" s="133"/>
      <c r="AI237" s="133"/>
      <c r="AJ237" s="133"/>
      <c r="AK237" s="133"/>
      <c r="AL237" s="133"/>
      <c r="AM237" s="133"/>
      <c r="AN237" s="133"/>
      <c r="AO237" s="133"/>
      <c r="AP237" s="133"/>
      <c r="AQ237" s="133"/>
      <c r="AR237" s="133"/>
      <c r="AS237" s="133"/>
      <c r="AT237" s="133"/>
      <c r="AU237" s="133"/>
      <c r="AV237" s="133"/>
      <c r="AW237" s="133"/>
      <c r="AX237" s="133"/>
      <c r="AY237" s="110">
        <f t="shared" ref="AY237:AY240" si="80">ROUND(AD236/AZ236*(AC237+0.98/12)+AF236/AZ236*AE237,4)</f>
        <v>2.3361000000000001</v>
      </c>
      <c r="AZ237" s="111">
        <f t="shared" ref="AZ237:AZ240" si="81">AD237+AF237</f>
        <v>504987763.38</v>
      </c>
    </row>
    <row r="238" spans="1:54" x14ac:dyDescent="0.25">
      <c r="A238" s="21">
        <v>43281</v>
      </c>
      <c r="B238" s="24">
        <f t="shared" si="68"/>
        <v>222</v>
      </c>
      <c r="C238" s="97" t="s">
        <v>82</v>
      </c>
      <c r="D238" s="84">
        <f t="shared" si="42"/>
        <v>2.0266000000000002</v>
      </c>
      <c r="E238" s="47">
        <f t="shared" si="39"/>
        <v>8829405.5953112375</v>
      </c>
      <c r="F238" s="112"/>
      <c r="G238" s="106">
        <f>(E238/E$235-1)*100</f>
        <v>6.054083946017319</v>
      </c>
      <c r="H238" s="49"/>
      <c r="I238" s="39"/>
      <c r="J238" s="20">
        <f t="shared" si="47"/>
        <v>43281</v>
      </c>
      <c r="K238" s="29">
        <v>0.61554178695228756</v>
      </c>
      <c r="L238" s="46">
        <f t="shared" si="71"/>
        <v>2645886.2004423998</v>
      </c>
      <c r="M238" s="112"/>
      <c r="N238" s="106">
        <f>(L238/L$235-1)*100</f>
        <v>3.4335867279537968</v>
      </c>
      <c r="O238" s="39"/>
      <c r="P238" s="20">
        <f t="shared" si="48"/>
        <v>43281</v>
      </c>
      <c r="Q238" s="28">
        <v>0.7753116730748062</v>
      </c>
      <c r="R238" s="46">
        <f t="shared" si="69"/>
        <v>2439731.8752721162</v>
      </c>
      <c r="S238" s="112"/>
      <c r="T238" s="106">
        <f>(R238/R$235-1)*100</f>
        <v>2.8510150846498883</v>
      </c>
      <c r="U238" s="49"/>
      <c r="V238" s="39"/>
      <c r="W238" s="20">
        <f t="shared" si="49"/>
        <v>43281</v>
      </c>
      <c r="X238" s="36">
        <v>1.4332118368315931</v>
      </c>
      <c r="Y238" s="46">
        <f t="shared" si="62"/>
        <v>5724907.8601807794</v>
      </c>
      <c r="AA238" s="106">
        <f>(Y238/Y235-1)*100</f>
        <v>1.5925092090716575</v>
      </c>
      <c r="AC238" s="107">
        <v>1.8995098039215608</v>
      </c>
      <c r="AD238" s="133">
        <v>398042809.69</v>
      </c>
      <c r="AE238" s="107">
        <v>2.1728580000000002</v>
      </c>
      <c r="AF238" s="108">
        <v>122197551.74000001</v>
      </c>
      <c r="AY238" s="110">
        <f t="shared" si="80"/>
        <v>2.0266000000000002</v>
      </c>
      <c r="AZ238" s="111">
        <f t="shared" si="81"/>
        <v>520240361.43000001</v>
      </c>
    </row>
    <row r="239" spans="1:54" x14ac:dyDescent="0.25">
      <c r="A239" s="21">
        <v>43312</v>
      </c>
      <c r="B239" s="24">
        <f t="shared" ref="B239" si="82">IF(A239&gt;A238,1+B238,"-")</f>
        <v>223</v>
      </c>
      <c r="C239" s="97" t="s">
        <v>82</v>
      </c>
      <c r="D239" s="84">
        <f t="shared" si="42"/>
        <v>3.6717</v>
      </c>
      <c r="E239" s="47">
        <f t="shared" ref="E239" si="83">E238*D239/100+E238</f>
        <v>9153594.8805542793</v>
      </c>
      <c r="F239" s="112"/>
      <c r="I239" s="39"/>
      <c r="J239" s="20">
        <f t="shared" si="47"/>
        <v>43312</v>
      </c>
      <c r="K239" s="29">
        <v>3.7219699000503734</v>
      </c>
      <c r="L239" s="46">
        <f t="shared" ref="L239" si="84">L238*K239/100+L238</f>
        <v>2744365.2884124522</v>
      </c>
      <c r="M239" s="112"/>
      <c r="O239" s="39"/>
      <c r="P239" s="20">
        <f t="shared" si="48"/>
        <v>43312</v>
      </c>
      <c r="Q239" s="28">
        <v>4.5301134415966011</v>
      </c>
      <c r="R239" s="46">
        <f t="shared" ref="R239" si="85">R238*Q239/100+R238</f>
        <v>2550254.4968927349</v>
      </c>
      <c r="S239" s="112"/>
      <c r="V239" s="39"/>
      <c r="W239" s="20">
        <f t="shared" si="49"/>
        <v>43312</v>
      </c>
      <c r="X239" s="36">
        <v>3.5258768432322021</v>
      </c>
      <c r="Y239" s="46">
        <f t="shared" si="62"/>
        <v>5926761.060719274</v>
      </c>
      <c r="AC239" s="107">
        <v>3.6079374624173268</v>
      </c>
      <c r="AD239" s="133">
        <v>414175875.44999999</v>
      </c>
      <c r="AE239" s="107">
        <v>3.6132759999999999</v>
      </c>
      <c r="AF239" s="108">
        <v>126612886.84</v>
      </c>
      <c r="AY239" s="110">
        <f t="shared" si="80"/>
        <v>3.6717</v>
      </c>
      <c r="AZ239" s="111">
        <f t="shared" si="81"/>
        <v>540788762.28999996</v>
      </c>
    </row>
    <row r="240" spans="1:54" x14ac:dyDescent="0.25">
      <c r="A240" s="21">
        <v>43343</v>
      </c>
      <c r="B240" s="24">
        <f t="shared" si="68"/>
        <v>224</v>
      </c>
      <c r="C240" s="97" t="s">
        <v>82</v>
      </c>
      <c r="D240" s="84">
        <f t="shared" si="42"/>
        <v>4.3539000000000003</v>
      </c>
      <c r="E240" s="47">
        <f t="shared" ref="E240" si="86">E239*D240/100+E239</f>
        <v>9552133.2480587326</v>
      </c>
      <c r="F240" s="112"/>
      <c r="I240" s="39"/>
      <c r="J240" s="20">
        <f t="shared" si="47"/>
        <v>43343</v>
      </c>
      <c r="K240" s="29">
        <v>3.2583139999999999</v>
      </c>
      <c r="L240" s="46">
        <f t="shared" ref="L240" si="87">L239*K240/100+L239</f>
        <v>2833785.3268159353</v>
      </c>
      <c r="M240" s="112"/>
      <c r="O240" s="39"/>
      <c r="P240" s="20">
        <f t="shared" si="48"/>
        <v>43343</v>
      </c>
      <c r="Q240" s="28">
        <v>2.6510159999999998</v>
      </c>
      <c r="R240" s="46">
        <f t="shared" ref="R240" si="88">R239*Q240/100+R239</f>
        <v>2617862.1516460809</v>
      </c>
      <c r="S240" s="112"/>
      <c r="V240" s="39"/>
      <c r="W240" s="20">
        <f t="shared" si="49"/>
        <v>43343</v>
      </c>
      <c r="X240" s="36">
        <v>1.8217884774152782</v>
      </c>
      <c r="Y240" s="46">
        <f t="shared" si="62"/>
        <v>6034734.1108073937</v>
      </c>
      <c r="AA240" s="189"/>
      <c r="AC240" s="107">
        <v>4.294835</v>
      </c>
      <c r="AD240" s="133">
        <v>447383472.28999996</v>
      </c>
      <c r="AE240" s="107">
        <v>4.2798790000000002</v>
      </c>
      <c r="AF240" s="108">
        <v>132031765.26000001</v>
      </c>
      <c r="AY240" s="110">
        <f t="shared" si="80"/>
        <v>4.3539000000000003</v>
      </c>
      <c r="AZ240" s="111">
        <f t="shared" si="81"/>
        <v>579415237.54999995</v>
      </c>
    </row>
    <row r="241" spans="1:52" x14ac:dyDescent="0.25">
      <c r="A241" s="21">
        <v>43373</v>
      </c>
      <c r="B241" s="24">
        <f t="shared" si="68"/>
        <v>225</v>
      </c>
      <c r="C241" s="97" t="s">
        <v>82</v>
      </c>
      <c r="D241" s="84">
        <f t="shared" ref="D241:D242" si="89">AY241</f>
        <v>0.32829999999999998</v>
      </c>
      <c r="E241" s="47">
        <f t="shared" ref="E241" si="90">E240*D241/100+E240</f>
        <v>9583492.9015121087</v>
      </c>
      <c r="F241" s="112"/>
      <c r="G241" s="106">
        <f>(E241/E238-1)*100</f>
        <v>8.540635018526288</v>
      </c>
      <c r="I241" s="39"/>
      <c r="J241" s="20">
        <f t="shared" si="47"/>
        <v>43373</v>
      </c>
      <c r="K241" s="29">
        <v>0.56832280000000002</v>
      </c>
      <c r="L241" s="46">
        <f t="shared" ref="L241" si="91">L240*K241/100+L240</f>
        <v>2849890.3749312847</v>
      </c>
      <c r="M241" s="112"/>
      <c r="N241" s="106">
        <f>(L241/L$238-1)*100</f>
        <v>7.7102399360476914</v>
      </c>
      <c r="O241" s="39"/>
      <c r="P241" s="20">
        <f t="shared" si="48"/>
        <v>43373</v>
      </c>
      <c r="Q241" s="28">
        <v>1.2760629999999999</v>
      </c>
      <c r="R241" s="46">
        <f t="shared" ref="R241" si="92">R240*Q241/100+R240</f>
        <v>2651267.7219542405</v>
      </c>
      <c r="S241" s="112"/>
      <c r="T241" s="106">
        <f>(R241/R$238-1)*100</f>
        <v>8.670454685047325</v>
      </c>
      <c r="V241" s="39"/>
      <c r="W241" s="20">
        <f t="shared" si="49"/>
        <v>43373</v>
      </c>
      <c r="X241" s="36">
        <v>-0.3545263760623153</v>
      </c>
      <c r="Y241" s="46">
        <f t="shared" si="62"/>
        <v>6013339.3866593521</v>
      </c>
      <c r="AA241" s="106">
        <f>(Y241/Y238-1)*100</f>
        <v>5.038186352041385</v>
      </c>
      <c r="AC241" s="107">
        <v>0.22259321000000001</v>
      </c>
      <c r="AD241" s="133">
        <v>458700911.37</v>
      </c>
      <c r="AE241" s="107">
        <v>0.40965000000000001</v>
      </c>
      <c r="AF241" s="108">
        <v>132483455.72</v>
      </c>
      <c r="AY241" s="110">
        <f t="shared" ref="AY241" si="93">ROUND(AD240/AZ240*(AC241+0.98/12)+AF240/AZ240*AE241,4)</f>
        <v>0.32829999999999998</v>
      </c>
      <c r="AZ241" s="111">
        <f t="shared" ref="AZ241" si="94">AD241+AF241</f>
        <v>591184367.09000003</v>
      </c>
    </row>
    <row r="242" spans="1:52" x14ac:dyDescent="0.25">
      <c r="A242" s="21">
        <v>43404</v>
      </c>
      <c r="B242" s="24">
        <f t="shared" si="68"/>
        <v>226</v>
      </c>
      <c r="C242" s="97" t="s">
        <v>82</v>
      </c>
      <c r="D242" s="84">
        <f t="shared" si="89"/>
        <v>-7.3070000000000004</v>
      </c>
      <c r="E242" s="47">
        <f t="shared" ref="E242" si="95">E241*D242/100+E241</f>
        <v>8883227.0751986187</v>
      </c>
      <c r="F242" s="112"/>
      <c r="I242" s="39"/>
      <c r="J242" s="20">
        <f t="shared" si="47"/>
        <v>43404</v>
      </c>
      <c r="K242" s="29">
        <v>-6.8352242584879388</v>
      </c>
      <c r="L242" s="46">
        <f t="shared" ref="L242" si="96">L241*K242/100+L241</f>
        <v>2655093.9766836688</v>
      </c>
      <c r="M242" s="112"/>
      <c r="O242" s="39"/>
      <c r="P242" s="20">
        <f t="shared" si="48"/>
        <v>43404</v>
      </c>
      <c r="Q242" s="28">
        <v>-5.0448982984295547</v>
      </c>
      <c r="R242" s="46">
        <f t="shared" ref="R242" si="97">R241*Q242/100+R241</f>
        <v>2517513.9617625591</v>
      </c>
      <c r="S242" s="112"/>
      <c r="V242" s="39"/>
      <c r="W242" s="20">
        <f t="shared" si="49"/>
        <v>43404</v>
      </c>
      <c r="X242" s="36">
        <v>-2.8728837419264712</v>
      </c>
      <c r="Y242" s="46">
        <f t="shared" ref="Y242" si="98">Y241*X242/100+Y241</f>
        <v>5840583.1370731546</v>
      </c>
      <c r="AC242" s="107">
        <v>-7.3847862298723035</v>
      </c>
      <c r="AD242" s="133">
        <v>427270466.11000001</v>
      </c>
      <c r="AE242" s="107">
        <v>-7.3204511139090975</v>
      </c>
      <c r="AF242" s="108">
        <v>122689272.23999999</v>
      </c>
      <c r="AY242" s="110">
        <f t="shared" ref="AY242:AY245" si="99">ROUND(AD241/AZ241*(AC242+0.98/12)+AF241/AZ241*AE242,4)</f>
        <v>-7.3070000000000004</v>
      </c>
      <c r="AZ242" s="111">
        <f t="shared" ref="AZ242:AZ245" si="100">AD242+AF242</f>
        <v>549959738.35000002</v>
      </c>
    </row>
    <row r="243" spans="1:52" ht="16.5" thickBot="1" x14ac:dyDescent="0.3">
      <c r="A243" s="21">
        <v>43434</v>
      </c>
      <c r="B243" s="24">
        <f t="shared" si="68"/>
        <v>227</v>
      </c>
      <c r="C243" s="97" t="s">
        <v>82</v>
      </c>
      <c r="D243" s="84">
        <f t="shared" ref="D243:D247" si="101">AY243</f>
        <v>1.67</v>
      </c>
      <c r="E243" s="47">
        <f t="shared" ref="E243" si="102">E242*D243/100+E242</f>
        <v>9031576.9673544355</v>
      </c>
      <c r="F243" s="112"/>
      <c r="I243" s="39"/>
      <c r="J243" s="20">
        <f t="shared" si="47"/>
        <v>43434</v>
      </c>
      <c r="K243" s="29">
        <v>2.0375371622214709</v>
      </c>
      <c r="L243" s="46">
        <f t="shared" ref="L243:L246" si="103">L242*K243/100+L242</f>
        <v>2709192.5031505022</v>
      </c>
      <c r="M243" s="112"/>
      <c r="O243" s="39"/>
      <c r="P243" s="20">
        <f t="shared" si="48"/>
        <v>43434</v>
      </c>
      <c r="Q243" s="28">
        <v>4.1323177421448545</v>
      </c>
      <c r="R243" s="46">
        <f t="shared" ref="R243" si="104">R242*Q243/100+R242</f>
        <v>2621545.637865447</v>
      </c>
      <c r="S243" s="112"/>
      <c r="V243" s="39"/>
      <c r="W243" s="20">
        <f t="shared" si="49"/>
        <v>43434</v>
      </c>
      <c r="X243" s="36">
        <v>4.8495510444680248</v>
      </c>
      <c r="Y243" s="46">
        <f t="shared" ref="Y243" si="105">Y242*X243/100+Y242</f>
        <v>6123825.1976001095</v>
      </c>
      <c r="AC243" s="107">
        <v>1.5587529976019279</v>
      </c>
      <c r="AD243" s="133">
        <v>447459570.04999995</v>
      </c>
      <c r="AE243" s="107">
        <v>1.7731935484500472</v>
      </c>
      <c r="AF243" s="108">
        <v>124864790.5</v>
      </c>
      <c r="AY243" s="110">
        <f t="shared" si="99"/>
        <v>1.67</v>
      </c>
      <c r="AZ243" s="111">
        <f t="shared" si="100"/>
        <v>572324360.54999995</v>
      </c>
    </row>
    <row r="244" spans="1:52" x14ac:dyDescent="0.25">
      <c r="A244" s="21">
        <v>43465</v>
      </c>
      <c r="B244" s="24">
        <f t="shared" si="68"/>
        <v>228</v>
      </c>
      <c r="C244" s="97" t="s">
        <v>82</v>
      </c>
      <c r="D244" s="84">
        <f t="shared" si="101"/>
        <v>-7.6059000000000001</v>
      </c>
      <c r="E244" s="47">
        <f t="shared" ref="E244:E247" si="106">E243*D244/100+E243</f>
        <v>8344644.2547944244</v>
      </c>
      <c r="F244" s="112">
        <f>(E244/E$232-1)*100</f>
        <v>1.1291938765656706</v>
      </c>
      <c r="G244" s="106">
        <f>(E244/E241-1)*100</f>
        <v>-12.926901073012909</v>
      </c>
      <c r="H244" s="16">
        <f>STDEVP(D209:D244)*SQRT(12)</f>
        <v>10.081871438005427</v>
      </c>
      <c r="I244" s="39"/>
      <c r="J244" s="20">
        <f t="shared" si="47"/>
        <v>43465</v>
      </c>
      <c r="K244" s="29">
        <v>-9.0331682593467146</v>
      </c>
      <c r="L244" s="46">
        <f t="shared" si="103"/>
        <v>2464466.5858713104</v>
      </c>
      <c r="M244" s="112">
        <f>(L244/L$232-1)*100</f>
        <v>-4.3919415729458011</v>
      </c>
      <c r="N244" s="106">
        <f>(L244/L$241-1)*100</f>
        <v>-13.524161927430889</v>
      </c>
      <c r="O244" s="39"/>
      <c r="P244" s="20">
        <f t="shared" si="48"/>
        <v>43465</v>
      </c>
      <c r="Q244" s="28">
        <v>-8.1153348034735213</v>
      </c>
      <c r="R244" s="46">
        <f t="shared" ref="R244:R246" si="107">R243*Q244/100+R243</f>
        <v>2408798.4323268104</v>
      </c>
      <c r="S244" s="112">
        <f>(R244/R$232-1)*100</f>
        <v>-4.7001596310625171E-2</v>
      </c>
      <c r="T244" s="106">
        <f>(R244/R$241-1)*100</f>
        <v>-9.1454094816462614</v>
      </c>
      <c r="V244" s="39"/>
      <c r="W244" s="20">
        <f t="shared" si="49"/>
        <v>43465</v>
      </c>
      <c r="X244" s="36">
        <v>-6.9267247437525858</v>
      </c>
      <c r="Y244" s="46">
        <f t="shared" ref="Y244:Y246" si="108">Y243*X244/100+Y243</f>
        <v>5699644.6823737873</v>
      </c>
      <c r="Z244" s="112">
        <f>(Y244/Y$232-1)*100</f>
        <v>0.27000179150740156</v>
      </c>
      <c r="AA244" s="106">
        <f>(Y244/Y241-1)*100</f>
        <v>-5.2166472589506458</v>
      </c>
      <c r="AB244" s="61">
        <f>STDEVP(X209:X244)*SQRT(12)</f>
        <v>9.0913348111967007</v>
      </c>
      <c r="AC244" s="107">
        <v>-7.6165800000000008</v>
      </c>
      <c r="AD244" s="133">
        <v>400236828.50999999</v>
      </c>
      <c r="AE244" s="107">
        <v>-7.8604755677702425</v>
      </c>
      <c r="AF244" s="108">
        <v>115049824.15000001</v>
      </c>
      <c r="AG244" s="324" t="s">
        <v>59</v>
      </c>
      <c r="AH244" s="325"/>
      <c r="AI244" s="230"/>
      <c r="AJ244" s="230"/>
      <c r="AK244" s="230"/>
      <c r="AL244" s="230"/>
      <c r="AM244" s="230"/>
      <c r="AN244" s="230"/>
      <c r="AO244" s="230"/>
      <c r="AP244" s="230"/>
      <c r="AQ244" s="230"/>
      <c r="AR244" s="230"/>
      <c r="AS244" s="230"/>
      <c r="AT244" s="230"/>
      <c r="AU244" s="230"/>
      <c r="AV244" s="230"/>
      <c r="AW244" s="230"/>
      <c r="AX244" s="230"/>
      <c r="AY244" s="110">
        <f t="shared" si="99"/>
        <v>-7.6059000000000001</v>
      </c>
      <c r="AZ244" s="111">
        <f t="shared" si="100"/>
        <v>515286652.65999997</v>
      </c>
    </row>
    <row r="245" spans="1:52" x14ac:dyDescent="0.25">
      <c r="A245" s="21">
        <v>43496</v>
      </c>
      <c r="B245" s="24">
        <f>IF(A245&gt;A244,1+B244,"-")</f>
        <v>229</v>
      </c>
      <c r="C245" s="97" t="s">
        <v>82</v>
      </c>
      <c r="D245" s="84">
        <f t="shared" si="101"/>
        <v>7.2218999999999998</v>
      </c>
      <c r="E245" s="47">
        <f t="shared" si="106"/>
        <v>8947286.1182314232</v>
      </c>
      <c r="I245" s="39"/>
      <c r="J245" s="20">
        <f t="shared" si="47"/>
        <v>43496</v>
      </c>
      <c r="K245" s="29">
        <v>8.0134375796410833</v>
      </c>
      <c r="L245" s="46">
        <f t="shared" si="103"/>
        <v>2661955.0774012199</v>
      </c>
      <c r="O245" s="39"/>
      <c r="P245" s="20">
        <f t="shared" si="48"/>
        <v>43496</v>
      </c>
      <c r="Q245" s="28">
        <v>6.1557762447490285</v>
      </c>
      <c r="R245" s="46">
        <f t="shared" si="107"/>
        <v>2557078.6740078712</v>
      </c>
      <c r="V245" s="39"/>
      <c r="W245" s="20">
        <f t="shared" si="49"/>
        <v>43496</v>
      </c>
      <c r="X245" s="36">
        <v>6.6371135605943001</v>
      </c>
      <c r="Y245" s="46">
        <f t="shared" si="108"/>
        <v>6077936.5724933101</v>
      </c>
      <c r="AC245" s="107">
        <v>7.1285809460359655</v>
      </c>
      <c r="AD245" s="133">
        <v>428581970.38999999</v>
      </c>
      <c r="AE245" s="107">
        <v>7.2624759852794485</v>
      </c>
      <c r="AF245" s="108">
        <v>123422215.68000001</v>
      </c>
      <c r="AG245" s="107"/>
      <c r="AH245" s="108">
        <v>11216717.369999999</v>
      </c>
      <c r="AI245" s="133"/>
      <c r="AJ245" s="133"/>
      <c r="AK245" s="133"/>
      <c r="AL245" s="133"/>
      <c r="AM245" s="133"/>
      <c r="AN245" s="133"/>
      <c r="AO245" s="133"/>
      <c r="AP245" s="133"/>
      <c r="AQ245" s="133"/>
      <c r="AR245" s="133"/>
      <c r="AS245" s="133"/>
      <c r="AT245" s="133"/>
      <c r="AU245" s="133"/>
      <c r="AV245" s="133"/>
      <c r="AW245" s="133"/>
      <c r="AX245" s="133"/>
      <c r="AY245" s="110">
        <f t="shared" si="99"/>
        <v>7.2218999999999998</v>
      </c>
      <c r="AZ245" s="111">
        <f t="shared" si="100"/>
        <v>552004186.06999993</v>
      </c>
    </row>
    <row r="246" spans="1:52" x14ac:dyDescent="0.25">
      <c r="A246" s="21">
        <v>43524</v>
      </c>
      <c r="B246" s="24">
        <f t="shared" si="68"/>
        <v>230</v>
      </c>
      <c r="C246" s="97" t="s">
        <v>84</v>
      </c>
      <c r="D246" s="84">
        <f t="shared" si="101"/>
        <v>4.3502999999999998</v>
      </c>
      <c r="E246" s="47">
        <f t="shared" si="106"/>
        <v>9336519.906232845</v>
      </c>
      <c r="I246" s="39"/>
      <c r="J246" s="20">
        <f t="shared" si="47"/>
        <v>43524</v>
      </c>
      <c r="K246" s="29">
        <v>3.2105470754573098</v>
      </c>
      <c r="L246" s="46">
        <f t="shared" si="103"/>
        <v>2747418.3982887119</v>
      </c>
      <c r="M246" s="112"/>
      <c r="O246" s="39"/>
      <c r="P246" s="20">
        <f t="shared" si="48"/>
        <v>43524</v>
      </c>
      <c r="Q246" s="28">
        <v>4.1878904097621978</v>
      </c>
      <c r="R246" s="46">
        <f t="shared" si="107"/>
        <v>2664166.3265667213</v>
      </c>
      <c r="S246" s="112"/>
      <c r="V246" s="39"/>
      <c r="W246" s="20">
        <f t="shared" si="49"/>
        <v>43524</v>
      </c>
      <c r="X246" s="36">
        <v>4.1204872274492272</v>
      </c>
      <c r="Y246" s="46">
        <f t="shared" si="108"/>
        <v>6328377.1726553626</v>
      </c>
      <c r="AC246" s="107">
        <v>4.2910447761194108</v>
      </c>
      <c r="AD246" s="133">
        <v>448867305.49000001</v>
      </c>
      <c r="AE246" s="107">
        <v>4.2724106909503732</v>
      </c>
      <c r="AF246" s="108">
        <v>128586034.03</v>
      </c>
      <c r="AG246" s="213">
        <v>4.228237847743558</v>
      </c>
      <c r="AH246" s="108">
        <v>11615647.09</v>
      </c>
      <c r="AI246" s="133"/>
      <c r="AJ246" s="133"/>
      <c r="AK246" s="133"/>
      <c r="AL246" s="133"/>
      <c r="AM246" s="133"/>
      <c r="AN246" s="133"/>
      <c r="AO246" s="133"/>
      <c r="AP246" s="133"/>
      <c r="AQ246" s="133"/>
      <c r="AR246" s="133"/>
      <c r="AS246" s="133"/>
      <c r="AT246" s="133"/>
      <c r="AU246" s="133"/>
      <c r="AV246" s="133"/>
      <c r="AW246" s="133"/>
      <c r="AX246" s="133"/>
      <c r="AY246" s="110">
        <f t="shared" ref="AY246" si="109">ROUND(AD245/AZ245*(AC246+0.98/12)+AF245/AZ245*AE246,4)</f>
        <v>4.3502999999999998</v>
      </c>
      <c r="AZ246" s="111">
        <f t="shared" ref="AZ246" si="110">AD246+AF246</f>
        <v>577453339.51999998</v>
      </c>
    </row>
    <row r="247" spans="1:52" ht="16.5" thickBot="1" x14ac:dyDescent="0.3">
      <c r="A247" s="21">
        <v>43555</v>
      </c>
      <c r="B247" s="24">
        <f t="shared" si="68"/>
        <v>231</v>
      </c>
      <c r="C247" s="97" t="s">
        <v>84</v>
      </c>
      <c r="D247" s="84">
        <f t="shared" si="101"/>
        <v>1.6475</v>
      </c>
      <c r="E247" s="47">
        <f t="shared" si="106"/>
        <v>9490339.0716880318</v>
      </c>
      <c r="F247" s="112"/>
      <c r="G247" s="106">
        <f>(E247/E244-1)*100</f>
        <v>13.729702332551174</v>
      </c>
      <c r="I247" s="39"/>
      <c r="J247" s="20">
        <f t="shared" si="47"/>
        <v>43555</v>
      </c>
      <c r="K247" s="29">
        <v>1.9411095029969694</v>
      </c>
      <c r="L247" s="46">
        <f t="shared" ref="L247" si="111">L246*K247/100+L246</f>
        <v>2800748.7979049813</v>
      </c>
      <c r="M247" s="112"/>
      <c r="N247" s="106">
        <f>(L247/L$244-1)*100</f>
        <v>13.645233169788696</v>
      </c>
      <c r="O247" s="39"/>
      <c r="P247" s="20">
        <f t="shared" si="48"/>
        <v>43555</v>
      </c>
      <c r="Q247" s="28">
        <v>2.3970205750409357</v>
      </c>
      <c r="R247" s="46">
        <f t="shared" ref="R247" si="112">R246*Q247/100+R246</f>
        <v>2728026.9415678377</v>
      </c>
      <c r="S247" s="112"/>
      <c r="T247" s="106">
        <f>(R247/R$244-1)*100</f>
        <v>13.252603661513685</v>
      </c>
      <c r="V247" s="39"/>
      <c r="W247" s="20">
        <f t="shared" si="49"/>
        <v>43555</v>
      </c>
      <c r="X247" s="36">
        <v>2.3280213985266385</v>
      </c>
      <c r="Y247" s="46">
        <f t="shared" ref="Y247" si="113">Y246*X247/100+Y246</f>
        <v>6475703.147414255</v>
      </c>
      <c r="Z247" s="112"/>
      <c r="AA247" s="106">
        <f>(Y247/Y244-1)*100</f>
        <v>13.61590955731744</v>
      </c>
      <c r="AC247" s="107">
        <v>1.5503875968992342</v>
      </c>
      <c r="AD247" s="133">
        <v>460121760.48000002</v>
      </c>
      <c r="AE247" s="107">
        <v>1.7013179999999999</v>
      </c>
      <c r="AF247" s="108">
        <v>130779172.3</v>
      </c>
      <c r="AG247" s="213">
        <v>1.6491996397109923</v>
      </c>
      <c r="AH247" s="108">
        <v>11777952.539999999</v>
      </c>
      <c r="AI247" s="133"/>
      <c r="AJ247" s="133"/>
      <c r="AK247" s="133"/>
      <c r="AL247" s="133"/>
      <c r="AM247" s="133"/>
      <c r="AN247" s="133"/>
      <c r="AO247" s="133"/>
      <c r="AP247" s="133"/>
      <c r="AQ247" s="133"/>
      <c r="AR247" s="133"/>
      <c r="AS247" s="133"/>
      <c r="AT247" s="133"/>
      <c r="AU247" s="133"/>
      <c r="AV247" s="133"/>
      <c r="AW247" s="133"/>
      <c r="AX247" s="133"/>
      <c r="AY247" s="110">
        <f t="shared" ref="AY247:AY249" si="114">ROUND(AD246/AZ246*(AC247+0.98/12)+AF246/AZ246*AE247,4)</f>
        <v>1.6475</v>
      </c>
      <c r="AZ247" s="111">
        <f t="shared" ref="AZ247:AZ248" si="115">AD247+AF247</f>
        <v>590900932.77999997</v>
      </c>
    </row>
    <row r="248" spans="1:52" x14ac:dyDescent="0.25">
      <c r="A248" s="21">
        <v>43585</v>
      </c>
      <c r="B248" s="24">
        <f t="shared" si="68"/>
        <v>232</v>
      </c>
      <c r="C248" s="97" t="s">
        <v>84</v>
      </c>
      <c r="D248" s="84">
        <f t="shared" ref="D248:D249" si="116">AY248</f>
        <v>3.6074000000000002</v>
      </c>
      <c r="E248" s="47">
        <f t="shared" ref="E248:E253" si="117">E247*D248/100+E247</f>
        <v>9832693.5633601062</v>
      </c>
      <c r="F248" s="112"/>
      <c r="G248" s="106"/>
      <c r="I248" s="39"/>
      <c r="J248" s="20">
        <f t="shared" si="47"/>
        <v>43585</v>
      </c>
      <c r="K248" s="28">
        <v>4.0489294581786028</v>
      </c>
      <c r="L248" s="46">
        <f t="shared" ref="L248" si="118">L247*K248/100+L247</f>
        <v>2914149.1410329393</v>
      </c>
      <c r="M248" s="112"/>
      <c r="O248" s="39"/>
      <c r="P248" s="20">
        <f t="shared" si="48"/>
        <v>43585</v>
      </c>
      <c r="Q248" s="28">
        <v>3.628180711246217</v>
      </c>
      <c r="R248" s="46">
        <f t="shared" ref="R248" si="119">R247*Q248/100+R247</f>
        <v>2827004.6888594022</v>
      </c>
      <c r="S248" s="112"/>
      <c r="V248" s="39"/>
      <c r="W248" s="20">
        <f t="shared" si="49"/>
        <v>43585</v>
      </c>
      <c r="X248" s="36">
        <v>2.3496935203532621</v>
      </c>
      <c r="Y248" s="46">
        <f t="shared" ref="Y248" si="120">Y247*X248/100+Y247</f>
        <v>6627862.3246663604</v>
      </c>
      <c r="Z248" s="112"/>
      <c r="AC248" s="107">
        <v>3.5231943628890066</v>
      </c>
      <c r="AD248" s="133">
        <v>482513457.73000002</v>
      </c>
      <c r="AE248" s="107">
        <v>3.6161754693961434</v>
      </c>
      <c r="AF248" s="108">
        <v>135504430.34</v>
      </c>
      <c r="AG248" s="213">
        <v>3.5415261952196797</v>
      </c>
      <c r="AH248" s="108">
        <v>12157306.199999999</v>
      </c>
      <c r="AI248" s="324" t="s">
        <v>60</v>
      </c>
      <c r="AJ248" s="325"/>
      <c r="AK248" s="324" t="s">
        <v>61</v>
      </c>
      <c r="AL248" s="325"/>
      <c r="AM248" s="324" t="s">
        <v>62</v>
      </c>
      <c r="AN248" s="325"/>
      <c r="AO248" s="324" t="s">
        <v>63</v>
      </c>
      <c r="AP248" s="325"/>
      <c r="AQ248" s="324" t="s">
        <v>64</v>
      </c>
      <c r="AR248" s="325"/>
      <c r="AS248" s="324" t="s">
        <v>65</v>
      </c>
      <c r="AT248" s="325"/>
      <c r="AU248" s="324" t="s">
        <v>66</v>
      </c>
      <c r="AV248" s="325"/>
      <c r="AW248" s="324" t="s">
        <v>67</v>
      </c>
      <c r="AX248" s="325"/>
      <c r="AY248" s="110">
        <f t="shared" si="114"/>
        <v>3.6074000000000002</v>
      </c>
      <c r="AZ248" s="111">
        <f t="shared" si="115"/>
        <v>618017888.07000005</v>
      </c>
    </row>
    <row r="249" spans="1:52" x14ac:dyDescent="0.25">
      <c r="A249" s="21">
        <v>43616</v>
      </c>
      <c r="B249" s="24">
        <f t="shared" si="68"/>
        <v>233</v>
      </c>
      <c r="C249" s="97" t="s">
        <v>84</v>
      </c>
      <c r="D249" s="84">
        <f t="shared" si="116"/>
        <v>-4.8585000000000003</v>
      </c>
      <c r="E249" s="47">
        <f t="shared" si="117"/>
        <v>9354972.1465842556</v>
      </c>
      <c r="F249" s="112"/>
      <c r="G249" s="106"/>
      <c r="I249" s="39"/>
      <c r="J249" s="20">
        <f t="shared" si="47"/>
        <v>43616</v>
      </c>
      <c r="K249" s="28">
        <v>-6.3548857349396446</v>
      </c>
      <c r="L249" s="46">
        <f t="shared" ref="L249" si="121">L248*K249/100+L248</f>
        <v>2728958.2929745708</v>
      </c>
      <c r="M249" s="112"/>
      <c r="N249" s="106"/>
      <c r="O249" s="39"/>
      <c r="P249" s="20">
        <f t="shared" si="48"/>
        <v>43616</v>
      </c>
      <c r="Q249" s="28">
        <v>-4.270123932578918</v>
      </c>
      <c r="R249" s="46">
        <f t="shared" ref="R249" si="122">R248*Q249/100+R248</f>
        <v>2706288.0850652885</v>
      </c>
      <c r="S249" s="112"/>
      <c r="T249" s="106"/>
      <c r="V249" s="39"/>
      <c r="W249" s="20">
        <f t="shared" si="49"/>
        <v>43616</v>
      </c>
      <c r="X249" s="36">
        <v>-0.93319861937217341</v>
      </c>
      <c r="Y249" s="46">
        <f t="shared" ref="Y249" si="123">Y248*X249/100+Y248</f>
        <v>6566011.2049586857</v>
      </c>
      <c r="Z249" s="112"/>
      <c r="AA249" s="106"/>
      <c r="AC249" s="107">
        <v>-4.9347702779353231</v>
      </c>
      <c r="AD249" s="133">
        <v>461099844.62</v>
      </c>
      <c r="AE249" s="107">
        <v>-4.877856778292367</v>
      </c>
      <c r="AF249" s="108">
        <v>128894347.47999999</v>
      </c>
      <c r="AG249" s="213">
        <v>-4.9023617562354769</v>
      </c>
      <c r="AH249" s="108">
        <v>11487378.52</v>
      </c>
      <c r="AI249" s="133"/>
      <c r="AJ249" s="108">
        <v>1905192.4</v>
      </c>
      <c r="AK249" s="133"/>
      <c r="AL249" s="108">
        <v>513624.23999999987</v>
      </c>
      <c r="AM249" s="133"/>
      <c r="AN249" s="108">
        <v>339605.25999999995</v>
      </c>
      <c r="AO249" s="133"/>
      <c r="AP249" s="108">
        <v>456552.8799999996</v>
      </c>
      <c r="AQ249" s="133"/>
      <c r="AR249" s="108">
        <v>373136.03999999986</v>
      </c>
      <c r="AS249" s="133"/>
      <c r="AT249" s="108">
        <v>646313.95999999973</v>
      </c>
      <c r="AU249" s="133"/>
      <c r="AV249" s="108">
        <v>2502802.4899999998</v>
      </c>
      <c r="AW249" s="133"/>
      <c r="AX249" s="108">
        <v>663763.65999999992</v>
      </c>
      <c r="AY249" s="110">
        <f t="shared" si="114"/>
        <v>-4.8585000000000003</v>
      </c>
      <c r="AZ249" s="111">
        <f t="shared" ref="AZ249:AZ256" si="124">AD249+AF249+AH249+AJ249+AL249+AN249+AP249+AR249+AT249+AV249+AX249</f>
        <v>608882561.54999995</v>
      </c>
    </row>
    <row r="250" spans="1:52" x14ac:dyDescent="0.25">
      <c r="A250" s="21">
        <v>43646</v>
      </c>
      <c r="B250" s="24">
        <f t="shared" si="68"/>
        <v>234</v>
      </c>
      <c r="C250" s="97" t="s">
        <v>84</v>
      </c>
      <c r="D250" s="84">
        <f t="shared" ref="D250:D251" si="125">AY250</f>
        <v>5.8181000000000003</v>
      </c>
      <c r="E250" s="47">
        <f t="shared" si="117"/>
        <v>9899253.781044675</v>
      </c>
      <c r="F250" s="112"/>
      <c r="G250" s="106">
        <f>(E250/E247-1)*100</f>
        <v>4.3087470981572729</v>
      </c>
      <c r="I250" s="39"/>
      <c r="J250" s="20">
        <f t="shared" si="47"/>
        <v>43646</v>
      </c>
      <c r="K250" s="29">
        <v>7.0477169999999996</v>
      </c>
      <c r="L250" s="46">
        <f t="shared" ref="L250" si="126">L249*K250/100+L249</f>
        <v>2921287.5505114496</v>
      </c>
      <c r="M250" s="112"/>
      <c r="N250" s="106">
        <f>(L250/L247-1)*100</f>
        <v>4.3038044931638986</v>
      </c>
      <c r="O250" s="39"/>
      <c r="P250" s="20">
        <f t="shared" si="48"/>
        <v>43646</v>
      </c>
      <c r="Q250" s="28">
        <v>6.0331000000000001</v>
      </c>
      <c r="R250" s="46">
        <f t="shared" ref="R250" si="127">R249*Q250/100+R249</f>
        <v>2869561.1515253624</v>
      </c>
      <c r="S250" s="112"/>
      <c r="T250" s="106">
        <f>(R250/R$247-1)*100</f>
        <v>5.1881529394347758</v>
      </c>
      <c r="V250" s="39"/>
      <c r="W250" s="20">
        <f t="shared" si="49"/>
        <v>43646</v>
      </c>
      <c r="X250" s="36">
        <v>3.7568651704060372</v>
      </c>
      <c r="Y250" s="46">
        <f t="shared" ref="Y250" si="128">Y249*X250/100+Y249</f>
        <v>6812687.3930027364</v>
      </c>
      <c r="Z250" s="112"/>
      <c r="AA250" s="106">
        <f>(Y250/Y247-1)*100</f>
        <v>5.2038247880933142</v>
      </c>
      <c r="AC250" s="107">
        <v>5.7279236276849481</v>
      </c>
      <c r="AD250" s="133">
        <v>486318750.49000001</v>
      </c>
      <c r="AE250" s="107">
        <v>5.8444707903287396</v>
      </c>
      <c r="AF250" s="108">
        <v>136357412.25</v>
      </c>
      <c r="AG250" s="107">
        <v>5.8564157141198327</v>
      </c>
      <c r="AH250" s="108">
        <v>12134834.34</v>
      </c>
      <c r="AI250" s="107">
        <v>5.8156478054394576</v>
      </c>
      <c r="AJ250" s="108">
        <v>2015991.6799999992</v>
      </c>
      <c r="AK250" s="107">
        <v>5.8480067062255543</v>
      </c>
      <c r="AL250" s="108">
        <v>543661.0199999999</v>
      </c>
      <c r="AM250" s="107">
        <v>5.8229987368276159</v>
      </c>
      <c r="AN250" s="108">
        <v>359380.47000000009</v>
      </c>
      <c r="AO250" s="107">
        <v>5.8461727368800434</v>
      </c>
      <c r="AP250" s="108">
        <v>483243.75000000023</v>
      </c>
      <c r="AQ250" s="107">
        <v>5.8289545014199895</v>
      </c>
      <c r="AR250" s="108">
        <v>394885.97000000015</v>
      </c>
      <c r="AS250" s="107">
        <v>5.7991011055989548</v>
      </c>
      <c r="AT250" s="108">
        <v>683794.3600000001</v>
      </c>
      <c r="AU250" s="107">
        <v>5.8352182064544049</v>
      </c>
      <c r="AV250" s="108">
        <v>2644962.73</v>
      </c>
      <c r="AW250" s="107">
        <v>5.8631923296313202</v>
      </c>
      <c r="AX250" s="108">
        <v>702681.4</v>
      </c>
      <c r="AY250" s="110">
        <f t="shared" ref="AY250:AY256" si="129">ROUND(AD249/AZ249*(AC250+0.98/12)+(AF249/AZ249*AE250)+(AH249/AZ249*AG250)+(AJ249/AZ249*AI250)+(AL249/AZ249*AK250)+(AN249/AZ249*AM250)+(AP249/AZ249*AO250)+(AR249/AZ249*AQ250)+(AT249/AZ249*AS250)+(AV249/AZ249*AU250)+(AX249/AZ249*AW250),4)</f>
        <v>5.8181000000000003</v>
      </c>
      <c r="AZ250" s="111">
        <f t="shared" si="124"/>
        <v>642639598.46000004</v>
      </c>
    </row>
    <row r="251" spans="1:52" x14ac:dyDescent="0.25">
      <c r="A251" s="21">
        <v>43677</v>
      </c>
      <c r="B251" s="24">
        <f t="shared" si="68"/>
        <v>235</v>
      </c>
      <c r="C251" s="97" t="s">
        <v>84</v>
      </c>
      <c r="D251" s="84">
        <f t="shared" si="125"/>
        <v>2.1686000000000001</v>
      </c>
      <c r="E251" s="47">
        <f t="shared" si="117"/>
        <v>10113928.998540411</v>
      </c>
      <c r="F251" s="112"/>
      <c r="G251" s="106"/>
      <c r="I251" s="39"/>
      <c r="J251" s="20">
        <f t="shared" si="47"/>
        <v>43677</v>
      </c>
      <c r="K251" s="29">
        <v>1.4372720000000001</v>
      </c>
      <c r="L251" s="46">
        <f t="shared" ref="L251" si="130">L250*K251/100+L250</f>
        <v>2963274.3985144366</v>
      </c>
      <c r="M251" s="112"/>
      <c r="N251" s="106"/>
      <c r="O251" s="39"/>
      <c r="P251" s="20">
        <f t="shared" si="48"/>
        <v>43677</v>
      </c>
      <c r="Q251" s="28">
        <v>1.538629</v>
      </c>
      <c r="R251" s="46">
        <f t="shared" ref="R251" si="131">R250*Q251/100+R250</f>
        <v>2913713.0515754656</v>
      </c>
      <c r="S251" s="112"/>
      <c r="T251" s="106"/>
      <c r="V251" s="39"/>
      <c r="W251" s="20">
        <f t="shared" si="49"/>
        <v>43677</v>
      </c>
      <c r="X251" s="36">
        <v>1.0579608534584717</v>
      </c>
      <c r="Y251" s="46">
        <f t="shared" ref="Y251" si="132">Y250*X251/100+Y250</f>
        <v>6884762.9586892063</v>
      </c>
      <c r="Z251" s="112"/>
      <c r="AC251" s="107">
        <v>2.0880359999999998</v>
      </c>
      <c r="AD251" s="133">
        <v>500175244.32999998</v>
      </c>
      <c r="AE251" s="107">
        <v>2.1643641317405327</v>
      </c>
      <c r="AF251" s="133">
        <v>139180415.34</v>
      </c>
      <c r="AG251" s="107">
        <v>2.1936473837765718</v>
      </c>
      <c r="AH251" s="133">
        <v>12359127.279999999</v>
      </c>
      <c r="AI251" s="107">
        <v>2.11475441594194</v>
      </c>
      <c r="AJ251" s="133">
        <v>2057352.0700000003</v>
      </c>
      <c r="AK251" s="107">
        <v>2.0888018400917945</v>
      </c>
      <c r="AL251" s="133">
        <v>554502.19000000006</v>
      </c>
      <c r="AM251" s="107">
        <v>2.1273081800367595</v>
      </c>
      <c r="AN251" s="133">
        <v>365890.98</v>
      </c>
      <c r="AO251" s="107">
        <v>2.0202423331723924</v>
      </c>
      <c r="AP251" s="133">
        <v>492396.48999999993</v>
      </c>
      <c r="AQ251" s="107">
        <v>2.1395249786177089</v>
      </c>
      <c r="AR251" s="133">
        <v>402586.3</v>
      </c>
      <c r="AS251" s="107">
        <v>2.1749243442136623</v>
      </c>
      <c r="AT251" s="133">
        <v>698666.37000000023</v>
      </c>
      <c r="AU251" s="107">
        <v>2.1718464321656095</v>
      </c>
      <c r="AV251" s="133">
        <v>2691569.2400000007</v>
      </c>
      <c r="AW251" s="107">
        <v>2.1449342856424516</v>
      </c>
      <c r="AX251" s="133">
        <v>716422.24999999988</v>
      </c>
      <c r="AY251" s="110">
        <f t="shared" si="129"/>
        <v>2.1686000000000001</v>
      </c>
      <c r="AZ251" s="111">
        <f t="shared" si="124"/>
        <v>659694172.84000003</v>
      </c>
    </row>
    <row r="252" spans="1:52" x14ac:dyDescent="0.25">
      <c r="A252" s="21">
        <v>43708</v>
      </c>
      <c r="B252" s="24">
        <f t="shared" si="68"/>
        <v>236</v>
      </c>
      <c r="C252" s="97" t="s">
        <v>84</v>
      </c>
      <c r="D252" s="84">
        <f t="shared" ref="D252:D254" si="133">AY252</f>
        <v>0.90769999999999995</v>
      </c>
      <c r="E252" s="47">
        <f t="shared" si="117"/>
        <v>10205733.132060163</v>
      </c>
      <c r="F252" s="112"/>
      <c r="I252" s="39"/>
      <c r="J252" s="20">
        <f t="shared" si="47"/>
        <v>43708</v>
      </c>
      <c r="K252" s="29">
        <v>-1.5840069999999999</v>
      </c>
      <c r="L252" s="46">
        <f t="shared" ref="L252" si="134">L251*K252/100+L251</f>
        <v>2916335.9246127601</v>
      </c>
      <c r="M252" s="112"/>
      <c r="O252" s="39"/>
      <c r="P252" s="20">
        <f t="shared" si="48"/>
        <v>43708</v>
      </c>
      <c r="Q252" s="28">
        <v>0.24035680000000001</v>
      </c>
      <c r="R252" s="46">
        <f t="shared" ref="R252" si="135">R251*Q252/100+R251</f>
        <v>2920716.3590274146</v>
      </c>
      <c r="S252" s="112"/>
      <c r="V252" s="39"/>
      <c r="W252" s="20">
        <f t="shared" si="49"/>
        <v>43708</v>
      </c>
      <c r="X252" s="36">
        <v>2.4347946344671132</v>
      </c>
      <c r="Y252" s="46">
        <f t="shared" ref="Y252" si="136">Y251*X252/100+Y251</f>
        <v>7052392.7978031505</v>
      </c>
      <c r="Z252" s="112"/>
      <c r="AC252" s="107">
        <v>0.82918740000000002</v>
      </c>
      <c r="AD252" s="133">
        <v>511795106.71000004</v>
      </c>
      <c r="AE252" s="107">
        <v>0.90234628198229139</v>
      </c>
      <c r="AF252" s="133">
        <v>140436604.28999999</v>
      </c>
      <c r="AG252" s="107">
        <v>0.91221713562142337</v>
      </c>
      <c r="AH252" s="133">
        <v>12442616.870000001</v>
      </c>
      <c r="AI252" s="107">
        <v>0.82649927778282173</v>
      </c>
      <c r="AJ252" s="133">
        <v>2074356.0700000003</v>
      </c>
      <c r="AK252" s="107">
        <v>0.7595551606387696</v>
      </c>
      <c r="AL252" s="133">
        <v>558713.93999999994</v>
      </c>
      <c r="AM252" s="107">
        <v>0.75581803082438448</v>
      </c>
      <c r="AN252" s="133">
        <v>368656.45</v>
      </c>
      <c r="AO252" s="107">
        <v>0.79742648043652498</v>
      </c>
      <c r="AP252" s="133">
        <v>496322.99000000005</v>
      </c>
      <c r="AQ252" s="107">
        <v>0.78725480723014218</v>
      </c>
      <c r="AR252" s="133">
        <v>405755.68</v>
      </c>
      <c r="AS252" s="107">
        <v>0.81990779089595733</v>
      </c>
      <c r="AT252" s="133">
        <v>704394.79000000027</v>
      </c>
      <c r="AU252" s="107">
        <v>0.8</v>
      </c>
      <c r="AV252" s="133">
        <v>2709279.6000000006</v>
      </c>
      <c r="AW252" s="107">
        <v>0.76251540205514168</v>
      </c>
      <c r="AX252" s="133">
        <v>721885.08</v>
      </c>
      <c r="AY252" s="110">
        <f t="shared" si="129"/>
        <v>0.90769999999999995</v>
      </c>
      <c r="AZ252" s="111">
        <f t="shared" si="124"/>
        <v>672713692.47000015</v>
      </c>
    </row>
    <row r="253" spans="1:52" x14ac:dyDescent="0.25">
      <c r="A253" s="21">
        <v>43738</v>
      </c>
      <c r="B253" s="24">
        <f t="shared" si="68"/>
        <v>237</v>
      </c>
      <c r="C253" s="97" t="s">
        <v>84</v>
      </c>
      <c r="D253" s="84">
        <f t="shared" si="133"/>
        <v>1.0305</v>
      </c>
      <c r="E253" s="47">
        <f t="shared" si="117"/>
        <v>10310903.211986043</v>
      </c>
      <c r="F253" s="112"/>
      <c r="G253" s="106">
        <f>(E253/E250-1)*100</f>
        <v>4.1583885012585808</v>
      </c>
      <c r="I253" s="39"/>
      <c r="J253" s="20">
        <f t="shared" si="47"/>
        <v>43738</v>
      </c>
      <c r="K253" s="29">
        <v>1.8710720000000001</v>
      </c>
      <c r="L253" s="46">
        <f t="shared" ref="L253" si="137">L252*K253/100+L252</f>
        <v>2970902.6695241304</v>
      </c>
      <c r="M253" s="112"/>
      <c r="N253" s="106">
        <f>(L253/L250-1)*100</f>
        <v>1.6983990160090334</v>
      </c>
      <c r="O253" s="39"/>
      <c r="P253" s="20">
        <f t="shared" si="48"/>
        <v>43738</v>
      </c>
      <c r="Q253" s="28">
        <v>1.24827</v>
      </c>
      <c r="R253" s="46">
        <f t="shared" ref="R253" si="138">R252*Q253/100+R252</f>
        <v>2957174.785122246</v>
      </c>
      <c r="S253" s="112"/>
      <c r="T253" s="106">
        <f>(R253/R250-1)*100</f>
        <v>3.0532067089879211</v>
      </c>
      <c r="V253" s="39"/>
      <c r="W253" s="20">
        <f t="shared" si="49"/>
        <v>43738</v>
      </c>
      <c r="X253" s="36">
        <v>2.2043600810949164</v>
      </c>
      <c r="Y253" s="46">
        <f t="shared" ref="Y253" si="139">Y252*X253/100+Y252</f>
        <v>7207852.9293999365</v>
      </c>
      <c r="Z253" s="112"/>
      <c r="AA253" s="106">
        <f>(Y253/Y250-1)*100</f>
        <v>5.8004354757723364</v>
      </c>
      <c r="AC253" s="107">
        <v>0.9320176</v>
      </c>
      <c r="AD253" s="133">
        <v>526109049.99000001</v>
      </c>
      <c r="AE253" s="107">
        <v>1.0739129796368374</v>
      </c>
      <c r="AF253" s="133">
        <v>141944468.33999997</v>
      </c>
      <c r="AG253" s="107">
        <v>1.2016011379387876</v>
      </c>
      <c r="AH253" s="133">
        <v>12515935.609999999</v>
      </c>
      <c r="AI253" s="107">
        <v>1.0652298474485011</v>
      </c>
      <c r="AJ253" s="133">
        <v>2096452.7300000009</v>
      </c>
      <c r="AK253" s="107">
        <v>1.0356766827761765</v>
      </c>
      <c r="AL253" s="133">
        <v>564500.4099999998</v>
      </c>
      <c r="AM253" s="107">
        <v>1.1478030562058539</v>
      </c>
      <c r="AN253" s="133">
        <v>372887.9</v>
      </c>
      <c r="AO253" s="107">
        <v>1.0806833670952809</v>
      </c>
      <c r="AP253" s="133">
        <v>501686.67000000027</v>
      </c>
      <c r="AQ253" s="107">
        <v>1.1043640843179325</v>
      </c>
      <c r="AR253" s="133">
        <v>410236.70000000013</v>
      </c>
      <c r="AS253" s="107">
        <v>1.1110275247776968</v>
      </c>
      <c r="AT253" s="133">
        <v>712220.81000000017</v>
      </c>
      <c r="AU253" s="107">
        <v>1.08</v>
      </c>
      <c r="AV253" s="133">
        <v>2734661.76</v>
      </c>
      <c r="AW253" s="107">
        <v>1.0613365218741011</v>
      </c>
      <c r="AX253" s="133">
        <v>729546.70499999996</v>
      </c>
      <c r="AY253" s="110">
        <f t="shared" si="129"/>
        <v>1.0305</v>
      </c>
      <c r="AZ253" s="111">
        <f t="shared" si="124"/>
        <v>688691647.62499988</v>
      </c>
    </row>
    <row r="254" spans="1:52" x14ac:dyDescent="0.25">
      <c r="A254" s="21">
        <v>43769</v>
      </c>
      <c r="B254" s="24">
        <f t="shared" si="68"/>
        <v>238</v>
      </c>
      <c r="C254" s="97" t="s">
        <v>84</v>
      </c>
      <c r="D254" s="84">
        <f t="shared" si="133"/>
        <v>-0.30549999999999999</v>
      </c>
      <c r="E254" s="47">
        <f t="shared" ref="E254" si="140">E253*D254/100+E253</f>
        <v>10279403.402673425</v>
      </c>
      <c r="F254" s="112"/>
      <c r="G254" s="106"/>
      <c r="I254" s="39"/>
      <c r="J254" s="20">
        <f t="shared" si="47"/>
        <v>43769</v>
      </c>
      <c r="K254" s="29">
        <v>2.1657299999999999</v>
      </c>
      <c r="L254" s="46">
        <f t="shared" ref="L254" si="141">L253*K254/100+L253</f>
        <v>3035244.3999088155</v>
      </c>
      <c r="M254" s="112"/>
      <c r="N254" s="106"/>
      <c r="O254" s="39"/>
      <c r="P254" s="20">
        <f t="shared" si="48"/>
        <v>43769</v>
      </c>
      <c r="Q254" s="28">
        <v>1.0525469999999999</v>
      </c>
      <c r="R254" s="46">
        <f t="shared" ref="R254" si="142">R253*Q254/100+R253</f>
        <v>2988300.4396078065</v>
      </c>
      <c r="S254" s="112"/>
      <c r="T254" s="106"/>
      <c r="V254" s="39"/>
      <c r="W254" s="20">
        <f t="shared" si="49"/>
        <v>43769</v>
      </c>
      <c r="X254" s="36">
        <v>-0.37818312881583599</v>
      </c>
      <c r="Y254" s="46">
        <f t="shared" ref="Y254" si="143">Y253*X254/100+Y253</f>
        <v>7180594.0456710877</v>
      </c>
      <c r="Z254" s="112"/>
      <c r="AC254" s="107">
        <v>-0.38022810000000001</v>
      </c>
      <c r="AD254" s="133">
        <v>535107171.31999999</v>
      </c>
      <c r="AE254" s="107">
        <v>-0.32449802834162433</v>
      </c>
      <c r="AF254" s="133">
        <v>141483860.78</v>
      </c>
      <c r="AG254" s="107">
        <v>-0.34553046090654016</v>
      </c>
      <c r="AH254" s="133">
        <v>12472689.24</v>
      </c>
      <c r="AI254" s="107">
        <v>-0.43</v>
      </c>
      <c r="AJ254" s="133">
        <v>2083577.2800000007</v>
      </c>
      <c r="AK254" s="107">
        <v>-0.42</v>
      </c>
      <c r="AL254" s="133">
        <v>561102.12</v>
      </c>
      <c r="AM254" s="107">
        <v>-0.27999999999999997</v>
      </c>
      <c r="AN254" s="133">
        <v>420950.65999999992</v>
      </c>
      <c r="AO254" s="107">
        <v>-0.41000000000000003</v>
      </c>
      <c r="AP254" s="133">
        <v>498719.45</v>
      </c>
      <c r="AQ254" s="107">
        <v>-0.28999999999999998</v>
      </c>
      <c r="AR254" s="133">
        <v>458083.7099999999</v>
      </c>
      <c r="AS254" s="107">
        <v>-0.33999999999999997</v>
      </c>
      <c r="AT254" s="133">
        <v>709822.04999999993</v>
      </c>
      <c r="AU254" s="107">
        <v>-0.32</v>
      </c>
      <c r="AV254" s="133">
        <v>2714159.2800000007</v>
      </c>
      <c r="AW254" s="107">
        <v>-0.32</v>
      </c>
      <c r="AX254" s="133">
        <v>725886.7099999995</v>
      </c>
      <c r="AY254" s="110">
        <f t="shared" si="129"/>
        <v>-0.30549999999999999</v>
      </c>
      <c r="AZ254" s="111">
        <f t="shared" si="124"/>
        <v>697236022.60000002</v>
      </c>
    </row>
    <row r="255" spans="1:52" x14ac:dyDescent="0.25">
      <c r="A255" s="21">
        <v>43799</v>
      </c>
      <c r="B255" s="24">
        <f t="shared" si="68"/>
        <v>239</v>
      </c>
      <c r="C255" s="97" t="s">
        <v>84</v>
      </c>
      <c r="D255" s="84">
        <f t="shared" ref="D255" si="144">AY255</f>
        <v>2.0211000000000001</v>
      </c>
      <c r="E255" s="47">
        <f t="shared" ref="E255" si="145">E254*D255/100+E254</f>
        <v>10487160.424844857</v>
      </c>
      <c r="F255" s="112"/>
      <c r="I255" s="39"/>
      <c r="J255" s="20">
        <f t="shared" si="47"/>
        <v>43799</v>
      </c>
      <c r="K255" s="29">
        <v>3.6299899999999998</v>
      </c>
      <c r="L255" s="46">
        <f t="shared" ref="L255" si="146">L254*K255/100+L254</f>
        <v>3145423.4681010656</v>
      </c>
      <c r="M255" s="112"/>
      <c r="N255" s="106"/>
      <c r="O255" s="39"/>
      <c r="P255" s="20">
        <f t="shared" si="48"/>
        <v>43799</v>
      </c>
      <c r="Q255" s="28">
        <v>2.7353850588991264</v>
      </c>
      <c r="R255" s="46">
        <f t="shared" ref="R255" si="147">R254*Q255/100+R254</f>
        <v>3070041.9633478555</v>
      </c>
      <c r="S255" s="112"/>
      <c r="T255" s="106"/>
      <c r="V255" s="39"/>
      <c r="W255" s="20">
        <f t="shared" si="49"/>
        <v>43799</v>
      </c>
      <c r="X255" s="36">
        <v>4.548751552108049E-2</v>
      </c>
      <c r="Y255" s="46">
        <f t="shared" ref="Y255" si="148">Y254*X255/100+Y254</f>
        <v>7183860.319502118</v>
      </c>
      <c r="Z255" s="112"/>
      <c r="AC255" s="107">
        <v>1.9629225736095934</v>
      </c>
      <c r="AD255" s="133">
        <v>554270173.31000006</v>
      </c>
      <c r="AE255" s="107">
        <v>1.9383002562543974</v>
      </c>
      <c r="AF255" s="133">
        <v>144123331</v>
      </c>
      <c r="AG255" s="107">
        <v>1.9753763003742753</v>
      </c>
      <c r="AH255" s="133">
        <v>12647818.719999999</v>
      </c>
      <c r="AI255" s="107">
        <v>1.9886936951049927</v>
      </c>
      <c r="AJ255" s="133">
        <v>2125013.2500000005</v>
      </c>
      <c r="AK255" s="107">
        <v>1.9575937442546154</v>
      </c>
      <c r="AL255" s="133">
        <v>572086.22</v>
      </c>
      <c r="AM255" s="107">
        <v>2.0019662161831597</v>
      </c>
      <c r="AN255" s="133">
        <v>429377.9499999999</v>
      </c>
      <c r="AO255" s="107">
        <v>1.9603927619024963</v>
      </c>
      <c r="AP255" s="133">
        <v>508496.31000000011</v>
      </c>
      <c r="AQ255" s="107">
        <v>2.0770374043643791</v>
      </c>
      <c r="AR255" s="133">
        <v>467598.28</v>
      </c>
      <c r="AS255" s="107">
        <v>2</v>
      </c>
      <c r="AT255" s="133">
        <v>723616.17999999993</v>
      </c>
      <c r="AU255" s="107">
        <v>1.9800000000000002</v>
      </c>
      <c r="AV255" s="133">
        <v>2764035.9600000004</v>
      </c>
      <c r="AW255" s="107">
        <v>1.9844033237638392</v>
      </c>
      <c r="AX255" s="133">
        <v>740291.22999999975</v>
      </c>
      <c r="AY255" s="110">
        <f t="shared" si="129"/>
        <v>2.0211000000000001</v>
      </c>
      <c r="AZ255" s="111">
        <f t="shared" si="124"/>
        <v>719371838.41000009</v>
      </c>
    </row>
    <row r="256" spans="1:52" x14ac:dyDescent="0.25">
      <c r="A256" s="21">
        <v>43830</v>
      </c>
      <c r="B256" s="24">
        <f t="shared" si="68"/>
        <v>240</v>
      </c>
      <c r="C256" s="97" t="s">
        <v>84</v>
      </c>
      <c r="D256" s="84">
        <f t="shared" ref="D256" si="149">AY256</f>
        <v>2.0333000000000001</v>
      </c>
      <c r="E256" s="47">
        <f t="shared" ref="E256" si="150">E255*D256/100+E255</f>
        <v>10700395.857763227</v>
      </c>
      <c r="F256" s="112">
        <f>(E256/E$244-1)*100</f>
        <v>28.230701406058188</v>
      </c>
      <c r="G256" s="106">
        <f>(E256/E253-1)*100</f>
        <v>3.7774832889946319</v>
      </c>
      <c r="H256" s="16">
        <f>STDEVP(D221:D256)*SQRT(12)</f>
        <v>10.759646312839813</v>
      </c>
      <c r="I256" s="39"/>
      <c r="J256" s="20">
        <f t="shared" si="47"/>
        <v>43830</v>
      </c>
      <c r="K256" s="29">
        <v>3.011504</v>
      </c>
      <c r="L256" s="46">
        <f t="shared" ref="L256" si="151">L255*K256/100+L255</f>
        <v>3240148.0216598678</v>
      </c>
      <c r="M256" s="112">
        <f>(L256/L$244-1)*100</f>
        <v>31.474617681388285</v>
      </c>
      <c r="N256" s="106">
        <f>(L256/L253-1)*100</f>
        <v>9.0627456394882344</v>
      </c>
      <c r="O256" s="39"/>
      <c r="P256" s="20">
        <f t="shared" si="48"/>
        <v>43830</v>
      </c>
      <c r="Q256" s="28">
        <v>2.354498</v>
      </c>
      <c r="R256" s="46">
        <f t="shared" ref="R256" si="152">R255*Q256/100+R255</f>
        <v>3142326.0399740413</v>
      </c>
      <c r="S256" s="112">
        <f>(R256/R$244-1)*100</f>
        <v>30.452012829428419</v>
      </c>
      <c r="T256" s="106">
        <f>(R256/R253-1)*100</f>
        <v>6.2610859453862577</v>
      </c>
      <c r="V256" s="39"/>
      <c r="W256" s="20">
        <f t="shared" si="49"/>
        <v>43830</v>
      </c>
      <c r="X256" s="36">
        <v>1.7599526723614334</v>
      </c>
      <c r="Y256" s="46">
        <f t="shared" ref="Y256" si="153">Y255*X256/100+Y255</f>
        <v>7310292.8611739082</v>
      </c>
      <c r="Z256" s="112">
        <f>(Y256/Y$244-1)*100</f>
        <v>28.25874714227481</v>
      </c>
      <c r="AA256" s="106">
        <f>(Y256/Y253-1)*100</f>
        <v>1.4212267200421458</v>
      </c>
      <c r="AB256" s="61">
        <f>STDEVP(X221:X256)*SQRT(12)</f>
        <v>8.7235025740250105</v>
      </c>
      <c r="AC256" s="107">
        <v>1.9501409999999999</v>
      </c>
      <c r="AD256" s="133">
        <v>567811423.56999993</v>
      </c>
      <c r="AE256" s="107">
        <v>2.0307031343870241</v>
      </c>
      <c r="AF256" s="133">
        <v>147040048.00999999</v>
      </c>
      <c r="AG256" s="107">
        <v>2.1301628237086883</v>
      </c>
      <c r="AH256" s="133">
        <v>12739439.65</v>
      </c>
      <c r="AI256" s="107">
        <v>2.0379604691876718</v>
      </c>
      <c r="AJ256" s="133">
        <v>2168320.1800000006</v>
      </c>
      <c r="AK256" s="107">
        <v>2.0261753551763517</v>
      </c>
      <c r="AL256" s="133">
        <v>583677.68999999994</v>
      </c>
      <c r="AM256" s="107">
        <v>2.0325310137607078</v>
      </c>
      <c r="AN256" s="133">
        <v>438105.19000000012</v>
      </c>
      <c r="AO256" s="107">
        <v>2.0314247708110189</v>
      </c>
      <c r="AP256" s="133">
        <v>518826.0300000002</v>
      </c>
      <c r="AQ256" s="107">
        <v>2.0395990335978054</v>
      </c>
      <c r="AR256" s="133">
        <v>477135.41000000015</v>
      </c>
      <c r="AS256" s="107">
        <v>2.0500000000000003</v>
      </c>
      <c r="AT256" s="133">
        <v>736989.04</v>
      </c>
      <c r="AU256" s="107">
        <v>2.0299999999999998</v>
      </c>
      <c r="AV256" s="133">
        <v>2811350.94</v>
      </c>
      <c r="AW256" s="107">
        <v>2.0203670385234629</v>
      </c>
      <c r="AX256" s="133">
        <v>755247.83</v>
      </c>
      <c r="AY256" s="110">
        <f t="shared" si="129"/>
        <v>2.0333000000000001</v>
      </c>
      <c r="AZ256" s="111">
        <f t="shared" si="124"/>
        <v>736080563.53999996</v>
      </c>
    </row>
    <row r="257" spans="1:53" x14ac:dyDescent="0.25">
      <c r="A257" s="21">
        <v>43861</v>
      </c>
      <c r="B257" s="24">
        <f t="shared" si="68"/>
        <v>241</v>
      </c>
      <c r="C257" s="97" t="s">
        <v>84</v>
      </c>
      <c r="D257" s="84">
        <f t="shared" ref="D257:D259" si="154">AY257</f>
        <v>1.7665</v>
      </c>
      <c r="E257" s="47">
        <f t="shared" ref="E257:E259" si="155">E256*D257/100+E256</f>
        <v>10889418.350590615</v>
      </c>
      <c r="I257" s="39"/>
      <c r="J257" s="20">
        <f t="shared" si="47"/>
        <v>43861</v>
      </c>
      <c r="K257" s="29">
        <v>-4.393706E-2</v>
      </c>
      <c r="L257" s="46">
        <f t="shared" ref="L257:L258" si="156">L256*K257/100+L256</f>
        <v>3238724.3958795024</v>
      </c>
      <c r="M257" s="112"/>
      <c r="N257" s="106"/>
      <c r="O257" s="39"/>
      <c r="P257" s="20">
        <f t="shared" si="48"/>
        <v>43861</v>
      </c>
      <c r="Q257" s="28">
        <v>1.1138840000000001</v>
      </c>
      <c r="R257" s="46">
        <f t="shared" ref="R257:R258" si="157">R256*Q257/100+R256</f>
        <v>3177327.9069611458</v>
      </c>
      <c r="S257" s="112"/>
      <c r="T257" s="106"/>
      <c r="V257" s="39"/>
      <c r="W257" s="20">
        <f t="shared" si="49"/>
        <v>43861</v>
      </c>
      <c r="X257" s="36">
        <v>3.069928399101904</v>
      </c>
      <c r="Y257" s="46">
        <f t="shared" ref="Y257" si="158">Y256*X257/100+Y256</f>
        <v>7534713.6177766053</v>
      </c>
      <c r="Z257" s="112"/>
      <c r="AC257" s="107">
        <v>1.6702589999999999</v>
      </c>
      <c r="AD257" s="133">
        <v>603829325.88</v>
      </c>
      <c r="AE257" s="107">
        <v>1.8</v>
      </c>
      <c r="AF257" s="133">
        <v>149683309.78999999</v>
      </c>
      <c r="AG257" s="107">
        <v>1.83</v>
      </c>
      <c r="AH257" s="133">
        <v>12972225.199999999</v>
      </c>
      <c r="AI257" s="107">
        <v>2.02</v>
      </c>
      <c r="AJ257" s="133">
        <v>2206684.48</v>
      </c>
      <c r="AK257" s="107">
        <v>2.0099999999999998</v>
      </c>
      <c r="AL257" s="133">
        <v>593912.6</v>
      </c>
      <c r="AM257" s="107">
        <v>2.02</v>
      </c>
      <c r="AN257" s="133">
        <v>446044.89000000007</v>
      </c>
      <c r="AO257" s="107">
        <v>2.0299999999999998</v>
      </c>
      <c r="AP257" s="133">
        <v>527860.03999999992</v>
      </c>
      <c r="AQ257" s="107">
        <v>2.0099999999999998</v>
      </c>
      <c r="AR257" s="133">
        <v>485827.72999999992</v>
      </c>
      <c r="AS257" s="107">
        <v>2.0299999999999998</v>
      </c>
      <c r="AT257" s="133">
        <v>750572.46000000008</v>
      </c>
      <c r="AU257" s="107">
        <v>2.13</v>
      </c>
      <c r="AV257" s="133">
        <v>2862572.73</v>
      </c>
      <c r="AW257" s="107">
        <v>2.12</v>
      </c>
      <c r="AX257" s="133">
        <v>769138.69</v>
      </c>
      <c r="AY257" s="110">
        <f t="shared" ref="AY257:AY264" si="159">ROUND(AD256/AZ256*(AC257+0.98/12)+(AF256/AZ256*AE257)+(AH256/AZ256*AG257)+(AJ256/AZ256*AI257)+(AL256/AZ256*AK257)+(AN256/AZ256*AM257)+(AP256/AZ256*AO257)+(AR256/AZ256*AQ257)+(AT256/AZ256*AS257)+(AV256/AZ256*AU257)+(AX256/AZ256*AW257),4)</f>
        <v>1.7665</v>
      </c>
      <c r="AZ257" s="111">
        <f>AD257+AF257+AH257+AJ257+AL257+AP257+AR257+AT257+AV257+AX257</f>
        <v>774681429.60000014</v>
      </c>
    </row>
    <row r="258" spans="1:53" x14ac:dyDescent="0.25">
      <c r="A258" s="21">
        <v>43890</v>
      </c>
      <c r="B258" s="24">
        <f t="shared" si="68"/>
        <v>242</v>
      </c>
      <c r="C258" s="97" t="s">
        <v>84</v>
      </c>
      <c r="D258" s="84">
        <f t="shared" si="154"/>
        <v>-7.6582999999999997</v>
      </c>
      <c r="E258" s="47">
        <f t="shared" si="155"/>
        <v>10055474.025047334</v>
      </c>
      <c r="I258" s="39"/>
      <c r="J258" s="20">
        <f t="shared" si="47"/>
        <v>43890</v>
      </c>
      <c r="K258" s="29">
        <v>-8.2321380000000008</v>
      </c>
      <c r="L258" s="46">
        <f t="shared" si="156"/>
        <v>2972108.1341710356</v>
      </c>
      <c r="M258" s="112"/>
      <c r="O258" s="39"/>
      <c r="P258" s="20">
        <f t="shared" si="48"/>
        <v>43890</v>
      </c>
      <c r="Q258" s="28">
        <v>-8.1751509999999996</v>
      </c>
      <c r="R258" s="46">
        <f t="shared" si="157"/>
        <v>2917576.5528019327</v>
      </c>
      <c r="S258" s="112"/>
      <c r="V258" s="39">
        <v>3</v>
      </c>
      <c r="W258" s="20">
        <f t="shared" si="49"/>
        <v>43890</v>
      </c>
      <c r="X258" s="36">
        <v>-9.528476049723249</v>
      </c>
      <c r="Y258" s="46">
        <f t="shared" ref="Y258" si="160">Y257*X258/100+Y257</f>
        <v>6816770.2352915257</v>
      </c>
      <c r="Z258" s="112"/>
      <c r="AC258" s="107">
        <v>-7.6841549999999996</v>
      </c>
      <c r="AD258" s="133">
        <v>566325233.85000002</v>
      </c>
      <c r="AE258" s="107">
        <v>-7.86</v>
      </c>
      <c r="AF258" s="133">
        <v>137903675.37</v>
      </c>
      <c r="AG258" s="107">
        <v>-7.85</v>
      </c>
      <c r="AH258" s="133">
        <v>11959009.48</v>
      </c>
      <c r="AI258" s="107">
        <v>-7.88</v>
      </c>
      <c r="AJ258" s="133">
        <v>2032871.9999999995</v>
      </c>
      <c r="AK258" s="107">
        <v>-7.9</v>
      </c>
      <c r="AL258" s="133">
        <v>546979.24999999977</v>
      </c>
      <c r="AM258" s="107"/>
      <c r="AN258" s="133">
        <v>706116.83</v>
      </c>
      <c r="AO258" s="107">
        <v>-6.51</v>
      </c>
      <c r="AP258" s="133">
        <v>373814.66</v>
      </c>
      <c r="AQ258" s="107">
        <v>-7.88</v>
      </c>
      <c r="AR258" s="133">
        <v>447539.78999999992</v>
      </c>
      <c r="AS258" s="107">
        <v>-7.9</v>
      </c>
      <c r="AT258" s="133">
        <v>690587.87000000011</v>
      </c>
      <c r="AU258" s="107">
        <v>-7.9</v>
      </c>
      <c r="AV258" s="133">
        <v>2632314.6200000006</v>
      </c>
      <c r="AW258" s="107">
        <v>-7.72</v>
      </c>
      <c r="AX258" s="133">
        <v>663195.16000000015</v>
      </c>
      <c r="AY258" s="110">
        <f>ROUND(AD257/AZ257*(AC258+0.98/12)+(AF257/AZ257*AE258)+(AH257/AZ257*AG258)+(AJ257/AZ257*AI258)+(AL257/AZ257*AK258)+(AP257/AZ257*AO258)+(AR257/AZ257*AQ258)+(AT257/AZ257*AS258)+(AV257/AZ257*AU258)+(AX257/AZ257*AW258),4)</f>
        <v>-7.6582999999999997</v>
      </c>
      <c r="AZ258" s="111">
        <f t="shared" ref="AZ258:AZ284" si="161">AD258+AF258+AH258+AJ258+AL258+AN258+AP258+AR258+AT258+AV258+AX258</f>
        <v>724281338.88</v>
      </c>
      <c r="BA258" t="s">
        <v>85</v>
      </c>
    </row>
    <row r="259" spans="1:53" x14ac:dyDescent="0.25">
      <c r="A259" s="21">
        <v>43921</v>
      </c>
      <c r="B259" s="24">
        <f t="shared" ref="B259:B260" si="162">IF(A259&gt;A258,1+B258,"-")</f>
        <v>243</v>
      </c>
      <c r="C259" s="97" t="s">
        <v>84</v>
      </c>
      <c r="D259" s="84">
        <f t="shared" si="154"/>
        <v>-11.947800000000001</v>
      </c>
      <c r="E259" s="47">
        <f t="shared" si="155"/>
        <v>8854066.0994827282</v>
      </c>
      <c r="F259" s="112"/>
      <c r="G259" s="106">
        <f>(E259/E256-1)*100</f>
        <v>-17.25477994293988</v>
      </c>
      <c r="I259" s="39"/>
      <c r="J259" s="20">
        <f t="shared" si="47"/>
        <v>43921</v>
      </c>
      <c r="K259" s="29">
        <v>-12.3512</v>
      </c>
      <c r="L259" s="46">
        <f t="shared" ref="L259" si="163">L258*K259/100+L258</f>
        <v>2605017.1143033025</v>
      </c>
      <c r="M259" s="112"/>
      <c r="N259" s="106">
        <f>(L259/L256-1)*100</f>
        <v>-19.601910255667875</v>
      </c>
      <c r="O259" s="39"/>
      <c r="P259" s="20">
        <f t="shared" si="48"/>
        <v>43921</v>
      </c>
      <c r="Q259" s="28">
        <v>-10.648540000000001</v>
      </c>
      <c r="R259" s="46">
        <f t="shared" ref="R259" si="164">R258*Q259/100+R258</f>
        <v>2606897.2465461977</v>
      </c>
      <c r="S259" s="112"/>
      <c r="T259" s="106">
        <f>(R259/R256-1)*100</f>
        <v>-17.039250116524084</v>
      </c>
      <c r="V259" s="39">
        <v>3</v>
      </c>
      <c r="W259" s="20">
        <f t="shared" si="49"/>
        <v>43921</v>
      </c>
      <c r="X259" s="36">
        <v>-13.104456212566202</v>
      </c>
      <c r="Y259" s="46">
        <f t="shared" ref="Y259" si="165">Y258*X259/100+Y258</f>
        <v>5923469.5646965019</v>
      </c>
      <c r="Z259" s="112"/>
      <c r="AA259" s="106">
        <f>(Y259/Y256-1)*100</f>
        <v>-18.970830893014401</v>
      </c>
      <c r="AC259" s="107">
        <v>-12.11251</v>
      </c>
      <c r="AD259" s="133">
        <v>465667124.37</v>
      </c>
      <c r="AE259" s="107">
        <v>-11.69</v>
      </c>
      <c r="AF259" s="133">
        <v>121142644.56999999</v>
      </c>
      <c r="AG259" s="107">
        <v>-11.39</v>
      </c>
      <c r="AH259" s="133">
        <v>10585270.74</v>
      </c>
      <c r="AI259" s="107">
        <v>-11.4</v>
      </c>
      <c r="AJ259" s="133">
        <v>1801140.7200000002</v>
      </c>
      <c r="AK259" s="107">
        <v>-11.38</v>
      </c>
      <c r="AL259" s="133">
        <v>484711.34000000008</v>
      </c>
      <c r="AM259" s="107">
        <v>-11.91</v>
      </c>
      <c r="AN259" s="133">
        <v>621999.49</v>
      </c>
      <c r="AO259" s="107">
        <v>-11.34</v>
      </c>
      <c r="AP259" s="133">
        <v>331412.77000000008</v>
      </c>
      <c r="AQ259" s="107">
        <v>-11.32</v>
      </c>
      <c r="AR259" s="133">
        <v>396895.26</v>
      </c>
      <c r="AS259" s="107">
        <v>-11.36</v>
      </c>
      <c r="AT259" s="133">
        <v>611069.72999999986</v>
      </c>
      <c r="AU259" s="107">
        <v>-11.2</v>
      </c>
      <c r="AV259" s="133">
        <v>2309484.54</v>
      </c>
      <c r="AW259" s="107">
        <v>-11.22</v>
      </c>
      <c r="AX259" s="133">
        <v>588052.96</v>
      </c>
      <c r="AY259" s="110">
        <f t="shared" si="159"/>
        <v>-11.947800000000001</v>
      </c>
      <c r="AZ259" s="111">
        <f t="shared" si="161"/>
        <v>604539806.49000013</v>
      </c>
    </row>
    <row r="260" spans="1:53" x14ac:dyDescent="0.25">
      <c r="A260" s="21">
        <v>43951</v>
      </c>
      <c r="B260" s="24">
        <f t="shared" si="162"/>
        <v>244</v>
      </c>
      <c r="C260" s="97" t="s">
        <v>84</v>
      </c>
      <c r="D260" s="84">
        <f t="shared" ref="D260:D264" si="166">AY260</f>
        <v>8.4589999999999996</v>
      </c>
      <c r="E260" s="47">
        <f t="shared" ref="E260:E262" si="167">E259*D260/100+E259</f>
        <v>9603031.5508379713</v>
      </c>
      <c r="I260" s="39"/>
      <c r="J260" s="20">
        <f t="shared" si="47"/>
        <v>43951</v>
      </c>
      <c r="K260" s="29">
        <v>12.81939</v>
      </c>
      <c r="L260" s="46">
        <f t="shared" ref="L260" si="168">L259*K260/100+L259</f>
        <v>2938964.4177525886</v>
      </c>
      <c r="M260" s="112"/>
      <c r="N260" s="106"/>
      <c r="O260" s="39"/>
      <c r="P260" s="20">
        <f t="shared" si="48"/>
        <v>43951</v>
      </c>
      <c r="Q260" s="28">
        <v>11.144690000000001</v>
      </c>
      <c r="R260" s="46">
        <f t="shared" ref="R260" si="169">R259*Q260/100+R259</f>
        <v>2897427.8632923071</v>
      </c>
      <c r="S260" s="112"/>
      <c r="T260" s="106"/>
      <c r="V260" s="39">
        <v>3</v>
      </c>
      <c r="W260" s="20">
        <f t="shared" si="49"/>
        <v>43951</v>
      </c>
      <c r="X260" s="36">
        <v>6.7019478266053332</v>
      </c>
      <c r="Y260" s="46">
        <f t="shared" ref="Y260" si="170">Y259*X260/100+Y259</f>
        <v>6320457.4044473078</v>
      </c>
      <c r="Z260" s="112"/>
      <c r="AA260" s="106"/>
      <c r="AC260" s="107">
        <v>8.4258649999999999</v>
      </c>
      <c r="AD260" s="133">
        <v>499339406.74000001</v>
      </c>
      <c r="AE260" s="107">
        <v>8.26</v>
      </c>
      <c r="AF260" s="133">
        <v>131781467.56999999</v>
      </c>
      <c r="AG260" s="107">
        <v>8.5500000000000007</v>
      </c>
      <c r="AH260" s="133">
        <v>11490508.449999999</v>
      </c>
      <c r="AI260" s="107">
        <v>8.5599999999999987</v>
      </c>
      <c r="AJ260" s="133">
        <v>1951777.57</v>
      </c>
      <c r="AK260" s="107">
        <v>8.77</v>
      </c>
      <c r="AL260" s="133">
        <v>526239.74000000011</v>
      </c>
      <c r="AM260" s="107">
        <v>8.6</v>
      </c>
      <c r="AN260" s="133">
        <v>674233.78999999992</v>
      </c>
      <c r="AO260" s="107">
        <v>8.7100000000000009</v>
      </c>
      <c r="AP260" s="133">
        <v>359601.82999999996</v>
      </c>
      <c r="AQ260" s="107">
        <v>8.75</v>
      </c>
      <c r="AR260" s="133">
        <v>430844.01000000018</v>
      </c>
      <c r="AS260" s="107">
        <v>8.4700000000000006</v>
      </c>
      <c r="AT260" s="133">
        <v>1914003.5999999996</v>
      </c>
      <c r="AU260" s="107">
        <v>8.4499999999999993</v>
      </c>
      <c r="AV260" s="133">
        <v>2497734.7999999998</v>
      </c>
      <c r="AW260" s="107">
        <v>8.4</v>
      </c>
      <c r="AX260" s="133">
        <v>636965.00000000035</v>
      </c>
      <c r="AY260" s="110">
        <f t="shared" si="159"/>
        <v>8.4589999999999996</v>
      </c>
      <c r="AZ260" s="111">
        <f t="shared" si="161"/>
        <v>651602783.10000002</v>
      </c>
    </row>
    <row r="261" spans="1:53" x14ac:dyDescent="0.25">
      <c r="A261" s="21">
        <v>43982</v>
      </c>
      <c r="B261" s="24">
        <f t="shared" si="68"/>
        <v>245</v>
      </c>
      <c r="C261" s="97" t="s">
        <v>84</v>
      </c>
      <c r="D261" s="84">
        <f t="shared" si="166"/>
        <v>5.6333000000000002</v>
      </c>
      <c r="E261" s="47">
        <f t="shared" si="167"/>
        <v>10143999.127191328</v>
      </c>
      <c r="I261" s="39"/>
      <c r="J261" s="20">
        <f t="shared" si="47"/>
        <v>43982</v>
      </c>
      <c r="K261" s="29">
        <v>4.7629910000000004</v>
      </c>
      <c r="L261" s="46">
        <f t="shared" ref="L261" si="171">L260*K261/100+L260</f>
        <v>3078947.0284633469</v>
      </c>
      <c r="M261" s="112"/>
      <c r="N261" s="106"/>
      <c r="O261" s="39"/>
      <c r="P261" s="20">
        <f t="shared" si="48"/>
        <v>43982</v>
      </c>
      <c r="Q261" s="28">
        <v>4.2933810000000001</v>
      </c>
      <c r="R261" s="46">
        <f t="shared" ref="R261" si="172">R260*Q261/100+R260</f>
        <v>3021825.480663605</v>
      </c>
      <c r="S261" s="112"/>
      <c r="T261" s="106"/>
      <c r="V261" s="39">
        <v>3</v>
      </c>
      <c r="W261" s="20">
        <f t="shared" si="49"/>
        <v>43982</v>
      </c>
      <c r="X261" s="36">
        <v>0.3919731794172584</v>
      </c>
      <c r="Y261" s="46">
        <f t="shared" ref="Y261" si="173">Y260*X261/100+Y260</f>
        <v>6345231.9022892332</v>
      </c>
      <c r="Z261" s="112"/>
      <c r="AA261" s="106"/>
      <c r="AC261" s="107">
        <v>5.5421690000000003</v>
      </c>
      <c r="AD261" s="133">
        <v>538100076.78999996</v>
      </c>
      <c r="AE261" s="107">
        <v>5.68</v>
      </c>
      <c r="AF261" s="133">
        <v>139176717.51999998</v>
      </c>
      <c r="AG261" s="107">
        <v>5.52</v>
      </c>
      <c r="AH261" s="133">
        <v>11108334.780000001</v>
      </c>
      <c r="AI261" s="107">
        <v>5.6345098791149573</v>
      </c>
      <c r="AJ261" s="108">
        <v>2061750.6699999995</v>
      </c>
      <c r="AK261" s="241">
        <v>5.5289591014163975</v>
      </c>
      <c r="AL261" s="108">
        <v>555335.32000000007</v>
      </c>
      <c r="AM261" s="241">
        <v>5.652503710916057</v>
      </c>
      <c r="AN261" s="108">
        <v>712344.88</v>
      </c>
      <c r="AO261" s="241">
        <v>5.5502164713677971</v>
      </c>
      <c r="AP261" s="108">
        <v>379560.50999999995</v>
      </c>
      <c r="AQ261" s="241">
        <v>5.546058305417767</v>
      </c>
      <c r="AR261" s="108">
        <v>454738.87000000017</v>
      </c>
      <c r="AS261" s="241">
        <v>5.6099999999999994</v>
      </c>
      <c r="AT261" s="108">
        <v>2020452.7000000002</v>
      </c>
      <c r="AU261" s="241">
        <v>5.64</v>
      </c>
      <c r="AV261" s="108">
        <v>2622416.64</v>
      </c>
      <c r="AW261" s="241">
        <v>5.6790698999041656</v>
      </c>
      <c r="AX261" s="108">
        <v>673124.59</v>
      </c>
      <c r="AY261" s="110">
        <f t="shared" si="159"/>
        <v>5.6333000000000002</v>
      </c>
      <c r="AZ261" s="111">
        <f t="shared" si="161"/>
        <v>697864853.26999998</v>
      </c>
    </row>
    <row r="262" spans="1:53" x14ac:dyDescent="0.25">
      <c r="A262" s="21">
        <v>44012</v>
      </c>
      <c r="B262" s="24">
        <f t="shared" si="68"/>
        <v>246</v>
      </c>
      <c r="C262" s="97" t="s">
        <v>84</v>
      </c>
      <c r="D262" s="84">
        <f t="shared" si="166"/>
        <v>0.60119999999999996</v>
      </c>
      <c r="E262" s="47">
        <f t="shared" si="167"/>
        <v>10204984.849944001</v>
      </c>
      <c r="F262" s="112"/>
      <c r="G262" s="106">
        <f>(E262/E259-1)*100</f>
        <v>15.257608597932148</v>
      </c>
      <c r="I262" s="39"/>
      <c r="J262" s="20">
        <f t="shared" si="47"/>
        <v>44012</v>
      </c>
      <c r="K262" s="29">
        <v>1.988718</v>
      </c>
      <c r="L262" s="46">
        <f t="shared" ref="L262:L263" si="174">L261*K262/100+L261</f>
        <v>3140178.6022288627</v>
      </c>
      <c r="M262" s="112"/>
      <c r="N262" s="106">
        <f>(L262/L259-1)*100</f>
        <v>20.543492209212854</v>
      </c>
      <c r="O262" s="39"/>
      <c r="P262" s="20">
        <f t="shared" si="48"/>
        <v>44012</v>
      </c>
      <c r="Q262" s="28">
        <v>9.4176969999999999E-2</v>
      </c>
      <c r="R262" s="46">
        <f t="shared" ref="R262" si="175">R261*Q262/100+R261</f>
        <v>3024671.3443399821</v>
      </c>
      <c r="S262" s="112"/>
      <c r="T262" s="106">
        <f>(R262/R259-1)*100</f>
        <v>16.025721702199093</v>
      </c>
      <c r="V262" s="39">
        <v>3</v>
      </c>
      <c r="W262" s="20">
        <f t="shared" si="49"/>
        <v>44012</v>
      </c>
      <c r="X262" s="36">
        <v>-0.38408277505518656</v>
      </c>
      <c r="Y262" s="46">
        <f t="shared" ref="Y262" si="176">Y261*X262/100+Y261</f>
        <v>6320860.9595152335</v>
      </c>
      <c r="Z262" s="112"/>
      <c r="AA262" s="106">
        <f>(Y262/Y259-1)*100</f>
        <v>6.708760642363365</v>
      </c>
      <c r="AC262" s="107">
        <v>0.51369860000000001</v>
      </c>
      <c r="AD262" s="133">
        <v>540563085.80999994</v>
      </c>
      <c r="AE262" s="107">
        <v>0.62</v>
      </c>
      <c r="AF262" s="133">
        <v>140030770.25</v>
      </c>
      <c r="AG262" s="107">
        <v>0.64296207680552953</v>
      </c>
      <c r="AH262" s="133">
        <v>11179757.16</v>
      </c>
      <c r="AI262" s="107">
        <v>0.61519514384345064</v>
      </c>
      <c r="AJ262" s="108">
        <v>2074434.4599999993</v>
      </c>
      <c r="AK262" s="107">
        <v>0.62636210497110678</v>
      </c>
      <c r="AL262" s="108">
        <v>558813.7300000001</v>
      </c>
      <c r="AM262" s="107">
        <v>0.59822708348797904</v>
      </c>
      <c r="AN262" s="108">
        <v>716606.32</v>
      </c>
      <c r="AO262" s="107">
        <v>0.63770332693460985</v>
      </c>
      <c r="AP262" s="108">
        <v>381980.97999999992</v>
      </c>
      <c r="AQ262" s="107">
        <v>0.59333172904265763</v>
      </c>
      <c r="AR262" s="108">
        <v>457436.98000000021</v>
      </c>
      <c r="AS262" s="107">
        <v>0.6</v>
      </c>
      <c r="AT262" s="108">
        <v>2029919.4199999997</v>
      </c>
      <c r="AU262" s="107">
        <v>0.6</v>
      </c>
      <c r="AV262" s="108">
        <v>2636001.5779999997</v>
      </c>
      <c r="AW262" s="107">
        <v>0.63</v>
      </c>
      <c r="AX262" s="108">
        <v>677314.40200000035</v>
      </c>
      <c r="AY262" s="110">
        <f t="shared" si="159"/>
        <v>0.60119999999999996</v>
      </c>
      <c r="AZ262" s="111">
        <f t="shared" si="161"/>
        <v>701306121.08999991</v>
      </c>
    </row>
    <row r="263" spans="1:53" x14ac:dyDescent="0.25">
      <c r="A263" s="21">
        <v>44043</v>
      </c>
      <c r="B263" s="24">
        <f t="shared" si="68"/>
        <v>247</v>
      </c>
      <c r="C263" s="97" t="s">
        <v>84</v>
      </c>
      <c r="D263" s="84">
        <f t="shared" si="166"/>
        <v>6.2112999999999996</v>
      </c>
      <c r="E263" s="47">
        <f t="shared" ref="E263:E264" si="177">E262*D263/100+E262</f>
        <v>10838847.073928572</v>
      </c>
      <c r="F263" s="112"/>
      <c r="I263" s="39"/>
      <c r="J263" s="20">
        <f t="shared" si="47"/>
        <v>44043</v>
      </c>
      <c r="K263" s="29">
        <v>5.6381899999999998</v>
      </c>
      <c r="L263" s="46">
        <f t="shared" si="174"/>
        <v>3317227.8381618704</v>
      </c>
      <c r="M263" s="112"/>
      <c r="O263" s="39"/>
      <c r="P263" s="20">
        <f t="shared" si="48"/>
        <v>44043</v>
      </c>
      <c r="Q263" s="28">
        <v>5.476966</v>
      </c>
      <c r="R263" s="46">
        <f t="shared" ref="R263" si="178">R262*Q263/100+R262</f>
        <v>3190331.565481226</v>
      </c>
      <c r="S263" s="112"/>
      <c r="V263" s="39">
        <v>3</v>
      </c>
      <c r="W263" s="20">
        <f t="shared" si="49"/>
        <v>44043</v>
      </c>
      <c r="X263" s="36">
        <v>7.4400817614423431</v>
      </c>
      <c r="Y263" s="46">
        <f t="shared" ref="Y263" si="179">Y262*X263/100+Y262</f>
        <v>6791138.1829302562</v>
      </c>
      <c r="Z263" s="112"/>
      <c r="AC263" s="107">
        <v>6.132879</v>
      </c>
      <c r="AD263" s="133">
        <v>570181637.35000002</v>
      </c>
      <c r="AE263" s="107">
        <v>6.21</v>
      </c>
      <c r="AF263" s="133">
        <v>148767444.25999999</v>
      </c>
      <c r="AG263" s="107">
        <v>6.06</v>
      </c>
      <c r="AH263" s="133">
        <v>11857112.84</v>
      </c>
      <c r="AI263" s="107">
        <v>6.2</v>
      </c>
      <c r="AJ263" s="108">
        <v>2198319.7000000002</v>
      </c>
      <c r="AK263" s="107">
        <v>6.2700000000000005</v>
      </c>
      <c r="AL263" s="108">
        <v>592566.78</v>
      </c>
      <c r="AM263" s="107">
        <v>6.18</v>
      </c>
      <c r="AN263" s="108">
        <v>759521.06000000017</v>
      </c>
      <c r="AO263" s="107">
        <v>6.16</v>
      </c>
      <c r="AP263" s="108">
        <v>404761.66000000009</v>
      </c>
      <c r="AQ263" s="107">
        <v>6.1899999999999995</v>
      </c>
      <c r="AR263" s="108">
        <v>484890.3899999999</v>
      </c>
      <c r="AS263" s="107">
        <v>6.25</v>
      </c>
      <c r="AT263" s="108">
        <v>2154625.86</v>
      </c>
      <c r="AU263" s="107">
        <v>6.25</v>
      </c>
      <c r="AV263" s="108">
        <v>2791365.5300000012</v>
      </c>
      <c r="AW263" s="107">
        <v>6.21</v>
      </c>
      <c r="AX263" s="108">
        <v>718074.13000000024</v>
      </c>
      <c r="AY263" s="110">
        <f t="shared" si="159"/>
        <v>6.2112999999999996</v>
      </c>
      <c r="AZ263" s="111">
        <f t="shared" si="161"/>
        <v>740910319.55999994</v>
      </c>
    </row>
    <row r="264" spans="1:53" x14ac:dyDescent="0.25">
      <c r="A264" s="21">
        <v>44074</v>
      </c>
      <c r="B264" s="24">
        <f t="shared" si="68"/>
        <v>248</v>
      </c>
      <c r="C264" s="97" t="s">
        <v>84</v>
      </c>
      <c r="D264" s="84">
        <f t="shared" si="166"/>
        <v>4.6452999999999998</v>
      </c>
      <c r="E264" s="47">
        <f t="shared" si="177"/>
        <v>11342344.037053777</v>
      </c>
      <c r="F264" s="112"/>
      <c r="I264" s="39"/>
      <c r="J264" s="20">
        <f t="shared" si="47"/>
        <v>44074</v>
      </c>
      <c r="K264" s="29">
        <v>7.1882580000000003</v>
      </c>
      <c r="L264" s="46">
        <f t="shared" ref="L264" si="180">L263*K264/100+L263</f>
        <v>3555678.7336167679</v>
      </c>
      <c r="M264" s="112"/>
      <c r="O264" s="39"/>
      <c r="P264" s="20">
        <f t="shared" si="48"/>
        <v>44074</v>
      </c>
      <c r="Q264" s="28">
        <v>7.5465799999999996</v>
      </c>
      <c r="R264" s="46">
        <f t="shared" ref="R264" si="181">R263*Q264/100+R263</f>
        <v>3431092.4893355193</v>
      </c>
      <c r="S264" s="112"/>
      <c r="V264" s="39">
        <v>3</v>
      </c>
      <c r="W264" s="20">
        <f t="shared" si="49"/>
        <v>44074</v>
      </c>
      <c r="X264" s="36">
        <v>2.8808460459977199</v>
      </c>
      <c r="Y264" s="46">
        <f t="shared" ref="Y264" si="182">Y263*X264/100+Y263</f>
        <v>6986780.4187514437</v>
      </c>
      <c r="Z264" s="112"/>
      <c r="AC264" s="107">
        <v>4.6013909999999996</v>
      </c>
      <c r="AD264" s="133">
        <v>583232235.99000001</v>
      </c>
      <c r="AE264" s="107">
        <v>4.5199999999999996</v>
      </c>
      <c r="AF264" s="133">
        <v>155562619.90000001</v>
      </c>
      <c r="AG264" s="107">
        <v>4.49</v>
      </c>
      <c r="AH264" s="133">
        <v>12389329.26</v>
      </c>
      <c r="AI264" s="107">
        <v>4.5500861407919633</v>
      </c>
      <c r="AJ264" s="108">
        <v>2298345.1399999997</v>
      </c>
      <c r="AK264" s="107">
        <v>4.5513739396595634</v>
      </c>
      <c r="AL264" s="108">
        <v>619536.70999999985</v>
      </c>
      <c r="AM264" s="107">
        <v>4.5634942630820312</v>
      </c>
      <c r="AN264" s="108">
        <v>794181.76</v>
      </c>
      <c r="AO264" s="107">
        <v>4.5580935210118261</v>
      </c>
      <c r="AP264" s="108">
        <v>423211.07500000001</v>
      </c>
      <c r="AQ264" s="107">
        <v>4.528233690092331</v>
      </c>
      <c r="AR264" s="108">
        <v>506847.36</v>
      </c>
      <c r="AS264" s="107">
        <v>4.5335253703860987</v>
      </c>
      <c r="AT264" s="108">
        <v>2250737.7499999995</v>
      </c>
      <c r="AU264" s="107">
        <v>4.55</v>
      </c>
      <c r="AV264" s="108">
        <v>2901618.4400000018</v>
      </c>
      <c r="AW264" s="107">
        <v>4.51</v>
      </c>
      <c r="AX264" s="108">
        <v>673213.73499999987</v>
      </c>
      <c r="AY264" s="110">
        <f t="shared" si="159"/>
        <v>4.6452999999999998</v>
      </c>
      <c r="AZ264" s="111">
        <f t="shared" si="161"/>
        <v>761651877.12000012</v>
      </c>
    </row>
    <row r="265" spans="1:53" x14ac:dyDescent="0.25">
      <c r="A265" s="21">
        <v>44104</v>
      </c>
      <c r="B265" s="24">
        <f t="shared" si="68"/>
        <v>249</v>
      </c>
      <c r="C265" s="97" t="s">
        <v>84</v>
      </c>
      <c r="D265" s="84">
        <f t="shared" ref="D265" si="183">AY265</f>
        <v>-2.6131000000000002</v>
      </c>
      <c r="E265" s="47">
        <f t="shared" ref="E265" si="184">E264*D265/100+E264</f>
        <v>11045957.245021524</v>
      </c>
      <c r="F265" s="112"/>
      <c r="G265" s="106">
        <f>(E265/E262-1)*100</f>
        <v>8.240800034917628</v>
      </c>
      <c r="I265" s="39"/>
      <c r="J265" s="20">
        <f t="shared" si="47"/>
        <v>44104</v>
      </c>
      <c r="K265" s="29">
        <v>-3.7996780000000001</v>
      </c>
      <c r="L265" s="46">
        <f t="shared" ref="L265" si="185">L264*K265/100+L264</f>
        <v>3420574.3910248531</v>
      </c>
      <c r="M265" s="112"/>
      <c r="N265" s="106">
        <f>(L265/L262-1)*100</f>
        <v>8.9292942954572361</v>
      </c>
      <c r="O265" s="39"/>
      <c r="P265" s="20">
        <f t="shared" si="48"/>
        <v>44104</v>
      </c>
      <c r="Q265" s="28">
        <v>-3.6609910000000001</v>
      </c>
      <c r="R265" s="46">
        <f t="shared" ref="R265" si="186">R264*Q265/100+R264</f>
        <v>3305480.50209927</v>
      </c>
      <c r="S265" s="112"/>
      <c r="T265" s="106">
        <f>(R265/R262-1)*100</f>
        <v>9.2839560332649498</v>
      </c>
      <c r="V265" s="39">
        <v>3</v>
      </c>
      <c r="W265" s="20">
        <f t="shared" si="49"/>
        <v>44104</v>
      </c>
      <c r="X265" s="36">
        <v>-1.7453839537849405</v>
      </c>
      <c r="Y265" s="46">
        <f t="shared" ref="Y265:Y266" si="187">Y264*X265/100+Y264</f>
        <v>6864834.2744363677</v>
      </c>
      <c r="Z265" s="112"/>
      <c r="AA265" s="106">
        <f>(Y265/Y262-1)*100</f>
        <v>8.6060003282029562</v>
      </c>
      <c r="AC265" s="107">
        <v>-2.7109969999999999</v>
      </c>
      <c r="AD265" s="133">
        <v>558911311.24000001</v>
      </c>
      <c r="AE265" s="107">
        <v>-2.5605523897870981</v>
      </c>
      <c r="AF265" s="133">
        <v>151481378.78999999</v>
      </c>
      <c r="AG265" s="107">
        <v>-2.5846268452469854</v>
      </c>
      <c r="AH265" s="133">
        <v>12069111.33</v>
      </c>
      <c r="AI265" s="107">
        <v>-2.5227690563480998</v>
      </c>
      <c r="AJ265" s="108">
        <v>2240363.1999999993</v>
      </c>
      <c r="AK265" s="107">
        <v>-2.5314932508196186</v>
      </c>
      <c r="AL265" s="108">
        <v>603853.17999999993</v>
      </c>
      <c r="AM265" s="107">
        <v>-2.5142179039720323</v>
      </c>
      <c r="AN265" s="108">
        <v>774214.29999999981</v>
      </c>
      <c r="AO265" s="107">
        <v>-2.4809594125106638</v>
      </c>
      <c r="AP265" s="108">
        <v>412711.37999999995</v>
      </c>
      <c r="AQ265" s="107">
        <v>-2.5646616764463568</v>
      </c>
      <c r="AR265" s="108">
        <v>493848.43999999989</v>
      </c>
      <c r="AS265" s="107">
        <v>-2.5139</v>
      </c>
      <c r="AT265" s="108">
        <v>2192112.8599999989</v>
      </c>
      <c r="AU265" s="107">
        <v>-2.5253000000000001</v>
      </c>
      <c r="AV265" s="108">
        <v>2826392.7899999996</v>
      </c>
      <c r="AW265" s="107">
        <v>-2.57</v>
      </c>
      <c r="AX265" s="108">
        <v>655989.58000000019</v>
      </c>
      <c r="AY265" s="110">
        <f>ROUND(AD264/AZ264*(AC265+0.98/12)+(AF264/AZ264*AE265)+(AH264/AZ264*AG265)+(AJ264/AZ264*AI265)+(AL264/AZ264*AK265)+(AN264/AZ264*AM265)+(AP264/AZ264*AO265)+(AR264/AZ264*AQ265)+(AT264/AZ264*AS265)+(AV264/AZ264*AU265)+(AX264/AZ264*AW265),4)</f>
        <v>-2.6131000000000002</v>
      </c>
      <c r="AZ265" s="111">
        <f>AD265+AF265+AH265+AJ265+AL265+AN265+AP265+AR265+AT265+AV265+AX265</f>
        <v>732661287.09000003</v>
      </c>
    </row>
    <row r="266" spans="1:53" x14ac:dyDescent="0.25">
      <c r="A266" s="21">
        <v>44135</v>
      </c>
      <c r="B266" s="24">
        <f t="shared" ref="B266:B269" si="188">IF(A266&gt;A265,1+B265,"-")</f>
        <v>250</v>
      </c>
      <c r="C266" s="97" t="s">
        <v>84</v>
      </c>
      <c r="D266" s="84">
        <f t="shared" ref="D266:D271" si="189">AY266</f>
        <v>-1.9891000000000001</v>
      </c>
      <c r="E266" s="47">
        <f t="shared" ref="E266:E273" si="190">E265*D266/100+E265</f>
        <v>10826242.109460801</v>
      </c>
      <c r="I266" s="39"/>
      <c r="J266" s="20">
        <f t="shared" si="47"/>
        <v>44135</v>
      </c>
      <c r="K266" s="29">
        <v>-2.6593810000000002</v>
      </c>
      <c r="L266" s="46">
        <f t="shared" ref="L266" si="191">L265*K266/100+L265</f>
        <v>3329608.2855790723</v>
      </c>
      <c r="M266" s="112"/>
      <c r="O266" s="39"/>
      <c r="P266" s="20">
        <f t="shared" si="48"/>
        <v>44135</v>
      </c>
      <c r="Q266" s="28">
        <v>-3.327563</v>
      </c>
      <c r="R266" s="46">
        <f t="shared" ref="R266" si="192">R265*Q266/100+R265</f>
        <v>3195488.5559392003</v>
      </c>
      <c r="S266" s="112"/>
      <c r="V266" s="39">
        <v>3</v>
      </c>
      <c r="W266" s="20">
        <f t="shared" si="49"/>
        <v>44135</v>
      </c>
      <c r="X266" s="36">
        <v>-2.8737091800063892</v>
      </c>
      <c r="Y266" s="46">
        <f t="shared" si="187"/>
        <v>6667558.901699665</v>
      </c>
      <c r="Z266" s="112"/>
      <c r="AC266" s="107">
        <v>-2.0504730000000002</v>
      </c>
      <c r="AD266" s="133">
        <v>528917827.24000001</v>
      </c>
      <c r="AE266" s="107">
        <v>-2.06</v>
      </c>
      <c r="AF266" s="133">
        <v>148385256.91</v>
      </c>
      <c r="AG266" s="107">
        <v>-2.074947882678944</v>
      </c>
      <c r="AH266" s="133">
        <v>11818683.560000001</v>
      </c>
      <c r="AI266" s="107">
        <v>-2.0099999999999998</v>
      </c>
      <c r="AJ266" s="133">
        <v>2189786.1599999988</v>
      </c>
      <c r="AK266" s="107">
        <v>-2</v>
      </c>
      <c r="AL266" s="133">
        <v>590280.41999999993</v>
      </c>
      <c r="AM266" s="240">
        <v>-1.99</v>
      </c>
      <c r="AN266" s="133">
        <v>757378.77</v>
      </c>
      <c r="AO266" s="107"/>
      <c r="AP266" s="133">
        <v>259816.08999999994</v>
      </c>
      <c r="AQ266" s="240">
        <v>-1.9690000000000001</v>
      </c>
      <c r="AR266" s="133">
        <v>483211.58000000019</v>
      </c>
      <c r="AS266" s="240">
        <v>-2</v>
      </c>
      <c r="AT266" s="133">
        <v>2146702.7399999998</v>
      </c>
      <c r="AU266" s="240">
        <v>-2.1046</v>
      </c>
      <c r="AV266" s="133">
        <v>2761669.1599999997</v>
      </c>
      <c r="AW266" s="240">
        <v>-2.0114999999999998</v>
      </c>
      <c r="AX266" s="133">
        <v>641577.63000000024</v>
      </c>
      <c r="AY266" s="110">
        <f>ROUND(AD265/AZ265*(AC266+0.98/12)+(AF265/AZ265*AE266)+(AH265/AZ265*AG266)+(AJ265/AZ265*AI266)+(AL265/AZ265*AK266)+(AN265/AZ265*AM266)+(AR265/AZ265*AQ266)+(AT265/AZ265*AS266)+(AV265/AZ265*AU266)+(AX265/AZ265*AW266),4)</f>
        <v>-1.9891000000000001</v>
      </c>
      <c r="AZ266" s="111">
        <f>AD266+AF266+AH266+AJ266+AL266+AN266+AP266+AR266+AT266+AV266+AX266</f>
        <v>698952190.25999987</v>
      </c>
      <c r="BA266" t="s">
        <v>364</v>
      </c>
    </row>
    <row r="267" spans="1:53" x14ac:dyDescent="0.25">
      <c r="A267" s="21">
        <v>44165</v>
      </c>
      <c r="B267" s="24">
        <f t="shared" si="188"/>
        <v>251</v>
      </c>
      <c r="C267" s="97" t="s">
        <v>84</v>
      </c>
      <c r="D267" s="84">
        <f t="shared" si="189"/>
        <v>7.0963000000000003</v>
      </c>
      <c r="E267" s="47">
        <f t="shared" si="190"/>
        <v>11594504.728274468</v>
      </c>
      <c r="I267" s="39"/>
      <c r="J267" s="20">
        <f t="shared" si="47"/>
        <v>44165</v>
      </c>
      <c r="K267" s="29">
        <v>10.94619</v>
      </c>
      <c r="L267" s="46">
        <f t="shared" ref="L267" si="193">L266*K267/100+L266</f>
        <v>3694073.5347743002</v>
      </c>
      <c r="M267" s="112"/>
      <c r="O267" s="39"/>
      <c r="P267" s="20">
        <f t="shared" si="48"/>
        <v>44165</v>
      </c>
      <c r="Q267" s="28">
        <v>8.7171679999999991</v>
      </c>
      <c r="R267" s="46">
        <f t="shared" ref="R267" si="194">R266*Q267/100+R266</f>
        <v>3474044.6617811946</v>
      </c>
      <c r="S267" s="112"/>
      <c r="V267" s="39">
        <v>3</v>
      </c>
      <c r="W267" s="20">
        <f t="shared" si="49"/>
        <v>44165</v>
      </c>
      <c r="X267" s="36">
        <v>6.1642038128013503</v>
      </c>
      <c r="Y267" s="46">
        <f t="shared" ref="Y267:Y268" si="195">Y266*X267/100+Y266</f>
        <v>7078560.8217390114</v>
      </c>
      <c r="AC267" s="107">
        <v>7.0316689999999999</v>
      </c>
      <c r="AD267" s="133">
        <v>526077932.93000001</v>
      </c>
      <c r="AE267" s="107">
        <v>7.0432498615266956</v>
      </c>
      <c r="AF267" s="133">
        <v>158752624.56</v>
      </c>
      <c r="AG267" s="107">
        <v>7.0536658822262233</v>
      </c>
      <c r="AH267" s="133">
        <v>12652334.01</v>
      </c>
      <c r="AI267" s="107">
        <v>7.0257161548597322</v>
      </c>
      <c r="AJ267" s="133">
        <v>2343634.3200000012</v>
      </c>
      <c r="AK267" s="107">
        <v>7.042191912786179</v>
      </c>
      <c r="AL267" s="133">
        <v>631849.10000000021</v>
      </c>
      <c r="AM267" s="107">
        <v>7.0345040170587403</v>
      </c>
      <c r="AN267" s="133">
        <v>810656.6100000001</v>
      </c>
      <c r="AO267" s="107">
        <v>7.107223420997542</v>
      </c>
      <c r="AP267" s="133">
        <v>278281.8</v>
      </c>
      <c r="AQ267" s="107">
        <v>7.0537175454279444</v>
      </c>
      <c r="AR267" s="133">
        <v>517295.95999999979</v>
      </c>
      <c r="AS267" s="107">
        <v>7.0289999999999999</v>
      </c>
      <c r="AT267" s="133">
        <v>2296390.9499999997</v>
      </c>
      <c r="AU267" s="107">
        <v>7.0278999999999998</v>
      </c>
      <c r="AV267" s="133">
        <v>2953970.7</v>
      </c>
      <c r="AW267" s="107">
        <v>7.0230955527548318</v>
      </c>
      <c r="AX267" s="133">
        <v>686636.24000000011</v>
      </c>
      <c r="AY267" s="110">
        <f>ROUND(AD266/AZ266*(AC267+0.98/12)+(AF266/AZ266*AE267)+(AH266/AZ266*AG267)+(AJ266/AZ266*AI267)+(AL266/AZ266*AK267)+(AN266/AZ266*AM267)+(AP266/AZ266*AO267)+(AR266/AZ266*AQ267)+(AT266/AZ266*AS267)+(AV266/AZ266*AU267)+(AX266/AZ266*AW267),4)</f>
        <v>7.0963000000000003</v>
      </c>
      <c r="AZ267" s="111">
        <f t="shared" si="161"/>
        <v>708001607.18000019</v>
      </c>
    </row>
    <row r="268" spans="1:53" x14ac:dyDescent="0.25">
      <c r="A268" s="21">
        <v>44196</v>
      </c>
      <c r="B268" s="24">
        <f t="shared" si="188"/>
        <v>252</v>
      </c>
      <c r="C268" s="97" t="s">
        <v>84</v>
      </c>
      <c r="D268" s="84">
        <f t="shared" si="189"/>
        <v>3.8374999999999999</v>
      </c>
      <c r="E268" s="47">
        <f t="shared" si="190"/>
        <v>12039443.847222</v>
      </c>
      <c r="F268" s="112">
        <f>(E268/E$256-1)*100</f>
        <v>12.514004222444552</v>
      </c>
      <c r="G268" s="106">
        <f>(E268/E265-1)*100</f>
        <v>8.9941195693858731</v>
      </c>
      <c r="H268" s="16">
        <f>STDEVP(D233:D268)*SQRT(12)</f>
        <v>15.772775790662212</v>
      </c>
      <c r="I268" s="39"/>
      <c r="J268" s="20">
        <f t="shared" si="47"/>
        <v>44196</v>
      </c>
      <c r="K268" s="29">
        <v>3.8413089999999999</v>
      </c>
      <c r="L268" s="46">
        <f t="shared" ref="L268:L274" si="196">L267*K268/100+L267</f>
        <v>3835974.3139322037</v>
      </c>
      <c r="M268" s="112">
        <f>(L268/L$256-1)*100</f>
        <v>18.388860270868278</v>
      </c>
      <c r="N268" s="106">
        <f>(L268/L265-1)*100</f>
        <v>12.144156957887153</v>
      </c>
      <c r="O268" s="39"/>
      <c r="P268" s="20">
        <f t="shared" si="48"/>
        <v>44196</v>
      </c>
      <c r="Q268" s="28">
        <v>3.0400489999999998</v>
      </c>
      <c r="R268" s="46">
        <f t="shared" ref="R268:R273" si="197">R267*Q268/100+R267</f>
        <v>3579657.3217812274</v>
      </c>
      <c r="S268" s="112">
        <f>(R268/R$256-1)*100</f>
        <v>13.91743810934396</v>
      </c>
      <c r="T268" s="106">
        <f>(R268/R265-1)*100</f>
        <v>8.2946131283434088</v>
      </c>
      <c r="V268" s="39">
        <v>3</v>
      </c>
      <c r="W268" s="20">
        <f t="shared" si="49"/>
        <v>44196</v>
      </c>
      <c r="X268" s="36">
        <v>2.1268625970688406</v>
      </c>
      <c r="Y268" s="46">
        <f t="shared" si="195"/>
        <v>7229112.0842673471</v>
      </c>
      <c r="Z268" s="112">
        <f>(Y268/Y$256-1)*100</f>
        <v>-1.1104996536831613</v>
      </c>
      <c r="AA268" s="106">
        <f>(Y268/Y265-1)*100</f>
        <v>5.3064326867656053</v>
      </c>
      <c r="AB268" s="61">
        <f>STDEVP(X233:X268)*SQRT(12)</f>
        <v>14.60727531502814</v>
      </c>
      <c r="AC268" s="107">
        <v>3.7550859999999999</v>
      </c>
      <c r="AD268" s="133">
        <v>540531045.76999998</v>
      </c>
      <c r="AE268" s="107">
        <v>3.8455705150998165</v>
      </c>
      <c r="AF268" s="133">
        <v>164824298.63</v>
      </c>
      <c r="AG268" s="107">
        <v>3.7824535743504306</v>
      </c>
      <c r="AH268" s="133">
        <v>13130902.67</v>
      </c>
      <c r="AI268" s="107">
        <v>3.814322876104574</v>
      </c>
      <c r="AJ268" s="133">
        <v>2433028.0999999992</v>
      </c>
      <c r="AK268" s="107">
        <v>3.8212557397010944</v>
      </c>
      <c r="AL268" s="133">
        <v>655993.66999999993</v>
      </c>
      <c r="AM268" s="107">
        <v>3.8167677433728548</v>
      </c>
      <c r="AN268" s="133">
        <v>841597.49</v>
      </c>
      <c r="AO268" s="107">
        <v>3.8340955103783383</v>
      </c>
      <c r="AP268" s="133"/>
      <c r="AQ268" s="107">
        <v>3.8589243960073141</v>
      </c>
      <c r="AR268" s="133">
        <v>537258.02</v>
      </c>
      <c r="AS268" s="107">
        <v>3.8132999999999999</v>
      </c>
      <c r="AT268" s="133">
        <v>2380760.4099999992</v>
      </c>
      <c r="AU268" s="107">
        <v>3.8140000000000001</v>
      </c>
      <c r="AV268" s="133">
        <v>3065065.34</v>
      </c>
      <c r="AW268" s="107">
        <v>3.8231771745691638</v>
      </c>
      <c r="AX268" s="133">
        <v>712887.56</v>
      </c>
      <c r="AY268" s="110">
        <f>ROUND(AD267/AZ267*(AC268+0.98/12)+(AF267/AZ267*AE268)+(AH267/AZ267*AG268)+(AJ267/AZ267*AI268)+(AL267/AZ267*AK268)+(AN267/AZ267*AM268)+(AP267/AZ267*AO268)+(AR267/AZ267*AQ268)+(AT267/AZ267*AS268)+(AV267/AZ267*AU268)+(AX267/AZ267*AW268),4)</f>
        <v>3.8374999999999999</v>
      </c>
      <c r="AZ268" s="111">
        <f>AD268+AF268+AH268+AJ268+AL268+AN268+AR268+AT268+AV268+AX268</f>
        <v>729112837.65999985</v>
      </c>
    </row>
    <row r="269" spans="1:53" x14ac:dyDescent="0.25">
      <c r="A269" s="21">
        <v>44227</v>
      </c>
      <c r="B269" s="24">
        <f t="shared" si="188"/>
        <v>253</v>
      </c>
      <c r="C269" s="97" t="s">
        <v>84</v>
      </c>
      <c r="D269" s="84">
        <f t="shared" si="189"/>
        <v>-3.0198999999999998</v>
      </c>
      <c r="E269" s="47">
        <f t="shared" si="190"/>
        <v>11675864.682479743</v>
      </c>
      <c r="I269" s="39"/>
      <c r="J269" s="20">
        <f t="shared" si="47"/>
        <v>44227</v>
      </c>
      <c r="K269" s="29">
        <v>-1.0177430000000001</v>
      </c>
      <c r="L269" s="46">
        <f t="shared" si="196"/>
        <v>3796933.9538703607</v>
      </c>
      <c r="O269" s="39"/>
      <c r="P269" s="20">
        <f t="shared" si="48"/>
        <v>44227</v>
      </c>
      <c r="Q269" s="28">
        <v>-1.565421</v>
      </c>
      <c r="R269" s="46">
        <f t="shared" si="197"/>
        <v>3523620.6143380264</v>
      </c>
      <c r="V269" s="39">
        <v>4</v>
      </c>
      <c r="W269" s="20">
        <f t="shared" si="49"/>
        <v>44227</v>
      </c>
      <c r="X269" s="36">
        <v>-1.7796389521386662</v>
      </c>
      <c r="Y269" s="46">
        <f t="shared" ref="Y269:Y273" si="198">Y268*X269/100+Y268</f>
        <v>7100459.9897219623</v>
      </c>
      <c r="AC269" s="107">
        <v>-3.1128399999999998</v>
      </c>
      <c r="AD269" s="133">
        <v>515123063.17000002</v>
      </c>
      <c r="AE269" s="107">
        <v>-2.98</v>
      </c>
      <c r="AF269" s="133">
        <v>159916551.59999999</v>
      </c>
      <c r="AG269" s="240">
        <v>-2.9780780490000001</v>
      </c>
      <c r="AH269" s="133">
        <v>12739854.140000001</v>
      </c>
      <c r="AI269" s="107">
        <v>-3.1146870259999999</v>
      </c>
      <c r="AJ269" s="133">
        <v>2351288.3599999994</v>
      </c>
      <c r="AK269" s="107">
        <v>-3.1480427259999999</v>
      </c>
      <c r="AL269" s="133">
        <v>633736.36999999988</v>
      </c>
      <c r="AM269" s="107">
        <v>-3.1160345540000001</v>
      </c>
      <c r="AN269" s="133">
        <v>813820.4</v>
      </c>
      <c r="AO269" s="107"/>
      <c r="AP269" s="133"/>
      <c r="AQ269" s="107">
        <v>-3.1578977240000001</v>
      </c>
      <c r="AR269" s="133">
        <v>519301.02</v>
      </c>
      <c r="AS269" s="107">
        <v>-3.113282398</v>
      </c>
      <c r="AT269" s="133">
        <v>2304074.4000000008</v>
      </c>
      <c r="AU269" s="107">
        <v>-3.1091641189999999</v>
      </c>
      <c r="AV269" s="133">
        <v>2960126.2699999991</v>
      </c>
      <c r="AW269" s="107">
        <v>-3.1071852820000001</v>
      </c>
      <c r="AX269" s="133">
        <v>689414.90000000026</v>
      </c>
      <c r="AY269" s="110">
        <f>ROUND(AD268/AZ268*(AC269+0.98/12)+(AF268/AZ268*AE269)+(AH268/AZ268*AG269)+(AJ268/AZ268*AI269)+(AL268/AZ268*AK269)+(AN268/AZ268*AM269)+(AR268/AZ268*AQ269)+(AT268/AZ268*AS269)+(AV268/AZ268*AU269)+(AX268/AZ268*AW269),4)</f>
        <v>-3.0198999999999998</v>
      </c>
      <c r="AZ269" s="111">
        <f>AD269+AF269+AH269+AJ269+AL269+AN269+AR269+AT269+AV269+AX269</f>
        <v>698051230.62999988</v>
      </c>
      <c r="BA269" t="s">
        <v>333</v>
      </c>
    </row>
    <row r="270" spans="1:53" x14ac:dyDescent="0.25">
      <c r="A270" s="21">
        <v>44255</v>
      </c>
      <c r="B270" s="24">
        <f t="shared" ref="B270:B271" si="199">IF(A270&gt;A269,1+B269,"-")</f>
        <v>254</v>
      </c>
      <c r="C270" s="97" t="s">
        <v>84</v>
      </c>
      <c r="D270" s="84">
        <f t="shared" si="189"/>
        <v>0.216</v>
      </c>
      <c r="E270" s="47">
        <f t="shared" si="190"/>
        <v>11701084.550193898</v>
      </c>
      <c r="I270" s="39"/>
      <c r="J270" s="20">
        <f t="shared" si="47"/>
        <v>44255</v>
      </c>
      <c r="K270" s="29">
        <v>2.7575729999999998</v>
      </c>
      <c r="L270" s="46">
        <f t="shared" si="196"/>
        <v>3901637.1794101223</v>
      </c>
      <c r="M270" s="112"/>
      <c r="O270" s="39"/>
      <c r="P270" s="20">
        <f t="shared" si="48"/>
        <v>44255</v>
      </c>
      <c r="Q270" s="28">
        <v>0.75077130000000003</v>
      </c>
      <c r="R270" s="46">
        <f t="shared" si="197"/>
        <v>3550074.9466313599</v>
      </c>
      <c r="S270" s="112"/>
      <c r="V270" s="39">
        <v>4</v>
      </c>
      <c r="W270" s="20">
        <f t="shared" si="49"/>
        <v>44255</v>
      </c>
      <c r="X270" s="36">
        <v>-1.102733</v>
      </c>
      <c r="Y270" s="46">
        <f t="shared" si="198"/>
        <v>7022160.8742635017</v>
      </c>
      <c r="Z270" s="112"/>
      <c r="AC270" s="107">
        <v>0.1506024</v>
      </c>
      <c r="AD270" s="133">
        <v>487255663.67000002</v>
      </c>
      <c r="AE270" s="107">
        <v>0.17284412197585899</v>
      </c>
      <c r="AF270" s="133">
        <v>160087476.15000001</v>
      </c>
      <c r="AG270" s="107">
        <v>0.13266760999999999</v>
      </c>
      <c r="AH270" s="133">
        <v>12756755.800000001</v>
      </c>
      <c r="AI270" s="107">
        <v>0.18816917890000001</v>
      </c>
      <c r="AJ270" s="133">
        <v>2355712.7599999993</v>
      </c>
      <c r="AK270" s="107">
        <v>0.20136922230000001</v>
      </c>
      <c r="AL270" s="133">
        <v>635012.5199999999</v>
      </c>
      <c r="AM270" s="107">
        <v>0.19220088360000001</v>
      </c>
      <c r="AN270" s="133">
        <v>815384.57000000041</v>
      </c>
      <c r="AO270" s="107"/>
      <c r="AP270" s="133"/>
      <c r="AQ270" s="107">
        <v>0.13376182540000001</v>
      </c>
      <c r="AR270" s="133">
        <v>570041.03000000026</v>
      </c>
      <c r="AS270" s="107">
        <v>0.1560520839</v>
      </c>
      <c r="AT270" s="133">
        <v>2306388.17</v>
      </c>
      <c r="AU270" s="107">
        <v>0.18231000729999999</v>
      </c>
      <c r="AV270" s="133">
        <v>2962188.3199999994</v>
      </c>
      <c r="AW270" s="107">
        <v>0.17410850850000001</v>
      </c>
      <c r="AX270" s="133">
        <v>690615.22499999998</v>
      </c>
      <c r="AY270" s="110">
        <f>ROUND(AD269/AZ269*(AC270+0.98/12)+(AF269/AZ269*AE270)+(AH269/AZ269*AG270)+(AJ269/AZ269*AI270)+(AL269/AZ269*AK270)+(AN269/AZ269*AM270)+(AR269/AZ269*AQ270)+(AT269/AZ269*AS270)+(AV269/AZ269*AU270)+(AX269/AZ269*AW270),4)</f>
        <v>0.216</v>
      </c>
      <c r="AZ270" s="111">
        <f>AD270+AF270+AH270+AJ270+AL270+AN270+AR270+AT270+AV270+AX270</f>
        <v>670435238.21500003</v>
      </c>
    </row>
    <row r="271" spans="1:53" x14ac:dyDescent="0.25">
      <c r="A271" s="21">
        <v>44286</v>
      </c>
      <c r="B271" s="24">
        <f t="shared" si="199"/>
        <v>255</v>
      </c>
      <c r="C271" s="97" t="s">
        <v>84</v>
      </c>
      <c r="D271" s="84">
        <f t="shared" si="189"/>
        <v>2.4340999999999999</v>
      </c>
      <c r="E271" s="47">
        <f t="shared" si="190"/>
        <v>11985900.649230167</v>
      </c>
      <c r="F271" s="112"/>
      <c r="G271" s="106">
        <f>(E271/E268-1)*100</f>
        <v>-0.44473148985355593</v>
      </c>
      <c r="I271" s="39"/>
      <c r="J271" s="20">
        <f t="shared" si="47"/>
        <v>44286</v>
      </c>
      <c r="K271" s="29">
        <v>4.3791500000000001</v>
      </c>
      <c r="L271" s="46">
        <f t="shared" si="196"/>
        <v>4072495.7239522608</v>
      </c>
      <c r="M271" s="112"/>
      <c r="N271" s="106">
        <f>(L271/L268-1)*100</f>
        <v>6.1658757505496098</v>
      </c>
      <c r="O271" s="39"/>
      <c r="P271" s="20">
        <f t="shared" si="48"/>
        <v>44286</v>
      </c>
      <c r="Q271" s="28">
        <v>4.8105640000000003</v>
      </c>
      <c r="R271" s="46">
        <f t="shared" si="197"/>
        <v>3720853.5739870272</v>
      </c>
      <c r="S271" s="112"/>
      <c r="T271" s="106">
        <f>(R271/R268-1)*100</f>
        <v>3.944406950538526</v>
      </c>
      <c r="V271" s="39">
        <v>5</v>
      </c>
      <c r="W271" s="20">
        <f t="shared" si="49"/>
        <v>44286</v>
      </c>
      <c r="X271" s="36">
        <v>6.8093779999999997</v>
      </c>
      <c r="Y271" s="46">
        <f t="shared" si="198"/>
        <v>7500326.3519602083</v>
      </c>
      <c r="Z271" s="112"/>
      <c r="AA271" s="106">
        <f>(Y271/Y268-1)*100</f>
        <v>3.7516954299699146</v>
      </c>
      <c r="AC271" s="107">
        <v>2.35589</v>
      </c>
      <c r="AD271" s="133">
        <v>494625680.19999999</v>
      </c>
      <c r="AE271" s="107">
        <v>2.4252151720000001</v>
      </c>
      <c r="AF271" s="133">
        <v>163969941.91</v>
      </c>
      <c r="AG271" s="107">
        <v>2.4347101640000002</v>
      </c>
      <c r="AH271" s="133">
        <v>13067345.83</v>
      </c>
      <c r="AI271" s="107">
        <v>2.395935572</v>
      </c>
      <c r="AJ271" s="133">
        <v>2412154.1199999992</v>
      </c>
      <c r="AK271" s="107">
        <v>2.406314761</v>
      </c>
      <c r="AL271" s="133">
        <v>650292.92000000004</v>
      </c>
      <c r="AM271" s="107">
        <v>2.4063209830000001</v>
      </c>
      <c r="AN271" s="133">
        <v>835005.33999999973</v>
      </c>
      <c r="AO271" s="107"/>
      <c r="AP271" s="133"/>
      <c r="AQ271" s="107">
        <v>2.4268954819999999</v>
      </c>
      <c r="AR271" s="133">
        <v>583875.33000000007</v>
      </c>
      <c r="AS271" s="107">
        <v>2.4130933689999998</v>
      </c>
      <c r="AT271" s="133">
        <v>2360000.1600000006</v>
      </c>
      <c r="AU271" s="107">
        <v>2.4036651619999998</v>
      </c>
      <c r="AV271" s="133">
        <v>3031720.4899999993</v>
      </c>
      <c r="AW271" s="107">
        <v>2.4063992910000001</v>
      </c>
      <c r="AX271" s="133">
        <v>707234.19000000006</v>
      </c>
      <c r="AY271" s="110">
        <f>ROUND(AD270/AZ270*(AC271+0.98/12)+(AF270/AZ270*AE271)+(AH270/AZ270*AG271)+(AJ270/AZ270*AI271)+(AL270/AZ270*AK271)+(AN270/AZ270*AM271)+(AR270/AZ270*AQ271)+(AT270/AZ270*AS271)+(AV270/AZ270*AU271)+(AX270/AZ270*AW271),4)</f>
        <v>2.4340999999999999</v>
      </c>
      <c r="AZ271" s="111">
        <f>AD271+AF271+AH271+AJ271+AL271+AN271+AR271+AT271+AV271+AX271</f>
        <v>682243250.49000013</v>
      </c>
    </row>
    <row r="272" spans="1:53" x14ac:dyDescent="0.25">
      <c r="A272" s="21">
        <v>44316</v>
      </c>
      <c r="B272" s="24">
        <f t="shared" si="68"/>
        <v>256</v>
      </c>
      <c r="C272" s="97" t="s">
        <v>84</v>
      </c>
      <c r="D272" s="84">
        <f t="shared" ref="D272:D273" si="200">AY272</f>
        <v>4.8380999999999998</v>
      </c>
      <c r="E272" s="47">
        <f t="shared" si="190"/>
        <v>12565790.508540573</v>
      </c>
      <c r="I272" s="39"/>
      <c r="J272" s="20">
        <f t="shared" si="47"/>
        <v>44316</v>
      </c>
      <c r="K272" s="29">
        <v>5.3368120000000001</v>
      </c>
      <c r="L272" s="46">
        <f t="shared" si="196"/>
        <v>4289837.1644476317</v>
      </c>
      <c r="M272" s="112"/>
      <c r="O272" s="39"/>
      <c r="P272" s="20">
        <f t="shared" si="48"/>
        <v>44316</v>
      </c>
      <c r="Q272" s="28">
        <v>5.673959</v>
      </c>
      <c r="R272" s="46">
        <f t="shared" si="197"/>
        <v>3931973.2802250856</v>
      </c>
      <c r="S272" s="112"/>
      <c r="V272" s="39">
        <v>6</v>
      </c>
      <c r="W272" s="20">
        <f t="shared" si="49"/>
        <v>44316</v>
      </c>
      <c r="X272" s="36">
        <v>4.1895179999999996</v>
      </c>
      <c r="Y272" s="46">
        <f t="shared" si="198"/>
        <v>7814553.8745343247</v>
      </c>
      <c r="Z272" s="112"/>
      <c r="AC272" s="107">
        <v>4.7502449999999996</v>
      </c>
      <c r="AD272" s="133">
        <v>515321546.69999999</v>
      </c>
      <c r="AE272" s="107">
        <v>4.8500000000000005</v>
      </c>
      <c r="AF272" s="133">
        <v>171924909.57999998</v>
      </c>
      <c r="AG272" s="107">
        <v>4.9399999999999995</v>
      </c>
      <c r="AH272" s="133">
        <v>13712342.310000001</v>
      </c>
      <c r="AI272" s="107">
        <v>4.8099999999999996</v>
      </c>
      <c r="AJ272" s="133">
        <v>2526624.2000000011</v>
      </c>
      <c r="AK272" s="107">
        <v>4.8099999999999996</v>
      </c>
      <c r="AL272" s="133">
        <v>681134.04000000039</v>
      </c>
      <c r="AM272" s="107">
        <v>4.82</v>
      </c>
      <c r="AN272" s="133">
        <v>875271.72</v>
      </c>
      <c r="AO272" s="107"/>
      <c r="AP272" s="133"/>
      <c r="AQ272" s="107">
        <v>4.8099999999999996</v>
      </c>
      <c r="AR272" s="133">
        <v>611954.75000000012</v>
      </c>
      <c r="AS272" s="107">
        <v>4.83</v>
      </c>
      <c r="AT272" s="133">
        <v>2472256.86</v>
      </c>
      <c r="AU272" s="107">
        <v>4.82</v>
      </c>
      <c r="AV272" s="133">
        <v>3169251.1800000006</v>
      </c>
      <c r="AW272" s="107">
        <v>4.83</v>
      </c>
      <c r="AX272" s="133">
        <v>740051.85000000056</v>
      </c>
      <c r="AY272" s="110">
        <f>ROUND(AD271/AZ271*(AC272+0.98/12)+(AF271/AZ271*AE272)+(AH271/AZ271*AG272)+(AJ271/AZ271*AI272)+(AL271/AZ271*AK272)+(AN271/AZ271*AM272)+(AR271/AZ271*AQ272)+(AT271/AZ271*AS272)+(AV271/AZ271*AU272)+(AX271/AZ271*AW272),4)</f>
        <v>4.8380999999999998</v>
      </c>
      <c r="AZ272" s="111">
        <f>AD272+AF272+AH272+AJ272+AN272+AT272+AV272+AX272</f>
        <v>710742254.39999998</v>
      </c>
    </row>
    <row r="273" spans="1:53" x14ac:dyDescent="0.25">
      <c r="A273" s="21">
        <v>44347</v>
      </c>
      <c r="B273" s="24">
        <f t="shared" si="68"/>
        <v>257</v>
      </c>
      <c r="C273" s="97" t="s">
        <v>84</v>
      </c>
      <c r="D273" s="84">
        <f t="shared" si="200"/>
        <v>0.1244</v>
      </c>
      <c r="E273" s="47">
        <f t="shared" si="190"/>
        <v>12581422.351933196</v>
      </c>
      <c r="F273" s="112"/>
      <c r="I273" s="39"/>
      <c r="J273" s="20">
        <f t="shared" si="47"/>
        <v>44347</v>
      </c>
      <c r="K273" s="29">
        <v>0.69815649999999996</v>
      </c>
      <c r="L273" s="46">
        <f t="shared" si="196"/>
        <v>4319786.9414506387</v>
      </c>
      <c r="M273" s="112"/>
      <c r="O273" s="39"/>
      <c r="P273" s="20">
        <f t="shared" si="48"/>
        <v>44347</v>
      </c>
      <c r="Q273" s="28">
        <v>0.35815259999999999</v>
      </c>
      <c r="R273" s="46">
        <f t="shared" si="197"/>
        <v>3946055.7447595168</v>
      </c>
      <c r="S273" s="112"/>
      <c r="V273" s="39">
        <v>7</v>
      </c>
      <c r="W273" s="20">
        <f t="shared" si="49"/>
        <v>44347</v>
      </c>
      <c r="X273" s="36">
        <v>1.1587460000000001</v>
      </c>
      <c r="Y273" s="46">
        <f t="shared" si="198"/>
        <v>7905104.7049733363</v>
      </c>
      <c r="Z273" s="112"/>
      <c r="AC273" s="107">
        <v>4.6750819999999998E-2</v>
      </c>
      <c r="AD273" s="133">
        <v>509044278.69999999</v>
      </c>
      <c r="AE273" s="107">
        <v>0.12</v>
      </c>
      <c r="AF273" s="133">
        <v>172014864.27000001</v>
      </c>
      <c r="AG273" s="240">
        <v>-2.1099999999999999E-3</v>
      </c>
      <c r="AH273" s="133">
        <v>13712052.83</v>
      </c>
      <c r="AI273" s="107">
        <v>0.18</v>
      </c>
      <c r="AJ273" s="133">
        <v>2531052.6599999997</v>
      </c>
      <c r="AK273" s="107"/>
      <c r="AL273" s="133"/>
      <c r="AM273" s="107">
        <v>0.13999999999999999</v>
      </c>
      <c r="AN273" s="133">
        <v>876515.69000000053</v>
      </c>
      <c r="AO273" s="107"/>
      <c r="AP273" s="133"/>
      <c r="AQ273" s="107"/>
      <c r="AR273" s="133">
        <v>308245.96000000002</v>
      </c>
      <c r="AS273" s="107">
        <v>0.16999999999999998</v>
      </c>
      <c r="AT273" s="133">
        <v>2474849.14</v>
      </c>
      <c r="AU273" s="107">
        <v>0.16999999999999998</v>
      </c>
      <c r="AV273" s="133">
        <v>3172277.44</v>
      </c>
      <c r="AW273" s="107">
        <v>0.16999999999999998</v>
      </c>
      <c r="AX273" s="133">
        <v>741341.4099999998</v>
      </c>
      <c r="AY273" s="110">
        <f>ROUND(AD272/AZ272*(AC273+0.98/12)+(AF272/AZ272*AE273)+(AH272/AZ272*AG273)+(AJ272/AZ272*AI273)+(AN272/AZ272*AM273)+(AT272/AZ272*AS273)+(AV272/AZ272*AU273)+(AX272/AZ272*AW273),4)</f>
        <v>0.1244</v>
      </c>
      <c r="AZ273" s="111">
        <f>AD273+AF273+AH273+AJ273+AL273+AN273+AP273+AR273+AT273+AV273+AX273</f>
        <v>704875478.10000014</v>
      </c>
      <c r="BA273" t="s">
        <v>343</v>
      </c>
    </row>
    <row r="274" spans="1:53" x14ac:dyDescent="0.25">
      <c r="A274" s="21">
        <v>44377</v>
      </c>
      <c r="B274" s="24">
        <f t="shared" si="68"/>
        <v>258</v>
      </c>
      <c r="C274" s="97" t="s">
        <v>84</v>
      </c>
      <c r="D274" s="84">
        <f t="shared" ref="D274" si="201">AY274</f>
        <v>3.3106</v>
      </c>
      <c r="E274" s="47">
        <f t="shared" ref="E274" si="202">E273*D274/100+E273</f>
        <v>12997942.920316296</v>
      </c>
      <c r="F274" s="112"/>
      <c r="G274" s="106">
        <f>(E274/E271-1)*100</f>
        <v>8.4436063730524147</v>
      </c>
      <c r="I274" s="39"/>
      <c r="J274" s="20">
        <f t="shared" si="47"/>
        <v>44377</v>
      </c>
      <c r="K274" s="29">
        <v>2.3341850000000002</v>
      </c>
      <c r="L274" s="46">
        <f t="shared" si="196"/>
        <v>4420618.760269938</v>
      </c>
      <c r="M274" s="112"/>
      <c r="N274" s="106">
        <f>(L274/L271-1)*100</f>
        <v>8.5481498303411776</v>
      </c>
      <c r="O274" s="39"/>
      <c r="P274" s="20">
        <f t="shared" si="48"/>
        <v>44377</v>
      </c>
      <c r="Q274" s="28">
        <v>2.7318410000000002</v>
      </c>
      <c r="R274" s="46">
        <f t="shared" ref="R274" si="203">R273*Q274/100+R273</f>
        <v>4053855.7134777126</v>
      </c>
      <c r="S274" s="112"/>
      <c r="T274" s="106">
        <f>(R274/R271-1)*100</f>
        <v>8.949616878738432</v>
      </c>
      <c r="V274" s="39">
        <v>8</v>
      </c>
      <c r="W274" s="20">
        <f t="shared" si="49"/>
        <v>44377</v>
      </c>
      <c r="X274" s="36">
        <v>2.8556060000000001E-2</v>
      </c>
      <c r="Y274" s="46">
        <f t="shared" ref="Y274" si="204">Y273*X274/100+Y273</f>
        <v>7907362.091415951</v>
      </c>
      <c r="Z274" s="112"/>
      <c r="AA274" s="106">
        <f>(Y274/Y271-1)*100</f>
        <v>5.4269070485094772</v>
      </c>
      <c r="AC274" s="107">
        <v>3.2242989999999998</v>
      </c>
      <c r="AD274" s="133">
        <v>516736366.89999998</v>
      </c>
      <c r="AE274" s="107">
        <v>3.3196763920569543</v>
      </c>
      <c r="AF274" s="133">
        <v>177725201.11000001</v>
      </c>
      <c r="AG274" s="240">
        <v>3.3432859811990583</v>
      </c>
      <c r="AH274" s="133">
        <v>14170485.969999999</v>
      </c>
      <c r="AI274" s="107">
        <v>3.3489571884293206</v>
      </c>
      <c r="AJ274" s="133">
        <v>2615816.5300000012</v>
      </c>
      <c r="AK274" s="107"/>
      <c r="AL274" s="133"/>
      <c r="AM274" s="107">
        <v>3.3406544040300372</v>
      </c>
      <c r="AN274" s="133">
        <v>905797.04999999981</v>
      </c>
      <c r="AO274" s="107"/>
      <c r="AP274" s="133"/>
      <c r="AQ274" s="107">
        <v>3.365935436753146</v>
      </c>
      <c r="AR274" s="133">
        <v>318621.31999999995</v>
      </c>
      <c r="AS274" s="240">
        <v>3.3492660000000001</v>
      </c>
      <c r="AT274" s="133">
        <v>2554967.5199999982</v>
      </c>
      <c r="AU274" s="240">
        <v>3.3314270000000001</v>
      </c>
      <c r="AV274" s="133">
        <v>3276139.7800000003</v>
      </c>
      <c r="AW274" s="107">
        <v>3.3545229999999999</v>
      </c>
      <c r="AX274" s="133">
        <v>766209.87999999977</v>
      </c>
      <c r="AY274" s="110">
        <f>ROUND(AD273/AZ273*(AC274+0.98/12)+(AF273/AZ273*AE274)+(AH273/AZ273*AG274)+(AJ273/AZ273*AI274)+(AN273/AZ273*AM274)+(AR273/AZ273*AQ274)+(AT273/AZ273*AS274)+(AV273/AZ273*AU274)+(AX273/AZ273*AW274),4)</f>
        <v>3.3106</v>
      </c>
      <c r="AZ274" s="111">
        <f t="shared" si="161"/>
        <v>719069606.05999994</v>
      </c>
    </row>
    <row r="275" spans="1:53" x14ac:dyDescent="0.25">
      <c r="A275" s="21">
        <v>44408</v>
      </c>
      <c r="B275" s="24">
        <f t="shared" si="68"/>
        <v>259</v>
      </c>
      <c r="C275" s="97" t="s">
        <v>84</v>
      </c>
      <c r="D275" s="84">
        <f t="shared" ref="D275:D277" si="205">AY275</f>
        <v>2.8786999999999998</v>
      </c>
      <c r="E275" s="47">
        <f t="shared" ref="E275" si="206">E274*D275/100+E274</f>
        <v>13372114.703163441</v>
      </c>
      <c r="F275" s="112"/>
      <c r="I275" s="39"/>
      <c r="J275" s="20">
        <f t="shared" si="47"/>
        <v>44408</v>
      </c>
      <c r="K275" s="29">
        <v>2.3753169999999999</v>
      </c>
      <c r="L275" s="46">
        <f t="shared" ref="L275" si="207">L274*K275/100+L274</f>
        <v>4525622.4691878194</v>
      </c>
      <c r="M275" s="112"/>
      <c r="O275" s="39"/>
      <c r="P275" s="20">
        <f t="shared" si="48"/>
        <v>44408</v>
      </c>
      <c r="Q275" s="28">
        <v>3.966485</v>
      </c>
      <c r="R275" s="46">
        <f t="shared" ref="R275" si="208">R274*Q275/100+R274</f>
        <v>4214651.292274449</v>
      </c>
      <c r="S275" s="112"/>
      <c r="V275" s="39">
        <v>8</v>
      </c>
      <c r="W275" s="20">
        <f t="shared" si="49"/>
        <v>44408</v>
      </c>
      <c r="X275" s="36">
        <v>3.7171284999999998</v>
      </c>
      <c r="Y275" s="46">
        <f t="shared" ref="Y275" si="209">Y274*X275/100+Y274</f>
        <v>8201288.9013141692</v>
      </c>
      <c r="Z275" s="112"/>
      <c r="AC275" s="107">
        <v>2.8066998600000002</v>
      </c>
      <c r="AD275" s="133">
        <v>528451248.62</v>
      </c>
      <c r="AE275" s="107">
        <v>2.8544351899999998</v>
      </c>
      <c r="AF275" s="133">
        <v>182672469.06</v>
      </c>
      <c r="AG275" s="240">
        <v>2.7924416339999998</v>
      </c>
      <c r="AH275" s="133">
        <v>14566188.52</v>
      </c>
      <c r="AI275" s="107">
        <v>2.9201983199999999</v>
      </c>
      <c r="AJ275" s="133">
        <v>2681001.4299999997</v>
      </c>
      <c r="AK275" s="107"/>
      <c r="AL275" s="133"/>
      <c r="AM275" s="107">
        <v>2.951414888</v>
      </c>
      <c r="AN275" s="133">
        <v>929230.71000000008</v>
      </c>
      <c r="AO275" s="107"/>
      <c r="AP275" s="133"/>
      <c r="AQ275" s="107">
        <v>2.9299223169999999</v>
      </c>
      <c r="AR275" s="133">
        <v>326247.75000000017</v>
      </c>
      <c r="AS275" s="240">
        <v>2.9269897829999998</v>
      </c>
      <c r="AT275" s="133">
        <v>2628184.0300000003</v>
      </c>
      <c r="AU275" s="240">
        <v>2.9313675909999999</v>
      </c>
      <c r="AV275" s="133">
        <v>3362093.48</v>
      </c>
      <c r="AW275" s="107">
        <v>2.9335441339999999</v>
      </c>
      <c r="AX275" s="133">
        <v>787236.74999999965</v>
      </c>
      <c r="AY275" s="110">
        <f>ROUND(AD274/AZ274*(AC275+0.98/12)+(AF274/AZ274*AE275)+(AH274/AZ274*AG275)+(AJ274/AZ274*AI275)+(AN274/AZ274*AM275)+(AR274/AZ274*AQ275)+(AT274/AZ274*AS275)+(AV274/AZ274*AU275)+(AX274/AZ274*AW275),4)</f>
        <v>2.8786999999999998</v>
      </c>
      <c r="AZ275" s="111">
        <f t="shared" si="161"/>
        <v>736403900.35000002</v>
      </c>
    </row>
    <row r="276" spans="1:53" x14ac:dyDescent="0.25">
      <c r="A276" s="21">
        <v>44439</v>
      </c>
      <c r="B276" s="24">
        <f t="shared" si="68"/>
        <v>260</v>
      </c>
      <c r="C276" s="97" t="s">
        <v>84</v>
      </c>
      <c r="D276" s="84">
        <f t="shared" si="205"/>
        <v>2.2486999999999999</v>
      </c>
      <c r="E276" s="47">
        <f t="shared" ref="E276:E281" si="210">E275*D276/100+E275</f>
        <v>13672813.446493477</v>
      </c>
      <c r="F276" s="112"/>
      <c r="I276" s="39"/>
      <c r="J276" s="20">
        <f t="shared" si="47"/>
        <v>44439</v>
      </c>
      <c r="K276" s="29">
        <v>3.0406559999999998</v>
      </c>
      <c r="L276" s="46">
        <f t="shared" ref="L276" si="211">L275*K276/100+L275</f>
        <v>4663231.0803345274</v>
      </c>
      <c r="M276" s="112"/>
      <c r="O276" s="39"/>
      <c r="P276" s="20">
        <f t="shared" si="48"/>
        <v>44439</v>
      </c>
      <c r="Q276" s="28">
        <v>2.7887219999999999</v>
      </c>
      <c r="R276" s="46">
        <f t="shared" ref="R276" si="212">R275*Q276/100+R275</f>
        <v>4332186.2000853913</v>
      </c>
      <c r="S276" s="112"/>
      <c r="V276" s="39">
        <v>8</v>
      </c>
      <c r="W276" s="20">
        <f t="shared" si="49"/>
        <v>44439</v>
      </c>
      <c r="X276" s="36">
        <v>1.7447090000000001</v>
      </c>
      <c r="Y276" s="46">
        <f t="shared" ref="Y276" si="213">Y275*X276/100+Y275</f>
        <v>8344377.5268913982</v>
      </c>
      <c r="Z276" s="112"/>
      <c r="AC276" s="107">
        <v>2.201673</v>
      </c>
      <c r="AD276" s="133">
        <v>538233300.79999995</v>
      </c>
      <c r="AE276" s="107">
        <v>2.1489077255044204</v>
      </c>
      <c r="AF276" s="133">
        <v>186597931.86000001</v>
      </c>
      <c r="AG276" s="240">
        <v>2.2982653254854357</v>
      </c>
      <c r="AH276" s="133">
        <v>14900958.18</v>
      </c>
      <c r="AI276" s="107">
        <v>2.167534464910744</v>
      </c>
      <c r="AJ276" s="133">
        <v>2739113.0599999996</v>
      </c>
      <c r="AK276" s="107"/>
      <c r="AL276" s="133"/>
      <c r="AM276" s="107">
        <v>2.1691609826369178</v>
      </c>
      <c r="AN276" s="133">
        <v>949387.22000000009</v>
      </c>
      <c r="AO276" s="107"/>
      <c r="AP276" s="133"/>
      <c r="AQ276" s="107">
        <v>2.1638494058579374</v>
      </c>
      <c r="AR276" s="133">
        <v>333307.26000000007</v>
      </c>
      <c r="AS276" s="240">
        <v>2.1788739549999998</v>
      </c>
      <c r="AT276" s="133">
        <v>2684193.1400000011</v>
      </c>
      <c r="AU276" s="240">
        <v>2.1758970469999999</v>
      </c>
      <c r="AV276" s="133">
        <v>3433400.3300000024</v>
      </c>
      <c r="AW276" s="240">
        <v>2.2236944604021742</v>
      </c>
      <c r="AX276" s="133">
        <v>804742.48999999976</v>
      </c>
      <c r="AY276" s="110">
        <f>ROUND(AD275/AZ275*(AC276+0.98/12)+(AF275/AZ275*AE276)+(AH275/AZ275*AG276)+(AJ275/AZ275*AI276)+(AN275/AZ275*AM276)+(AR275/AZ275*AQ276)+(AT275/AZ275*AS276)+(AV275/AZ275*AU276)+(AX275/AZ275*AW276),4)</f>
        <v>2.2486999999999999</v>
      </c>
      <c r="AZ276" s="111">
        <f t="shared" si="161"/>
        <v>750676334.33999991</v>
      </c>
    </row>
    <row r="277" spans="1:53" x14ac:dyDescent="0.25">
      <c r="A277" s="21">
        <v>44469</v>
      </c>
      <c r="B277" s="24">
        <f t="shared" ref="B277:B279" si="214">IF(A277&gt;A276,1+B276,"-")</f>
        <v>261</v>
      </c>
      <c r="C277" s="97" t="s">
        <v>84</v>
      </c>
      <c r="D277" s="84">
        <f t="shared" si="205"/>
        <v>-5.7927999999999997</v>
      </c>
      <c r="E277" s="47">
        <f t="shared" si="210"/>
        <v>12880774.709165003</v>
      </c>
      <c r="F277" s="112"/>
      <c r="G277" s="106">
        <f>(E277/E274-1)*100</f>
        <v>-0.90143657246066766</v>
      </c>
      <c r="I277" s="39"/>
      <c r="J277" s="20">
        <f t="shared" si="47"/>
        <v>44469</v>
      </c>
      <c r="K277" s="29">
        <v>-4.6523870000000001</v>
      </c>
      <c r="L277" s="46">
        <f t="shared" ref="L277" si="215">L276*K277/100+L276</f>
        <v>4446279.5237730844</v>
      </c>
      <c r="M277" s="112"/>
      <c r="N277" s="106">
        <f>(L277/L274-1)*100</f>
        <v>0.58047899841016104</v>
      </c>
      <c r="O277" s="39"/>
      <c r="P277" s="20">
        <f t="shared" si="48"/>
        <v>44469</v>
      </c>
      <c r="Q277" s="28">
        <v>-5.73163</v>
      </c>
      <c r="R277" s="46">
        <f t="shared" ref="R277" si="216">R276*Q277/100+R276</f>
        <v>4083881.3161854371</v>
      </c>
      <c r="S277" s="112"/>
      <c r="T277" s="106">
        <f>(R277/R274-1)*100</f>
        <v>0.74066776989372141</v>
      </c>
      <c r="V277" s="39">
        <v>8</v>
      </c>
      <c r="W277" s="20">
        <f t="shared" si="49"/>
        <v>44469</v>
      </c>
      <c r="X277" s="36">
        <v>-4.876906</v>
      </c>
      <c r="Y277" s="46">
        <f t="shared" ref="Y277" si="217">Y276*X277/100+Y276</f>
        <v>7937430.07861978</v>
      </c>
      <c r="Z277" s="112"/>
      <c r="AA277" s="106">
        <f>(Y277/Y274-1)*100</f>
        <v>0.38025307120399532</v>
      </c>
      <c r="AC277" s="107">
        <v>-5.902628</v>
      </c>
      <c r="AD277" s="133">
        <v>506793726.31</v>
      </c>
      <c r="AE277" s="107">
        <v>-5.7279064797026091</v>
      </c>
      <c r="AF277" s="133">
        <v>175909776.83000001</v>
      </c>
      <c r="AG277" s="240">
        <v>-5.6719689710000001</v>
      </c>
      <c r="AH277" s="133">
        <v>12161657.039999999</v>
      </c>
      <c r="AI277" s="107">
        <v>-5.6769832640643436</v>
      </c>
      <c r="AJ277" s="133">
        <v>2583614.0699999989</v>
      </c>
      <c r="AK277" s="107"/>
      <c r="AL277" s="133"/>
      <c r="AM277" s="107">
        <v>-5.6885893197509247</v>
      </c>
      <c r="AN277" s="133">
        <v>895380.47999999986</v>
      </c>
      <c r="AO277" s="107"/>
      <c r="AP277" s="133"/>
      <c r="AQ277" s="107">
        <v>-5.6153622336339408</v>
      </c>
      <c r="AR277" s="133">
        <v>314590.84999999998</v>
      </c>
      <c r="AS277" s="240">
        <v>-5.686042026</v>
      </c>
      <c r="AT277" s="133">
        <v>2527728.5699999989</v>
      </c>
      <c r="AU277" s="240">
        <v>-5.6708599580000003</v>
      </c>
      <c r="AV277" s="133">
        <v>3237212.04</v>
      </c>
      <c r="AW277" s="240">
        <v>-5.6681908271054198</v>
      </c>
      <c r="AX277" s="133">
        <v>759128.15</v>
      </c>
      <c r="AY277" s="110">
        <f>ROUND(AD276/AZ276*(AC277+0.98/12)+(AF276/AZ276*AE277)+(AH276/AZ276*AG277)+(AJ276/AZ276*AI277)+(AN276/AZ276*AM277)+(AR276/AZ276*AQ277)+(AT276/AZ276*AS277)+(AV276/AZ276*AU277)+(AX276/AZ276*AW277),4)</f>
        <v>-5.7927999999999997</v>
      </c>
      <c r="AZ277" s="111">
        <f t="shared" si="161"/>
        <v>705182814.34000003</v>
      </c>
    </row>
    <row r="278" spans="1:53" x14ac:dyDescent="0.25">
      <c r="A278" s="21">
        <v>44500</v>
      </c>
      <c r="B278" s="24">
        <f t="shared" si="214"/>
        <v>262</v>
      </c>
      <c r="C278" s="97" t="s">
        <v>84</v>
      </c>
      <c r="D278" s="84">
        <f t="shared" ref="D278:D281" si="218">AY278</f>
        <v>8.2568000000000001</v>
      </c>
      <c r="E278" s="47">
        <f t="shared" si="210"/>
        <v>13944314.51535134</v>
      </c>
      <c r="F278" s="112"/>
      <c r="I278" s="39"/>
      <c r="J278" s="20">
        <f t="shared" si="47"/>
        <v>44500</v>
      </c>
      <c r="K278" s="29">
        <v>7.0051259999999997</v>
      </c>
      <c r="L278" s="46">
        <f t="shared" ref="L278" si="219">L277*K278/100+L277</f>
        <v>4757747.0067255888</v>
      </c>
      <c r="M278" s="112"/>
      <c r="O278" s="39"/>
      <c r="P278" s="20">
        <f t="shared" si="48"/>
        <v>44500</v>
      </c>
      <c r="Q278" s="28">
        <v>6.9131869999999997</v>
      </c>
      <c r="R278" s="46">
        <f t="shared" ref="R278" si="220">R277*Q278/100+R277</f>
        <v>4366207.6684313975</v>
      </c>
      <c r="S278" s="112"/>
      <c r="V278" s="39">
        <v>8</v>
      </c>
      <c r="W278" s="20">
        <f t="shared" si="49"/>
        <v>44500</v>
      </c>
      <c r="X278" s="36">
        <v>4.722391</v>
      </c>
      <c r="Y278" s="46">
        <f t="shared" ref="Y278" si="221">Y277*X278/100+Y277</f>
        <v>8312266.562283813</v>
      </c>
      <c r="Z278" s="112"/>
      <c r="AC278" s="107">
        <v>8.1959710000000001</v>
      </c>
      <c r="AD278" s="133">
        <v>546017089.99000001</v>
      </c>
      <c r="AE278" s="107">
        <v>8.1999215000000003</v>
      </c>
      <c r="AF278" s="133">
        <v>190211378.42000002</v>
      </c>
      <c r="AG278" s="240">
        <v>8.2273525450443259</v>
      </c>
      <c r="AH278" s="133">
        <v>13162239.440000001</v>
      </c>
      <c r="AI278" s="107">
        <v>8.2450986000000004</v>
      </c>
      <c r="AJ278" s="133">
        <v>2789860.8500000006</v>
      </c>
      <c r="AK278" s="107"/>
      <c r="AL278" s="133"/>
      <c r="AM278" s="107">
        <v>8.2423652999999995</v>
      </c>
      <c r="AN278" s="133">
        <v>967430.75000000012</v>
      </c>
      <c r="AO278" s="107"/>
      <c r="AP278" s="133"/>
      <c r="AQ278" s="107">
        <v>8.2339260000000003</v>
      </c>
      <c r="AR278" s="133">
        <v>339879.10000000009</v>
      </c>
      <c r="AS278" s="240">
        <v>8.2394511000000001</v>
      </c>
      <c r="AT278" s="133">
        <v>2734210.370000001</v>
      </c>
      <c r="AU278" s="240">
        <v>8.2350338000000001</v>
      </c>
      <c r="AV278" s="133">
        <v>3491982.5199999996</v>
      </c>
      <c r="AW278" s="240">
        <v>8.2462719</v>
      </c>
      <c r="AX278" s="133">
        <v>820285.61999999976</v>
      </c>
      <c r="AY278" s="110">
        <f>ROUND(AD277/AZ277*(AC278+0.98/12)+(AF277/AZ277*AE278)+(AH277/AZ277*AG278)+(AJ277/AZ277*AI278)+(AN277/AZ277*AM278)+(AR277/AZ277*AQ278)+(AT277/AZ277*AS278)+(AV277/AZ277*AU278)+(AX277/AZ277*AW278),4)</f>
        <v>8.2568000000000001</v>
      </c>
      <c r="AZ278" s="111">
        <f t="shared" si="161"/>
        <v>760534357.06000018</v>
      </c>
    </row>
    <row r="279" spans="1:53" x14ac:dyDescent="0.25">
      <c r="A279" s="21">
        <v>44530</v>
      </c>
      <c r="B279" s="24">
        <f t="shared" si="214"/>
        <v>263</v>
      </c>
      <c r="C279" s="97" t="s">
        <v>84</v>
      </c>
      <c r="D279" s="84">
        <f t="shared" si="218"/>
        <v>-1.6644000000000001</v>
      </c>
      <c r="E279" s="47">
        <f t="shared" si="210"/>
        <v>13712225.344557833</v>
      </c>
      <c r="I279" s="39"/>
      <c r="J279" s="20">
        <f t="shared" si="47"/>
        <v>44530</v>
      </c>
      <c r="K279" s="29">
        <v>-0.69502620000000004</v>
      </c>
      <c r="L279" s="46">
        <f t="shared" ref="L279" si="222">L278*K279/100+L278</f>
        <v>4724679.4184991298</v>
      </c>
      <c r="M279" s="112"/>
      <c r="O279" s="39"/>
      <c r="P279" s="20">
        <f t="shared" si="48"/>
        <v>44530</v>
      </c>
      <c r="Q279" s="28">
        <v>-1.3342000000000001</v>
      </c>
      <c r="R279" s="46">
        <f t="shared" ref="R279" si="223">R278*Q279/100+R278</f>
        <v>4307953.7257191855</v>
      </c>
      <c r="S279" s="112"/>
      <c r="V279" s="39">
        <v>8</v>
      </c>
      <c r="W279" s="20">
        <f t="shared" si="49"/>
        <v>44530</v>
      </c>
      <c r="X279" s="36">
        <v>-1.3369279999999999</v>
      </c>
      <c r="Y279" s="46">
        <f t="shared" ref="Y279" si="224">Y278*X279/100+Y278</f>
        <v>8201137.5431780033</v>
      </c>
      <c r="Z279" s="112"/>
      <c r="AC279" s="107">
        <v>-1.7350829999999999</v>
      </c>
      <c r="AD279" s="133">
        <v>533352474.44</v>
      </c>
      <c r="AE279" s="107">
        <v>-1.6983882335718035</v>
      </c>
      <c r="AF279" s="133">
        <v>186980850.75</v>
      </c>
      <c r="AG279" s="107">
        <v>-1.6148879601296917</v>
      </c>
      <c r="AH279" s="133">
        <v>12949684.02</v>
      </c>
      <c r="AI279" s="107">
        <v>-1.6916087409879166</v>
      </c>
      <c r="AJ279" s="133">
        <v>2742667.3200000008</v>
      </c>
      <c r="AK279" s="107"/>
      <c r="AL279" s="133"/>
      <c r="AM279" s="107">
        <v>-1.6936829845443799</v>
      </c>
      <c r="AN279" s="133">
        <v>951045.54</v>
      </c>
      <c r="AO279" s="107"/>
      <c r="AP279" s="133"/>
      <c r="AQ279" s="107">
        <v>-1.7255694745573376</v>
      </c>
      <c r="AR279" s="133">
        <v>334014.24999999988</v>
      </c>
      <c r="AS279" s="107">
        <v>-1.7384156143040785</v>
      </c>
      <c r="AT279" s="133">
        <v>2686678.4299999997</v>
      </c>
      <c r="AU279" s="107">
        <v>-1.7342615449289347</v>
      </c>
      <c r="AV279" s="133">
        <v>3431422.4099999992</v>
      </c>
      <c r="AW279" s="107">
        <v>-1.222</v>
      </c>
      <c r="AX279" s="133">
        <v>710750.38000000012</v>
      </c>
      <c r="AY279" s="110">
        <f t="shared" ref="AY279" si="225">ROUND(AD278/AZ278*(AC279+0.98/12)+(AF278/AZ278*AE279)+(AH278/AZ278*AG279)+(AJ278/AZ278*AI279)+(AN278/AZ278*AM279)+(AR278/AZ278*AQ279)+(AT278/AZ278*AS279)+(AV278/AZ278*AU279)+(AX278/AZ278*AW279),4)</f>
        <v>-1.6644000000000001</v>
      </c>
      <c r="AZ279" s="111">
        <f t="shared" si="161"/>
        <v>744139587.53999996</v>
      </c>
    </row>
    <row r="280" spans="1:53" x14ac:dyDescent="0.25">
      <c r="A280" s="21">
        <v>44561</v>
      </c>
      <c r="B280" s="24">
        <f t="shared" ref="B280:B337" si="226">IF(A280&gt;A279,1+B279,"-")</f>
        <v>264</v>
      </c>
      <c r="C280" s="97" t="s">
        <v>84</v>
      </c>
      <c r="D280" s="84">
        <f t="shared" si="218"/>
        <v>4.0716999999999999</v>
      </c>
      <c r="E280" s="47">
        <f t="shared" si="210"/>
        <v>14270546.023912195</v>
      </c>
      <c r="F280" s="112">
        <f t="shared" ref="F280" si="227">(E280/E$268-1)*100</f>
        <v>18.531604989419858</v>
      </c>
      <c r="G280" s="106">
        <f>(E280/E277-1)*100</f>
        <v>10.789500989861533</v>
      </c>
      <c r="I280" s="39"/>
      <c r="J280" s="20">
        <f t="shared" si="47"/>
        <v>44561</v>
      </c>
      <c r="K280" s="29">
        <v>4.4741809999999997</v>
      </c>
      <c r="L280" s="46">
        <f t="shared" ref="L280:L282" si="228">L279*K280/100+L279</f>
        <v>4936070.1273525283</v>
      </c>
      <c r="M280" s="112">
        <f>(L280/L$268-1)*100</f>
        <v>28.678393633262679</v>
      </c>
      <c r="N280" s="106">
        <f>(L280/L277-1)*100</f>
        <v>11.015740260158235</v>
      </c>
      <c r="O280" s="39"/>
      <c r="P280" s="20">
        <f t="shared" si="48"/>
        <v>44561</v>
      </c>
      <c r="Q280" s="28">
        <v>5.4437139999999999</v>
      </c>
      <c r="R280" s="46">
        <f t="shared" ref="R280:R282" si="229">R279*Q280/100+R279</f>
        <v>4542466.4057996823</v>
      </c>
      <c r="S280" s="112">
        <f>(R280/R$268-1)*100</f>
        <v>26.896683047285762</v>
      </c>
      <c r="T280" s="106">
        <f>(R280/R277-1)*100</f>
        <v>11.229148305479853</v>
      </c>
      <c r="V280" s="39">
        <v>8</v>
      </c>
      <c r="W280" s="20">
        <f t="shared" si="49"/>
        <v>44561</v>
      </c>
      <c r="X280" s="36">
        <v>9.6724069999999998</v>
      </c>
      <c r="Y280" s="46">
        <f t="shared" ref="Y280" si="230">Y279*X280/100+Y279</f>
        <v>8994384.9449839797</v>
      </c>
      <c r="Z280" s="112">
        <f>(Y280/Y$268-1)*100</f>
        <v>24.418944403398868</v>
      </c>
      <c r="AA280" s="106">
        <f>(Y280/Y277-1)*100</f>
        <v>13.316084121625305</v>
      </c>
      <c r="AB280" s="61">
        <f>STDEVP(X245:X280)*SQRT(12)</f>
        <v>15.23921140775656</v>
      </c>
      <c r="AC280" s="107">
        <v>3.999743</v>
      </c>
      <c r="AD280" s="133">
        <v>555170394.62</v>
      </c>
      <c r="AE280" s="107">
        <v>4.0478468461562489</v>
      </c>
      <c r="AF280" s="133">
        <v>194549549.22</v>
      </c>
      <c r="AG280" s="107">
        <v>4.0756375922754087</v>
      </c>
      <c r="AH280" s="133">
        <v>13477466.210000001</v>
      </c>
      <c r="AI280" s="107">
        <v>4.0517506147993023</v>
      </c>
      <c r="AJ280" s="133">
        <v>2853793.3600000003</v>
      </c>
      <c r="AK280" s="107"/>
      <c r="AL280" s="133"/>
      <c r="AM280" s="107">
        <v>4.037530106076705</v>
      </c>
      <c r="AN280" s="133">
        <v>989444.2899999998</v>
      </c>
      <c r="AO280" s="107"/>
      <c r="AP280" s="133"/>
      <c r="AQ280" s="107">
        <v>4.0161549993750709</v>
      </c>
      <c r="AR280" s="133">
        <v>347428.78</v>
      </c>
      <c r="AS280" s="107">
        <v>3.8754883665032103</v>
      </c>
      <c r="AT280" s="133">
        <v>2790800.3400000008</v>
      </c>
      <c r="AU280" s="107">
        <v>4.0120857635828298</v>
      </c>
      <c r="AV280" s="133">
        <v>3569094.02</v>
      </c>
      <c r="AW280" s="107">
        <v>4.1202594925098586</v>
      </c>
      <c r="AX280" s="133">
        <v>740035.14</v>
      </c>
      <c r="AY280" s="110">
        <f t="shared" ref="AY280:AY285" si="231">ROUND(AD279/AZ279*(AC280+0.98/12)+(AF279/AZ279*AE280)+(AH279/AZ279*AG280)+(AJ279/AZ279*AI280)+(AN279/AZ279*AM280)+(AR279/AZ279*AQ280)+(AT279/AZ279*AS280)+(AV279/AZ279*AU280)+(AX279/AZ279*AW280),4)</f>
        <v>4.0716999999999999</v>
      </c>
      <c r="AZ280" s="111">
        <f t="shared" si="161"/>
        <v>774488005.98000002</v>
      </c>
      <c r="BA280" s="313"/>
    </row>
    <row r="281" spans="1:53" x14ac:dyDescent="0.25">
      <c r="A281" s="21">
        <v>44592</v>
      </c>
      <c r="B281" s="24">
        <f t="shared" si="226"/>
        <v>265</v>
      </c>
      <c r="C281" s="97" t="s">
        <v>84</v>
      </c>
      <c r="D281" s="84">
        <f t="shared" si="218"/>
        <v>-7.0940000000000003</v>
      </c>
      <c r="E281" s="47">
        <f t="shared" si="210"/>
        <v>13258193.488975864</v>
      </c>
      <c r="F281" s="112"/>
      <c r="I281" s="39"/>
      <c r="J281" s="20">
        <f t="shared" si="47"/>
        <v>44592</v>
      </c>
      <c r="K281" s="29">
        <v>-5.1748589999999997</v>
      </c>
      <c r="L281" s="46">
        <f t="shared" si="228"/>
        <v>4680635.4581209142</v>
      </c>
      <c r="O281" s="39"/>
      <c r="P281" s="20">
        <f t="shared" si="48"/>
        <v>44592</v>
      </c>
      <c r="Q281" s="28">
        <v>-5.9105629999999998</v>
      </c>
      <c r="R281" s="46">
        <f t="shared" si="229"/>
        <v>4273981.0671310565</v>
      </c>
      <c r="V281" s="39">
        <v>9</v>
      </c>
      <c r="W281" s="20">
        <f t="shared" si="49"/>
        <v>44592</v>
      </c>
      <c r="X281" s="36">
        <v>-4.5388330000000003</v>
      </c>
      <c r="Y281" s="46">
        <f t="shared" ref="Y281" si="232">Y280*X281/100+Y280</f>
        <v>8586144.8329540156</v>
      </c>
      <c r="AC281" s="107">
        <v>-7.163462</v>
      </c>
      <c r="AD281" s="133">
        <v>513314784.81</v>
      </c>
      <c r="AE281" s="107">
        <v>-7.1241009999999996</v>
      </c>
      <c r="AF281" s="133">
        <v>180555230.53999999</v>
      </c>
      <c r="AG281" s="107">
        <v>-7.1392869999999995</v>
      </c>
      <c r="AH281" s="133">
        <v>12515271.210000001</v>
      </c>
      <c r="AI281" s="107">
        <v>-7.1244310000000004</v>
      </c>
      <c r="AJ281" s="133">
        <v>2643652.9099999992</v>
      </c>
      <c r="AK281" s="107"/>
      <c r="AL281" s="133"/>
      <c r="AM281" s="107">
        <v>-7.1509819999999999</v>
      </c>
      <c r="AN281" s="133">
        <v>916904.85</v>
      </c>
      <c r="AO281" s="107"/>
      <c r="AP281" s="133"/>
      <c r="AQ281" s="107">
        <v>-7.1274759999999997</v>
      </c>
      <c r="AR281" s="133">
        <v>322039.20999999996</v>
      </c>
      <c r="AS281" s="107">
        <v>-7.120565</v>
      </c>
      <c r="AT281" s="133">
        <v>2590174.4400000004</v>
      </c>
      <c r="AU281" s="107">
        <v>-7.1094889999999999</v>
      </c>
      <c r="AV281" s="133">
        <v>3303055.9287999989</v>
      </c>
      <c r="AW281" s="107">
        <v>-7.1036219999999997</v>
      </c>
      <c r="AX281" s="133">
        <v>686110.51749999984</v>
      </c>
      <c r="AY281" s="110">
        <f t="shared" si="231"/>
        <v>-7.0940000000000003</v>
      </c>
      <c r="AZ281" s="111">
        <f t="shared" si="161"/>
        <v>716847224.41630018</v>
      </c>
      <c r="BA281" s="313"/>
    </row>
    <row r="282" spans="1:53" x14ac:dyDescent="0.25">
      <c r="A282" s="21">
        <v>44620</v>
      </c>
      <c r="B282" s="24">
        <f t="shared" si="226"/>
        <v>266</v>
      </c>
      <c r="C282" s="97" t="s">
        <v>84</v>
      </c>
      <c r="D282" s="84">
        <f t="shared" ref="D282:D289" si="233">AY282</f>
        <v>-4.1608999999999998</v>
      </c>
      <c r="E282" s="47">
        <f t="shared" ref="E282" si="234">E281*D282/100+E281</f>
        <v>12706533.316093067</v>
      </c>
      <c r="F282" s="112"/>
      <c r="I282" s="39"/>
      <c r="J282" s="20">
        <f t="shared" si="47"/>
        <v>44620</v>
      </c>
      <c r="K282" s="29">
        <v>-2.9970180000000002</v>
      </c>
      <c r="L282" s="46">
        <f t="shared" si="228"/>
        <v>4540355.970926648</v>
      </c>
      <c r="M282" s="112"/>
      <c r="O282" s="39"/>
      <c r="P282" s="20">
        <f t="shared" si="48"/>
        <v>44620</v>
      </c>
      <c r="Q282" s="28">
        <v>-3.8279079999999999</v>
      </c>
      <c r="R282" s="46">
        <f t="shared" si="229"/>
        <v>4110377.0039438615</v>
      </c>
      <c r="S282" s="112"/>
      <c r="V282" s="39">
        <v>10</v>
      </c>
      <c r="W282" s="20">
        <f t="shared" si="49"/>
        <v>44620</v>
      </c>
      <c r="X282" s="36">
        <v>-2.3047249999999999</v>
      </c>
      <c r="Y282" s="46">
        <f t="shared" ref="Y282" si="235">Y281*X282/100+Y281</f>
        <v>8388257.8064527158</v>
      </c>
      <c r="Z282" s="112"/>
      <c r="AC282" s="107">
        <v>-4.1947179999999999</v>
      </c>
      <c r="AD282" s="133">
        <v>479445611.19</v>
      </c>
      <c r="AE282" s="107">
        <v>-4.2723100000000001</v>
      </c>
      <c r="AF282" s="133">
        <v>172851987.71000001</v>
      </c>
      <c r="AG282" s="107">
        <v>-4.2987060000000001</v>
      </c>
      <c r="AH282" s="133">
        <v>11978036.470000001</v>
      </c>
      <c r="AI282" s="107">
        <v>-4.4467289769896317</v>
      </c>
      <c r="AJ282" s="133">
        <v>2526248.83</v>
      </c>
      <c r="AK282" s="107"/>
      <c r="AL282" s="133"/>
      <c r="AM282" s="107">
        <v>-4.4344764890272188</v>
      </c>
      <c r="AN282" s="133">
        <v>876282.92</v>
      </c>
      <c r="AO282" s="107"/>
      <c r="AP282" s="133"/>
      <c r="AQ282" s="107">
        <v>-4.3275755147951944</v>
      </c>
      <c r="AR282" s="133">
        <v>308102.72000000009</v>
      </c>
      <c r="AS282" s="107">
        <v>-4.4280020000000002</v>
      </c>
      <c r="AT282" s="133">
        <v>2473460.34</v>
      </c>
      <c r="AU282" s="107">
        <v>-4.4030329999999998</v>
      </c>
      <c r="AV282" s="133">
        <v>3155612.6159999999</v>
      </c>
      <c r="AW282" s="107">
        <v>-4.3810361353337006</v>
      </c>
      <c r="AX282" s="133">
        <v>656051.7677999998</v>
      </c>
      <c r="AY282" s="110">
        <f t="shared" si="231"/>
        <v>-4.1608999999999998</v>
      </c>
      <c r="AZ282" s="111">
        <f t="shared" si="161"/>
        <v>674271394.5638001</v>
      </c>
      <c r="BA282" s="313"/>
    </row>
    <row r="283" spans="1:53" x14ac:dyDescent="0.25">
      <c r="A283" s="21">
        <v>44651</v>
      </c>
      <c r="B283" s="24">
        <f t="shared" si="226"/>
        <v>267</v>
      </c>
      <c r="C283" s="97" t="s">
        <v>84</v>
      </c>
      <c r="D283" s="84">
        <f t="shared" si="233"/>
        <v>4.9621000000000004</v>
      </c>
      <c r="E283" s="47">
        <f t="shared" ref="E283" si="236">E282*D283/100+E282</f>
        <v>13337044.205770921</v>
      </c>
      <c r="F283" s="112"/>
      <c r="G283" s="106">
        <f>(E283/E280-1)*100</f>
        <v>-6.5414583056392361</v>
      </c>
      <c r="I283" s="39"/>
      <c r="J283" s="20">
        <f t="shared" si="47"/>
        <v>44651</v>
      </c>
      <c r="K283" s="29">
        <v>3.7118120000000001</v>
      </c>
      <c r="L283" s="46">
        <f t="shared" ref="L283" si="237">L282*K283/100+L282</f>
        <v>4708885.4486982198</v>
      </c>
      <c r="M283" s="112"/>
      <c r="N283" s="106">
        <f>(L283/L280-1)*100</f>
        <v>-4.602541552142803</v>
      </c>
      <c r="O283" s="39"/>
      <c r="P283" s="20">
        <f t="shared" si="48"/>
        <v>44651</v>
      </c>
      <c r="Q283" s="28">
        <v>3.9586809999999999</v>
      </c>
      <c r="R283" s="46">
        <f t="shared" ref="R283" si="238">R282*Q283/100+R282</f>
        <v>4273093.7174273562</v>
      </c>
      <c r="S283" s="112"/>
      <c r="T283" s="106">
        <f>(R283/R280-1)*100</f>
        <v>-5.9300975353037133</v>
      </c>
      <c r="V283" s="39">
        <v>10</v>
      </c>
      <c r="W283" s="20">
        <f t="shared" si="49"/>
        <v>44651</v>
      </c>
      <c r="X283" s="36">
        <v>5.3825909999999997</v>
      </c>
      <c r="Y283" s="46">
        <f t="shared" ref="Y283" si="239">Y282*X283/100+Y282</f>
        <v>8839763.4161996376</v>
      </c>
      <c r="Z283" s="112"/>
      <c r="AA283" s="106">
        <f>(Y283/Y280-1)*100</f>
        <v>-1.7190895178504917</v>
      </c>
      <c r="AC283" s="107">
        <v>4.864865</v>
      </c>
      <c r="AD283" s="133">
        <v>499057289.99000001</v>
      </c>
      <c r="AE283" s="107">
        <v>5.0014000000000003</v>
      </c>
      <c r="AF283" s="133">
        <v>181497007.62</v>
      </c>
      <c r="AG283" s="107">
        <v>4.9823839999999997</v>
      </c>
      <c r="AH283" s="133">
        <v>12574828.289999999</v>
      </c>
      <c r="AI283" s="107">
        <v>4.9978369999999996</v>
      </c>
      <c r="AJ283" s="133">
        <v>2652506.6300000008</v>
      </c>
      <c r="AK283" s="107"/>
      <c r="AL283" s="133"/>
      <c r="AM283" s="107">
        <v>4.9785899999999996</v>
      </c>
      <c r="AN283" s="133">
        <v>919909.50000000012</v>
      </c>
      <c r="AO283" s="107"/>
      <c r="AP283" s="133"/>
      <c r="AQ283" s="107">
        <v>4.9972849999999998</v>
      </c>
      <c r="AR283" s="133">
        <v>323499.49</v>
      </c>
      <c r="AS283" s="107">
        <v>5.0153499999999998</v>
      </c>
      <c r="AT283" s="133">
        <v>2591011.0099999998</v>
      </c>
      <c r="AU283" s="107">
        <v>5.0043220000000002</v>
      </c>
      <c r="AV283" s="133">
        <v>3311105.8542999993</v>
      </c>
      <c r="AW283" s="107">
        <v>5.003647</v>
      </c>
      <c r="AX283" s="133">
        <v>688878.2845000003</v>
      </c>
      <c r="AY283" s="110">
        <f t="shared" si="231"/>
        <v>4.9621000000000004</v>
      </c>
      <c r="AZ283" s="111">
        <f t="shared" si="161"/>
        <v>703616036.6688</v>
      </c>
      <c r="BA283" s="313"/>
    </row>
    <row r="284" spans="1:53" x14ac:dyDescent="0.25">
      <c r="A284" s="21">
        <v>44681</v>
      </c>
      <c r="B284" s="24">
        <f t="shared" si="226"/>
        <v>268</v>
      </c>
      <c r="C284" s="97" t="s">
        <v>84</v>
      </c>
      <c r="D284" s="84">
        <f t="shared" si="233"/>
        <v>-3.5798999999999999</v>
      </c>
      <c r="E284" s="47">
        <f t="shared" ref="E284" si="240">E283*D284/100+E283</f>
        <v>12859591.360248528</v>
      </c>
      <c r="F284" s="112"/>
      <c r="G284" s="106"/>
      <c r="I284" s="39"/>
      <c r="J284" s="20">
        <f t="shared" si="47"/>
        <v>44681</v>
      </c>
      <c r="K284" s="29">
        <v>-8.7200340000000001</v>
      </c>
      <c r="L284" s="46">
        <f t="shared" ref="L284" si="241">L283*K284/100+L283</f>
        <v>4298269.036550682</v>
      </c>
      <c r="M284" s="112"/>
      <c r="N284" s="106"/>
      <c r="O284" s="39"/>
      <c r="P284" s="20">
        <f t="shared" si="48"/>
        <v>44681</v>
      </c>
      <c r="Q284" s="28">
        <v>-7.1739040000000003</v>
      </c>
      <c r="R284" s="46">
        <f t="shared" ref="R284" si="242">R283*Q284/100+R283</f>
        <v>3966546.0763090863</v>
      </c>
      <c r="S284" s="112"/>
      <c r="T284" s="106"/>
      <c r="V284" s="39">
        <v>10</v>
      </c>
      <c r="W284" s="20">
        <f t="shared" si="49"/>
        <v>44681</v>
      </c>
      <c r="X284" s="36">
        <v>-2.303798</v>
      </c>
      <c r="Y284" s="46">
        <f t="shared" ref="Y284" si="243">Y283*X284/100+Y283</f>
        <v>8636113.1234124992</v>
      </c>
      <c r="Z284" s="112"/>
      <c r="AA284" s="106"/>
      <c r="AC284" s="107">
        <v>-3.6597940000000002</v>
      </c>
      <c r="AD284" s="133">
        <v>474697469.44999999</v>
      </c>
      <c r="AE284" s="107">
        <v>-3.588562</v>
      </c>
      <c r="AF284" s="133">
        <v>174861390.73000002</v>
      </c>
      <c r="AG284" s="107">
        <v>-3.56</v>
      </c>
      <c r="AH284" s="133">
        <v>12127142.93</v>
      </c>
      <c r="AI284" s="107">
        <v>-3.5410690000000002</v>
      </c>
      <c r="AJ284" s="133">
        <v>2552096.02</v>
      </c>
      <c r="AK284" s="107"/>
      <c r="AL284" s="133"/>
      <c r="AM284" s="107">
        <v>-3.5633699999999999</v>
      </c>
      <c r="AN284" s="133">
        <v>885438.56</v>
      </c>
      <c r="AO284" s="107"/>
      <c r="AP284" s="133"/>
      <c r="AQ284" s="107">
        <v>-3.5835340000000002</v>
      </c>
      <c r="AR284" s="133">
        <v>311312.10000000003</v>
      </c>
      <c r="AS284" s="107">
        <v>-3.5387340000000003</v>
      </c>
      <c r="AT284" s="133">
        <v>2496409.44</v>
      </c>
      <c r="AU284" s="107">
        <v>-3.5301260000000001</v>
      </c>
      <c r="AV284" s="133">
        <v>3186001.9023999996</v>
      </c>
      <c r="AW284" s="107">
        <v>-3.5437599999999998</v>
      </c>
      <c r="AX284" s="133">
        <v>663183.26410000015</v>
      </c>
      <c r="AY284" s="110">
        <f t="shared" si="231"/>
        <v>-3.5798999999999999</v>
      </c>
      <c r="AZ284" s="111">
        <f t="shared" si="161"/>
        <v>671780444.39649999</v>
      </c>
    </row>
    <row r="285" spans="1:53" x14ac:dyDescent="0.25">
      <c r="A285" s="21">
        <v>44712</v>
      </c>
      <c r="B285" s="24">
        <f t="shared" si="226"/>
        <v>269</v>
      </c>
      <c r="C285" s="97" t="s">
        <v>84</v>
      </c>
      <c r="D285" s="84">
        <f t="shared" si="233"/>
        <v>0.4985</v>
      </c>
      <c r="E285" s="47">
        <f t="shared" ref="E285:E288" si="244">E284*D285/100+E284</f>
        <v>12923696.423179368</v>
      </c>
      <c r="F285" s="112"/>
      <c r="I285" s="39"/>
      <c r="J285" s="20">
        <f t="shared" si="47"/>
        <v>44712</v>
      </c>
      <c r="K285" s="29">
        <v>0.18353</v>
      </c>
      <c r="L285" s="46">
        <f t="shared" ref="L285" si="245">L284*K285/100+L284</f>
        <v>4306157.6497134631</v>
      </c>
      <c r="M285" s="112"/>
      <c r="N285" s="106"/>
      <c r="O285" s="39"/>
      <c r="P285" s="20">
        <f t="shared" si="48"/>
        <v>44712</v>
      </c>
      <c r="Q285" s="28">
        <v>-0.47966710000000001</v>
      </c>
      <c r="R285" s="46">
        <f t="shared" ref="R285" si="246">R284*Q285/100+R284</f>
        <v>3947519.8597746906</v>
      </c>
      <c r="S285" s="112"/>
      <c r="T285" s="106"/>
      <c r="V285" s="39">
        <v>10</v>
      </c>
      <c r="W285" s="20">
        <f t="shared" si="49"/>
        <v>44712</v>
      </c>
      <c r="X285" s="36">
        <v>-0.54373320000000003</v>
      </c>
      <c r="Y285" s="46">
        <f t="shared" ref="Y285" si="247">Y284*X285/100+Y284</f>
        <v>8589155.7091709487</v>
      </c>
      <c r="Z285" s="112"/>
      <c r="AA285" s="106"/>
      <c r="AC285" s="107">
        <v>0.48154089999999994</v>
      </c>
      <c r="AD285" s="133">
        <v>459289234.48000002</v>
      </c>
      <c r="AE285" s="107">
        <v>0.34645280000000001</v>
      </c>
      <c r="AF285" s="133">
        <v>175467202.97999999</v>
      </c>
      <c r="AG285" s="107">
        <v>0.29029368</v>
      </c>
      <c r="AH285" s="133">
        <v>12162347.26</v>
      </c>
      <c r="AI285" s="107">
        <v>0.33635599999999999</v>
      </c>
      <c r="AJ285" s="133">
        <v>2560680.15</v>
      </c>
      <c r="AK285" s="107"/>
      <c r="AL285" s="133"/>
      <c r="AM285" s="107">
        <v>0.34392786999999997</v>
      </c>
      <c r="AN285" s="133">
        <v>888483.83</v>
      </c>
      <c r="AO285" s="107"/>
      <c r="AP285" s="133"/>
      <c r="AQ285" s="107">
        <v>0.34211648</v>
      </c>
      <c r="AR285" s="133">
        <v>312377.15000000002</v>
      </c>
      <c r="AS285" s="107">
        <v>0.34332999999999997</v>
      </c>
      <c r="AT285" s="133">
        <v>2501944.23</v>
      </c>
      <c r="AU285" s="107">
        <v>0.34506900000000001</v>
      </c>
      <c r="AV285" s="133">
        <v>3195930.66</v>
      </c>
      <c r="AW285" s="107">
        <v>0.34417699999999996</v>
      </c>
      <c r="AX285" s="133">
        <v>665465.79</v>
      </c>
      <c r="AY285" s="110">
        <f t="shared" si="231"/>
        <v>0.4985</v>
      </c>
      <c r="AZ285" s="111">
        <f>AD285+AF285+AH285+AJ285+AN285+AR285+AT285+AV285+AX285</f>
        <v>657043666.52999997</v>
      </c>
    </row>
    <row r="286" spans="1:53" x14ac:dyDescent="0.25">
      <c r="A286" s="21">
        <v>44742</v>
      </c>
      <c r="B286" s="24">
        <f t="shared" ref="B286:B292" si="248">IF(A286&gt;A285,1+B285,"-")</f>
        <v>270</v>
      </c>
      <c r="C286" s="97" t="s">
        <v>84</v>
      </c>
      <c r="D286" s="84">
        <f t="shared" si="233"/>
        <v>-6.5274000000000001</v>
      </c>
      <c r="E286" s="47">
        <f t="shared" si="244"/>
        <v>12080115.062852757</v>
      </c>
      <c r="F286" s="112"/>
      <c r="G286" s="106">
        <f>(E286/E283-1)*100</f>
        <v>-9.4243456310528888</v>
      </c>
      <c r="I286" s="39"/>
      <c r="J286" s="20">
        <f t="shared" si="47"/>
        <v>44742</v>
      </c>
      <c r="K286" s="29">
        <v>-8.2601279999999999</v>
      </c>
      <c r="L286" s="46">
        <f t="shared" ref="L286:L287" si="249">L285*K286/100+L285</f>
        <v>3950463.5159653393</v>
      </c>
      <c r="M286" s="112"/>
      <c r="N286" s="106">
        <f>(L286/L283-1)*100</f>
        <v>-16.106187780434279</v>
      </c>
      <c r="O286" s="39"/>
      <c r="P286" s="20">
        <f t="shared" si="48"/>
        <v>44742</v>
      </c>
      <c r="Q286" s="28">
        <v>-5.6323910000000001</v>
      </c>
      <c r="R286" s="46">
        <f t="shared" ref="R286:R287" si="250">R285*Q286/100+R285</f>
        <v>3725180.1064695283</v>
      </c>
      <c r="S286" s="112"/>
      <c r="T286" s="106">
        <f>(R286/R283-1)*100</f>
        <v>-12.822410346939517</v>
      </c>
      <c r="V286" s="39">
        <v>10</v>
      </c>
      <c r="W286" s="20">
        <f t="shared" si="49"/>
        <v>44742</v>
      </c>
      <c r="X286" s="36">
        <v>-4.2718959999999999</v>
      </c>
      <c r="Y286" s="46">
        <f t="shared" ref="Y286" si="251">Y285*X286/100+Y285</f>
        <v>8222235.9099971037</v>
      </c>
      <c r="Z286" s="112"/>
      <c r="AA286" s="106">
        <f>(Y286/Y283-1)*100</f>
        <v>-6.9857922336570732</v>
      </c>
      <c r="AC286" s="107">
        <v>-6.6560170000000003</v>
      </c>
      <c r="AD286" s="133">
        <v>422396251.06</v>
      </c>
      <c r="AE286" s="107">
        <v>-6.4216968000000003</v>
      </c>
      <c r="AF286" s="133">
        <v>164199231.21000001</v>
      </c>
      <c r="AG286" s="107">
        <v>-6.3510826000000007</v>
      </c>
      <c r="AH286" s="133">
        <v>11389906.530000001</v>
      </c>
      <c r="AI286" s="107">
        <v>-6.4526543800000002</v>
      </c>
      <c r="AJ286" s="133">
        <v>2395448.310000001</v>
      </c>
      <c r="AK286" s="107"/>
      <c r="AL286" s="133"/>
      <c r="AM286" s="107">
        <v>-6.424268800000001</v>
      </c>
      <c r="AN286" s="133">
        <v>831405.23999999987</v>
      </c>
      <c r="AO286" s="107"/>
      <c r="AP286" s="133"/>
      <c r="AQ286" s="107">
        <v>-6.4944409999999992</v>
      </c>
      <c r="AR286" s="133">
        <v>292089.99999999994</v>
      </c>
      <c r="AS286" s="107">
        <v>-6.4360619999999997</v>
      </c>
      <c r="AT286" s="133">
        <v>2333412.5700000003</v>
      </c>
      <c r="AU286" s="107">
        <v>-6.447222</v>
      </c>
      <c r="AV286" s="133">
        <v>2989147.4404999986</v>
      </c>
      <c r="AW286" s="107">
        <v>-6.4204159999999995</v>
      </c>
      <c r="AX286" s="133">
        <v>622740.11650000012</v>
      </c>
      <c r="AY286" s="110">
        <f t="shared" ref="AY286" si="252">ROUND(AD285/AZ285*(AC286+0.98/12)+(AF285/AZ285*AE286)+(AH285/AZ285*AG286)+(AJ285/AZ285*AI286)+(AN285/AZ285*AM286)+(AR285/AZ285*AQ286)+(AT285/AZ285*AS286)+(AV285/AZ285*AU286)+(AX285/AZ285*AW286),4)</f>
        <v>-6.5274000000000001</v>
      </c>
      <c r="AZ286" s="111">
        <f>AD286+AF286+AH286+AJ286+AN286+AR286+AT286+AV286+AX286</f>
        <v>607449632.477</v>
      </c>
    </row>
    <row r="287" spans="1:53" x14ac:dyDescent="0.25">
      <c r="A287" s="21">
        <v>44773</v>
      </c>
      <c r="B287" s="24">
        <f t="shared" si="248"/>
        <v>271</v>
      </c>
      <c r="C287" s="97" t="s">
        <v>84</v>
      </c>
      <c r="D287" s="84">
        <f t="shared" si="233"/>
        <v>4.5183</v>
      </c>
      <c r="E287" s="47">
        <f t="shared" si="244"/>
        <v>12625930.901737634</v>
      </c>
      <c r="F287" s="112"/>
      <c r="I287" s="39"/>
      <c r="J287" s="20">
        <f t="shared" si="47"/>
        <v>44773</v>
      </c>
      <c r="K287" s="29">
        <v>9.2206969999999995</v>
      </c>
      <c r="L287" s="46">
        <f t="shared" si="249"/>
        <v>4314723.7868680498</v>
      </c>
      <c r="M287" s="112"/>
      <c r="O287" s="39"/>
      <c r="P287" s="20">
        <f t="shared" si="48"/>
        <v>44773</v>
      </c>
      <c r="Q287" s="28">
        <v>6.5867680000000002</v>
      </c>
      <c r="R287" s="46">
        <f t="shared" si="250"/>
        <v>3970549.0776648289</v>
      </c>
      <c r="S287" s="112"/>
      <c r="V287" s="39">
        <v>11</v>
      </c>
      <c r="W287" s="20">
        <f t="shared" si="49"/>
        <v>44773</v>
      </c>
      <c r="X287" s="36">
        <v>4.2321569999999999</v>
      </c>
      <c r="Y287" s="46">
        <f t="shared" ref="Y287" si="253">Y286*X287/100+Y286</f>
        <v>8570213.8426185604</v>
      </c>
      <c r="Z287" s="112"/>
      <c r="AC287" s="107">
        <v>4.5065599999999995</v>
      </c>
      <c r="AD287" s="133">
        <v>438203228.62</v>
      </c>
      <c r="AE287" s="107">
        <v>4.3428260000000005</v>
      </c>
      <c r="AF287" s="133">
        <v>171205903.33000001</v>
      </c>
      <c r="AG287" s="107">
        <v>4.5094200000000004</v>
      </c>
      <c r="AH287" s="133">
        <v>11903525.359999999</v>
      </c>
      <c r="AI287" s="107">
        <v>4.44428</v>
      </c>
      <c r="AJ287" s="133"/>
      <c r="AK287" s="107"/>
      <c r="AL287" s="133"/>
      <c r="AM287" s="107">
        <v>4.4232799000000007</v>
      </c>
      <c r="AN287" s="133">
        <v>866742.86</v>
      </c>
      <c r="AO287" s="107"/>
      <c r="AP287" s="133"/>
      <c r="AQ287" s="107">
        <v>4.4648950000000003</v>
      </c>
      <c r="AR287" s="133">
        <v>304443.55</v>
      </c>
      <c r="AS287" s="107">
        <v>4.4494199999999999</v>
      </c>
      <c r="AT287" s="133">
        <v>2427754.9900000002</v>
      </c>
      <c r="AU287" s="107">
        <v>4.4574569999999998</v>
      </c>
      <c r="AV287" s="133">
        <v>3115530.1169599998</v>
      </c>
      <c r="AW287" s="107">
        <v>4.4578699999999998</v>
      </c>
      <c r="AX287" s="133">
        <v>649293.151403</v>
      </c>
      <c r="AY287" s="110">
        <f>ROUND(AD286/AZ286*(AC287+0.98/12)+(AF286/AZ286*AE287)+(AH286/AZ286*AG287)+(AJ286/AZ286*AI287)+(AN286/AZ286*AM287)+(AR286/AZ286*AQ287)+(AT286/AZ286*AS287)+(AV286/AZ286*AU287)+(AX286/AZ286*AW287),4)</f>
        <v>4.5183</v>
      </c>
      <c r="AZ287" s="111">
        <f>AD287+AF287+AH287+AN287+AR287+AT287+AV287+AX287</f>
        <v>628676421.97836304</v>
      </c>
    </row>
    <row r="288" spans="1:53" x14ac:dyDescent="0.25">
      <c r="A288" s="21">
        <v>44804</v>
      </c>
      <c r="B288" s="24">
        <f t="shared" si="248"/>
        <v>272</v>
      </c>
      <c r="C288" s="97" t="s">
        <v>412</v>
      </c>
      <c r="D288" s="84">
        <f t="shared" si="233"/>
        <v>-2.4843000000000002</v>
      </c>
      <c r="E288" s="47">
        <f t="shared" si="244"/>
        <v>12312264.900345767</v>
      </c>
      <c r="F288" s="112"/>
      <c r="I288" s="39"/>
      <c r="J288" s="20">
        <f t="shared" si="47"/>
        <v>44804</v>
      </c>
      <c r="K288" s="29">
        <v>-4.0782619999999996</v>
      </c>
      <c r="L288" s="46">
        <f t="shared" ref="L288" si="254">L287*K288/100+L287</f>
        <v>4138758.0462632491</v>
      </c>
      <c r="M288" s="112"/>
      <c r="O288" s="39"/>
      <c r="P288" s="20">
        <f t="shared" si="48"/>
        <v>44804</v>
      </c>
      <c r="Q288" s="28">
        <v>-4.5311560000000002</v>
      </c>
      <c r="R288" s="46">
        <f t="shared" ref="R288" si="255">R287*Q288/100+R287</f>
        <v>3790637.3048992744</v>
      </c>
      <c r="S288" s="112"/>
      <c r="V288" s="39">
        <v>11</v>
      </c>
      <c r="W288" s="20">
        <f t="shared" si="49"/>
        <v>44804</v>
      </c>
      <c r="X288" s="36">
        <v>-1.813922</v>
      </c>
      <c r="Y288" s="46">
        <f t="shared" ref="Y288" si="256">Y287*X288/100+Y287</f>
        <v>8414756.8482802566</v>
      </c>
      <c r="Z288" s="112"/>
      <c r="AC288" s="107">
        <v>-2.5655019999999999</v>
      </c>
      <c r="AD288" s="133">
        <v>421900900.20999998</v>
      </c>
      <c r="AE288" s="107">
        <v>-2.4844399999999998</v>
      </c>
      <c r="AF288" s="133">
        <v>166952394.06</v>
      </c>
      <c r="AG288" s="107">
        <v>-2.5250047000000002</v>
      </c>
      <c r="AH288" s="133">
        <v>11602960.779999999</v>
      </c>
      <c r="AI288" s="107"/>
      <c r="AJ288" s="133"/>
      <c r="AK288" s="107"/>
      <c r="AL288" s="133"/>
      <c r="AM288" s="107">
        <v>-2.4519367999999999</v>
      </c>
      <c r="AN288" s="133">
        <v>845490.75</v>
      </c>
      <c r="AO288" s="107"/>
      <c r="AP288" s="133"/>
      <c r="AQ288" s="107">
        <v>-2.436248</v>
      </c>
      <c r="AR288" s="133">
        <v>297026.55</v>
      </c>
      <c r="AS288" s="107">
        <v>-2.452007</v>
      </c>
      <c r="AT288" s="133">
        <v>2364322.91</v>
      </c>
      <c r="AU288" s="107">
        <v>-2.4400490000000001</v>
      </c>
      <c r="AV288" s="133">
        <v>3039367.0686929999</v>
      </c>
      <c r="AW288" s="107">
        <v>-2.4319250000000001</v>
      </c>
      <c r="AX288" s="133">
        <v>633505.76449700003</v>
      </c>
      <c r="AY288" s="110">
        <f>ROUND(AD287/AZ287*(AC288+0.98/12)+(AF287/AZ287*AE288)+(AH287/AZ287*AG288)+(AN287/AZ287*AM288)+(AR287/AZ287*AQ288)+(AT287/AZ287*AS288)+(AV287/AZ287*AU288)+(AX287/AZ287*AW288),4)</f>
        <v>-2.4843000000000002</v>
      </c>
      <c r="AZ288" s="111">
        <f>AD288+AF288+AH288+AN288+AR288+AT288+AV288+AX288</f>
        <v>607635968.09318995</v>
      </c>
      <c r="BA288" t="s">
        <v>391</v>
      </c>
    </row>
    <row r="289" spans="1:53" x14ac:dyDescent="0.25">
      <c r="A289" s="21">
        <v>44834</v>
      </c>
      <c r="B289" s="24">
        <f t="shared" si="248"/>
        <v>273</v>
      </c>
      <c r="C289" s="97" t="s">
        <v>412</v>
      </c>
      <c r="D289" s="84">
        <f t="shared" si="233"/>
        <v>-7.6559999999999997</v>
      </c>
      <c r="E289" s="47">
        <f t="shared" ref="E289" si="257">E288*D289/100+E288</f>
        <v>11369637.899575295</v>
      </c>
      <c r="F289" s="112"/>
      <c r="G289" s="106">
        <f>(E289/E286-1)*100</f>
        <v>-5.8813774503045257</v>
      </c>
      <c r="I289" s="39"/>
      <c r="J289" s="20">
        <f t="shared" si="47"/>
        <v>44834</v>
      </c>
      <c r="K289" s="29">
        <v>-9.2175670000000007</v>
      </c>
      <c r="L289" s="46">
        <f t="shared" ref="L289" si="258">L288*K289/100+L288</f>
        <v>3757265.2503810432</v>
      </c>
      <c r="M289" s="112"/>
      <c r="N289" s="106">
        <f>(L289/L286-1)*100</f>
        <v>-4.890521449027629</v>
      </c>
      <c r="O289" s="39"/>
      <c r="P289" s="20">
        <f t="shared" si="48"/>
        <v>44834</v>
      </c>
      <c r="Q289" s="28">
        <v>-8.7310350000000003</v>
      </c>
      <c r="R289" s="46">
        <f t="shared" ref="R289" si="259">R288*Q289/100+R288</f>
        <v>3459675.4350854619</v>
      </c>
      <c r="S289" s="112"/>
      <c r="T289" s="106">
        <f>(R289/R286-1)*100</f>
        <v>-7.1272975747659455</v>
      </c>
      <c r="V289" s="39">
        <v>11</v>
      </c>
      <c r="W289" s="20">
        <f t="shared" si="49"/>
        <v>44834</v>
      </c>
      <c r="X289" s="36">
        <v>-8.3408359999999995</v>
      </c>
      <c r="Y289" s="46">
        <f t="shared" ref="Y289" si="260">Y288*X289/100+Y288</f>
        <v>7712895.779766432</v>
      </c>
      <c r="Z289" s="112"/>
      <c r="AA289" s="106">
        <f>(Y289/Y286-1)*100</f>
        <v>-6.1946669471181774</v>
      </c>
      <c r="AC289" s="107">
        <v>-7.787115</v>
      </c>
      <c r="AD289" s="133">
        <v>385852163.48000002</v>
      </c>
      <c r="AE289" s="107">
        <v>-7.5408558000000001</v>
      </c>
      <c r="AF289" s="133">
        <v>154362754.69999999</v>
      </c>
      <c r="AG289" s="107">
        <v>-7.6008170000000002</v>
      </c>
      <c r="AH289" s="133">
        <v>10721040.939999999</v>
      </c>
      <c r="AI289" s="107"/>
      <c r="AJ289" s="133"/>
      <c r="AK289" s="107"/>
      <c r="AL289" s="133"/>
      <c r="AM289" s="107">
        <v>-7.5003595000000001</v>
      </c>
      <c r="AN289" s="133">
        <v>782075.68</v>
      </c>
      <c r="AO289" s="107"/>
      <c r="AP289" s="133"/>
      <c r="AQ289" s="107">
        <v>-7.5355600000000003</v>
      </c>
      <c r="AR289" s="133">
        <v>274643.93000000005</v>
      </c>
      <c r="AS289" s="107">
        <v>-7.5244597000000004</v>
      </c>
      <c r="AT289" s="133">
        <v>2178604.3900000006</v>
      </c>
      <c r="AU289" s="107">
        <v>-7.5200199999999997</v>
      </c>
      <c r="AV289" s="133">
        <v>2809766.9439980001</v>
      </c>
      <c r="AW289" s="107">
        <v>-7.5085870000000003</v>
      </c>
      <c r="AX289" s="133">
        <v>585938.45917499997</v>
      </c>
      <c r="AY289" s="110">
        <f>ROUND(AD288/AZ288*(AC289+0.98/12)+(AF288/AZ288*AE289)+(AH288/AZ288*AG289)+(AN288/AZ288*AM289)+(AR288/AZ288*AQ289)+(AT288/AZ288*AS289)+(AV288/AZ288*AU289)+(AX288/AZ288*AW289),4)</f>
        <v>-7.6559999999999997</v>
      </c>
      <c r="AZ289" s="111">
        <f>AD289+AF289+AN289+AR289+AT289+AV289+AX289</f>
        <v>546845947.58317292</v>
      </c>
    </row>
    <row r="290" spans="1:53" x14ac:dyDescent="0.25">
      <c r="A290" s="21">
        <v>44865</v>
      </c>
      <c r="B290" s="24">
        <f t="shared" si="248"/>
        <v>274</v>
      </c>
      <c r="C290" s="97" t="s">
        <v>412</v>
      </c>
      <c r="D290" s="84">
        <f t="shared" ref="D290" si="261">AY290</f>
        <v>10.510899999999999</v>
      </c>
      <c r="E290" s="47">
        <f t="shared" ref="E290" si="262">E289*D290/100+E289</f>
        <v>12564689.169561755</v>
      </c>
      <c r="F290" s="112"/>
      <c r="G290" s="106"/>
      <c r="I290" s="39"/>
      <c r="J290" s="20">
        <f t="shared" si="47"/>
        <v>44865</v>
      </c>
      <c r="K290" s="29">
        <v>8.0963370000000001</v>
      </c>
      <c r="L290" s="46">
        <f t="shared" ref="L290" si="263">L289*K290/100+L289</f>
        <v>4061466.1070357864</v>
      </c>
      <c r="M290" s="112"/>
      <c r="N290" s="106"/>
      <c r="O290" s="39"/>
      <c r="P290" s="20">
        <f t="shared" si="48"/>
        <v>44865</v>
      </c>
      <c r="Q290" s="28">
        <v>7.1017580000000002</v>
      </c>
      <c r="R290" s="46">
        <f t="shared" ref="R290" si="264">R289*Q290/100+R289</f>
        <v>3705373.2120706784</v>
      </c>
      <c r="S290" s="112"/>
      <c r="T290" s="106"/>
      <c r="V290" s="39">
        <v>11</v>
      </c>
      <c r="W290" s="20">
        <f t="shared" si="49"/>
        <v>44865</v>
      </c>
      <c r="X290" s="36">
        <v>6.9835320000000003</v>
      </c>
      <c r="Y290" s="46">
        <f t="shared" ref="Y290" si="265">Y289*X290/100+Y289</f>
        <v>8251528.3246730706</v>
      </c>
      <c r="Z290" s="112"/>
      <c r="AA290" s="106"/>
      <c r="AC290" s="107">
        <v>10.44957</v>
      </c>
      <c r="AD290" s="133">
        <v>418578267.36000001</v>
      </c>
      <c r="AE290" s="107">
        <v>10.45875</v>
      </c>
      <c r="AF290" s="133">
        <v>170388121.40000001</v>
      </c>
      <c r="AG290" s="107"/>
      <c r="AH290" s="133"/>
      <c r="AI290" s="107"/>
      <c r="AJ290" s="133"/>
      <c r="AK290" s="107"/>
      <c r="AL290" s="133"/>
      <c r="AM290" s="107">
        <v>10.555329067866399</v>
      </c>
      <c r="AN290" s="133">
        <v>862587.18000000028</v>
      </c>
      <c r="AO290" s="107"/>
      <c r="AP290" s="133"/>
      <c r="AQ290" s="107">
        <v>10.565645265109399</v>
      </c>
      <c r="AR290" s="133">
        <v>302945.72999999986</v>
      </c>
      <c r="AS290" s="107">
        <v>10.5869737418301</v>
      </c>
      <c r="AT290" s="133">
        <v>2397383.14</v>
      </c>
      <c r="AU290" s="107">
        <v>10.499853744769901</v>
      </c>
      <c r="AV290" s="133">
        <v>2809766.9441</v>
      </c>
      <c r="AW290" s="107">
        <v>10.4984854729815</v>
      </c>
      <c r="AX290" s="133">
        <v>585938.45910000009</v>
      </c>
      <c r="AY290" s="110">
        <f>ROUND(AD289/AZ289*(AC290+0.98/12)+(AF289/AZ289*AE290)+(AN289/AZ289*AM290)+(AR289/AZ289*AQ290)+(AT289/AZ289*AS290)+(AV289/AZ289*AU290)+(AX289/AZ289*AW290),4)</f>
        <v>10.510899999999999</v>
      </c>
      <c r="AZ290" s="111">
        <f>AD290+AF290+AN290+AR290+AT290+AV290+AX290</f>
        <v>595925010.21319997</v>
      </c>
      <c r="BA290" t="s">
        <v>402</v>
      </c>
    </row>
    <row r="291" spans="1:53" x14ac:dyDescent="0.25">
      <c r="A291" s="21">
        <v>44895</v>
      </c>
      <c r="B291" s="24">
        <f t="shared" si="248"/>
        <v>275</v>
      </c>
      <c r="C291" s="97" t="s">
        <v>412</v>
      </c>
      <c r="D291" s="84">
        <f t="shared" ref="D291" si="266">AY291</f>
        <v>4.9164000000000003</v>
      </c>
      <c r="E291" s="47">
        <f t="shared" ref="E291:E297" si="267">E290*D291/100+E290</f>
        <v>13182419.547894089</v>
      </c>
      <c r="F291" s="112"/>
      <c r="G291" s="106"/>
      <c r="I291" s="39"/>
      <c r="J291" s="20">
        <f t="shared" si="47"/>
        <v>44895</v>
      </c>
      <c r="K291" s="29">
        <v>5.5884159999999996</v>
      </c>
      <c r="L291" s="46">
        <f t="shared" ref="L291:L297" si="268">L290*K291/100+L290</f>
        <v>4288437.7287959512</v>
      </c>
      <c r="M291" s="112"/>
      <c r="N291" s="106"/>
      <c r="O291" s="39"/>
      <c r="P291" s="20">
        <f t="shared" si="48"/>
        <v>44895</v>
      </c>
      <c r="Q291" s="28">
        <v>6.7976279999999996</v>
      </c>
      <c r="R291" s="46">
        <f t="shared" ref="R291:R297" si="269">R290*Q291/100+R290</f>
        <v>3957250.6990388939</v>
      </c>
      <c r="S291" s="112"/>
      <c r="T291" s="106"/>
      <c r="V291" s="39">
        <v>11</v>
      </c>
      <c r="W291" s="20">
        <f t="shared" si="49"/>
        <v>44895</v>
      </c>
      <c r="X291" s="36">
        <v>5.8284180000000001</v>
      </c>
      <c r="Y291" s="46">
        <f t="shared" ref="Y291:Y297" si="270">Y290*X291/100+Y290</f>
        <v>8732461.8868234139</v>
      </c>
      <c r="Z291" s="112"/>
      <c r="AA291" s="106"/>
      <c r="AC291" s="107">
        <v>4.8954900000000006</v>
      </c>
      <c r="AD291" s="133">
        <v>436525156.44</v>
      </c>
      <c r="AE291" s="107">
        <v>4.7713799999999997</v>
      </c>
      <c r="AF291" s="133">
        <v>178517990.16999999</v>
      </c>
      <c r="AG291" s="107"/>
      <c r="AH291" s="133"/>
      <c r="AI291" s="107"/>
      <c r="AJ291" s="133"/>
      <c r="AK291" s="107"/>
      <c r="AL291" s="133"/>
      <c r="AM291" s="107">
        <v>4.7933699000000001</v>
      </c>
      <c r="AN291" s="133">
        <v>903934.04</v>
      </c>
      <c r="AO291" s="107"/>
      <c r="AP291" s="133"/>
      <c r="AQ291" s="107">
        <v>4.8150867999999996</v>
      </c>
      <c r="AR291" s="133">
        <v>317532.83</v>
      </c>
      <c r="AS291" s="107">
        <v>4.7990500000000003</v>
      </c>
      <c r="AT291" s="133">
        <v>2509993.9300000002</v>
      </c>
      <c r="AU291" s="107">
        <v>4.8195069999999998</v>
      </c>
      <c r="AV291" s="133">
        <v>3241560.5094980001</v>
      </c>
      <c r="AW291" s="107">
        <v>4.823232</v>
      </c>
      <c r="AX291" s="133">
        <v>677507.87807700003</v>
      </c>
      <c r="AY291" s="110">
        <f>ROUND(AD290/AZ290*(AC291+0.98/12)+(AF290/AZ290*AE291)+(AN290/AZ290*AM291)+(AR290/AZ290*AQ291)+(AT290/AZ290*AS291)+(AV290/AZ290*AU291)+(AX290/AZ290*AW291),4)</f>
        <v>4.9164000000000003</v>
      </c>
      <c r="AZ291" s="111">
        <f>AD291+AF291+AN291+AR291+AT291+AV291+AX291</f>
        <v>622693675.797575</v>
      </c>
    </row>
    <row r="292" spans="1:53" x14ac:dyDescent="0.25">
      <c r="A292" s="21">
        <v>44926</v>
      </c>
      <c r="B292" s="24">
        <f t="shared" si="248"/>
        <v>276</v>
      </c>
      <c r="C292" s="97" t="s">
        <v>412</v>
      </c>
      <c r="D292" s="84">
        <v>-3.8737095221647637</v>
      </c>
      <c r="E292" s="47">
        <f t="shared" si="267"/>
        <v>12671770.906615606</v>
      </c>
      <c r="F292" s="112">
        <f>(E292/E$280-1)*100</f>
        <v>-11.203321264775923</v>
      </c>
      <c r="G292" s="106">
        <f>(E292/E289-1)*100</f>
        <v>11.452721876823801</v>
      </c>
      <c r="I292" s="39"/>
      <c r="J292" s="20">
        <f t="shared" si="47"/>
        <v>44926</v>
      </c>
      <c r="K292" s="29">
        <v>-5.7714730000000003</v>
      </c>
      <c r="L292" s="46">
        <f t="shared" si="268"/>
        <v>4040931.7031566799</v>
      </c>
      <c r="M292" s="112">
        <f>(L292/L$280-1)*100</f>
        <v>-18.134637497055937</v>
      </c>
      <c r="N292" s="106">
        <f>(L292/L289-1)*100</f>
        <v>7.5498117346617599</v>
      </c>
      <c r="O292" s="39"/>
      <c r="P292" s="20">
        <f t="shared" si="48"/>
        <v>44926</v>
      </c>
      <c r="Q292" s="28">
        <v>-4.0853770000000003</v>
      </c>
      <c r="R292" s="46">
        <f t="shared" si="269"/>
        <v>3795582.0891480199</v>
      </c>
      <c r="S292" s="112">
        <f>(R292/R$280-1)*100</f>
        <v>-16.442263958145364</v>
      </c>
      <c r="T292" s="106">
        <f>(R292/R289-1)*100</f>
        <v>9.7091955695046472</v>
      </c>
      <c r="V292" s="39">
        <v>11</v>
      </c>
      <c r="W292" s="20">
        <f t="shared" si="49"/>
        <v>44926</v>
      </c>
      <c r="X292" s="36">
        <v>-1.723247</v>
      </c>
      <c r="Y292" s="46">
        <f t="shared" si="270"/>
        <v>8581979.9993325863</v>
      </c>
      <c r="Z292" s="112">
        <f>(Y292/Y$280-1)*100</f>
        <v>-4.585137818471785</v>
      </c>
      <c r="AA292" s="106">
        <f>(Y292/Y289-1)*100</f>
        <v>11.26793676956015</v>
      </c>
      <c r="AB292" s="61">
        <f>STDEVP(X257:X292)*SQRT(12)</f>
        <v>17.377408864045531</v>
      </c>
      <c r="AC292" s="107">
        <v>-4.0186900000000003</v>
      </c>
      <c r="AD292" s="133">
        <v>403412061.28999996</v>
      </c>
    </row>
    <row r="293" spans="1:53" x14ac:dyDescent="0.25">
      <c r="A293" s="21">
        <v>44957</v>
      </c>
      <c r="B293" s="24">
        <f t="shared" ref="B293:B298" si="271">IF(A293&gt;A292,1+B292,"-")</f>
        <v>277</v>
      </c>
      <c r="C293" s="97" t="s">
        <v>412</v>
      </c>
      <c r="D293" s="84">
        <v>2.8497283152063435</v>
      </c>
      <c r="E293" s="47">
        <f t="shared" si="267"/>
        <v>13032881.95017951</v>
      </c>
      <c r="I293" s="39"/>
      <c r="J293" s="20">
        <f t="shared" ref="J293:J328" si="272">$A293</f>
        <v>44957</v>
      </c>
      <c r="K293" s="29">
        <v>6.2828720000000002</v>
      </c>
      <c r="L293" s="46">
        <f t="shared" si="268"/>
        <v>4294818.2696734341</v>
      </c>
      <c r="O293" s="39"/>
      <c r="P293" s="20">
        <f t="shared" ref="P293:P328" si="273">$A293</f>
        <v>44957</v>
      </c>
      <c r="Q293" s="28">
        <v>3.3173029999999999</v>
      </c>
      <c r="R293" s="46">
        <f t="shared" si="269"/>
        <v>3921493.0476587899</v>
      </c>
      <c r="V293" s="39">
        <v>11</v>
      </c>
      <c r="W293" s="20">
        <f t="shared" ref="W293:W328" si="274">$A293</f>
        <v>44957</v>
      </c>
      <c r="X293" s="36">
        <v>3.4753329999999999E-2</v>
      </c>
      <c r="Y293" s="46">
        <f t="shared" si="270"/>
        <v>8584962.5231622886</v>
      </c>
      <c r="AC293" s="107">
        <v>2.7570359999999998</v>
      </c>
      <c r="AD293" s="133">
        <v>412932785.35000002</v>
      </c>
    </row>
    <row r="294" spans="1:53" x14ac:dyDescent="0.25">
      <c r="A294" s="21">
        <v>44985</v>
      </c>
      <c r="B294" s="24">
        <f t="shared" si="271"/>
        <v>278</v>
      </c>
      <c r="C294" s="97" t="s">
        <v>412</v>
      </c>
      <c r="D294" s="84">
        <v>-2.7952823047861814</v>
      </c>
      <c r="E294" s="47">
        <f t="shared" si="267"/>
        <v>12668576.10722247</v>
      </c>
      <c r="I294" s="39"/>
      <c r="J294" s="20">
        <f t="shared" si="272"/>
        <v>44985</v>
      </c>
      <c r="K294" s="29">
        <v>-2.449071</v>
      </c>
      <c r="L294" s="46">
        <f t="shared" si="268"/>
        <v>4189635.1209281604</v>
      </c>
      <c r="O294" s="39"/>
      <c r="P294" s="20">
        <f t="shared" si="273"/>
        <v>44985</v>
      </c>
      <c r="Q294" s="28">
        <v>-2.9327369999999999</v>
      </c>
      <c r="R294" s="46">
        <f t="shared" si="269"/>
        <v>3806485.9700976731</v>
      </c>
      <c r="V294" s="39">
        <v>11</v>
      </c>
      <c r="W294" s="20">
        <f t="shared" si="274"/>
        <v>44985</v>
      </c>
      <c r="X294" s="36">
        <v>-3.28382</v>
      </c>
      <c r="Y294" s="46">
        <f t="shared" si="270"/>
        <v>8303047.8068341808</v>
      </c>
      <c r="AC294" s="107">
        <v>-2.8507539999999998</v>
      </c>
      <c r="AD294" s="133">
        <v>399822435.32999998</v>
      </c>
    </row>
    <row r="295" spans="1:53" x14ac:dyDescent="0.25">
      <c r="A295" s="21">
        <v>45016</v>
      </c>
      <c r="B295" s="24">
        <f t="shared" si="271"/>
        <v>279</v>
      </c>
      <c r="C295" s="97" t="s">
        <v>412</v>
      </c>
      <c r="D295" s="84">
        <v>1.2561934295472017</v>
      </c>
      <c r="E295" s="47">
        <f t="shared" si="267"/>
        <v>12827717.927898584</v>
      </c>
      <c r="G295" s="106">
        <f>(E295/E292-1)*100</f>
        <v>1.2306647778927537</v>
      </c>
      <c r="I295" s="39"/>
      <c r="J295" s="20">
        <f t="shared" si="272"/>
        <v>45016</v>
      </c>
      <c r="K295" s="29">
        <v>3.669584</v>
      </c>
      <c r="L295" s="46">
        <f t="shared" si="268"/>
        <v>4343377.3009841209</v>
      </c>
      <c r="N295" s="106">
        <f>(L295/L292-1)*100</f>
        <v>7.4845510898186696</v>
      </c>
      <c r="O295" s="39"/>
      <c r="P295" s="20">
        <f t="shared" si="273"/>
        <v>45016</v>
      </c>
      <c r="Q295" s="28">
        <v>4.939133</v>
      </c>
      <c r="R295" s="46">
        <f t="shared" si="269"/>
        <v>3994493.3747871374</v>
      </c>
      <c r="T295" s="106">
        <f>(R295/R292-1)*100</f>
        <v>5.2406002812539931</v>
      </c>
      <c r="V295" s="39">
        <v>11</v>
      </c>
      <c r="W295" s="20">
        <f t="shared" si="274"/>
        <v>45016</v>
      </c>
      <c r="X295" s="36">
        <v>1.5591390000000001</v>
      </c>
      <c r="Y295" s="46">
        <f t="shared" si="270"/>
        <v>8432503.8633791767</v>
      </c>
      <c r="AA295" s="106">
        <f>(Y295/Y292-1)*100</f>
        <v>-1.7417441658572286</v>
      </c>
      <c r="AC295" s="107">
        <v>1.1507480000000001</v>
      </c>
      <c r="AD295" s="133">
        <v>401152646.69999999</v>
      </c>
    </row>
    <row r="296" spans="1:53" x14ac:dyDescent="0.25">
      <c r="A296" s="21">
        <v>45046</v>
      </c>
      <c r="B296" s="24">
        <f t="shared" si="271"/>
        <v>280</v>
      </c>
      <c r="C296" s="97" t="s">
        <v>412</v>
      </c>
      <c r="D296" s="84">
        <v>1.1585569287576312</v>
      </c>
      <c r="E296" s="47">
        <f t="shared" si="267"/>
        <v>12976334.342753738</v>
      </c>
      <c r="I296" s="39"/>
      <c r="J296" s="20">
        <f t="shared" si="272"/>
        <v>45046</v>
      </c>
      <c r="K296" s="29">
        <v>1.560872</v>
      </c>
      <c r="L296" s="46">
        <f t="shared" si="268"/>
        <v>4411171.8611295382</v>
      </c>
      <c r="O296" s="39"/>
      <c r="P296" s="20">
        <f t="shared" si="273"/>
        <v>45046</v>
      </c>
      <c r="Q296" s="28">
        <v>2.716574</v>
      </c>
      <c r="R296" s="46">
        <f t="shared" si="269"/>
        <v>4103006.7432383271</v>
      </c>
      <c r="V296" s="39">
        <v>11</v>
      </c>
      <c r="W296" s="20">
        <f t="shared" si="274"/>
        <v>45046</v>
      </c>
      <c r="X296" s="36">
        <v>2.6588349999999998</v>
      </c>
      <c r="Y296" s="46">
        <f t="shared" si="270"/>
        <v>8656710.2274750546</v>
      </c>
      <c r="AC296" s="107">
        <v>1.0807739999999999</v>
      </c>
      <c r="AD296" s="133">
        <v>402201866.05000001</v>
      </c>
    </row>
    <row r="297" spans="1:53" x14ac:dyDescent="0.25">
      <c r="A297" s="21">
        <v>45077</v>
      </c>
      <c r="B297" s="24">
        <f t="shared" si="271"/>
        <v>281</v>
      </c>
      <c r="C297" s="97" t="s">
        <v>412</v>
      </c>
      <c r="D297" s="84">
        <v>-2.7888501293758621</v>
      </c>
      <c r="E297" s="47">
        <f t="shared" si="267"/>
        <v>12614443.825647606</v>
      </c>
      <c r="F297" s="112"/>
      <c r="I297" s="39"/>
      <c r="J297" s="20">
        <f t="shared" si="272"/>
        <v>45077</v>
      </c>
      <c r="K297" s="29">
        <v>0.43486429999999998</v>
      </c>
      <c r="L297" s="46">
        <f t="shared" si="268"/>
        <v>4430354.4727652362</v>
      </c>
      <c r="M297" s="112"/>
      <c r="N297" s="106"/>
      <c r="O297" s="39"/>
      <c r="P297" s="20">
        <f t="shared" si="273"/>
        <v>45077</v>
      </c>
      <c r="Q297" s="28">
        <v>-0.74511559999999999</v>
      </c>
      <c r="R297" s="46">
        <f t="shared" si="269"/>
        <v>4072434.5999254063</v>
      </c>
      <c r="S297" s="112"/>
      <c r="V297" s="39">
        <v>11</v>
      </c>
      <c r="W297" s="20">
        <f t="shared" si="274"/>
        <v>45077</v>
      </c>
      <c r="X297" s="36">
        <v>-5.2391259999999997</v>
      </c>
      <c r="Y297" s="46">
        <f t="shared" si="270"/>
        <v>8203174.2712027496</v>
      </c>
      <c r="Z297" s="112"/>
      <c r="AC297" s="107">
        <v>-2.8700060000000001</v>
      </c>
      <c r="AD297" s="133">
        <v>384331838.94999993</v>
      </c>
    </row>
    <row r="298" spans="1:53" x14ac:dyDescent="0.25">
      <c r="A298" s="21">
        <v>45107</v>
      </c>
      <c r="B298" s="24">
        <f t="shared" si="271"/>
        <v>282</v>
      </c>
      <c r="C298" s="97" t="s">
        <v>412</v>
      </c>
      <c r="D298" s="84">
        <v>4.9628988125141298</v>
      </c>
      <c r="E298" s="47">
        <f t="shared" ref="E298" si="275">E297*D298/100+E297</f>
        <v>13240485.908475932</v>
      </c>
      <c r="F298" s="112"/>
      <c r="G298" s="106">
        <f>(E298/E295-1)*100</f>
        <v>3.2177818603231989</v>
      </c>
      <c r="I298" s="39"/>
      <c r="J298" s="20">
        <f t="shared" si="272"/>
        <v>45107</v>
      </c>
      <c r="K298" s="29">
        <v>6.60738</v>
      </c>
      <c r="L298" s="46">
        <f t="shared" ref="L298" si="276">L297*K298/100+L297</f>
        <v>4723084.8281278322</v>
      </c>
      <c r="M298" s="112"/>
      <c r="N298" s="106">
        <f>(L298/L295-1)*100</f>
        <v>8.7422183437224632</v>
      </c>
      <c r="O298" s="39"/>
      <c r="P298" s="20">
        <f t="shared" si="273"/>
        <v>45107</v>
      </c>
      <c r="Q298" s="28">
        <v>5.2529089999999998</v>
      </c>
      <c r="R298" s="46">
        <f t="shared" ref="R298" si="277">R297*Q298/100+R297</f>
        <v>4286355.8835440017</v>
      </c>
      <c r="S298" s="112"/>
      <c r="T298" s="106">
        <f>(R298/R295-1)*100</f>
        <v>7.3066214253620476</v>
      </c>
      <c r="V298" s="39">
        <v>11</v>
      </c>
      <c r="W298" s="20">
        <f t="shared" si="274"/>
        <v>45107</v>
      </c>
      <c r="X298" s="36">
        <v>4.1423719999999999</v>
      </c>
      <c r="Y298" s="46">
        <f t="shared" ref="Y298" si="278">Y297*X298/100+Y297</f>
        <v>8542980.2653242555</v>
      </c>
      <c r="Z298" s="112"/>
      <c r="AA298" s="106">
        <f>(Y298/Y295-1)*100</f>
        <v>1.3101257198927296</v>
      </c>
      <c r="AC298" s="107">
        <v>4.9246809999999996</v>
      </c>
      <c r="AD298" s="133">
        <v>400273637.47000009</v>
      </c>
    </row>
    <row r="299" spans="1:53" x14ac:dyDescent="0.25">
      <c r="A299" s="21">
        <v>45138</v>
      </c>
      <c r="B299" s="24">
        <f t="shared" ref="B299:B303" si="279">IF(A299&gt;A298,1+B298,"-")</f>
        <v>283</v>
      </c>
      <c r="C299" s="97" t="s">
        <v>412</v>
      </c>
      <c r="D299" s="84">
        <v>1.6975906447378513</v>
      </c>
      <c r="E299" s="47">
        <f t="shared" ref="E299" si="280">E298*D299/100+E298</f>
        <v>13465255.158576053</v>
      </c>
      <c r="F299" s="112"/>
      <c r="G299" s="106"/>
      <c r="I299" s="39"/>
      <c r="J299" s="20">
        <f t="shared" si="272"/>
        <v>45138</v>
      </c>
      <c r="K299" s="29">
        <v>3.2124999999999999</v>
      </c>
      <c r="L299" s="46">
        <f t="shared" ref="L299" si="281">L298*K299/100+L298</f>
        <v>4874813.9282314386</v>
      </c>
      <c r="M299" s="112"/>
      <c r="N299" s="106"/>
      <c r="O299" s="39"/>
      <c r="P299" s="20">
        <f t="shared" si="273"/>
        <v>45138</v>
      </c>
      <c r="Q299" s="28">
        <v>1.9537089999999999</v>
      </c>
      <c r="R299" s="46">
        <f t="shared" ref="R299" si="282">R298*Q299/100+R298</f>
        <v>4370098.80421283</v>
      </c>
      <c r="S299" s="112"/>
      <c r="T299" s="106"/>
      <c r="V299" s="39">
        <v>11</v>
      </c>
      <c r="W299" s="20">
        <f t="shared" si="274"/>
        <v>45138</v>
      </c>
      <c r="X299" s="36">
        <v>0.94963560000000002</v>
      </c>
      <c r="Y299" s="46">
        <f t="shared" ref="Y299" si="283">Y298*X299/100+Y298</f>
        <v>8624107.4472247493</v>
      </c>
      <c r="Z299" s="112"/>
      <c r="AA299" s="106"/>
      <c r="AC299" s="107">
        <v>1.6013250000000001</v>
      </c>
      <c r="AD299" s="133">
        <v>403455703.95999986</v>
      </c>
    </row>
    <row r="300" spans="1:53" x14ac:dyDescent="0.25">
      <c r="A300" s="21">
        <v>45169</v>
      </c>
      <c r="B300" s="24">
        <f t="shared" si="279"/>
        <v>284</v>
      </c>
      <c r="C300" s="97" t="s">
        <v>412</v>
      </c>
      <c r="D300" s="84">
        <v>-2.1062522896691167</v>
      </c>
      <c r="E300" s="47">
        <f t="shared" ref="E300:E301" si="284">E299*D300/100+E299</f>
        <v>13181642.913488755</v>
      </c>
      <c r="F300" s="112"/>
      <c r="G300" s="106"/>
      <c r="I300" s="39"/>
      <c r="J300" s="20">
        <f t="shared" si="272"/>
        <v>45169</v>
      </c>
      <c r="K300" s="29">
        <v>-1.592168</v>
      </c>
      <c r="L300" s="46">
        <f t="shared" ref="L300:L301" si="285">L299*K300/100+L299</f>
        <v>4797198.7008065945</v>
      </c>
      <c r="M300" s="112"/>
      <c r="N300" s="106"/>
      <c r="O300" s="39"/>
      <c r="P300" s="20">
        <f t="shared" si="273"/>
        <v>45169</v>
      </c>
      <c r="Q300" s="29">
        <v>-0.93424879999999999</v>
      </c>
      <c r="R300" s="46">
        <f t="shared" ref="R300:R301" si="286">R299*Q300/100+R299</f>
        <v>4329271.2085756576</v>
      </c>
      <c r="S300" s="112"/>
      <c r="T300" s="106"/>
      <c r="V300" s="39">
        <v>11</v>
      </c>
      <c r="W300" s="20">
        <f t="shared" si="274"/>
        <v>45169</v>
      </c>
      <c r="X300" s="36">
        <v>-2.981535</v>
      </c>
      <c r="Y300" s="46">
        <f t="shared" ref="Y300:Y301" si="287">Y299*X300/100+Y299</f>
        <v>8366976.665248137</v>
      </c>
      <c r="Z300" s="112"/>
      <c r="AA300" s="106"/>
      <c r="AC300" s="107">
        <v>-2.1739130000000002</v>
      </c>
      <c r="AD300" s="133">
        <v>385054066.88999999</v>
      </c>
    </row>
    <row r="301" spans="1:53" x14ac:dyDescent="0.25">
      <c r="A301" s="21">
        <v>45199</v>
      </c>
      <c r="B301" s="24">
        <f t="shared" si="279"/>
        <v>285</v>
      </c>
      <c r="C301" s="97" t="s">
        <v>412</v>
      </c>
      <c r="D301" s="84">
        <v>-2.2848957873521947</v>
      </c>
      <c r="E301" s="47">
        <f t="shared" si="284"/>
        <v>12880456.10985464</v>
      </c>
      <c r="F301" s="112"/>
      <c r="G301" s="106">
        <f>(E301/E298-1)*100</f>
        <v>-2.719158504529029</v>
      </c>
      <c r="H301" s="61"/>
      <c r="I301" s="39"/>
      <c r="J301" s="20">
        <f t="shared" si="272"/>
        <v>45199</v>
      </c>
      <c r="K301" s="29">
        <v>-4.7678450000000003</v>
      </c>
      <c r="L301" s="46">
        <f t="shared" si="285"/>
        <v>4568475.7024101224</v>
      </c>
      <c r="M301" s="112"/>
      <c r="N301" s="106">
        <f>(L301/L298-1)*100</f>
        <v>-3.2734776389564568</v>
      </c>
      <c r="O301" s="39"/>
      <c r="P301" s="20">
        <f t="shared" si="273"/>
        <v>45199</v>
      </c>
      <c r="Q301" s="28">
        <v>-4.284243</v>
      </c>
      <c r="R301" s="46">
        <f t="shared" si="286"/>
        <v>4143794.7098712395</v>
      </c>
      <c r="S301" s="112"/>
      <c r="T301" s="106">
        <f>(R301/R298-1)*100</f>
        <v>-3.3259294735669798</v>
      </c>
      <c r="V301" s="39">
        <v>11</v>
      </c>
      <c r="W301" s="20">
        <f t="shared" si="274"/>
        <v>45199</v>
      </c>
      <c r="X301" s="36">
        <v>-3.7838289999999999</v>
      </c>
      <c r="Y301" s="46">
        <f t="shared" si="287"/>
        <v>8050384.5757652447</v>
      </c>
      <c r="Z301" s="112"/>
      <c r="AA301" s="106">
        <f>(Y301/Y298-1)*100</f>
        <v>-5.7660871763738575</v>
      </c>
      <c r="AB301" s="61"/>
      <c r="AC301" s="107">
        <v>-2.3888889999999998</v>
      </c>
      <c r="AD301" s="133">
        <v>356183802.62</v>
      </c>
    </row>
    <row r="302" spans="1:53" x14ac:dyDescent="0.25">
      <c r="A302" s="21">
        <v>45230</v>
      </c>
      <c r="B302" s="24">
        <f t="shared" si="279"/>
        <v>286</v>
      </c>
      <c r="C302" s="97" t="s">
        <v>412</v>
      </c>
      <c r="D302" s="84">
        <v>-0.94426173619984122</v>
      </c>
      <c r="E302" s="47">
        <f t="shared" ref="E302:E303" si="288">E301*D302/100+E301</f>
        <v>12758830.891361268</v>
      </c>
      <c r="F302" s="112"/>
      <c r="G302" s="106"/>
      <c r="H302" s="61"/>
      <c r="I302" s="39"/>
      <c r="J302" s="20">
        <f t="shared" si="272"/>
        <v>45230</v>
      </c>
      <c r="K302" s="29">
        <v>-2.102582</v>
      </c>
      <c r="L302" s="46">
        <f t="shared" ref="L302:L303" si="289">L301*K302/100+L301</f>
        <v>4472419.7546168733</v>
      </c>
      <c r="M302" s="112"/>
      <c r="N302" s="106"/>
      <c r="O302" s="39"/>
      <c r="P302" s="20">
        <f t="shared" si="273"/>
        <v>45230</v>
      </c>
      <c r="Q302" s="28">
        <v>-0.53601980000000005</v>
      </c>
      <c r="R302" s="46">
        <f t="shared" ref="R302:R303" si="290">R301*Q302/100+R301</f>
        <v>4121583.1497549773</v>
      </c>
      <c r="S302" s="112"/>
      <c r="T302" s="106"/>
      <c r="V302" s="39">
        <v>12</v>
      </c>
      <c r="W302" s="20">
        <f t="shared" si="274"/>
        <v>45230</v>
      </c>
      <c r="X302" s="36">
        <v>-0.41168169999999998</v>
      </c>
      <c r="Y302" s="46">
        <f t="shared" ref="Y302:Y303" si="291">Y301*X302/100+Y301</f>
        <v>8017242.6156871961</v>
      </c>
      <c r="Z302" s="112"/>
      <c r="AA302" s="106"/>
      <c r="AB302" s="61"/>
      <c r="AC302" s="107">
        <v>-1.0813889999999999</v>
      </c>
      <c r="AD302" s="133">
        <v>336269872.96000004</v>
      </c>
    </row>
    <row r="303" spans="1:53" x14ac:dyDescent="0.25">
      <c r="A303" s="21">
        <v>45260</v>
      </c>
      <c r="B303" s="24">
        <f t="shared" si="279"/>
        <v>287</v>
      </c>
      <c r="C303" s="97" t="s">
        <v>412</v>
      </c>
      <c r="D303" s="84">
        <v>6.803283061109763</v>
      </c>
      <c r="E303" s="47">
        <f t="shared" si="288"/>
        <v>13626850.272188889</v>
      </c>
      <c r="F303" s="112"/>
      <c r="G303" s="106"/>
      <c r="H303" s="61"/>
      <c r="I303" s="39"/>
      <c r="J303" s="20">
        <f t="shared" si="272"/>
        <v>45260</v>
      </c>
      <c r="K303" s="29">
        <v>9.1325979999999998</v>
      </c>
      <c r="L303" s="46">
        <f t="shared" si="289"/>
        <v>4880867.8716786187</v>
      </c>
      <c r="M303" s="112"/>
      <c r="N303" s="106"/>
      <c r="O303" s="39"/>
      <c r="P303" s="20">
        <f t="shared" si="273"/>
        <v>45260</v>
      </c>
      <c r="Q303" s="28">
        <v>7.6254920000000004</v>
      </c>
      <c r="R303" s="46">
        <f t="shared" si="290"/>
        <v>4435874.1431128914</v>
      </c>
      <c r="S303" s="112"/>
      <c r="T303" s="106"/>
      <c r="V303" s="39">
        <v>13</v>
      </c>
      <c r="W303" s="20">
        <f t="shared" si="274"/>
        <v>45260</v>
      </c>
      <c r="X303" s="36">
        <v>5.3373739999999996</v>
      </c>
      <c r="Y303" s="46">
        <f t="shared" si="291"/>
        <v>8445152.8385738041</v>
      </c>
      <c r="Z303" s="112"/>
      <c r="AA303" s="106"/>
      <c r="AB303" s="61"/>
      <c r="AC303" s="107">
        <v>6.9044879999999997</v>
      </c>
      <c r="AD303" s="133">
        <v>343409191.65999997</v>
      </c>
    </row>
    <row r="304" spans="1:53" x14ac:dyDescent="0.25">
      <c r="A304" s="21">
        <v>45291</v>
      </c>
      <c r="B304" s="24">
        <f t="shared" ref="B304:B306" si="292">IF(A304&gt;A303,1+B303,"-")</f>
        <v>288</v>
      </c>
      <c r="C304" s="97" t="s">
        <v>412</v>
      </c>
      <c r="D304" s="84">
        <v>3.6510591214129486</v>
      </c>
      <c r="E304" s="47">
        <f t="shared" ref="E304" si="293">E303*D304/100+E303</f>
        <v>14124374.632012926</v>
      </c>
      <c r="F304" s="112">
        <f t="shared" ref="F304" si="294">(E304/E$292-1)*100</f>
        <v>11.463304822208809</v>
      </c>
      <c r="G304" s="106">
        <f>(E304/E301-1)*100</f>
        <v>9.6574105105376127</v>
      </c>
      <c r="H304" s="61"/>
      <c r="I304" s="39"/>
      <c r="J304" s="20">
        <f t="shared" si="272"/>
        <v>45291</v>
      </c>
      <c r="K304" s="29">
        <v>4.5311300000000001</v>
      </c>
      <c r="L304" s="46">
        <f t="shared" ref="L304" si="295">L303*K304/100+L303</f>
        <v>5102026.3400726104</v>
      </c>
      <c r="M304" s="112">
        <f t="shared" ref="M304" si="296">(L304/L$292-1)*100</f>
        <v>26.258662973368963</v>
      </c>
      <c r="N304" s="106">
        <f>(L304/L301-1)*100</f>
        <v>11.67896411008622</v>
      </c>
      <c r="O304" s="39"/>
      <c r="P304" s="20">
        <f t="shared" si="273"/>
        <v>45291</v>
      </c>
      <c r="Q304" s="28">
        <v>2.8481589999999999</v>
      </c>
      <c r="R304" s="46">
        <f t="shared" ref="R304" si="297">R303*Q304/100+R303</f>
        <v>4562214.8917486342</v>
      </c>
      <c r="S304" s="112">
        <f t="shared" ref="S304" si="298">(R304/R$292-1)*100</f>
        <v>20.198029830325638</v>
      </c>
      <c r="T304" s="106">
        <f>(R304/R301-1)*100</f>
        <v>10.097512332853874</v>
      </c>
      <c r="V304" s="39">
        <v>13</v>
      </c>
      <c r="W304" s="20">
        <f t="shared" si="274"/>
        <v>45291</v>
      </c>
      <c r="X304" s="36">
        <v>2.3474210000000002</v>
      </c>
      <c r="Y304" s="46">
        <f t="shared" ref="Y304" si="299">Y303*X304/100+Y303</f>
        <v>8643396.1297885813</v>
      </c>
      <c r="Z304" s="112">
        <f>(Y304/Y$292-1)*100</f>
        <v>0.7156405685025069</v>
      </c>
      <c r="AA304" s="106">
        <f>(Y304/Y301-1)*100</f>
        <v>7.3662512447980388</v>
      </c>
      <c r="AB304" s="61">
        <f>STDEVP(X269:X304)*SQRT(12)</f>
        <v>14.07400562912331</v>
      </c>
      <c r="AC304" s="107">
        <v>3.5046249999999999</v>
      </c>
      <c r="AD304" s="133">
        <v>329475410.8499999</v>
      </c>
    </row>
    <row r="305" spans="1:30" x14ac:dyDescent="0.25">
      <c r="A305" s="21">
        <v>45322</v>
      </c>
      <c r="B305" s="24">
        <f t="shared" si="292"/>
        <v>289</v>
      </c>
      <c r="C305" s="97" t="s">
        <v>412</v>
      </c>
      <c r="D305" s="84">
        <v>2.6318011984766851</v>
      </c>
      <c r="E305" s="47">
        <f t="shared" ref="E305" si="300">E304*D305/100+E304</f>
        <v>14496100.092855578</v>
      </c>
      <c r="F305" s="112"/>
      <c r="G305" s="106"/>
      <c r="H305" s="61"/>
      <c r="I305" s="39"/>
      <c r="J305" s="20">
        <f t="shared" si="272"/>
        <v>45322</v>
      </c>
      <c r="K305" s="29">
        <v>1.6793610000000001</v>
      </c>
      <c r="L305" s="46">
        <f t="shared" ref="L305" si="301">L304*K305/100+L304</f>
        <v>5187707.7806375176</v>
      </c>
      <c r="M305" s="112"/>
      <c r="N305" s="106"/>
      <c r="O305" s="39"/>
      <c r="P305" s="20">
        <f t="shared" si="273"/>
        <v>45322</v>
      </c>
      <c r="Q305" s="28">
        <v>2.0186570000000001</v>
      </c>
      <c r="R305" s="46">
        <f t="shared" ref="R305" si="302">R304*Q305/100+R304</f>
        <v>4654310.3620159607</v>
      </c>
      <c r="S305" s="112"/>
      <c r="T305" s="106"/>
      <c r="V305" s="39">
        <v>13</v>
      </c>
      <c r="W305" s="20">
        <f t="shared" si="274"/>
        <v>45322</v>
      </c>
      <c r="X305" s="36">
        <v>0.99222290000000002</v>
      </c>
      <c r="Y305" s="46">
        <f t="shared" ref="Y305" si="303">Y304*X305/100+Y304</f>
        <v>8729157.8855260573</v>
      </c>
      <c r="Z305" s="112"/>
      <c r="AA305" s="106"/>
      <c r="AB305" s="61"/>
      <c r="AC305" s="107">
        <v>2.5599129999999999</v>
      </c>
      <c r="AD305" s="133">
        <v>325904602.19</v>
      </c>
    </row>
    <row r="306" spans="1:30" x14ac:dyDescent="0.25">
      <c r="A306" s="21">
        <v>45351</v>
      </c>
      <c r="B306" s="24">
        <f t="shared" si="292"/>
        <v>290</v>
      </c>
      <c r="C306" s="97" t="s">
        <v>412</v>
      </c>
      <c r="D306" s="84">
        <v>3.3854661954757725</v>
      </c>
      <c r="E306" s="47">
        <f t="shared" ref="E306:E307" si="304">E305*D306/100+E305</f>
        <v>14986860.661161536</v>
      </c>
      <c r="F306" s="112"/>
      <c r="G306" s="106"/>
      <c r="H306" s="61"/>
      <c r="I306" s="39"/>
      <c r="J306" s="20">
        <f t="shared" si="272"/>
        <v>45351</v>
      </c>
      <c r="K306" s="29">
        <v>5.3395099999999998</v>
      </c>
      <c r="L306" s="46">
        <f t="shared" ref="L306:L307" si="305">L305*K306/100+L305</f>
        <v>5464705.9563554358</v>
      </c>
      <c r="M306" s="112"/>
      <c r="N306" s="106"/>
      <c r="O306" s="39"/>
      <c r="P306" s="20">
        <f t="shared" si="273"/>
        <v>45351</v>
      </c>
      <c r="Q306" s="28">
        <v>3.0554380000000001</v>
      </c>
      <c r="R306" s="46">
        <f t="shared" ref="R306:R307" si="306">R305*Q306/100+R305</f>
        <v>4796519.9294549339</v>
      </c>
      <c r="S306" s="112"/>
      <c r="T306" s="106"/>
      <c r="V306" s="39">
        <v>13</v>
      </c>
      <c r="W306" s="20">
        <f t="shared" si="274"/>
        <v>45351</v>
      </c>
      <c r="X306" s="36">
        <v>1.656612</v>
      </c>
      <c r="Y306" s="46">
        <f t="shared" ref="Y306:Y307" si="307">Y305*X306/100+Y305</f>
        <v>8873766.1625566278</v>
      </c>
      <c r="Z306" s="112"/>
      <c r="AA306" s="106"/>
      <c r="AB306" s="61"/>
      <c r="AC306" s="107">
        <v>2.336697</v>
      </c>
      <c r="AD306" s="133">
        <v>151718160.30000004</v>
      </c>
    </row>
    <row r="307" spans="1:30" x14ac:dyDescent="0.25">
      <c r="A307" s="21">
        <v>45382</v>
      </c>
      <c r="B307" s="24">
        <f t="shared" ref="B307:B310" si="308">IF(A307&gt;A306,1+B306,"-")</f>
        <v>291</v>
      </c>
      <c r="C307" s="97" t="s">
        <v>412</v>
      </c>
      <c r="D307" s="84">
        <v>3.465063266202026</v>
      </c>
      <c r="E307" s="47">
        <f t="shared" si="304"/>
        <v>15506164.864688328</v>
      </c>
      <c r="F307" s="112"/>
      <c r="G307" s="106">
        <f>(E307/E304-1)*100</f>
        <v>9.7830188498651882</v>
      </c>
      <c r="H307" s="61"/>
      <c r="I307" s="39"/>
      <c r="J307" s="20">
        <f t="shared" si="272"/>
        <v>45382</v>
      </c>
      <c r="K307" s="29">
        <v>3.2173630000000002</v>
      </c>
      <c r="L307" s="46">
        <f t="shared" si="305"/>
        <v>5640525.383854012</v>
      </c>
      <c r="M307" s="112"/>
      <c r="N307" s="106">
        <f>(L307/L304-1)*100</f>
        <v>10.554611205196917</v>
      </c>
      <c r="O307" s="39"/>
      <c r="P307" s="20">
        <f t="shared" si="273"/>
        <v>45382</v>
      </c>
      <c r="Q307" s="28">
        <v>2.3600789999999998</v>
      </c>
      <c r="R307" s="46">
        <f t="shared" si="306"/>
        <v>4909721.5890408149</v>
      </c>
      <c r="S307" s="112"/>
      <c r="T307" s="106">
        <f>(R307/R304-1)*100</f>
        <v>7.6170611323173709</v>
      </c>
      <c r="V307" s="39">
        <v>13</v>
      </c>
      <c r="W307" s="20">
        <f t="shared" si="274"/>
        <v>45382</v>
      </c>
      <c r="X307" s="36">
        <v>3.0912850000000001</v>
      </c>
      <c r="Y307" s="46">
        <f t="shared" si="307"/>
        <v>9148079.5648748167</v>
      </c>
      <c r="Z307" s="112"/>
      <c r="AA307" s="106">
        <f>(Y307/Y304-1)*100</f>
        <v>5.8389483428498146</v>
      </c>
      <c r="AB307" s="61"/>
      <c r="AC307" s="107">
        <v>3.3212250000000001</v>
      </c>
      <c r="AD307" s="133">
        <v>212113501.93999997</v>
      </c>
    </row>
    <row r="308" spans="1:30" x14ac:dyDescent="0.25">
      <c r="A308" s="21">
        <v>45412</v>
      </c>
      <c r="B308" s="24">
        <f t="shared" si="308"/>
        <v>292</v>
      </c>
      <c r="C308" s="97" t="s">
        <v>412</v>
      </c>
      <c r="D308" s="84">
        <v>-3.9984913813974932</v>
      </c>
      <c r="E308" s="47">
        <f t="shared" ref="E308:E310" si="309">E307*D308/100+E307</f>
        <v>14886152.198988479</v>
      </c>
      <c r="F308" s="112"/>
      <c r="G308" s="106"/>
      <c r="H308" s="61"/>
      <c r="I308" s="39"/>
      <c r="J308" s="20">
        <f t="shared" si="272"/>
        <v>45412</v>
      </c>
      <c r="K308" s="29">
        <v>-4.0844069999999997</v>
      </c>
      <c r="L308" s="46">
        <f t="shared" ref="L308:L310" si="310">L307*K308/100+L307</f>
        <v>5410143.3702391023</v>
      </c>
      <c r="M308" s="112"/>
      <c r="N308" s="106"/>
      <c r="O308" s="39"/>
      <c r="P308" s="20">
        <f t="shared" si="273"/>
        <v>45412</v>
      </c>
      <c r="Q308" s="28">
        <v>-3.5081310000000001</v>
      </c>
      <c r="R308" s="46">
        <f t="shared" ref="R308:R310" si="311">R307*Q308/100+R307</f>
        <v>4737482.1239619814</v>
      </c>
      <c r="S308" s="112"/>
      <c r="T308" s="106"/>
      <c r="V308" s="39">
        <v>13</v>
      </c>
      <c r="W308" s="20">
        <f t="shared" si="274"/>
        <v>45412</v>
      </c>
      <c r="X308" s="36">
        <v>-3.0440480000000001</v>
      </c>
      <c r="Y308" s="46">
        <f t="shared" ref="Y308:Y310" si="312">Y307*X308/100+Y307</f>
        <v>8869607.6318418365</v>
      </c>
      <c r="Z308" s="112"/>
      <c r="AA308" s="106"/>
      <c r="AB308" s="61"/>
      <c r="AC308" s="107">
        <v>-4.1185340000000004</v>
      </c>
      <c r="AD308" s="133">
        <v>204014269.31</v>
      </c>
    </row>
    <row r="309" spans="1:30" x14ac:dyDescent="0.25">
      <c r="A309" s="21">
        <v>45443</v>
      </c>
      <c r="B309" s="24">
        <f t="shared" si="308"/>
        <v>293</v>
      </c>
      <c r="C309" s="97" t="s">
        <v>412</v>
      </c>
      <c r="D309" s="84">
        <v>3.6816566581423862</v>
      </c>
      <c r="E309" s="47">
        <f t="shared" si="309"/>
        <v>15434209.212563748</v>
      </c>
      <c r="F309" s="112"/>
      <c r="G309" s="106"/>
      <c r="H309" s="61"/>
      <c r="I309" s="39"/>
      <c r="J309" s="20">
        <f t="shared" si="272"/>
        <v>45443</v>
      </c>
      <c r="K309" s="29">
        <v>4.9585549999999996</v>
      </c>
      <c r="L309" s="46">
        <f t="shared" si="310"/>
        <v>5678408.3048312617</v>
      </c>
      <c r="M309" s="112"/>
      <c r="N309" s="106"/>
      <c r="O309" s="39"/>
      <c r="P309" s="20">
        <f t="shared" si="273"/>
        <v>45443</v>
      </c>
      <c r="Q309" s="28">
        <v>4.0984680000000004</v>
      </c>
      <c r="R309" s="46">
        <f t="shared" si="311"/>
        <v>4931646.3128182832</v>
      </c>
      <c r="S309" s="112"/>
      <c r="T309" s="106"/>
      <c r="V309" s="39">
        <v>13</v>
      </c>
      <c r="W309" s="20">
        <f t="shared" si="274"/>
        <v>45443</v>
      </c>
      <c r="X309" s="36">
        <v>2.47797</v>
      </c>
      <c r="Y309" s="46">
        <f t="shared" si="312"/>
        <v>9089393.8480765875</v>
      </c>
      <c r="Z309" s="112"/>
      <c r="AA309" s="106"/>
      <c r="AB309" s="61"/>
      <c r="AC309" s="107">
        <v>3.6144579999999999</v>
      </c>
      <c r="AD309" s="133">
        <v>210690035.58000001</v>
      </c>
    </row>
    <row r="310" spans="1:30" x14ac:dyDescent="0.25">
      <c r="A310" s="21">
        <v>45473</v>
      </c>
      <c r="B310" s="24">
        <f t="shared" si="308"/>
        <v>294</v>
      </c>
      <c r="C310" s="97" t="s">
        <v>412</v>
      </c>
      <c r="D310" s="84">
        <v>1.9618040202060378</v>
      </c>
      <c r="E310" s="47">
        <f t="shared" si="309"/>
        <v>15736998.149382833</v>
      </c>
      <c r="F310" s="112"/>
      <c r="G310" s="106">
        <f t="shared" ref="G310" si="313">(E310/E307-1)*100</f>
        <v>1.4886549105393332</v>
      </c>
      <c r="H310" s="61"/>
      <c r="I310" s="39"/>
      <c r="J310" s="20">
        <f t="shared" si="272"/>
        <v>45473</v>
      </c>
      <c r="K310" s="29">
        <v>3.587879</v>
      </c>
      <c r="L310" s="46">
        <f t="shared" si="310"/>
        <v>5882142.7239345582</v>
      </c>
      <c r="M310" s="112"/>
      <c r="N310" s="106">
        <f t="shared" ref="N310" si="314">(L310/L307-1)*100</f>
        <v>4.2835963609378469</v>
      </c>
      <c r="O310" s="39"/>
      <c r="P310" s="20">
        <f t="shared" si="273"/>
        <v>45473</v>
      </c>
      <c r="Q310" s="28">
        <v>2.8378260000000002</v>
      </c>
      <c r="R310" s="46">
        <f t="shared" si="311"/>
        <v>5071597.8541114815</v>
      </c>
      <c r="S310" s="112"/>
      <c r="T310" s="106">
        <f t="shared" ref="T310" si="315">(R310/R307-1)*100</f>
        <v>3.297055894818901</v>
      </c>
      <c r="V310" s="39">
        <v>13</v>
      </c>
      <c r="W310" s="20">
        <f t="shared" si="274"/>
        <v>45473</v>
      </c>
      <c r="X310" s="36">
        <v>-0.16201969999999999</v>
      </c>
      <c r="Y310" s="46">
        <f t="shared" si="312"/>
        <v>9074667.2394321151</v>
      </c>
      <c r="Z310" s="112"/>
      <c r="AA310" s="106">
        <f t="shared" ref="AA310" si="316">(Y310/Y307-1)*100</f>
        <v>-0.80248892592251764</v>
      </c>
      <c r="AB310" s="61"/>
      <c r="AC310" s="107">
        <v>1.9211320000000001</v>
      </c>
      <c r="AD310" s="133">
        <v>212130364.19</v>
      </c>
    </row>
    <row r="311" spans="1:30" x14ac:dyDescent="0.25">
      <c r="A311" s="21">
        <v>45504</v>
      </c>
      <c r="B311" s="24">
        <f t="shared" ref="B311:B314" si="317">IF(A311&gt;A310,1+B310,"-")</f>
        <v>295</v>
      </c>
      <c r="C311" s="97" t="s">
        <v>412</v>
      </c>
      <c r="D311" s="84">
        <v>2.831799119855178</v>
      </c>
      <c r="E311" s="47">
        <f t="shared" ref="E311:E313" si="318">E310*D311/100+E310</f>
        <v>16182638.324468682</v>
      </c>
      <c r="F311" s="112"/>
      <c r="G311" s="106"/>
      <c r="H311" s="61"/>
      <c r="I311" s="39"/>
      <c r="J311" s="20">
        <f t="shared" si="272"/>
        <v>45504</v>
      </c>
      <c r="K311" s="29">
        <v>1.2172529999999999</v>
      </c>
      <c r="L311" s="46">
        <f t="shared" ref="L311:L313" si="319">L310*K311/100+L310</f>
        <v>5953743.2827059338</v>
      </c>
      <c r="M311" s="112"/>
      <c r="N311" s="106"/>
      <c r="O311" s="39"/>
      <c r="P311" s="20">
        <f t="shared" si="273"/>
        <v>45504</v>
      </c>
      <c r="Q311" s="28">
        <v>1.986618</v>
      </c>
      <c r="R311" s="46">
        <f t="shared" ref="R311:R313" si="320">R310*Q311/100+R310</f>
        <v>5172351.1299688742</v>
      </c>
      <c r="S311" s="112"/>
      <c r="T311" s="106"/>
      <c r="V311" s="39">
        <v>14</v>
      </c>
      <c r="W311" s="20">
        <f t="shared" si="274"/>
        <v>45504</v>
      </c>
      <c r="X311" s="36">
        <v>4.4021290000000004</v>
      </c>
      <c r="Y311" s="46">
        <f t="shared" ref="Y311:Y313" si="321">Y310*X311/100+Y310</f>
        <v>9474145.7976326551</v>
      </c>
      <c r="Z311" s="112"/>
      <c r="AA311" s="106"/>
      <c r="AB311" s="61"/>
      <c r="AC311" s="107">
        <v>2.7281749999999998</v>
      </c>
      <c r="AD311" s="133"/>
    </row>
    <row r="312" spans="1:30" x14ac:dyDescent="0.25">
      <c r="A312" s="21">
        <v>45535</v>
      </c>
      <c r="B312" s="24">
        <f t="shared" si="317"/>
        <v>296</v>
      </c>
      <c r="C312" s="97" t="s">
        <v>412</v>
      </c>
      <c r="D312" s="84">
        <v>5.0407000699022797</v>
      </c>
      <c r="E312" s="47">
        <f t="shared" si="318"/>
        <v>16998356.585802209</v>
      </c>
      <c r="F312" s="112"/>
      <c r="G312" s="106"/>
      <c r="H312" s="61"/>
      <c r="I312" s="39"/>
      <c r="J312" s="20">
        <f t="shared" si="272"/>
        <v>45535</v>
      </c>
      <c r="K312" s="29">
        <v>2.425754</v>
      </c>
      <c r="L312" s="46">
        <f t="shared" si="319"/>
        <v>6098166.4485359043</v>
      </c>
      <c r="M312" s="112"/>
      <c r="N312" s="106"/>
      <c r="O312" s="39"/>
      <c r="P312" s="20">
        <f t="shared" si="273"/>
        <v>45535</v>
      </c>
      <c r="Q312" s="28">
        <v>3.0906030000000002</v>
      </c>
      <c r="R312" s="46">
        <f t="shared" si="320"/>
        <v>5332207.9691622257</v>
      </c>
      <c r="S312" s="112"/>
      <c r="T312" s="106"/>
      <c r="V312" s="39">
        <v>15</v>
      </c>
      <c r="W312" s="20">
        <f t="shared" si="274"/>
        <v>45535</v>
      </c>
      <c r="X312" s="36">
        <v>5.2126460000000003</v>
      </c>
      <c r="Y312" s="46">
        <f t="shared" si="321"/>
        <v>9967999.4795871209</v>
      </c>
      <c r="Z312" s="112"/>
      <c r="AA312" s="106"/>
      <c r="AB312" s="61"/>
      <c r="AC312" s="107">
        <v>4.9734429999999996</v>
      </c>
      <c r="AD312" s="133"/>
    </row>
    <row r="313" spans="1:30" x14ac:dyDescent="0.25">
      <c r="A313" s="21">
        <v>45565</v>
      </c>
      <c r="B313" s="24">
        <f t="shared" si="317"/>
        <v>297</v>
      </c>
      <c r="C313" s="97" t="s">
        <v>412</v>
      </c>
      <c r="D313" s="84">
        <v>0.41410713689470063</v>
      </c>
      <c r="E313" s="47">
        <f t="shared" si="318"/>
        <v>17068747.993578825</v>
      </c>
      <c r="F313" s="112"/>
      <c r="G313" s="106">
        <f t="shared" ref="G313" si="322">(E313/E310-1)*100</f>
        <v>8.4625405147437114</v>
      </c>
      <c r="H313" s="61"/>
      <c r="I313" s="39"/>
      <c r="J313" s="20">
        <f t="shared" si="272"/>
        <v>45565</v>
      </c>
      <c r="K313" s="29">
        <v>2.1354150000000001</v>
      </c>
      <c r="L313" s="46">
        <f t="shared" si="319"/>
        <v>6228387.6096029077</v>
      </c>
      <c r="M313" s="112"/>
      <c r="N313" s="106">
        <f t="shared" ref="N313" si="323">(L313/L310-1)*100</f>
        <v>5.8863734172833304</v>
      </c>
      <c r="O313" s="39"/>
      <c r="P313" s="20">
        <f t="shared" si="273"/>
        <v>45565</v>
      </c>
      <c r="Q313" s="28">
        <v>1.3068109999999999</v>
      </c>
      <c r="R313" s="46">
        <f t="shared" si="320"/>
        <v>5401889.8494461142</v>
      </c>
      <c r="S313" s="112"/>
      <c r="T313" s="106">
        <f t="shared" ref="T313" si="324">(R313/R310-1)*100</f>
        <v>6.5125825200605947</v>
      </c>
      <c r="V313" s="39">
        <v>16</v>
      </c>
      <c r="W313" s="20">
        <f t="shared" si="274"/>
        <v>45565</v>
      </c>
      <c r="X313" s="36">
        <v>1.059823</v>
      </c>
      <c r="Y313" s="46">
        <f t="shared" si="321"/>
        <v>10073642.630711665</v>
      </c>
      <c r="Z313" s="112"/>
      <c r="AA313" s="106">
        <f t="shared" ref="AA313" si="325">(Y313/Y310-1)*100</f>
        <v>11.008396946377342</v>
      </c>
      <c r="AB313" s="61"/>
      <c r="AC313" s="107">
        <v>0.32198710000000003</v>
      </c>
      <c r="AD313" s="133"/>
    </row>
    <row r="314" spans="1:30" x14ac:dyDescent="0.25">
      <c r="A314" s="21">
        <v>45596</v>
      </c>
      <c r="B314" s="24">
        <f t="shared" si="317"/>
        <v>298</v>
      </c>
      <c r="C314" s="97" t="s">
        <v>412</v>
      </c>
      <c r="D314" s="84">
        <v>-2.8379435223399021</v>
      </c>
      <c r="E314" s="47">
        <f t="shared" ref="E314:E318" si="326">E313*D314/100+E313</f>
        <v>16584346.565550532</v>
      </c>
      <c r="F314" s="112"/>
      <c r="G314" s="106"/>
      <c r="H314" s="61"/>
      <c r="I314" s="39"/>
      <c r="J314" s="20">
        <f t="shared" si="272"/>
        <v>45596</v>
      </c>
      <c r="K314" s="29">
        <v>-0.91531750000000001</v>
      </c>
      <c r="L314" s="46">
        <f t="shared" ref="L314:L318" si="327">L313*K314/100+L313</f>
        <v>6171378.0878443802</v>
      </c>
      <c r="M314" s="112"/>
      <c r="N314" s="106"/>
      <c r="O314" s="39"/>
      <c r="P314" s="20">
        <f t="shared" si="273"/>
        <v>45596</v>
      </c>
      <c r="Q314" s="28">
        <v>-1.9234249999999999</v>
      </c>
      <c r="R314" s="46">
        <f t="shared" ref="R314:R318" si="328">R313*Q314/100+R313</f>
        <v>5297988.549609405</v>
      </c>
      <c r="S314" s="112"/>
      <c r="T314" s="106"/>
      <c r="V314" s="39">
        <v>16</v>
      </c>
      <c r="W314" s="20">
        <f t="shared" si="274"/>
        <v>45596</v>
      </c>
      <c r="X314" s="36">
        <v>-0.87954690000000002</v>
      </c>
      <c r="Y314" s="46">
        <f t="shared" ref="Y314:Y318" si="329">Y313*X314/100+Y313</f>
        <v>9985040.2192361616</v>
      </c>
      <c r="Z314" s="112"/>
      <c r="AA314" s="106"/>
      <c r="AB314" s="61"/>
      <c r="AC314" s="107">
        <v>-2.934434</v>
      </c>
      <c r="AD314" s="133"/>
    </row>
    <row r="315" spans="1:30" x14ac:dyDescent="0.25">
      <c r="A315" s="21">
        <v>45626</v>
      </c>
      <c r="B315" s="24">
        <f t="shared" ref="B315:B319" si="330">IF(A315&gt;A314,1+B314,"-")</f>
        <v>299</v>
      </c>
      <c r="C315" s="97" t="s">
        <v>412</v>
      </c>
      <c r="D315" s="84">
        <v>7.127046480052722</v>
      </c>
      <c r="E315" s="47">
        <f t="shared" si="326"/>
        <v>17766320.653690346</v>
      </c>
      <c r="F315" s="112"/>
      <c r="G315" s="106"/>
      <c r="H315" s="61"/>
      <c r="I315" s="39"/>
      <c r="J315" s="20">
        <f t="shared" si="272"/>
        <v>45626</v>
      </c>
      <c r="K315" s="29">
        <v>5.8699979999999998</v>
      </c>
      <c r="L315" s="46">
        <f t="shared" si="327"/>
        <v>6533637.8581732837</v>
      </c>
      <c r="M315" s="112"/>
      <c r="N315" s="106"/>
      <c r="O315" s="39"/>
      <c r="P315" s="20">
        <f t="shared" si="273"/>
        <v>45626</v>
      </c>
      <c r="Q315" s="28">
        <v>4.8433780000000004</v>
      </c>
      <c r="R315" s="46">
        <f t="shared" si="328"/>
        <v>5554590.1614637058</v>
      </c>
      <c r="S315" s="112"/>
      <c r="T315" s="106"/>
      <c r="V315" s="39">
        <v>16</v>
      </c>
      <c r="W315" s="20">
        <f t="shared" si="274"/>
        <v>45626</v>
      </c>
      <c r="X315" s="36">
        <v>5.530894</v>
      </c>
      <c r="Y315" s="46">
        <f t="shared" si="329"/>
        <v>10537302.209619481</v>
      </c>
      <c r="Z315" s="112"/>
      <c r="AA315" s="106"/>
      <c r="AB315" s="61"/>
      <c r="AC315" s="107">
        <v>7.0854980000000003</v>
      </c>
      <c r="AD315" s="133"/>
    </row>
    <row r="316" spans="1:30" x14ac:dyDescent="0.25">
      <c r="A316" s="21">
        <v>45657</v>
      </c>
      <c r="B316" s="24">
        <f t="shared" si="330"/>
        <v>300</v>
      </c>
      <c r="C316" s="97" t="s">
        <v>412</v>
      </c>
      <c r="D316" s="84">
        <v>-4.7396585490156307</v>
      </c>
      <c r="E316" s="47">
        <f t="shared" si="326"/>
        <v>16924257.71798218</v>
      </c>
      <c r="F316" s="112">
        <f t="shared" ref="F316" si="331">(E316/E$304-1)*100</f>
        <v>19.823058782534076</v>
      </c>
      <c r="G316" s="106">
        <f t="shared" ref="G316" si="332">(E316/E313-1)*100</f>
        <v>-0.84651947319746013</v>
      </c>
      <c r="H316" s="61">
        <f>STDEVP(D281:D316)*SQRT(12)</f>
        <v>14.99082139140994</v>
      </c>
      <c r="I316" s="39"/>
      <c r="J316" s="20">
        <f t="shared" si="272"/>
        <v>45657</v>
      </c>
      <c r="K316" s="29">
        <v>-2.3912279999999999</v>
      </c>
      <c r="L316" s="46">
        <f t="shared" si="327"/>
        <v>6377403.6802900443</v>
      </c>
      <c r="M316" s="112">
        <f t="shared" ref="M316" si="333">(L316/L$304-1)*100</f>
        <v>24.997466794718328</v>
      </c>
      <c r="N316" s="106">
        <f t="shared" ref="N316" si="334">(L316/L313-1)*100</f>
        <v>2.3925304593661378</v>
      </c>
      <c r="O316" s="39"/>
      <c r="P316" s="20">
        <f t="shared" si="273"/>
        <v>45657</v>
      </c>
      <c r="Q316" s="28">
        <v>-2.6514169999999999</v>
      </c>
      <c r="R316" s="46">
        <f t="shared" si="328"/>
        <v>5407314.8136423295</v>
      </c>
      <c r="S316" s="112">
        <f t="shared" ref="S316" si="335">(R316/R$304-1)*100</f>
        <v>18.523895562705086</v>
      </c>
      <c r="T316" s="106">
        <f t="shared" ref="T316" si="336">(R316/R313-1)*100</f>
        <v>0.10042715322622353</v>
      </c>
      <c r="V316" s="39">
        <v>16</v>
      </c>
      <c r="W316" s="20">
        <f t="shared" si="274"/>
        <v>45657</v>
      </c>
      <c r="X316" s="36">
        <v>-6.2797260000000001</v>
      </c>
      <c r="Y316" s="46">
        <f t="shared" si="329"/>
        <v>9875588.5030634329</v>
      </c>
      <c r="Z316" s="112">
        <f t="shared" ref="Z316" si="337">(Y316/Y$304-1)*100</f>
        <v>14.255882233931484</v>
      </c>
      <c r="AA316" s="106">
        <f t="shared" ref="AA316" si="338">(Y316/Y313-1)*100</f>
        <v>-1.9660626737385112</v>
      </c>
      <c r="AB316" s="61">
        <f>STDEVP(X281:X316)*SQRT(12)</f>
        <v>13.185790987300116</v>
      </c>
      <c r="AC316" s="107">
        <v>-4.7359710000000002</v>
      </c>
      <c r="AD316" s="133"/>
    </row>
    <row r="317" spans="1:30" x14ac:dyDescent="0.25">
      <c r="A317" s="21">
        <v>45688</v>
      </c>
      <c r="B317" s="24">
        <f t="shared" si="330"/>
        <v>301</v>
      </c>
      <c r="C317" s="97" t="s">
        <v>423</v>
      </c>
      <c r="D317" s="84">
        <v>4.4176273945455531</v>
      </c>
      <c r="E317" s="47">
        <f t="shared" si="326"/>
        <v>17671908.363255251</v>
      </c>
      <c r="F317" s="112"/>
      <c r="G317" s="106"/>
      <c r="H317" s="61"/>
      <c r="I317" s="39"/>
      <c r="J317" s="20">
        <f t="shared" si="272"/>
        <v>45688</v>
      </c>
      <c r="K317" s="29">
        <v>2.7792780000000001</v>
      </c>
      <c r="L317" s="46">
        <f t="shared" si="327"/>
        <v>6554649.4577475358</v>
      </c>
      <c r="M317" s="112"/>
      <c r="N317" s="106"/>
      <c r="O317" s="39"/>
      <c r="P317" s="20">
        <f t="shared" si="273"/>
        <v>45688</v>
      </c>
      <c r="Q317" s="28">
        <v>2.7494689999999999</v>
      </c>
      <c r="R317" s="46">
        <f t="shared" si="328"/>
        <v>5555987.2581758332</v>
      </c>
      <c r="S317" s="112"/>
      <c r="T317" s="106"/>
      <c r="V317" s="39">
        <v>16.399999999999999</v>
      </c>
      <c r="W317" s="20">
        <f t="shared" si="274"/>
        <v>45688</v>
      </c>
      <c r="X317" s="36">
        <v>2.086773</v>
      </c>
      <c r="Y317" s="46">
        <f t="shared" si="329"/>
        <v>10081669.617536465</v>
      </c>
      <c r="Z317" s="112"/>
      <c r="AA317" s="106"/>
      <c r="AC317" s="107">
        <v>4.3304840000000002</v>
      </c>
      <c r="AD317" s="133"/>
    </row>
    <row r="318" spans="1:30" x14ac:dyDescent="0.25">
      <c r="A318" s="21">
        <v>45716</v>
      </c>
      <c r="B318" s="24">
        <f t="shared" si="330"/>
        <v>302</v>
      </c>
      <c r="C318" s="97" t="s">
        <v>423</v>
      </c>
      <c r="D318" s="84">
        <v>-0.94939776271251408</v>
      </c>
      <c r="E318" s="47">
        <f t="shared" si="326"/>
        <v>17504131.660625901</v>
      </c>
      <c r="F318" s="112"/>
      <c r="G318" s="106"/>
      <c r="H318" s="61"/>
      <c r="I318" s="39"/>
      <c r="J318" s="20">
        <f t="shared" si="272"/>
        <v>45716</v>
      </c>
      <c r="K318" s="29">
        <v>-1.3049580000000001</v>
      </c>
      <c r="L318" s="46">
        <f t="shared" si="327"/>
        <v>6469114.0352767026</v>
      </c>
      <c r="M318" s="112"/>
      <c r="N318" s="106"/>
      <c r="O318" s="39"/>
      <c r="P318" s="20">
        <f t="shared" si="273"/>
        <v>45716</v>
      </c>
      <c r="Q318" s="28">
        <v>-0.1822163</v>
      </c>
      <c r="R318" s="46">
        <f t="shared" si="328"/>
        <v>5545863.343765514</v>
      </c>
      <c r="S318" s="112"/>
      <c r="T318" s="106"/>
      <c r="V318" s="39">
        <v>16.600000000000001</v>
      </c>
      <c r="W318" s="20">
        <f t="shared" si="274"/>
        <v>45716</v>
      </c>
      <c r="X318" s="36">
        <v>4.6701800000000002</v>
      </c>
      <c r="Y318" s="46">
        <f t="shared" si="329"/>
        <v>10552501.735680729</v>
      </c>
      <c r="Z318" s="112"/>
      <c r="AA318" s="106"/>
      <c r="AC318" s="107">
        <v>-1.0376840000000001</v>
      </c>
      <c r="AD318" s="133"/>
    </row>
    <row r="319" spans="1:30" x14ac:dyDescent="0.25">
      <c r="A319" s="21">
        <v>45747</v>
      </c>
      <c r="B319" s="24">
        <f t="shared" si="330"/>
        <v>303</v>
      </c>
      <c r="C319" s="97" t="s">
        <v>423</v>
      </c>
      <c r="D319" s="84">
        <v>-1.613380503349664</v>
      </c>
      <c r="E319" s="47">
        <f t="shared" ref="E319:E322" si="339">E318*D319/100+E318</f>
        <v>17221723.413132709</v>
      </c>
      <c r="F319" s="112"/>
      <c r="G319" s="106">
        <f t="shared" ref="G319" si="340">(E319/E316-1)*100</f>
        <v>1.757629197731192</v>
      </c>
      <c r="H319" s="61"/>
      <c r="I319" s="39"/>
      <c r="J319" s="20">
        <f t="shared" si="272"/>
        <v>45747</v>
      </c>
      <c r="K319" s="29">
        <v>-5.6343949999999996</v>
      </c>
      <c r="L319" s="46">
        <f t="shared" ref="L319:L322" si="341">L318*K319/100+L318</f>
        <v>6104618.5975287743</v>
      </c>
      <c r="M319" s="112"/>
      <c r="N319" s="106">
        <f t="shared" ref="N319" si="342">(L319/L316-1)*100</f>
        <v>-4.2773689174536278</v>
      </c>
      <c r="O319" s="39"/>
      <c r="P319" s="20">
        <f t="shared" si="273"/>
        <v>45747</v>
      </c>
      <c r="Q319" s="28">
        <v>-3.8083969999999998</v>
      </c>
      <c r="R319" s="46">
        <f t="shared" ref="R319:R322" si="343">R318*Q319/100+R318</f>
        <v>5334654.8505574483</v>
      </c>
      <c r="S319" s="112"/>
      <c r="T319" s="106">
        <f t="shared" ref="T319" si="344">(R319/R316-1)*100</f>
        <v>-1.343734655536688</v>
      </c>
      <c r="V319" s="39">
        <v>16.8</v>
      </c>
      <c r="W319" s="20">
        <f t="shared" si="274"/>
        <v>45747</v>
      </c>
      <c r="X319" s="36">
        <v>0.38105159999999999</v>
      </c>
      <c r="Y319" s="46">
        <f t="shared" ref="Y319:Y322" si="345">Y318*X319/100+Y318</f>
        <v>10592712.212384569</v>
      </c>
      <c r="Z319" s="112"/>
      <c r="AA319" s="106">
        <f>(Y319/Y316-1)*100</f>
        <v>7.2615794906671249</v>
      </c>
      <c r="AC319" s="107">
        <v>-1.655629</v>
      </c>
      <c r="AD319" s="133"/>
    </row>
    <row r="320" spans="1:30" x14ac:dyDescent="0.25">
      <c r="A320" s="21">
        <v>45777</v>
      </c>
      <c r="B320" s="24">
        <f t="shared" ref="B320:B322" si="346">IF(A320&gt;A319,1+B319,"-")</f>
        <v>304</v>
      </c>
      <c r="C320" s="97" t="s">
        <v>423</v>
      </c>
      <c r="D320" s="84">
        <v>-1.7007119457187261</v>
      </c>
      <c r="E320" s="47">
        <f t="shared" si="339"/>
        <v>16928831.505786922</v>
      </c>
      <c r="F320" s="112"/>
      <c r="G320" s="106"/>
      <c r="H320" s="61"/>
      <c r="I320" s="39"/>
      <c r="J320" s="20">
        <f t="shared" si="272"/>
        <v>45777</v>
      </c>
      <c r="K320" s="29">
        <v>-0.67813060000000003</v>
      </c>
      <c r="L320" s="46">
        <f t="shared" si="341"/>
        <v>6063221.3108056411</v>
      </c>
      <c r="M320" s="112"/>
      <c r="N320" s="106"/>
      <c r="O320" s="39"/>
      <c r="P320" s="20">
        <f t="shared" si="273"/>
        <v>45777</v>
      </c>
      <c r="Q320" s="28">
        <v>-1.1003689999999999</v>
      </c>
      <c r="R320" s="46">
        <f t="shared" si="343"/>
        <v>5275953.9623249182</v>
      </c>
      <c r="S320" s="112"/>
      <c r="T320" s="106"/>
      <c r="V320" s="39">
        <v>17.02</v>
      </c>
      <c r="W320" s="20">
        <f t="shared" si="274"/>
        <v>45777</v>
      </c>
      <c r="X320" s="36">
        <v>-2.3116509999999999</v>
      </c>
      <c r="Y320" s="46">
        <f t="shared" si="345"/>
        <v>10347845.674599858</v>
      </c>
      <c r="Z320" s="112"/>
      <c r="AA320" s="106"/>
      <c r="AC320" s="107">
        <v>-1.7957350000000001</v>
      </c>
      <c r="AD320" s="133"/>
    </row>
    <row r="321" spans="1:30" x14ac:dyDescent="0.25">
      <c r="A321" s="21">
        <v>45808</v>
      </c>
      <c r="B321" s="24">
        <f t="shared" si="346"/>
        <v>305</v>
      </c>
      <c r="C321" s="97" t="s">
        <v>423</v>
      </c>
      <c r="D321" s="84">
        <v>1.698246054546064</v>
      </c>
      <c r="E321" s="47">
        <f t="shared" si="339"/>
        <v>17216324.718914699</v>
      </c>
      <c r="F321" s="112"/>
      <c r="G321" s="106"/>
      <c r="H321" s="61"/>
      <c r="I321" s="39"/>
      <c r="J321" s="20">
        <f t="shared" si="272"/>
        <v>45808</v>
      </c>
      <c r="K321" s="29">
        <v>6.294619</v>
      </c>
      <c r="L321" s="46">
        <f t="shared" si="341"/>
        <v>6444877.991447662</v>
      </c>
      <c r="M321" s="112"/>
      <c r="N321" s="106"/>
      <c r="O321" s="39"/>
      <c r="P321" s="20">
        <f t="shared" si="273"/>
        <v>45808</v>
      </c>
      <c r="Q321" s="28">
        <v>3.2870550000000001</v>
      </c>
      <c r="R321" s="46">
        <f t="shared" si="343"/>
        <v>5449377.4708412178</v>
      </c>
      <c r="S321" s="112"/>
      <c r="T321" s="106"/>
      <c r="V321" s="39">
        <v>17.239999999999998</v>
      </c>
      <c r="W321" s="20">
        <f t="shared" si="274"/>
        <v>45808</v>
      </c>
      <c r="X321" s="36">
        <v>1.1138459999999999</v>
      </c>
      <c r="Y321" s="46">
        <f t="shared" si="345"/>
        <v>10463104.739732562</v>
      </c>
      <c r="Z321" s="112"/>
      <c r="AA321" s="106"/>
      <c r="AC321" s="107">
        <v>1.657143</v>
      </c>
      <c r="AD321" s="133"/>
    </row>
    <row r="322" spans="1:30" x14ac:dyDescent="0.25">
      <c r="A322" s="21">
        <v>45838</v>
      </c>
      <c r="B322" s="24">
        <f t="shared" si="346"/>
        <v>306</v>
      </c>
      <c r="C322" s="97" t="s">
        <v>423</v>
      </c>
      <c r="D322" s="84">
        <v>0.48357748879533613</v>
      </c>
      <c r="E322" s="47">
        <f t="shared" si="339"/>
        <v>17299578.989653278</v>
      </c>
      <c r="F322" s="112"/>
      <c r="G322" s="106">
        <f t="shared" ref="G322" si="347">(E322/E319-1)*100</f>
        <v>0.45207773143771668</v>
      </c>
      <c r="H322" s="61"/>
      <c r="I322" s="39"/>
      <c r="J322" s="20">
        <f t="shared" si="272"/>
        <v>45838</v>
      </c>
      <c r="K322" s="29">
        <v>5.0848300000000002</v>
      </c>
      <c r="L322" s="46">
        <f t="shared" si="341"/>
        <v>6772589.0810201904</v>
      </c>
      <c r="M322" s="112"/>
      <c r="N322" s="106">
        <f t="shared" ref="N322" si="348">(L322/L319-1)*100</f>
        <v>10.942051052326484</v>
      </c>
      <c r="O322" s="39"/>
      <c r="P322" s="20">
        <f t="shared" si="273"/>
        <v>45838</v>
      </c>
      <c r="Q322" s="28">
        <v>2.1158160000000001</v>
      </c>
      <c r="R322" s="46">
        <f t="shared" si="343"/>
        <v>5564676.2712696716</v>
      </c>
      <c r="S322" s="112"/>
      <c r="T322" s="106">
        <f t="shared" ref="T322" si="349">(R322/R319-1)*100</f>
        <v>4.3118332330007725</v>
      </c>
      <c r="V322" s="39">
        <v>17.46</v>
      </c>
      <c r="W322" s="20">
        <f t="shared" si="274"/>
        <v>45838</v>
      </c>
      <c r="X322" s="36">
        <v>-0.75421139999999998</v>
      </c>
      <c r="Y322" s="46">
        <f t="shared" si="345"/>
        <v>10384190.810991559</v>
      </c>
      <c r="Z322" s="112"/>
      <c r="AA322" s="106">
        <f>(Y322/Y319-1)*100</f>
        <v>-1.9685364542351591</v>
      </c>
      <c r="AC322" s="107">
        <v>0.39347949999999998</v>
      </c>
      <c r="AD322" s="133"/>
    </row>
    <row r="323" spans="1:30" x14ac:dyDescent="0.25">
      <c r="A323" s="21">
        <v>45869</v>
      </c>
      <c r="B323" s="24">
        <f t="shared" ref="B323:B325" si="350">IF(A323&gt;A322,1+B322,"-")</f>
        <v>307</v>
      </c>
      <c r="C323" s="97" t="s">
        <v>423</v>
      </c>
      <c r="D323" s="84">
        <v>-0.35865398435556783</v>
      </c>
      <c r="E323" s="47">
        <f t="shared" ref="E323:E325" si="351">E322*D323/100+E322</f>
        <v>17237533.36033015</v>
      </c>
      <c r="F323" s="112"/>
      <c r="G323" s="106"/>
      <c r="H323" s="61"/>
      <c r="I323" s="39"/>
      <c r="J323" s="20">
        <f t="shared" si="272"/>
        <v>45869</v>
      </c>
      <c r="K323" s="29">
        <v>2.2442899999999999</v>
      </c>
      <c r="L323" s="46">
        <f t="shared" ref="L323:L325" si="352">L322*K323/100+L322</f>
        <v>6924585.6205066182</v>
      </c>
      <c r="M323" s="112"/>
      <c r="N323" s="106"/>
      <c r="O323" s="39"/>
      <c r="P323" s="20">
        <f t="shared" si="273"/>
        <v>45869</v>
      </c>
      <c r="Q323" s="28">
        <v>1.3490740000000001</v>
      </c>
      <c r="R323" s="46">
        <f t="shared" ref="R323:R325" si="353">R322*Q323/100+R322</f>
        <v>5639747.8720295401</v>
      </c>
      <c r="S323" s="112"/>
      <c r="T323" s="106"/>
      <c r="V323" s="39">
        <v>17.68</v>
      </c>
      <c r="W323" s="20">
        <f t="shared" si="274"/>
        <v>45869</v>
      </c>
      <c r="X323" s="36">
        <v>-0.29140759999999999</v>
      </c>
      <c r="Y323" s="46">
        <f t="shared" ref="Y323:Y325" si="354">Y322*X323/100+Y322</f>
        <v>10353930.489769828</v>
      </c>
      <c r="Z323" s="112"/>
      <c r="AA323" s="106"/>
      <c r="AC323" s="107">
        <v>-0.4479283</v>
      </c>
      <c r="AD323" s="133"/>
    </row>
    <row r="324" spans="1:30" x14ac:dyDescent="0.25">
      <c r="A324" s="21">
        <v>45900</v>
      </c>
      <c r="B324" s="24">
        <f t="shared" si="350"/>
        <v>308</v>
      </c>
      <c r="C324" s="97" t="s">
        <v>423</v>
      </c>
      <c r="D324" s="84">
        <v>2.7301060489229352</v>
      </c>
      <c r="E324" s="47">
        <f t="shared" si="351"/>
        <v>17708136.301285632</v>
      </c>
      <c r="F324" s="112"/>
      <c r="G324" s="106"/>
      <c r="H324" s="61"/>
      <c r="I324" s="39"/>
      <c r="J324" s="20">
        <f t="shared" si="272"/>
        <v>45900</v>
      </c>
      <c r="K324" s="29">
        <v>2.0271819999999998</v>
      </c>
      <c r="L324" s="46">
        <f t="shared" si="352"/>
        <v>7064959.5737801166</v>
      </c>
      <c r="M324" s="112"/>
      <c r="N324" s="106"/>
      <c r="O324" s="39"/>
      <c r="P324" s="20">
        <f t="shared" si="273"/>
        <v>45900</v>
      </c>
      <c r="Q324" s="28">
        <v>2.8290630000000001</v>
      </c>
      <c r="R324" s="46">
        <f t="shared" si="353"/>
        <v>5799299.8923704149</v>
      </c>
      <c r="S324" s="112"/>
      <c r="T324" s="106"/>
      <c r="V324" s="39">
        <v>17.899999999999999</v>
      </c>
      <c r="W324" s="20">
        <f t="shared" si="274"/>
        <v>45900</v>
      </c>
      <c r="X324" s="36">
        <v>1.5505150000000001</v>
      </c>
      <c r="Y324" s="46">
        <f t="shared" si="354"/>
        <v>10514469.735103283</v>
      </c>
      <c r="Z324" s="112"/>
      <c r="AA324" s="106"/>
      <c r="AC324" s="107">
        <v>2.6434199999999999</v>
      </c>
      <c r="AD324" s="133"/>
    </row>
    <row r="325" spans="1:30" x14ac:dyDescent="0.25">
      <c r="A325" s="21">
        <v>45930</v>
      </c>
      <c r="B325" s="24">
        <f t="shared" si="350"/>
        <v>309</v>
      </c>
      <c r="C325" s="97" t="s">
        <v>423</v>
      </c>
      <c r="D325" s="84">
        <v>1.2739842844537921</v>
      </c>
      <c r="E325" s="47">
        <f t="shared" si="351"/>
        <v>17933735.174833667</v>
      </c>
      <c r="F325" s="112"/>
      <c r="G325" s="106">
        <f t="shared" ref="G325" si="355">(E325/E322-1)*100</f>
        <v>3.6657318976356157</v>
      </c>
      <c r="H325" s="61"/>
      <c r="I325" s="39"/>
      <c r="J325" s="20">
        <f t="shared" si="272"/>
        <v>45930</v>
      </c>
      <c r="K325" s="29">
        <v>3.6404380000000001</v>
      </c>
      <c r="L325" s="46">
        <f t="shared" si="352"/>
        <v>7322155.0467886459</v>
      </c>
      <c r="M325" s="112"/>
      <c r="N325" s="106">
        <f t="shared" ref="N325" si="356">(L325/L322-1)*100</f>
        <v>8.1145623807088008</v>
      </c>
      <c r="O325" s="39"/>
      <c r="P325" s="20">
        <f t="shared" si="273"/>
        <v>45930</v>
      </c>
      <c r="Q325" s="28">
        <v>2.240942</v>
      </c>
      <c r="R325" s="46">
        <f t="shared" si="353"/>
        <v>5929258.8393644979</v>
      </c>
      <c r="S325" s="112"/>
      <c r="T325" s="106">
        <f t="shared" ref="T325" si="357">(R325/R322-1)*100</f>
        <v>6.551730061587957</v>
      </c>
      <c r="V325" s="39">
        <v>18.12</v>
      </c>
      <c r="W325" s="20">
        <f t="shared" si="274"/>
        <v>45930</v>
      </c>
      <c r="X325" s="36">
        <v>0.21070530000000001</v>
      </c>
      <c r="Y325" s="46">
        <f t="shared" si="354"/>
        <v>10536624.280102042</v>
      </c>
      <c r="Z325" s="112"/>
      <c r="AA325" s="106">
        <f>(Y325/Y322-1)*100</f>
        <v>1.4679378671387022</v>
      </c>
      <c r="AC325" s="107">
        <v>1.2054800000000001</v>
      </c>
      <c r="AD325" s="133"/>
    </row>
    <row r="326" spans="1:30" x14ac:dyDescent="0.25">
      <c r="A326" s="21">
        <v>45961</v>
      </c>
      <c r="B326" s="24">
        <f t="shared" ref="B326:B328" si="358">IF(A326&gt;A325,1+B325,"-")</f>
        <v>310</v>
      </c>
      <c r="C326" s="97" t="s">
        <v>423</v>
      </c>
      <c r="D326" s="84">
        <v>-6.8231271707644106E-2</v>
      </c>
      <c r="E326" s="47">
        <f t="shared" ref="E326:E328" si="359">E325*D326/100+E325</f>
        <v>17921498.759259198</v>
      </c>
      <c r="F326" s="112"/>
      <c r="G326" s="106"/>
      <c r="H326" s="61"/>
      <c r="I326" s="39"/>
      <c r="J326" s="20">
        <f t="shared" si="272"/>
        <v>45961</v>
      </c>
      <c r="K326" s="29">
        <v>2.341364</v>
      </c>
      <c r="L326" s="46">
        <f t="shared" ref="L326:L328" si="360">L325*K326/100+L325</f>
        <v>7493593.3490783386</v>
      </c>
      <c r="M326" s="112"/>
      <c r="N326" s="106"/>
      <c r="O326" s="39"/>
      <c r="P326" s="20">
        <f t="shared" si="273"/>
        <v>45961</v>
      </c>
      <c r="Q326" s="28">
        <v>0.4265004</v>
      </c>
      <c r="R326" s="46">
        <f t="shared" ref="R326:R328" si="361">R325*Q326/100+R325</f>
        <v>5954547.1520314226</v>
      </c>
      <c r="S326" s="112"/>
      <c r="T326" s="106"/>
      <c r="V326" s="39">
        <v>18.34</v>
      </c>
      <c r="W326" s="20">
        <f t="shared" si="274"/>
        <v>45961</v>
      </c>
      <c r="X326" s="36">
        <v>-3.7181139999999999</v>
      </c>
      <c r="Y326" s="46">
        <f t="shared" ref="Y326:Y328" si="362">Y325*X326/100+Y325</f>
        <v>10144860.57761617</v>
      </c>
      <c r="Z326" s="112"/>
      <c r="AA326" s="106"/>
      <c r="AC326" s="107">
        <v>-0.1624255</v>
      </c>
      <c r="AD326" s="133"/>
    </row>
    <row r="327" spans="1:30" x14ac:dyDescent="0.25">
      <c r="A327" s="21">
        <v>45991</v>
      </c>
      <c r="B327" s="24">
        <f t="shared" si="358"/>
        <v>311</v>
      </c>
      <c r="C327" s="97" t="s">
        <v>423</v>
      </c>
      <c r="D327" s="84">
        <v>3.818202538464349</v>
      </c>
      <c r="E327" s="47">
        <f t="shared" si="359"/>
        <v>18605777.879816089</v>
      </c>
      <c r="F327" s="112"/>
      <c r="G327" s="106"/>
      <c r="H327" s="61"/>
      <c r="I327" s="39"/>
      <c r="J327" s="20">
        <f t="shared" si="272"/>
        <v>45991</v>
      </c>
      <c r="K327" s="29">
        <v>0.24512030000000001</v>
      </c>
      <c r="L327" s="46">
        <f t="shared" si="360"/>
        <v>7511961.6675763791</v>
      </c>
      <c r="M327" s="112"/>
      <c r="N327" s="106"/>
      <c r="O327" s="39"/>
      <c r="P327" s="20">
        <f t="shared" si="273"/>
        <v>45991</v>
      </c>
      <c r="Q327" s="28">
        <v>2.8056260000000002</v>
      </c>
      <c r="R327" s="46">
        <f t="shared" si="361"/>
        <v>6121609.4751110757</v>
      </c>
      <c r="S327" s="112"/>
      <c r="T327" s="106"/>
      <c r="V327" s="39">
        <v>18.559999999999999</v>
      </c>
      <c r="W327" s="20">
        <f t="shared" si="274"/>
        <v>45991</v>
      </c>
      <c r="X327" s="36">
        <v>3.85893</v>
      </c>
      <c r="Y327" s="46">
        <f t="shared" si="362"/>
        <v>10536343.645903973</v>
      </c>
      <c r="Z327" s="112"/>
      <c r="AA327" s="106"/>
      <c r="AC327" s="107">
        <v>3.7418650000000002</v>
      </c>
      <c r="AD327" s="133"/>
    </row>
    <row r="328" spans="1:30" x14ac:dyDescent="0.25">
      <c r="A328" s="21">
        <v>46022</v>
      </c>
      <c r="B328" s="24">
        <f t="shared" si="358"/>
        <v>312</v>
      </c>
      <c r="C328" s="97" t="s">
        <v>423</v>
      </c>
      <c r="D328" s="84">
        <v>-5.0948326786837334E-2</v>
      </c>
      <c r="E328" s="47">
        <f t="shared" si="359"/>
        <v>18596298.547300648</v>
      </c>
      <c r="F328" s="112">
        <f>(E328/E$316-1)*100</f>
        <v>9.8795519258839235</v>
      </c>
      <c r="G328" s="106">
        <f t="shared" ref="G328" si="363">(E328/E325-1)*100</f>
        <v>3.6945085115160703</v>
      </c>
      <c r="H328" s="61">
        <f>STDEVP(D293:D328)*SQRT(12)</f>
        <v>10.184179423791349</v>
      </c>
      <c r="I328" s="39"/>
      <c r="J328" s="20">
        <f t="shared" si="272"/>
        <v>46022</v>
      </c>
      <c r="K328" s="29">
        <v>5.9176079999999999E-2</v>
      </c>
      <c r="L328" s="46">
        <f t="shared" si="360"/>
        <v>7516406.9520223532</v>
      </c>
      <c r="M328" s="112">
        <f>(L328/L$316-1)*100</f>
        <v>17.859983918730183</v>
      </c>
      <c r="N328" s="106">
        <f t="shared" ref="N328" si="364">(L328/L325-1)*100</f>
        <v>2.6529335146884492</v>
      </c>
      <c r="O328" s="39"/>
      <c r="P328" s="20">
        <f t="shared" si="273"/>
        <v>46022</v>
      </c>
      <c r="Q328" s="28">
        <v>-0.85063069999999996</v>
      </c>
      <c r="R328" s="46">
        <f t="shared" si="361"/>
        <v>6069537.185581672</v>
      </c>
      <c r="S328" s="112">
        <f>(R328/R$316-1)*100</f>
        <v>12.246787819133353</v>
      </c>
      <c r="T328" s="106">
        <f t="shared" ref="T328" si="365">(R328/R325-1)*100</f>
        <v>2.365866460169741</v>
      </c>
      <c r="V328" s="39">
        <v>18.78</v>
      </c>
      <c r="W328" s="20">
        <f t="shared" si="274"/>
        <v>46022</v>
      </c>
      <c r="X328" s="36">
        <v>-2.186941</v>
      </c>
      <c r="Y328" s="46">
        <f t="shared" si="362"/>
        <v>10305920.026810804</v>
      </c>
      <c r="Z328" s="112">
        <f>(Y328/Y$316-1)*100</f>
        <v>4.3575278943009943</v>
      </c>
      <c r="AA328" s="106">
        <f>(Y328/Y325-1)*100</f>
        <v>-2.1895461692310048</v>
      </c>
      <c r="AB328" s="61">
        <f>STDEVP(X293:X328)*SQRT(12)</f>
        <v>10.468153725380597</v>
      </c>
      <c r="AC328" s="107">
        <v>-0.13376669999999999</v>
      </c>
      <c r="AD328" s="133"/>
    </row>
    <row r="329" spans="1:30" x14ac:dyDescent="0.25">
      <c r="B329" s="24" t="str">
        <f t="shared" si="226"/>
        <v>-</v>
      </c>
      <c r="L329" s="34"/>
      <c r="AD329" s="133"/>
    </row>
    <row r="330" spans="1:30" x14ac:dyDescent="0.25">
      <c r="B330" s="24" t="str">
        <f t="shared" si="226"/>
        <v>-</v>
      </c>
      <c r="J330" t="s">
        <v>57</v>
      </c>
      <c r="K330" s="29">
        <f>_xll.BDP(J$330&amp;" US EQUITY","cust trr return holding per","cust trr start dt",TEXT($A325,"YYYYMMDD"),"cust trr end dt",TEXT($A326,"YYYYMMDD"))</f>
        <v>-0.1624255</v>
      </c>
      <c r="L330" s="34"/>
      <c r="AD330" s="133"/>
    </row>
    <row r="331" spans="1:30" x14ac:dyDescent="0.25">
      <c r="B331" s="24" t="str">
        <f t="shared" si="226"/>
        <v>-</v>
      </c>
      <c r="J331" t="s">
        <v>86</v>
      </c>
      <c r="K331" s="29">
        <f>_xll.BDP(J$331&amp;" INDEX","cust trr return holding per","cust trr start dt",TEXT($A318,"YYYYMMDD"),"cust trr end dt",TEXT($A319,"YYYYMMDD"))</f>
        <v>-5.6343949999999996</v>
      </c>
      <c r="L331" s="34"/>
      <c r="AD331" s="133"/>
    </row>
    <row r="332" spans="1:30" x14ac:dyDescent="0.25">
      <c r="B332" s="24" t="str">
        <f t="shared" si="226"/>
        <v>-</v>
      </c>
      <c r="J332" t="s">
        <v>87</v>
      </c>
      <c r="K332" s="29">
        <f>_xll.BDP(J$332&amp;" INDEX","cust trr return holding per","cust trr start dt",TEXT($A315,"YYYYMMDD"),"cust trr end dt",TEXT($A316,"YYYYMMDD"))</f>
        <v>-2.6514169999999999</v>
      </c>
      <c r="L332" s="34"/>
      <c r="AD332" s="133"/>
    </row>
    <row r="333" spans="1:30" x14ac:dyDescent="0.25">
      <c r="B333" s="24" t="str">
        <f t="shared" si="226"/>
        <v>-</v>
      </c>
      <c r="J333" t="s">
        <v>327</v>
      </c>
      <c r="K333" s="29">
        <f>_xll.BDP(J$333&amp;" INDEX","cust trr return holding per","cust trr start dt",TEXT($A315,"YYYYMMDD"),"cust trr end dt",TEXT($A316,"YYYYMMDD"))</f>
        <v>-6.2797260000000001</v>
      </c>
      <c r="L333" s="34"/>
      <c r="AD333" s="133"/>
    </row>
    <row r="334" spans="1:30" x14ac:dyDescent="0.25">
      <c r="B334" s="24" t="str">
        <f t="shared" si="226"/>
        <v>-</v>
      </c>
      <c r="K334" s="34"/>
      <c r="L334" s="34"/>
      <c r="AD334" s="133"/>
    </row>
    <row r="335" spans="1:30" x14ac:dyDescent="0.25">
      <c r="B335" s="24" t="str">
        <f t="shared" si="226"/>
        <v>-</v>
      </c>
      <c r="K335" s="34"/>
      <c r="L335" s="34"/>
      <c r="AD335" s="133"/>
    </row>
    <row r="336" spans="1:30" x14ac:dyDescent="0.25">
      <c r="B336" s="24" t="str">
        <f t="shared" si="226"/>
        <v>-</v>
      </c>
      <c r="K336" s="34"/>
      <c r="L336" s="34"/>
      <c r="AD336" s="133"/>
    </row>
    <row r="337" spans="2:30" x14ac:dyDescent="0.25">
      <c r="B337" s="24" t="str">
        <f t="shared" si="226"/>
        <v>-</v>
      </c>
      <c r="K337" s="34"/>
      <c r="L337" s="34"/>
      <c r="AD337" s="133"/>
    </row>
    <row r="338" spans="2:30" x14ac:dyDescent="0.25">
      <c r="B338" s="24" t="str">
        <f t="shared" ref="B338:B401" si="366">IF(A338&gt;A337,1+B337,"-")</f>
        <v>-</v>
      </c>
      <c r="K338" s="34"/>
      <c r="L338" s="34"/>
      <c r="AD338" s="133"/>
    </row>
    <row r="339" spans="2:30" x14ac:dyDescent="0.25">
      <c r="B339" s="24" t="str">
        <f t="shared" si="366"/>
        <v>-</v>
      </c>
      <c r="K339" s="34"/>
      <c r="L339" s="34"/>
      <c r="AD339" s="133"/>
    </row>
    <row r="340" spans="2:30" x14ac:dyDescent="0.25">
      <c r="B340" s="24" t="str">
        <f t="shared" si="366"/>
        <v>-</v>
      </c>
      <c r="K340" s="34"/>
      <c r="L340" s="34"/>
      <c r="AD340" s="133"/>
    </row>
    <row r="341" spans="2:30" x14ac:dyDescent="0.25">
      <c r="B341" s="24" t="str">
        <f t="shared" si="366"/>
        <v>-</v>
      </c>
      <c r="K341" s="34"/>
      <c r="L341" s="34"/>
      <c r="AD341" s="133"/>
    </row>
    <row r="342" spans="2:30" x14ac:dyDescent="0.25">
      <c r="B342" s="24" t="str">
        <f t="shared" si="366"/>
        <v>-</v>
      </c>
      <c r="K342" s="34"/>
      <c r="L342" s="34"/>
      <c r="AD342" s="133"/>
    </row>
    <row r="343" spans="2:30" x14ac:dyDescent="0.25">
      <c r="B343" s="24" t="str">
        <f t="shared" si="366"/>
        <v>-</v>
      </c>
      <c r="K343" s="34"/>
      <c r="L343" s="34"/>
      <c r="AD343" s="133"/>
    </row>
    <row r="344" spans="2:30" x14ac:dyDescent="0.25">
      <c r="B344" s="24" t="str">
        <f t="shared" si="366"/>
        <v>-</v>
      </c>
      <c r="K344" s="34"/>
      <c r="L344" s="34"/>
      <c r="AD344" s="133"/>
    </row>
    <row r="345" spans="2:30" x14ac:dyDescent="0.25">
      <c r="B345" s="24" t="str">
        <f t="shared" si="366"/>
        <v>-</v>
      </c>
      <c r="K345" s="34"/>
      <c r="L345" s="34"/>
      <c r="AD345" s="133"/>
    </row>
    <row r="346" spans="2:30" x14ac:dyDescent="0.25">
      <c r="B346" s="24" t="str">
        <f t="shared" si="366"/>
        <v>-</v>
      </c>
      <c r="K346" s="34"/>
      <c r="L346" s="34"/>
      <c r="AD346" s="133"/>
    </row>
    <row r="347" spans="2:30" x14ac:dyDescent="0.25">
      <c r="B347" s="24" t="str">
        <f t="shared" si="366"/>
        <v>-</v>
      </c>
      <c r="K347" s="34"/>
      <c r="L347" s="34"/>
      <c r="AD347" s="133"/>
    </row>
    <row r="348" spans="2:30" x14ac:dyDescent="0.25">
      <c r="B348" s="24" t="str">
        <f t="shared" si="366"/>
        <v>-</v>
      </c>
      <c r="K348" s="34"/>
      <c r="L348" s="34"/>
      <c r="AD348" s="133"/>
    </row>
    <row r="349" spans="2:30" x14ac:dyDescent="0.25">
      <c r="B349" s="24" t="str">
        <f t="shared" si="366"/>
        <v>-</v>
      </c>
      <c r="K349" s="34"/>
      <c r="L349" s="34"/>
    </row>
    <row r="350" spans="2:30" x14ac:dyDescent="0.25">
      <c r="B350" s="24" t="str">
        <f t="shared" si="366"/>
        <v>-</v>
      </c>
      <c r="K350" s="34"/>
      <c r="L350" s="34"/>
    </row>
    <row r="351" spans="2:30" x14ac:dyDescent="0.25">
      <c r="B351" s="24" t="str">
        <f t="shared" si="366"/>
        <v>-</v>
      </c>
      <c r="K351" s="34"/>
      <c r="L351" s="34"/>
    </row>
    <row r="352" spans="2:30" x14ac:dyDescent="0.25">
      <c r="B352" s="24" t="str">
        <f t="shared" si="366"/>
        <v>-</v>
      </c>
      <c r="K352" s="34"/>
      <c r="L352" s="34"/>
    </row>
    <row r="353" spans="2:12" x14ac:dyDescent="0.25">
      <c r="B353" s="24" t="str">
        <f t="shared" si="366"/>
        <v>-</v>
      </c>
      <c r="K353" s="34"/>
      <c r="L353" s="34"/>
    </row>
    <row r="354" spans="2:12" x14ac:dyDescent="0.25">
      <c r="B354" s="24" t="str">
        <f t="shared" si="366"/>
        <v>-</v>
      </c>
      <c r="K354" s="34"/>
      <c r="L354" s="34"/>
    </row>
    <row r="355" spans="2:12" x14ac:dyDescent="0.25">
      <c r="B355" s="24" t="str">
        <f t="shared" si="366"/>
        <v>-</v>
      </c>
      <c r="K355" s="34"/>
      <c r="L355" s="34"/>
    </row>
    <row r="356" spans="2:12" x14ac:dyDescent="0.25">
      <c r="B356" s="24" t="str">
        <f t="shared" si="366"/>
        <v>-</v>
      </c>
      <c r="K356" s="34"/>
      <c r="L356" s="34"/>
    </row>
    <row r="357" spans="2:12" x14ac:dyDescent="0.25">
      <c r="B357" s="24" t="str">
        <f t="shared" si="366"/>
        <v>-</v>
      </c>
      <c r="K357" s="34"/>
      <c r="L357" s="34"/>
    </row>
    <row r="358" spans="2:12" x14ac:dyDescent="0.25">
      <c r="B358" s="24" t="str">
        <f t="shared" si="366"/>
        <v>-</v>
      </c>
      <c r="K358" s="34"/>
      <c r="L358" s="34"/>
    </row>
    <row r="359" spans="2:12" x14ac:dyDescent="0.25">
      <c r="B359" s="24" t="str">
        <f t="shared" si="366"/>
        <v>-</v>
      </c>
      <c r="K359" s="34"/>
      <c r="L359" s="34"/>
    </row>
    <row r="360" spans="2:12" x14ac:dyDescent="0.25">
      <c r="B360" s="24" t="str">
        <f t="shared" si="366"/>
        <v>-</v>
      </c>
      <c r="K360" s="34"/>
      <c r="L360" s="34"/>
    </row>
    <row r="361" spans="2:12" x14ac:dyDescent="0.25">
      <c r="B361" s="24" t="str">
        <f t="shared" si="366"/>
        <v>-</v>
      </c>
      <c r="K361" s="34"/>
      <c r="L361" s="34"/>
    </row>
    <row r="362" spans="2:12" x14ac:dyDescent="0.25">
      <c r="B362" s="24" t="str">
        <f t="shared" si="366"/>
        <v>-</v>
      </c>
      <c r="K362" s="34"/>
      <c r="L362" s="34"/>
    </row>
    <row r="363" spans="2:12" x14ac:dyDescent="0.25">
      <c r="B363" s="24" t="str">
        <f t="shared" si="366"/>
        <v>-</v>
      </c>
      <c r="K363" s="34"/>
      <c r="L363" s="34"/>
    </row>
    <row r="364" spans="2:12" x14ac:dyDescent="0.25">
      <c r="B364" s="24" t="str">
        <f t="shared" si="366"/>
        <v>-</v>
      </c>
      <c r="K364" s="34"/>
      <c r="L364" s="34"/>
    </row>
    <row r="365" spans="2:12" x14ac:dyDescent="0.25">
      <c r="B365" s="24" t="str">
        <f t="shared" si="366"/>
        <v>-</v>
      </c>
      <c r="K365" s="34"/>
      <c r="L365" s="34"/>
    </row>
    <row r="366" spans="2:12" x14ac:dyDescent="0.25">
      <c r="B366" s="24" t="str">
        <f t="shared" si="366"/>
        <v>-</v>
      </c>
      <c r="K366" s="34"/>
      <c r="L366" s="34"/>
    </row>
    <row r="367" spans="2:12" x14ac:dyDescent="0.25">
      <c r="B367" s="24" t="str">
        <f t="shared" si="366"/>
        <v>-</v>
      </c>
      <c r="K367" s="34"/>
      <c r="L367" s="34"/>
    </row>
    <row r="368" spans="2:12" x14ac:dyDescent="0.25">
      <c r="B368" s="24" t="str">
        <f t="shared" si="366"/>
        <v>-</v>
      </c>
      <c r="K368" s="34"/>
      <c r="L368" s="34"/>
    </row>
    <row r="369" spans="2:12" x14ac:dyDescent="0.25">
      <c r="B369" s="24" t="str">
        <f t="shared" si="366"/>
        <v>-</v>
      </c>
      <c r="K369" s="34"/>
      <c r="L369" s="34"/>
    </row>
    <row r="370" spans="2:12" x14ac:dyDescent="0.25">
      <c r="B370" s="24" t="str">
        <f t="shared" si="366"/>
        <v>-</v>
      </c>
      <c r="K370" s="34"/>
      <c r="L370" s="34"/>
    </row>
    <row r="371" spans="2:12" x14ac:dyDescent="0.25">
      <c r="B371" s="24" t="str">
        <f t="shared" si="366"/>
        <v>-</v>
      </c>
      <c r="K371" s="34"/>
      <c r="L371" s="34"/>
    </row>
    <row r="372" spans="2:12" x14ac:dyDescent="0.25">
      <c r="B372" s="24" t="str">
        <f t="shared" si="366"/>
        <v>-</v>
      </c>
      <c r="K372" s="34"/>
      <c r="L372" s="34"/>
    </row>
    <row r="373" spans="2:12" x14ac:dyDescent="0.25">
      <c r="B373" s="24" t="str">
        <f t="shared" si="366"/>
        <v>-</v>
      </c>
      <c r="K373" s="34"/>
      <c r="L373" s="34"/>
    </row>
    <row r="374" spans="2:12" x14ac:dyDescent="0.25">
      <c r="B374" s="24" t="str">
        <f t="shared" si="366"/>
        <v>-</v>
      </c>
      <c r="K374" s="34"/>
      <c r="L374" s="34"/>
    </row>
    <row r="375" spans="2:12" x14ac:dyDescent="0.25">
      <c r="B375" s="24" t="str">
        <f t="shared" si="366"/>
        <v>-</v>
      </c>
      <c r="K375" s="34"/>
      <c r="L375" s="34"/>
    </row>
    <row r="376" spans="2:12" x14ac:dyDescent="0.25">
      <c r="B376" s="24" t="str">
        <f t="shared" si="366"/>
        <v>-</v>
      </c>
      <c r="K376" s="34"/>
      <c r="L376" s="34"/>
    </row>
    <row r="377" spans="2:12" x14ac:dyDescent="0.25">
      <c r="B377" s="24" t="str">
        <f t="shared" si="366"/>
        <v>-</v>
      </c>
      <c r="K377" s="34"/>
      <c r="L377" s="34"/>
    </row>
    <row r="378" spans="2:12" x14ac:dyDescent="0.25">
      <c r="B378" s="24" t="str">
        <f t="shared" si="366"/>
        <v>-</v>
      </c>
      <c r="K378" s="34"/>
      <c r="L378" s="34"/>
    </row>
    <row r="379" spans="2:12" x14ac:dyDescent="0.25">
      <c r="B379" s="24" t="str">
        <f t="shared" si="366"/>
        <v>-</v>
      </c>
      <c r="K379" s="34"/>
      <c r="L379" s="34"/>
    </row>
    <row r="380" spans="2:12" x14ac:dyDescent="0.25">
      <c r="B380" s="24" t="str">
        <f t="shared" si="366"/>
        <v>-</v>
      </c>
      <c r="K380" s="34"/>
      <c r="L380" s="34"/>
    </row>
    <row r="381" spans="2:12" x14ac:dyDescent="0.25">
      <c r="B381" s="24" t="str">
        <f t="shared" si="366"/>
        <v>-</v>
      </c>
      <c r="K381" s="34"/>
      <c r="L381" s="34"/>
    </row>
    <row r="382" spans="2:12" x14ac:dyDescent="0.25">
      <c r="B382" s="24" t="str">
        <f t="shared" si="366"/>
        <v>-</v>
      </c>
      <c r="K382" s="34"/>
      <c r="L382" s="34"/>
    </row>
    <row r="383" spans="2:12" x14ac:dyDescent="0.25">
      <c r="B383" s="24" t="str">
        <f t="shared" si="366"/>
        <v>-</v>
      </c>
      <c r="K383" s="34"/>
      <c r="L383" s="34"/>
    </row>
    <row r="384" spans="2:12" x14ac:dyDescent="0.25">
      <c r="B384" s="24" t="str">
        <f t="shared" si="366"/>
        <v>-</v>
      </c>
      <c r="K384" s="34"/>
      <c r="L384" s="34"/>
    </row>
    <row r="385" spans="2:12" x14ac:dyDescent="0.25">
      <c r="B385" s="24" t="str">
        <f t="shared" si="366"/>
        <v>-</v>
      </c>
      <c r="K385" s="34"/>
      <c r="L385" s="34"/>
    </row>
    <row r="386" spans="2:12" x14ac:dyDescent="0.25">
      <c r="B386" s="24" t="str">
        <f t="shared" si="366"/>
        <v>-</v>
      </c>
      <c r="K386" s="34"/>
      <c r="L386" s="34"/>
    </row>
    <row r="387" spans="2:12" x14ac:dyDescent="0.25">
      <c r="B387" s="24" t="str">
        <f t="shared" si="366"/>
        <v>-</v>
      </c>
      <c r="K387" s="34"/>
      <c r="L387" s="34"/>
    </row>
    <row r="388" spans="2:12" x14ac:dyDescent="0.25">
      <c r="B388" s="24" t="str">
        <f t="shared" si="366"/>
        <v>-</v>
      </c>
      <c r="K388" s="34"/>
      <c r="L388" s="34"/>
    </row>
    <row r="389" spans="2:12" x14ac:dyDescent="0.25">
      <c r="B389" s="24" t="str">
        <f t="shared" si="366"/>
        <v>-</v>
      </c>
      <c r="K389" s="34"/>
      <c r="L389" s="34"/>
    </row>
    <row r="390" spans="2:12" x14ac:dyDescent="0.25">
      <c r="B390" s="24" t="str">
        <f t="shared" si="366"/>
        <v>-</v>
      </c>
      <c r="K390" s="34"/>
      <c r="L390" s="34"/>
    </row>
    <row r="391" spans="2:12" x14ac:dyDescent="0.25">
      <c r="B391" s="24" t="str">
        <f t="shared" si="366"/>
        <v>-</v>
      </c>
      <c r="K391" s="34"/>
      <c r="L391" s="34"/>
    </row>
    <row r="392" spans="2:12" x14ac:dyDescent="0.25">
      <c r="B392" s="24" t="str">
        <f t="shared" si="366"/>
        <v>-</v>
      </c>
      <c r="K392" s="34"/>
      <c r="L392" s="34"/>
    </row>
    <row r="393" spans="2:12" x14ac:dyDescent="0.25">
      <c r="B393" s="24" t="str">
        <f t="shared" si="366"/>
        <v>-</v>
      </c>
      <c r="K393" s="34"/>
      <c r="L393" s="34"/>
    </row>
    <row r="394" spans="2:12" x14ac:dyDescent="0.25">
      <c r="B394" s="24" t="str">
        <f t="shared" si="366"/>
        <v>-</v>
      </c>
      <c r="K394" s="34"/>
      <c r="L394" s="34"/>
    </row>
    <row r="395" spans="2:12" x14ac:dyDescent="0.25">
      <c r="B395" s="24" t="str">
        <f t="shared" si="366"/>
        <v>-</v>
      </c>
      <c r="K395" s="34"/>
      <c r="L395" s="34"/>
    </row>
    <row r="396" spans="2:12" x14ac:dyDescent="0.25">
      <c r="B396" s="24" t="str">
        <f t="shared" si="366"/>
        <v>-</v>
      </c>
      <c r="K396" s="34"/>
      <c r="L396" s="34"/>
    </row>
    <row r="397" spans="2:12" x14ac:dyDescent="0.25">
      <c r="B397" s="24" t="str">
        <f t="shared" si="366"/>
        <v>-</v>
      </c>
      <c r="K397" s="34"/>
      <c r="L397" s="34"/>
    </row>
    <row r="398" spans="2:12" x14ac:dyDescent="0.25">
      <c r="B398" s="24" t="str">
        <f t="shared" si="366"/>
        <v>-</v>
      </c>
      <c r="K398" s="34"/>
      <c r="L398" s="34"/>
    </row>
    <row r="399" spans="2:12" x14ac:dyDescent="0.25">
      <c r="B399" s="24" t="str">
        <f t="shared" si="366"/>
        <v>-</v>
      </c>
      <c r="K399" s="34"/>
      <c r="L399" s="34"/>
    </row>
    <row r="400" spans="2:12" x14ac:dyDescent="0.25">
      <c r="B400" s="24" t="str">
        <f t="shared" si="366"/>
        <v>-</v>
      </c>
      <c r="K400" s="34"/>
      <c r="L400" s="34"/>
    </row>
    <row r="401" spans="2:12" x14ac:dyDescent="0.25">
      <c r="B401" s="24" t="str">
        <f t="shared" si="366"/>
        <v>-</v>
      </c>
      <c r="K401" s="34"/>
      <c r="L401" s="34"/>
    </row>
    <row r="402" spans="2:12" x14ac:dyDescent="0.25">
      <c r="B402" s="24" t="str">
        <f t="shared" ref="B402:B465" si="367">IF(A402&gt;A401,1+B401,"-")</f>
        <v>-</v>
      </c>
      <c r="K402" s="34"/>
      <c r="L402" s="34"/>
    </row>
    <row r="403" spans="2:12" x14ac:dyDescent="0.25">
      <c r="B403" s="24" t="str">
        <f t="shared" si="367"/>
        <v>-</v>
      </c>
      <c r="K403" s="34"/>
      <c r="L403" s="34"/>
    </row>
    <row r="404" spans="2:12" x14ac:dyDescent="0.25">
      <c r="B404" s="24" t="str">
        <f t="shared" si="367"/>
        <v>-</v>
      </c>
      <c r="K404" s="34"/>
      <c r="L404" s="34"/>
    </row>
    <row r="405" spans="2:12" x14ac:dyDescent="0.25">
      <c r="B405" s="24" t="str">
        <f t="shared" si="367"/>
        <v>-</v>
      </c>
      <c r="K405" s="34"/>
      <c r="L405" s="34"/>
    </row>
    <row r="406" spans="2:12" x14ac:dyDescent="0.25">
      <c r="B406" s="24" t="str">
        <f t="shared" si="367"/>
        <v>-</v>
      </c>
      <c r="K406" s="34"/>
      <c r="L406" s="34"/>
    </row>
    <row r="407" spans="2:12" x14ac:dyDescent="0.25">
      <c r="B407" s="24" t="str">
        <f t="shared" si="367"/>
        <v>-</v>
      </c>
      <c r="K407" s="34"/>
      <c r="L407" s="34"/>
    </row>
    <row r="408" spans="2:12" x14ac:dyDescent="0.25">
      <c r="B408" s="24" t="str">
        <f t="shared" si="367"/>
        <v>-</v>
      </c>
      <c r="K408" s="34"/>
      <c r="L408" s="34"/>
    </row>
    <row r="409" spans="2:12" x14ac:dyDescent="0.25">
      <c r="B409" s="24" t="str">
        <f t="shared" si="367"/>
        <v>-</v>
      </c>
      <c r="K409" s="34"/>
      <c r="L409" s="34"/>
    </row>
    <row r="410" spans="2:12" x14ac:dyDescent="0.25">
      <c r="B410" s="24" t="str">
        <f t="shared" si="367"/>
        <v>-</v>
      </c>
      <c r="K410" s="34"/>
      <c r="L410" s="34"/>
    </row>
    <row r="411" spans="2:12" x14ac:dyDescent="0.25">
      <c r="B411" s="24" t="str">
        <f t="shared" si="367"/>
        <v>-</v>
      </c>
      <c r="K411" s="34"/>
      <c r="L411" s="34"/>
    </row>
    <row r="412" spans="2:12" x14ac:dyDescent="0.25">
      <c r="B412" s="24" t="str">
        <f t="shared" si="367"/>
        <v>-</v>
      </c>
      <c r="K412" s="34"/>
      <c r="L412" s="34"/>
    </row>
    <row r="413" spans="2:12" x14ac:dyDescent="0.25">
      <c r="B413" s="24" t="str">
        <f t="shared" si="367"/>
        <v>-</v>
      </c>
      <c r="K413" s="34"/>
      <c r="L413" s="34"/>
    </row>
    <row r="414" spans="2:12" x14ac:dyDescent="0.25">
      <c r="B414" s="24" t="str">
        <f t="shared" si="367"/>
        <v>-</v>
      </c>
      <c r="K414" s="34"/>
      <c r="L414" s="34"/>
    </row>
    <row r="415" spans="2:12" x14ac:dyDescent="0.25">
      <c r="B415" s="24" t="str">
        <f t="shared" si="367"/>
        <v>-</v>
      </c>
      <c r="K415" s="34"/>
      <c r="L415" s="34"/>
    </row>
    <row r="416" spans="2:12" x14ac:dyDescent="0.25">
      <c r="B416" s="24" t="str">
        <f t="shared" si="367"/>
        <v>-</v>
      </c>
      <c r="K416" s="34"/>
      <c r="L416" s="34"/>
    </row>
    <row r="417" spans="2:12" x14ac:dyDescent="0.25">
      <c r="B417" s="24" t="str">
        <f t="shared" si="367"/>
        <v>-</v>
      </c>
      <c r="K417" s="34"/>
      <c r="L417" s="34"/>
    </row>
    <row r="418" spans="2:12" x14ac:dyDescent="0.25">
      <c r="B418" s="24" t="str">
        <f t="shared" si="367"/>
        <v>-</v>
      </c>
      <c r="K418" s="34"/>
      <c r="L418" s="34"/>
    </row>
    <row r="419" spans="2:12" x14ac:dyDescent="0.25">
      <c r="B419" s="24" t="str">
        <f t="shared" si="367"/>
        <v>-</v>
      </c>
      <c r="K419" s="34"/>
      <c r="L419" s="34"/>
    </row>
    <row r="420" spans="2:12" x14ac:dyDescent="0.25">
      <c r="B420" s="24" t="str">
        <f t="shared" si="367"/>
        <v>-</v>
      </c>
      <c r="K420" s="34"/>
      <c r="L420" s="34"/>
    </row>
    <row r="421" spans="2:12" x14ac:dyDescent="0.25">
      <c r="B421" s="24" t="str">
        <f t="shared" si="367"/>
        <v>-</v>
      </c>
      <c r="K421" s="34"/>
      <c r="L421" s="34"/>
    </row>
    <row r="422" spans="2:12" x14ac:dyDescent="0.25">
      <c r="B422" s="24" t="str">
        <f t="shared" si="367"/>
        <v>-</v>
      </c>
      <c r="K422" s="34"/>
      <c r="L422" s="34"/>
    </row>
    <row r="423" spans="2:12" x14ac:dyDescent="0.25">
      <c r="B423" s="24" t="str">
        <f t="shared" si="367"/>
        <v>-</v>
      </c>
      <c r="K423" s="34"/>
      <c r="L423" s="34"/>
    </row>
    <row r="424" spans="2:12" x14ac:dyDescent="0.25">
      <c r="B424" s="24" t="str">
        <f t="shared" si="367"/>
        <v>-</v>
      </c>
      <c r="K424" s="34"/>
      <c r="L424" s="34"/>
    </row>
    <row r="425" spans="2:12" x14ac:dyDescent="0.25">
      <c r="B425" s="24" t="str">
        <f t="shared" si="367"/>
        <v>-</v>
      </c>
      <c r="K425" s="34"/>
      <c r="L425" s="34"/>
    </row>
    <row r="426" spans="2:12" x14ac:dyDescent="0.25">
      <c r="B426" s="24" t="str">
        <f t="shared" si="367"/>
        <v>-</v>
      </c>
      <c r="K426" s="34"/>
      <c r="L426" s="34"/>
    </row>
    <row r="427" spans="2:12" x14ac:dyDescent="0.25">
      <c r="B427" s="24" t="str">
        <f t="shared" si="367"/>
        <v>-</v>
      </c>
      <c r="K427" s="34"/>
      <c r="L427" s="34"/>
    </row>
    <row r="428" spans="2:12" x14ac:dyDescent="0.25">
      <c r="B428" s="24" t="str">
        <f t="shared" si="367"/>
        <v>-</v>
      </c>
      <c r="K428" s="34"/>
      <c r="L428" s="34"/>
    </row>
    <row r="429" spans="2:12" x14ac:dyDescent="0.25">
      <c r="B429" s="24" t="str">
        <f t="shared" si="367"/>
        <v>-</v>
      </c>
      <c r="K429" s="34"/>
      <c r="L429" s="34"/>
    </row>
    <row r="430" spans="2:12" x14ac:dyDescent="0.25">
      <c r="B430" s="24" t="str">
        <f t="shared" si="367"/>
        <v>-</v>
      </c>
      <c r="K430" s="34"/>
      <c r="L430" s="34"/>
    </row>
    <row r="431" spans="2:12" x14ac:dyDescent="0.25">
      <c r="B431" s="24" t="str">
        <f t="shared" si="367"/>
        <v>-</v>
      </c>
      <c r="K431" s="34"/>
      <c r="L431" s="34"/>
    </row>
    <row r="432" spans="2:12" x14ac:dyDescent="0.25">
      <c r="B432" s="24" t="str">
        <f t="shared" si="367"/>
        <v>-</v>
      </c>
      <c r="K432" s="34"/>
      <c r="L432" s="34"/>
    </row>
    <row r="433" spans="2:12" x14ac:dyDescent="0.25">
      <c r="B433" s="24" t="str">
        <f t="shared" si="367"/>
        <v>-</v>
      </c>
      <c r="K433" s="34"/>
      <c r="L433" s="34"/>
    </row>
    <row r="434" spans="2:12" x14ac:dyDescent="0.25">
      <c r="B434" s="24" t="str">
        <f t="shared" si="367"/>
        <v>-</v>
      </c>
      <c r="K434" s="34"/>
      <c r="L434" s="34"/>
    </row>
    <row r="435" spans="2:12" x14ac:dyDescent="0.25">
      <c r="B435" s="24" t="str">
        <f t="shared" si="367"/>
        <v>-</v>
      </c>
      <c r="K435" s="34"/>
      <c r="L435" s="34"/>
    </row>
    <row r="436" spans="2:12" x14ac:dyDescent="0.25">
      <c r="B436" s="24" t="str">
        <f t="shared" si="367"/>
        <v>-</v>
      </c>
      <c r="K436" s="34"/>
      <c r="L436" s="34"/>
    </row>
    <row r="437" spans="2:12" x14ac:dyDescent="0.25">
      <c r="B437" s="24" t="str">
        <f t="shared" si="367"/>
        <v>-</v>
      </c>
      <c r="K437" s="34"/>
      <c r="L437" s="34"/>
    </row>
    <row r="438" spans="2:12" x14ac:dyDescent="0.25">
      <c r="B438" s="24" t="str">
        <f t="shared" si="367"/>
        <v>-</v>
      </c>
      <c r="K438" s="34"/>
      <c r="L438" s="34"/>
    </row>
    <row r="439" spans="2:12" x14ac:dyDescent="0.25">
      <c r="B439" s="24" t="str">
        <f t="shared" si="367"/>
        <v>-</v>
      </c>
      <c r="K439" s="34"/>
      <c r="L439" s="34"/>
    </row>
    <row r="440" spans="2:12" x14ac:dyDescent="0.25">
      <c r="B440" s="24" t="str">
        <f t="shared" si="367"/>
        <v>-</v>
      </c>
      <c r="K440" s="34"/>
      <c r="L440" s="34"/>
    </row>
    <row r="441" spans="2:12" x14ac:dyDescent="0.25">
      <c r="B441" s="24" t="str">
        <f t="shared" si="367"/>
        <v>-</v>
      </c>
      <c r="K441" s="34"/>
      <c r="L441" s="34"/>
    </row>
    <row r="442" spans="2:12" x14ac:dyDescent="0.25">
      <c r="B442" s="24" t="str">
        <f t="shared" si="367"/>
        <v>-</v>
      </c>
      <c r="K442" s="34"/>
      <c r="L442" s="34"/>
    </row>
    <row r="443" spans="2:12" x14ac:dyDescent="0.25">
      <c r="B443" s="24" t="str">
        <f t="shared" si="367"/>
        <v>-</v>
      </c>
      <c r="K443" s="34"/>
      <c r="L443" s="34"/>
    </row>
    <row r="444" spans="2:12" x14ac:dyDescent="0.25">
      <c r="B444" s="24" t="str">
        <f t="shared" si="367"/>
        <v>-</v>
      </c>
      <c r="K444" s="34"/>
      <c r="L444" s="34"/>
    </row>
    <row r="445" spans="2:12" x14ac:dyDescent="0.25">
      <c r="B445" s="24" t="str">
        <f t="shared" si="367"/>
        <v>-</v>
      </c>
      <c r="K445" s="34"/>
      <c r="L445" s="34"/>
    </row>
    <row r="446" spans="2:12" x14ac:dyDescent="0.25">
      <c r="B446" s="24" t="str">
        <f t="shared" si="367"/>
        <v>-</v>
      </c>
      <c r="K446" s="34"/>
      <c r="L446" s="34"/>
    </row>
    <row r="447" spans="2:12" x14ac:dyDescent="0.25">
      <c r="B447" s="24" t="str">
        <f t="shared" si="367"/>
        <v>-</v>
      </c>
      <c r="K447" s="34"/>
      <c r="L447" s="34"/>
    </row>
    <row r="448" spans="2:12" x14ac:dyDescent="0.25">
      <c r="B448" s="24" t="str">
        <f t="shared" si="367"/>
        <v>-</v>
      </c>
      <c r="K448" s="34"/>
      <c r="L448" s="34"/>
    </row>
    <row r="449" spans="2:12" x14ac:dyDescent="0.25">
      <c r="B449" s="24" t="str">
        <f t="shared" si="367"/>
        <v>-</v>
      </c>
      <c r="K449" s="34"/>
      <c r="L449" s="34"/>
    </row>
    <row r="450" spans="2:12" x14ac:dyDescent="0.25">
      <c r="B450" s="24" t="str">
        <f t="shared" si="367"/>
        <v>-</v>
      </c>
      <c r="K450" s="34"/>
      <c r="L450" s="34"/>
    </row>
    <row r="451" spans="2:12" x14ac:dyDescent="0.25">
      <c r="B451" s="24" t="str">
        <f t="shared" si="367"/>
        <v>-</v>
      </c>
      <c r="K451" s="34"/>
      <c r="L451" s="34"/>
    </row>
    <row r="452" spans="2:12" x14ac:dyDescent="0.25">
      <c r="B452" s="24" t="str">
        <f t="shared" si="367"/>
        <v>-</v>
      </c>
      <c r="K452" s="34"/>
      <c r="L452" s="34"/>
    </row>
    <row r="453" spans="2:12" x14ac:dyDescent="0.25">
      <c r="B453" s="24" t="str">
        <f t="shared" si="367"/>
        <v>-</v>
      </c>
      <c r="K453" s="34"/>
      <c r="L453" s="34"/>
    </row>
    <row r="454" spans="2:12" x14ac:dyDescent="0.25">
      <c r="B454" s="24" t="str">
        <f t="shared" si="367"/>
        <v>-</v>
      </c>
      <c r="K454" s="34"/>
      <c r="L454" s="34"/>
    </row>
    <row r="455" spans="2:12" x14ac:dyDescent="0.25">
      <c r="B455" s="24" t="str">
        <f t="shared" si="367"/>
        <v>-</v>
      </c>
      <c r="K455" s="34"/>
      <c r="L455" s="34"/>
    </row>
    <row r="456" spans="2:12" x14ac:dyDescent="0.25">
      <c r="B456" s="24" t="str">
        <f t="shared" si="367"/>
        <v>-</v>
      </c>
      <c r="K456" s="34"/>
      <c r="L456" s="34"/>
    </row>
    <row r="457" spans="2:12" x14ac:dyDescent="0.25">
      <c r="B457" s="24" t="str">
        <f t="shared" si="367"/>
        <v>-</v>
      </c>
      <c r="K457" s="34"/>
      <c r="L457" s="34"/>
    </row>
    <row r="458" spans="2:12" x14ac:dyDescent="0.25">
      <c r="B458" s="24" t="str">
        <f t="shared" si="367"/>
        <v>-</v>
      </c>
      <c r="K458" s="34"/>
      <c r="L458" s="34"/>
    </row>
    <row r="459" spans="2:12" x14ac:dyDescent="0.25">
      <c r="B459" s="24" t="str">
        <f t="shared" si="367"/>
        <v>-</v>
      </c>
      <c r="K459" s="34"/>
      <c r="L459" s="34"/>
    </row>
    <row r="460" spans="2:12" x14ac:dyDescent="0.25">
      <c r="B460" s="24" t="str">
        <f t="shared" si="367"/>
        <v>-</v>
      </c>
      <c r="K460" s="34"/>
      <c r="L460" s="34"/>
    </row>
    <row r="461" spans="2:12" x14ac:dyDescent="0.25">
      <c r="B461" s="24" t="str">
        <f t="shared" si="367"/>
        <v>-</v>
      </c>
      <c r="K461" s="34"/>
      <c r="L461" s="34"/>
    </row>
    <row r="462" spans="2:12" x14ac:dyDescent="0.25">
      <c r="B462" s="24" t="str">
        <f t="shared" si="367"/>
        <v>-</v>
      </c>
      <c r="K462" s="34"/>
      <c r="L462" s="34"/>
    </row>
    <row r="463" spans="2:12" x14ac:dyDescent="0.25">
      <c r="B463" s="24" t="str">
        <f t="shared" si="367"/>
        <v>-</v>
      </c>
      <c r="K463" s="34"/>
      <c r="L463" s="34"/>
    </row>
    <row r="464" spans="2:12" x14ac:dyDescent="0.25">
      <c r="B464" s="24" t="str">
        <f t="shared" si="367"/>
        <v>-</v>
      </c>
      <c r="K464" s="34"/>
      <c r="L464" s="34"/>
    </row>
    <row r="465" spans="2:12" x14ac:dyDescent="0.25">
      <c r="B465" s="24" t="str">
        <f t="shared" si="367"/>
        <v>-</v>
      </c>
      <c r="K465" s="34"/>
      <c r="L465" s="34"/>
    </row>
    <row r="466" spans="2:12" x14ac:dyDescent="0.25">
      <c r="B466" s="24" t="str">
        <f t="shared" ref="B466:B506" si="368">IF(A466&gt;A465,1+B465,"-")</f>
        <v>-</v>
      </c>
      <c r="K466" s="34"/>
      <c r="L466" s="34"/>
    </row>
    <row r="467" spans="2:12" x14ac:dyDescent="0.25">
      <c r="B467" s="24" t="str">
        <f t="shared" si="368"/>
        <v>-</v>
      </c>
      <c r="K467" s="34"/>
      <c r="L467" s="34"/>
    </row>
    <row r="468" spans="2:12" x14ac:dyDescent="0.25">
      <c r="B468" s="24" t="str">
        <f t="shared" si="368"/>
        <v>-</v>
      </c>
      <c r="K468" s="34"/>
      <c r="L468" s="34"/>
    </row>
    <row r="469" spans="2:12" x14ac:dyDescent="0.25">
      <c r="B469" s="24" t="str">
        <f t="shared" si="368"/>
        <v>-</v>
      </c>
      <c r="K469" s="34"/>
      <c r="L469" s="34"/>
    </row>
    <row r="470" spans="2:12" x14ac:dyDescent="0.25">
      <c r="B470" s="24" t="str">
        <f t="shared" si="368"/>
        <v>-</v>
      </c>
      <c r="K470" s="34"/>
      <c r="L470" s="34"/>
    </row>
    <row r="471" spans="2:12" x14ac:dyDescent="0.25">
      <c r="B471" s="24" t="str">
        <f t="shared" si="368"/>
        <v>-</v>
      </c>
      <c r="K471" s="34"/>
      <c r="L471" s="34"/>
    </row>
    <row r="472" spans="2:12" x14ac:dyDescent="0.25">
      <c r="B472" s="24" t="str">
        <f t="shared" si="368"/>
        <v>-</v>
      </c>
      <c r="K472" s="34"/>
      <c r="L472" s="34"/>
    </row>
    <row r="473" spans="2:12" x14ac:dyDescent="0.25">
      <c r="B473" s="24" t="str">
        <f t="shared" si="368"/>
        <v>-</v>
      </c>
      <c r="K473" s="34"/>
      <c r="L473" s="34"/>
    </row>
    <row r="474" spans="2:12" x14ac:dyDescent="0.25">
      <c r="B474" s="24" t="str">
        <f t="shared" si="368"/>
        <v>-</v>
      </c>
      <c r="K474" s="34"/>
      <c r="L474" s="34"/>
    </row>
    <row r="475" spans="2:12" x14ac:dyDescent="0.25">
      <c r="B475" s="24" t="str">
        <f t="shared" si="368"/>
        <v>-</v>
      </c>
      <c r="K475" s="34"/>
      <c r="L475" s="34"/>
    </row>
    <row r="476" spans="2:12" x14ac:dyDescent="0.25">
      <c r="B476" s="24" t="str">
        <f t="shared" si="368"/>
        <v>-</v>
      </c>
      <c r="K476" s="34"/>
      <c r="L476" s="34"/>
    </row>
    <row r="477" spans="2:12" x14ac:dyDescent="0.25">
      <c r="B477" s="24" t="str">
        <f t="shared" si="368"/>
        <v>-</v>
      </c>
      <c r="K477" s="34"/>
      <c r="L477" s="34"/>
    </row>
    <row r="478" spans="2:12" x14ac:dyDescent="0.25">
      <c r="B478" s="24" t="str">
        <f t="shared" si="368"/>
        <v>-</v>
      </c>
      <c r="K478" s="34"/>
      <c r="L478" s="34"/>
    </row>
    <row r="479" spans="2:12" x14ac:dyDescent="0.25">
      <c r="B479" s="24" t="str">
        <f t="shared" si="368"/>
        <v>-</v>
      </c>
      <c r="K479" s="34"/>
      <c r="L479" s="34"/>
    </row>
    <row r="480" spans="2:12" x14ac:dyDescent="0.25">
      <c r="B480" s="24" t="str">
        <f t="shared" si="368"/>
        <v>-</v>
      </c>
      <c r="K480" s="34"/>
      <c r="L480" s="34"/>
    </row>
    <row r="481" spans="2:12" x14ac:dyDescent="0.25">
      <c r="B481" s="24" t="str">
        <f t="shared" si="368"/>
        <v>-</v>
      </c>
      <c r="K481" s="34"/>
      <c r="L481" s="34"/>
    </row>
    <row r="482" spans="2:12" x14ac:dyDescent="0.25">
      <c r="B482" s="24" t="str">
        <f t="shared" si="368"/>
        <v>-</v>
      </c>
      <c r="K482" s="34"/>
      <c r="L482" s="34"/>
    </row>
    <row r="483" spans="2:12" x14ac:dyDescent="0.25">
      <c r="B483" s="24" t="str">
        <f t="shared" si="368"/>
        <v>-</v>
      </c>
      <c r="K483" s="34"/>
      <c r="L483" s="34"/>
    </row>
    <row r="484" spans="2:12" x14ac:dyDescent="0.25">
      <c r="B484" s="24" t="str">
        <f t="shared" si="368"/>
        <v>-</v>
      </c>
      <c r="K484" s="34"/>
      <c r="L484" s="34"/>
    </row>
    <row r="485" spans="2:12" x14ac:dyDescent="0.25">
      <c r="B485" s="24" t="str">
        <f t="shared" si="368"/>
        <v>-</v>
      </c>
      <c r="K485" s="34"/>
      <c r="L485" s="34"/>
    </row>
    <row r="486" spans="2:12" x14ac:dyDescent="0.25">
      <c r="B486" s="24" t="str">
        <f t="shared" si="368"/>
        <v>-</v>
      </c>
      <c r="K486" s="34"/>
      <c r="L486" s="34"/>
    </row>
    <row r="487" spans="2:12" x14ac:dyDescent="0.25">
      <c r="B487" s="24" t="str">
        <f t="shared" si="368"/>
        <v>-</v>
      </c>
      <c r="K487" s="34"/>
      <c r="L487" s="34"/>
    </row>
    <row r="488" spans="2:12" x14ac:dyDescent="0.25">
      <c r="B488" s="24" t="str">
        <f t="shared" si="368"/>
        <v>-</v>
      </c>
      <c r="K488" s="34"/>
      <c r="L488" s="34"/>
    </row>
    <row r="489" spans="2:12" x14ac:dyDescent="0.25">
      <c r="B489" s="24" t="str">
        <f t="shared" si="368"/>
        <v>-</v>
      </c>
      <c r="K489" s="34"/>
      <c r="L489" s="34"/>
    </row>
    <row r="490" spans="2:12" x14ac:dyDescent="0.25">
      <c r="B490" s="24" t="str">
        <f t="shared" si="368"/>
        <v>-</v>
      </c>
      <c r="K490" s="34"/>
      <c r="L490" s="34"/>
    </row>
    <row r="491" spans="2:12" x14ac:dyDescent="0.25">
      <c r="B491" s="24" t="str">
        <f t="shared" si="368"/>
        <v>-</v>
      </c>
      <c r="K491" s="34"/>
      <c r="L491" s="34"/>
    </row>
    <row r="492" spans="2:12" x14ac:dyDescent="0.25">
      <c r="B492" s="24" t="str">
        <f t="shared" si="368"/>
        <v>-</v>
      </c>
      <c r="K492" s="34"/>
      <c r="L492" s="34"/>
    </row>
    <row r="493" spans="2:12" x14ac:dyDescent="0.25">
      <c r="B493" s="24" t="str">
        <f t="shared" si="368"/>
        <v>-</v>
      </c>
      <c r="K493" s="34"/>
      <c r="L493" s="34"/>
    </row>
    <row r="494" spans="2:12" x14ac:dyDescent="0.25">
      <c r="B494" s="24" t="str">
        <f t="shared" si="368"/>
        <v>-</v>
      </c>
      <c r="K494" s="34"/>
      <c r="L494" s="34"/>
    </row>
    <row r="495" spans="2:12" x14ac:dyDescent="0.25">
      <c r="B495" s="24" t="str">
        <f t="shared" si="368"/>
        <v>-</v>
      </c>
      <c r="K495" s="34"/>
      <c r="L495" s="34"/>
    </row>
    <row r="496" spans="2:12" x14ac:dyDescent="0.25">
      <c r="B496" s="24" t="str">
        <f t="shared" si="368"/>
        <v>-</v>
      </c>
      <c r="K496" s="34"/>
      <c r="L496" s="34"/>
    </row>
    <row r="497" spans="2:12" x14ac:dyDescent="0.25">
      <c r="B497" s="24" t="str">
        <f t="shared" si="368"/>
        <v>-</v>
      </c>
      <c r="K497" s="34"/>
      <c r="L497" s="34"/>
    </row>
    <row r="498" spans="2:12" x14ac:dyDescent="0.25">
      <c r="B498" s="24" t="str">
        <f t="shared" si="368"/>
        <v>-</v>
      </c>
      <c r="K498" s="34"/>
      <c r="L498" s="34"/>
    </row>
    <row r="499" spans="2:12" x14ac:dyDescent="0.25">
      <c r="B499" s="24" t="str">
        <f t="shared" si="368"/>
        <v>-</v>
      </c>
      <c r="K499" s="34"/>
      <c r="L499" s="34"/>
    </row>
    <row r="500" spans="2:12" x14ac:dyDescent="0.25">
      <c r="B500" s="24" t="str">
        <f t="shared" si="368"/>
        <v>-</v>
      </c>
    </row>
    <row r="501" spans="2:12" x14ac:dyDescent="0.25">
      <c r="B501" s="24" t="str">
        <f t="shared" si="368"/>
        <v>-</v>
      </c>
    </row>
    <row r="502" spans="2:12" x14ac:dyDescent="0.25">
      <c r="B502" s="24" t="str">
        <f t="shared" si="368"/>
        <v>-</v>
      </c>
    </row>
    <row r="503" spans="2:12" x14ac:dyDescent="0.25">
      <c r="B503" s="24" t="str">
        <f t="shared" si="368"/>
        <v>-</v>
      </c>
    </row>
    <row r="504" spans="2:12" x14ac:dyDescent="0.25">
      <c r="B504" s="24" t="str">
        <f t="shared" si="368"/>
        <v>-</v>
      </c>
    </row>
    <row r="505" spans="2:12" x14ac:dyDescent="0.25">
      <c r="B505" s="24" t="str">
        <f t="shared" si="368"/>
        <v>-</v>
      </c>
    </row>
    <row r="506" spans="2:12" x14ac:dyDescent="0.25">
      <c r="B506" s="24" t="str">
        <f t="shared" si="368"/>
        <v>-</v>
      </c>
    </row>
  </sheetData>
  <mergeCells count="25">
    <mergeCell ref="AY207:AZ207"/>
    <mergeCell ref="AC14:AD14"/>
    <mergeCell ref="AE14:AF14"/>
    <mergeCell ref="AG14:AH14"/>
    <mergeCell ref="AI14:AJ14"/>
    <mergeCell ref="AK14:AL14"/>
    <mergeCell ref="AM14:AN14"/>
    <mergeCell ref="AO14:AP14"/>
    <mergeCell ref="AQ14:AR14"/>
    <mergeCell ref="AS14:AT14"/>
    <mergeCell ref="AU14:AV14"/>
    <mergeCell ref="AW14:AX14"/>
    <mergeCell ref="AY14:AZ14"/>
    <mergeCell ref="AC165:AD165"/>
    <mergeCell ref="AW248:AX248"/>
    <mergeCell ref="AI248:AJ248"/>
    <mergeCell ref="AK248:AL248"/>
    <mergeCell ref="AM248:AN248"/>
    <mergeCell ref="AO248:AP248"/>
    <mergeCell ref="AQ248:AR248"/>
    <mergeCell ref="AE208:AF208"/>
    <mergeCell ref="AG244:AH244"/>
    <mergeCell ref="AG222:AH222"/>
    <mergeCell ref="AS248:AT248"/>
    <mergeCell ref="AU248:AV248"/>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E506"/>
  <sheetViews>
    <sheetView zoomScaleNormal="100" workbookViewId="0">
      <pane xSplit="2" ySplit="15" topLeftCell="C313" activePane="bottomRight" state="frozen"/>
      <selection pane="topRight" activeCell="AF257" sqref="AF257"/>
      <selection pane="bottomLeft" activeCell="AF257" sqref="AF257"/>
      <selection pane="bottomRight" activeCell="D319" sqref="D319"/>
    </sheetView>
  </sheetViews>
  <sheetFormatPr defaultColWidth="11" defaultRowHeight="15.75" x14ac:dyDescent="0.25"/>
  <cols>
    <col min="1" max="1" width="12" customWidth="1"/>
    <col min="2" max="2" width="4.125" style="23" bestFit="1" customWidth="1"/>
    <col min="3" max="3" width="28.5" style="23" bestFit="1" customWidth="1"/>
    <col min="4" max="4" width="10.125" style="23" bestFit="1" customWidth="1"/>
    <col min="5" max="5" width="13.5" style="2" bestFit="1" customWidth="1"/>
    <col min="6" max="6" width="8.625" style="22" bestFit="1" customWidth="1"/>
    <col min="7" max="7" width="9.125" bestFit="1" customWidth="1"/>
    <col min="8" max="8" width="10.125" bestFit="1" customWidth="1"/>
    <col min="9" max="9" width="1.625" customWidth="1"/>
    <col min="10" max="10" width="11.625" customWidth="1"/>
    <col min="11" max="11" width="10.125" style="23" bestFit="1" customWidth="1"/>
    <col min="12" max="12" width="13.625" style="23" bestFit="1" customWidth="1"/>
    <col min="13" max="13" width="7.125" bestFit="1" customWidth="1"/>
    <col min="14" max="14" width="9.125" bestFit="1" customWidth="1"/>
    <col min="15" max="15" width="2" customWidth="1"/>
    <col min="16" max="16" width="12.125" customWidth="1"/>
    <col min="17" max="17" width="10.125" bestFit="1" customWidth="1"/>
    <col min="18" max="18" width="13.625" bestFit="1" customWidth="1"/>
    <col min="19" max="19" width="7.125" bestFit="1" customWidth="1"/>
    <col min="20" max="20" width="9.125" bestFit="1" customWidth="1"/>
    <col min="21" max="21" width="9.125" customWidth="1"/>
    <col min="22" max="22" width="1.625" customWidth="1"/>
    <col min="23" max="24" width="10.125" customWidth="1"/>
    <col min="25" max="25" width="13.5" bestFit="1" customWidth="1"/>
    <col min="26" max="26" width="10.125" style="23" customWidth="1"/>
    <col min="27" max="27" width="10.125" customWidth="1"/>
    <col min="28" max="28" width="5.625" customWidth="1"/>
    <col min="29" max="32" width="10" customWidth="1"/>
    <col min="33" max="36" width="8.625" customWidth="1"/>
    <col min="37" max="40" width="10" customWidth="1"/>
    <col min="41" max="42" width="10.625" customWidth="1"/>
    <col min="43" max="44" width="8.625" customWidth="1"/>
    <col min="45" max="45" width="7.5" customWidth="1"/>
    <col min="46" max="46" width="8.125" bestFit="1" customWidth="1"/>
    <col min="47" max="48" width="9.125" customWidth="1"/>
    <col min="49" max="50" width="8.125" customWidth="1"/>
    <col min="52" max="52" width="12.125" bestFit="1" customWidth="1"/>
    <col min="53" max="53" width="12.5" bestFit="1" customWidth="1"/>
  </cols>
  <sheetData>
    <row r="1" spans="1:57" x14ac:dyDescent="0.25">
      <c r="C1" s="74" t="s">
        <v>88</v>
      </c>
      <c r="D1" s="13"/>
      <c r="E1" s="14"/>
      <c r="F1" s="15"/>
      <c r="I1" s="39"/>
      <c r="J1" s="7" t="s">
        <v>38</v>
      </c>
      <c r="K1" s="13"/>
      <c r="L1" s="13"/>
      <c r="M1" s="14"/>
      <c r="N1" s="15"/>
      <c r="O1" s="39"/>
      <c r="P1" s="7" t="s">
        <v>39</v>
      </c>
      <c r="Q1" s="13"/>
      <c r="R1" s="13"/>
      <c r="S1" s="14"/>
      <c r="T1" s="15"/>
      <c r="U1" s="15"/>
      <c r="V1" s="39"/>
      <c r="W1" s="7" t="s">
        <v>289</v>
      </c>
    </row>
    <row r="2" spans="1:57" x14ac:dyDescent="0.25">
      <c r="A2" s="7"/>
      <c r="C2" s="36"/>
      <c r="D2" s="16"/>
      <c r="E2" s="16"/>
      <c r="F2" s="16"/>
      <c r="G2" s="16"/>
      <c r="H2" s="16"/>
      <c r="I2" s="39"/>
      <c r="K2" s="16"/>
      <c r="L2" s="36"/>
      <c r="M2" s="16"/>
      <c r="N2" s="16"/>
      <c r="O2" s="39"/>
      <c r="Q2" s="16"/>
      <c r="R2" s="36"/>
      <c r="S2" s="16"/>
      <c r="T2" s="16"/>
      <c r="U2" s="16"/>
      <c r="V2" s="39"/>
    </row>
    <row r="3" spans="1:57" x14ac:dyDescent="0.25">
      <c r="C3" s="7"/>
      <c r="D3" s="191"/>
      <c r="E3" s="16"/>
      <c r="F3" s="16"/>
      <c r="G3" s="16"/>
      <c r="H3" s="16"/>
      <c r="I3" s="39"/>
      <c r="K3" s="16"/>
      <c r="L3" s="16"/>
      <c r="M3" s="16"/>
      <c r="N3" s="16"/>
      <c r="O3" s="39"/>
      <c r="P3" s="43"/>
      <c r="Q3" s="42"/>
      <c r="R3" s="16"/>
      <c r="S3" s="16"/>
      <c r="T3" s="16"/>
      <c r="U3" s="16"/>
      <c r="V3" s="39"/>
      <c r="W3" s="43"/>
      <c r="X3" s="42"/>
      <c r="Y3" s="16"/>
      <c r="AA3" s="16"/>
    </row>
    <row r="4" spans="1:57" x14ac:dyDescent="0.25">
      <c r="A4" s="7"/>
      <c r="D4" s="16" t="s">
        <v>41</v>
      </c>
      <c r="E4" s="23" t="s">
        <v>42</v>
      </c>
      <c r="F4" s="17" t="s">
        <v>43</v>
      </c>
      <c r="G4" s="35" t="s">
        <v>44</v>
      </c>
      <c r="H4" s="17" t="s">
        <v>45</v>
      </c>
      <c r="I4" s="39"/>
      <c r="K4" s="23" t="s">
        <v>41</v>
      </c>
      <c r="L4" s="17" t="s">
        <v>43</v>
      </c>
      <c r="M4" s="17" t="s">
        <v>45</v>
      </c>
      <c r="N4" s="35"/>
      <c r="O4" s="40"/>
      <c r="Q4" s="23" t="s">
        <v>41</v>
      </c>
      <c r="R4" s="23" t="s">
        <v>42</v>
      </c>
      <c r="S4" s="17" t="s">
        <v>43</v>
      </c>
      <c r="T4" s="35" t="s">
        <v>44</v>
      </c>
      <c r="U4" s="17" t="s">
        <v>45</v>
      </c>
      <c r="V4" s="40"/>
      <c r="X4" s="23" t="s">
        <v>41</v>
      </c>
      <c r="Y4" s="23" t="s">
        <v>42</v>
      </c>
      <c r="Z4" s="17" t="s">
        <v>43</v>
      </c>
      <c r="AA4" s="17" t="s">
        <v>45</v>
      </c>
    </row>
    <row r="5" spans="1:57" x14ac:dyDescent="0.25">
      <c r="B5" s="23">
        <v>12</v>
      </c>
      <c r="C5" s="7" t="s">
        <v>7</v>
      </c>
      <c r="D5" s="16">
        <f t="array" aca="1" ref="D5" ca="1">IFERROR((GEOMEAN(1+OFFSET(D$16,MAX($B$16:$B$506)-$B$5+1,0,$B$5,1)/100)^$B$5-1)*100,"N/A")</f>
        <v>9.0771338005631428</v>
      </c>
      <c r="E5" s="36">
        <f t="shared" ref="E5:E13" ca="1" si="0">IFERROR(D5-$K5,"N/A")</f>
        <v>-8.7828501181670404</v>
      </c>
      <c r="F5" s="16">
        <f ca="1">IFERROR(SLOPE(OFFSET(D$16,MAX($B$16:$B$506)-$B$5+1,0,$B$5,1),OFFSET($K$16,MAX($B$16:$B$506)-$B$5+1,0,$B$5,1)),"N/A")</f>
        <v>0.3007145938453899</v>
      </c>
      <c r="G5" s="16">
        <f t="array" aca="1" ref="G5" ca="1">IFERROR(INTERCEPT(OFFSET(D$16,MAX($B$16:$B$506)-$B$5+1,0,$B$5,1),OFFSET($K$16,MAX($B$16:$B$506)-$B$5+1,0,$B$5,1))*12,"N/A")</f>
        <v>3.8005155890320044</v>
      </c>
      <c r="H5" s="16">
        <f ca="1">IFERROR(STDEVP(OFFSET(D$16,MAX($B$16:$B$506)-$B$5+1,0,$B$5,1))*SQRT(12),"N/A")</f>
        <v>6.7137267118584374</v>
      </c>
      <c r="I5" s="39"/>
      <c r="J5" s="7" t="s">
        <v>7</v>
      </c>
      <c r="K5" s="16">
        <f t="array" aca="1" ref="K5" ca="1">IFERROR((GEOMEAN(1+OFFSET(K$16,MAX($B$16:$B$506)-$B$5+1,0,$B$5,1)/100)^$B$5-1)*100,"N/A")</f>
        <v>17.859983918730183</v>
      </c>
      <c r="L5" s="16">
        <f ca="1">IFERROR(SLOPE(OFFSET(K$16,MAX($B$16:$B$506)-$B$5+1,0,$B$5,1),OFFSET($K$16,MAX($B$16:$B$506)-$B$5+1,0,$B$5,1)),"N/A")</f>
        <v>1</v>
      </c>
      <c r="M5" s="16">
        <f ca="1">IFERROR(STDEVP(OFFSET(K$16,MAX($B$16:$B$506)-$B$5+1,0,$B$5,1))*SQRT(12),"N/A")</f>
        <v>10.521018926463862</v>
      </c>
      <c r="N5" s="16"/>
      <c r="O5" s="40"/>
      <c r="P5" s="7" t="s">
        <v>7</v>
      </c>
      <c r="Q5" s="16">
        <f t="array" aca="1" ref="Q5" ca="1">IFERROR((GEOMEAN(1+OFFSET(Q$16,MAX($B$16:$B$506)-$B$5+1,0,$B$5,1)/100)^$B$5-1)*100,"N/A")</f>
        <v>12.24678781913353</v>
      </c>
      <c r="R5" s="36">
        <f t="shared" ref="R5:R13" ca="1" si="1">IFERROR(Q5-$K5,"N/A")</f>
        <v>-5.613196099596653</v>
      </c>
      <c r="S5" s="16">
        <f ca="1">IFERROR(SLOPE(OFFSET(Q$16,MAX($B$16:$B$506)-$B$5+1,0,$B$5,1),OFFSET($K$16,MAX($B$16:$B$506)-$B$5+1,0,$B$5,1)),"N/A")</f>
        <v>0.57084148166651016</v>
      </c>
      <c r="T5" s="16">
        <f t="array" aca="1" ref="T5" ca="1">IFERROR(INTERCEPT(OFFSET(Q$16,MAX($B$16:$B$506)-$B$5+1,0,$B$5,1),OFFSET($K$16,MAX($B$16:$B$506)-$B$5+1,0,$B$5,1))*12,"N/A")</f>
        <v>2.101220207085059</v>
      </c>
      <c r="U5" s="16">
        <f ca="1">IFERROR(STDEVP(OFFSET(Q$16,MAX($B$16:$B$506)-$B$5+1,0,$B$5,1))*SQRT(12),"N/A")</f>
        <v>7.1053408338435471</v>
      </c>
      <c r="V5" s="40"/>
      <c r="W5" s="7" t="s">
        <v>7</v>
      </c>
      <c r="X5" s="16">
        <f t="array" aca="1" ref="X5" ca="1">IFERROR((GEOMEAN(1+OFFSET(X$16,MAX($B$16:$B$506)-$B$5+1,0,$B$5,1)/100)^$B$5-1)*100,"N/A")</f>
        <v>4.3575278943008167</v>
      </c>
      <c r="Y5" s="36">
        <f t="shared" ref="Y5:Y13" ca="1" si="2">IFERROR(X5-$K6,"N/A")</f>
        <v>-13.502456024429367</v>
      </c>
      <c r="Z5" s="16">
        <f ca="1">IFERROR(SLOPE(OFFSET(X$16,MAX($B$16:$B$506)-$B$5+1,0,$B$5,1),OFFSET($K$16,MAX($B$16:$B$506)-$B$5+1,0,$B$5,1)),"N/A")</f>
        <v>-8.0393747013373526E-2</v>
      </c>
      <c r="AA5" s="16">
        <f ca="1">IFERROR(STDEVP(OFFSET(X$16,MAX($B$16:$B$506)-$B$5+1,0,$B$5,1))*SQRT(12),"N/A")</f>
        <v>8.2295016345665157</v>
      </c>
    </row>
    <row r="6" spans="1:57" x14ac:dyDescent="0.25">
      <c r="C6" s="7" t="s">
        <v>46</v>
      </c>
      <c r="D6" s="16">
        <f t="array" aca="1" ref="D6" ca="1">IFERROR((GEOMEAN(1+OFFSET(D$16,MAX($B$16:$B$506)-11,0,12,1)/100)^12-1)*100,"N/A")</f>
        <v>9.0771338005631428</v>
      </c>
      <c r="E6" s="36">
        <f t="shared" ca="1" si="0"/>
        <v>-8.7828501181670404</v>
      </c>
      <c r="F6" s="16">
        <f ca="1">IFERROR(SLOPE(OFFSET(D$16,MAX($B$16:$B$506)-11,0,12,1),OFFSET($K$16,MAX($B$16:$B$506)-11,0,12,1)),"N/A")</f>
        <v>0.3007145938453899</v>
      </c>
      <c r="G6" s="16">
        <f ca="1">IFERROR(INTERCEPT(OFFSET(D$16,MAX($B$16:$B$506)-11,0,12,1),OFFSET($K$16,MAX($B$16:$B$506)-11,0,12,1))*12,"N/A")</f>
        <v>3.8005155890320044</v>
      </c>
      <c r="H6" s="16">
        <f ca="1">IFERROR(STDEVP(OFFSET(D$16,MAX($B$16:$B$506)-11,0,12,1))*SQRT(12),"N/A")</f>
        <v>6.7137267118584374</v>
      </c>
      <c r="I6" s="39"/>
      <c r="J6" s="7" t="s">
        <v>46</v>
      </c>
      <c r="K6" s="16">
        <f t="array" aca="1" ref="K6" ca="1">IFERROR((GEOMEAN(1+OFFSET(K$16,MAX($B$16:$B$506)-11,0,12,1)/100)^12-1)*100,"N/A")</f>
        <v>17.859983918730183</v>
      </c>
      <c r="L6" s="16">
        <f ca="1">IFERROR(SLOPE(OFFSET(K$16,MAX($B$16:$B$506)-11,0,12,1),OFFSET($K$16,MAX($B$16:$B$506)-11,0,12,1)),"N/A")</f>
        <v>1</v>
      </c>
      <c r="M6" s="16">
        <f ca="1">IFERROR(STDEVP(OFFSET(K$16,MAX($B$16:$B$506)-11,0,12,1))*SQRT(12),"N/A")</f>
        <v>10.521018926463862</v>
      </c>
      <c r="N6" s="16"/>
      <c r="O6" s="41"/>
      <c r="P6" s="7" t="s">
        <v>46</v>
      </c>
      <c r="Q6" s="16">
        <f t="array" aca="1" ref="Q6" ca="1">IFERROR((GEOMEAN(1+OFFSET(Q$16,MAX($B$16:$B$506)-11,0,12,1)/100)^12-1)*100,"N/A")</f>
        <v>12.24678781913353</v>
      </c>
      <c r="R6" s="36">
        <f t="shared" ca="1" si="1"/>
        <v>-5.613196099596653</v>
      </c>
      <c r="S6" s="16">
        <f ca="1">IFERROR(SLOPE(OFFSET(Q$16,MAX($B$16:$B$506)-11,0,12,1),OFFSET($K$16,MAX($B$16:$B$506)-11,0,12,1)),"N/A")</f>
        <v>0.57084148166651016</v>
      </c>
      <c r="T6" s="16">
        <f ca="1">IFERROR(INTERCEPT(OFFSET(Q$16,MAX($B$16:$B$506)-11,0,12,1),OFFSET($K$16,MAX($B$16:$B$506)-11,0,12,1))*12,"N/A")</f>
        <v>2.101220207085059</v>
      </c>
      <c r="U6" s="16">
        <f ca="1">IFERROR(STDEVP(OFFSET(Q$16,MAX($B$16:$B$506)-11,0,12,1))*SQRT(12),"N/A")</f>
        <v>7.1053408338435471</v>
      </c>
      <c r="V6" s="41"/>
      <c r="W6" s="7" t="s">
        <v>46</v>
      </c>
      <c r="X6" s="16">
        <f t="array" aca="1" ref="X6" ca="1">IFERROR((GEOMEAN(1+OFFSET(X$16,MAX($B$16:$B$506)-11,0,12,1)/100)^12-1)*100,"N/A")</f>
        <v>4.3575278943008167</v>
      </c>
      <c r="Y6" s="36">
        <f t="shared" ca="1" si="2"/>
        <v>-17.01874419504761</v>
      </c>
      <c r="Z6" s="16">
        <f ca="1">IFERROR(SLOPE(OFFSET(X$16,MAX($B$16:$B$506)-11,0,12,1),OFFSET($K$16,MAX($B$16:$B$506)-11,0,12,1)),"N/A")</f>
        <v>-8.0393747013373526E-2</v>
      </c>
      <c r="AA6" s="16">
        <f ca="1">IFERROR(STDEVP(OFFSET(X$16,MAX($B$16:$B$506)-11,0,12,1))*SQRT(12),"N/A")</f>
        <v>8.2295016345665157</v>
      </c>
    </row>
    <row r="7" spans="1:57" x14ac:dyDescent="0.25">
      <c r="C7" s="7" t="s">
        <v>47</v>
      </c>
      <c r="D7" s="16">
        <f t="array" aca="1" ref="D7" ca="1">IFERROR((GEOMEAN(1+OFFSET(D$16,MAX($B$16:$B$506)-23,0,24,1)/100)^12-1)*100,"N/A")</f>
        <v>13.990404549323765</v>
      </c>
      <c r="E7" s="36">
        <f t="shared" ca="1" si="0"/>
        <v>-7.3858675400246607</v>
      </c>
      <c r="F7" s="16">
        <f ca="1">IFERROR(SLOPE(OFFSET(D$16,MAX($B$16:$B$506)-23,0,24,1),OFFSET($K$16,MAX($B$16:$B$506)-23,0,24,1)),"N/A")</f>
        <v>0.67863175425763655</v>
      </c>
      <c r="G7" s="16">
        <f ca="1">IFERROR(INTERCEPT(OFFSET(D$16,MAX($B$16:$B$506)-23,0,24,1),OFFSET($K$16,MAX($B$16:$B$506)-23,0,24,1))*12,"N/A")</f>
        <v>3.7018483836506633E-2</v>
      </c>
      <c r="H7" s="16">
        <f ca="1">IFERROR(STDEVP(OFFSET(D$16,MAX($B$16:$B$506)-23,0,24,1))*SQRT(12),"N/A")</f>
        <v>9.9401747524121884</v>
      </c>
      <c r="I7" s="39"/>
      <c r="J7" s="7" t="s">
        <v>47</v>
      </c>
      <c r="K7" s="16">
        <f t="array" aca="1" ref="K7" ca="1">IFERROR((GEOMEAN(1+OFFSET(K$16,MAX($B$16:$B$506)-23,0,24,1)/100)^12-1)*100,"N/A")</f>
        <v>21.376272089348426</v>
      </c>
      <c r="L7" s="16">
        <f ca="1">IFERROR(SLOPE(OFFSET(K$16,MAX($B$16:$B$506)-23,0,24,1),OFFSET($K$16,MAX($B$16:$B$506)-23,0,24,1)),"N/A")</f>
        <v>1</v>
      </c>
      <c r="M7" s="16">
        <f ca="1">IFERROR(STDEVP(OFFSET(K$16,MAX($B$16:$B$506)-23,0,24,1))*SQRT(12),"N/A")</f>
        <v>10.408855144412358</v>
      </c>
      <c r="N7" s="16"/>
      <c r="O7" s="41"/>
      <c r="P7" s="7" t="s">
        <v>47</v>
      </c>
      <c r="Q7" s="16">
        <f t="array" aca="1" ref="Q7" ca="1">IFERROR((GEOMEAN(1+OFFSET(Q$16,MAX($B$16:$B$506)-23,0,24,1)/100)^12-1)*100,"N/A")</f>
        <v>15.342648472817988</v>
      </c>
      <c r="R7" s="36">
        <f t="shared" ca="1" si="1"/>
        <v>-6.0336236165304378</v>
      </c>
      <c r="S7" s="16">
        <f ca="1">IFERROR(SLOPE(OFFSET(Q$16,MAX($B$16:$B$506)-23,0,24,1),OFFSET($K$16,MAX($B$16:$B$506)-23,0,24,1)),"N/A")</f>
        <v>0.70297198285018181</v>
      </c>
      <c r="T7" s="16">
        <f ca="1">IFERROR(INTERCEPT(OFFSET(Q$16,MAX($B$16:$B$506)-23,0,24,1),OFFSET($K$16,MAX($B$16:$B$506)-23,0,24,1))*12,"N/A")</f>
        <v>0.58014031755776241</v>
      </c>
      <c r="U7" s="16">
        <f ca="1">IFERROR(STDEVP(OFFSET(Q$16,MAX($B$16:$B$506)-23,0,24,1))*SQRT(12),"N/A")</f>
        <v>8.1174348412751058</v>
      </c>
      <c r="V7" s="41"/>
      <c r="W7" s="7" t="s">
        <v>47</v>
      </c>
      <c r="X7" s="16">
        <f t="array" aca="1" ref="X7" ca="1">IFERROR((GEOMEAN(1+OFFSET(X$16,MAX($B$16:$B$506)-23,0,24,1)/100)^12-1)*100,"N/A")</f>
        <v>9.1946034257897491</v>
      </c>
      <c r="Y7" s="36">
        <f t="shared" ca="1" si="2"/>
        <v>-13.787785535437513</v>
      </c>
      <c r="Z7" s="16">
        <f ca="1">IFERROR(SLOPE(OFFSET(X$16,MAX($B$16:$B$506)-23,0,24,1),OFFSET($K$16,MAX($B$16:$B$506)-23,0,24,1)),"N/A")</f>
        <v>0.36734110927057534</v>
      </c>
      <c r="AA7" s="16">
        <f ca="1">IFERROR(STDEVP(OFFSET(X$16,MAX($B$16:$B$506)-23,0,24,1))*SQRT(12),"N/A")</f>
        <v>10.053997010472431</v>
      </c>
    </row>
    <row r="8" spans="1:57" s="182" customFormat="1" x14ac:dyDescent="0.25">
      <c r="B8" s="183"/>
      <c r="C8" s="85" t="s">
        <v>48</v>
      </c>
      <c r="D8" s="184">
        <f t="array" aca="1" ref="D8" ca="1">IFERROR((GEOMEAN(1+OFFSET(D$16,MAX($B$16:$B$506)-35,0,36,1)/100)^12-1)*100,"N/A")</f>
        <v>12.883268435796257</v>
      </c>
      <c r="E8" s="185">
        <f t="shared" ca="1" si="0"/>
        <v>-10.099120525431005</v>
      </c>
      <c r="F8" s="184">
        <f ca="1">IFERROR(SLOPE(OFFSET(D$16,MAX($B$16:$B$506)-35,0,36,1),OFFSET($K$16,MAX($B$16:$B$506)-35,0,36,1)),"N/A")</f>
        <v>0.68622583095142942</v>
      </c>
      <c r="G8" s="184">
        <f ca="1">IFERROR(INTERCEPT(OFFSET(D$16,MAX($B$16:$B$506)-35,0,36,1),OFFSET($K$16,MAX($B$16:$B$506)-35,0,36,1))*12,"N/A")</f>
        <v>-2.096351408394459</v>
      </c>
      <c r="H8" s="184">
        <f ca="1">IFERROR(STDEVP(OFFSET(D$16,MAX($B$16:$B$506)-35,0,36,1))*SQRT(12),"N/A")</f>
        <v>10.189434720334633</v>
      </c>
      <c r="J8" s="85" t="s">
        <v>48</v>
      </c>
      <c r="K8" s="184">
        <f t="array" aca="1" ref="K8" ca="1">IFERROR((GEOMEAN(1+OFFSET(K$16,MAX($B$16:$B$506)-35,0,36,1)/100)^12-1)*100,"N/A")</f>
        <v>22.982388961227262</v>
      </c>
      <c r="L8" s="184">
        <f ca="1">IFERROR(SLOPE(OFFSET(K$16,MAX($B$16:$B$506)-35,0,36,1),OFFSET($K$16,MAX($B$16:$B$506)-35,0,36,1)),"N/A")</f>
        <v>1</v>
      </c>
      <c r="M8" s="184">
        <f ca="1">IFERROR(STDEVP(OFFSET(K$16,MAX($B$16:$B$506)-35,0,36,1))*SQRT(12),"N/A")</f>
        <v>11.787718554142021</v>
      </c>
      <c r="N8" s="184"/>
      <c r="O8" s="186"/>
      <c r="P8" s="85" t="s">
        <v>48</v>
      </c>
      <c r="Q8" s="184">
        <f t="array" aca="1" ref="Q8" ca="1">IFERROR((GEOMEAN(1+OFFSET(Q$16,MAX($B$16:$B$506)-35,0,36,1)/100)^12-1)*100,"N/A")</f>
        <v>16.938915715069449</v>
      </c>
      <c r="R8" s="185">
        <f t="shared" ca="1" si="1"/>
        <v>-6.0434732461578129</v>
      </c>
      <c r="S8" s="184">
        <f ca="1">IFERROR(SLOPE(OFFSET(Q$16,MAX($B$16:$B$506)-35,0,36,1),OFFSET($K$16,MAX($B$16:$B$506)-35,0,36,1)),"N/A")</f>
        <v>0.74561055585998748</v>
      </c>
      <c r="T8" s="184">
        <f ca="1">IFERROR(INTERCEPT(OFFSET(Q$16,MAX($B$16:$B$506)-35,0,36,1),OFFSET($K$16,MAX($B$16:$B$506)-35,0,36,1))*12,"N/A")</f>
        <v>0.12908565017293583</v>
      </c>
      <c r="U8" s="184">
        <f ca="1">IFERROR(STDEVP(OFFSET(Q$16,MAX($B$16:$B$506)-35,0,36,1))*SQRT(12),"N/A")</f>
        <v>9.5089490733714985</v>
      </c>
      <c r="V8" s="186"/>
      <c r="W8" s="85" t="s">
        <v>48</v>
      </c>
      <c r="X8" s="184">
        <f t="array" aca="1" ref="X8" ca="1">IFERROR((GEOMEAN(1+OFFSET(X$16,MAX($B$16:$B$506)-35,0,36,1)/100)^12-1)*100,"N/A")</f>
        <v>6.2917987717670432</v>
      </c>
      <c r="Y8" s="185">
        <f t="shared" ca="1" si="2"/>
        <v>-4.7936671990107538</v>
      </c>
      <c r="Z8" s="184">
        <f ca="1">IFERROR(SLOPE(OFFSET(X$16,MAX($B$16:$B$506)-35,0,36,1),OFFSET($K$16,MAX($B$16:$B$506)-35,0,36,1)),"N/A")</f>
        <v>0.48989091097118026</v>
      </c>
      <c r="AA8" s="184">
        <f ca="1">IFERROR(STDEVP(OFFSET(X$16,MAX($B$16:$B$506)-35,0,36,1))*SQRT(12),"N/A")</f>
        <v>10.468153725380597</v>
      </c>
    </row>
    <row r="9" spans="1:57" x14ac:dyDescent="0.25">
      <c r="C9" s="7" t="s">
        <v>49</v>
      </c>
      <c r="D9" s="16">
        <f t="array" aca="1" ref="D9" ca="1">IFERROR((GEOMEAN(1+OFFSET(D$16,MAX($B$16:$B$506)-47,0,48,1)/100)^12-1)*100,"N/A")</f>
        <v>6.1061404142439546</v>
      </c>
      <c r="E9" s="36">
        <f t="shared" ca="1" si="0"/>
        <v>-4.9793255565338423</v>
      </c>
      <c r="F9" s="16">
        <f ca="1">IFERROR(SLOPE(OFFSET(D$16,MAX($B$16:$B$506)-47,0,48,1),OFFSET($K$16,MAX($B$16:$B$506)-47,0,48,1)),"N/A")</f>
        <v>0.74087069033685415</v>
      </c>
      <c r="G9" s="16">
        <f ca="1">IFERROR(INTERCEPT(OFFSET(D$16,MAX($B$16:$B$506)-47,0,48,1),OFFSET($K$16,MAX($B$16:$B$506)-47,0,48,1))*12,"N/A")</f>
        <v>-1.9109020832766439</v>
      </c>
      <c r="H9" s="16">
        <f ca="1">IFERROR(STDEVP(OFFSET(D$16,MAX($B$16:$B$506)-47,0,48,1))*SQRT(12),"N/A")</f>
        <v>13.419105647051053</v>
      </c>
      <c r="I9" s="39"/>
      <c r="J9" s="7" t="s">
        <v>49</v>
      </c>
      <c r="K9" s="16">
        <f t="array" aca="1" ref="K9" ca="1">IFERROR((GEOMEAN(1+OFFSET(K$16,MAX($B$16:$B$506)-47,0,48,1)/100)^12-1)*100,"N/A")</f>
        <v>11.085465970777797</v>
      </c>
      <c r="L9" s="16">
        <f ca="1">IFERROR(SLOPE(OFFSET(K$16,MAX($B$16:$B$506)-47,0,48,1),OFFSET($K$16,MAX($B$16:$B$506)-47,0,48,1)),"N/A")</f>
        <v>1</v>
      </c>
      <c r="M9" s="16">
        <f ca="1">IFERROR(STDEVP(OFFSET(K$16,MAX($B$16:$B$506)-47,0,48,1))*SQRT(12),"N/A")</f>
        <v>15.787972455589738</v>
      </c>
      <c r="N9" s="16"/>
      <c r="O9" s="41"/>
      <c r="P9" s="7" t="s">
        <v>49</v>
      </c>
      <c r="Q9" s="16">
        <f t="array" aca="1" ref="Q9" ca="1">IFERROR((GEOMEAN(1+OFFSET(Q$16,MAX($B$16:$B$506)-47,0,48,1)/100)^12-1)*100,"N/A")</f>
        <v>7.5142335100297997</v>
      </c>
      <c r="R9" s="36">
        <f t="shared" ca="1" si="1"/>
        <v>-3.5712324607479973</v>
      </c>
      <c r="S9" s="16">
        <f ca="1">IFERROR(SLOPE(OFFSET(Q$16,MAX($B$16:$B$506)-47,0,48,1),OFFSET($K$16,MAX($B$16:$B$506)-47,0,48,1)),"N/A")</f>
        <v>0.81284932180948577</v>
      </c>
      <c r="T9" s="16">
        <f ca="1">IFERROR(INTERCEPT(OFFSET(Q$16,MAX($B$16:$B$506)-47,0,48,1),OFFSET($K$16,MAX($B$16:$B$506)-47,0,48,1))*12,"N/A")</f>
        <v>-1.4322125988176406</v>
      </c>
      <c r="U9" s="16">
        <f ca="1">IFERROR(STDEVP(OFFSET(Q$16,MAX($B$16:$B$506)-47,0,48,1))*SQRT(12),"N/A")</f>
        <v>13.386429016312212</v>
      </c>
      <c r="V9" s="41"/>
      <c r="W9" s="7" t="s">
        <v>49</v>
      </c>
      <c r="X9" s="16">
        <f t="array" aca="1" ref="X9" ca="1">IFERROR((GEOMEAN(1+OFFSET(X$16,MAX($B$16:$B$506)-47,0,48,1)/100)^12-1)*100,"N/A")</f>
        <v>3.4615128039265919</v>
      </c>
      <c r="Y9" s="36">
        <f t="shared" ca="1" si="2"/>
        <v>-10.938722840059988</v>
      </c>
      <c r="Z9" s="16">
        <f ca="1">IFERROR(SLOPE(OFFSET(X$16,MAX($B$16:$B$506)-47,0,48,1),OFFSET($K$16,MAX($B$16:$B$506)-47,0,48,1)),"N/A")</f>
        <v>0.55345764175090184</v>
      </c>
      <c r="AA9" s="16">
        <f ca="1">IFERROR(STDEVP(OFFSET(X$16,MAX($B$16:$B$506)-47,0,48,1))*SQRT(12),"N/A")</f>
        <v>12.138202698161628</v>
      </c>
    </row>
    <row r="10" spans="1:57" x14ac:dyDescent="0.25">
      <c r="C10" s="7" t="s">
        <v>50</v>
      </c>
      <c r="D10" s="16">
        <f t="array" aca="1" ref="D10" ca="1">IFERROR((GEOMEAN(1+OFFSET(D$16,MAX($B$16:$B$506)-59,0,60,1)/100)^12-1)*100,"N/A")</f>
        <v>8.3141642632519783</v>
      </c>
      <c r="E10" s="36">
        <f t="shared" ca="1" si="0"/>
        <v>-6.0860713807346016</v>
      </c>
      <c r="F10" s="16">
        <f ca="1">IFERROR(SLOPE(OFFSET(D$16,MAX($B$16:$B$506)-59,0,60,1),OFFSET($K$16,MAX($B$16:$B$506)-59,0,60,1)),"N/A")</f>
        <v>0.77985611009465983</v>
      </c>
      <c r="G10" s="16">
        <f ca="1">IFERROR(INTERCEPT(OFFSET(D$16,MAX($B$16:$B$506)-59,0,60,1),OFFSET($K$16,MAX($B$16:$B$506)-59,0,60,1))*12,"N/A")</f>
        <v>-2.5350068639344787</v>
      </c>
      <c r="H10" s="16">
        <f ca="1">IFERROR(STDEVP(OFFSET(D$16,MAX($B$16:$B$506)-59,0,60,1))*SQRT(12),"N/A")</f>
        <v>13.298802577939448</v>
      </c>
      <c r="I10" s="39"/>
      <c r="J10" s="7" t="s">
        <v>50</v>
      </c>
      <c r="K10" s="16">
        <f t="array" aca="1" ref="K10" ca="1">IFERROR((GEOMEAN(1+OFFSET(K$16,MAX($B$16:$B$506)-59,0,60,1)/100)^12-1)*100,"N/A")</f>
        <v>14.40023564398658</v>
      </c>
      <c r="L10" s="16">
        <f ca="1">IFERROR(SLOPE(OFFSET(K$16,MAX($B$16:$B$506)-59,0,60,1),OFFSET($K$16,MAX($B$16:$B$506)-59,0,60,1)),"N/A")</f>
        <v>1</v>
      </c>
      <c r="M10" s="16">
        <f ca="1">IFERROR(STDEVP(OFFSET(K$16,MAX($B$16:$B$506)-59,0,60,1))*SQRT(12),"N/A")</f>
        <v>14.982539708393594</v>
      </c>
      <c r="N10" s="16"/>
      <c r="O10" s="41"/>
      <c r="P10" s="7" t="s">
        <v>50</v>
      </c>
      <c r="Q10" s="16">
        <f t="array" aca="1" ref="Q10" ca="1">IFERROR((GEOMEAN(1+OFFSET(Q$16,MAX($B$16:$B$506)-59,0,60,1)/100)^12-1)*100,"N/A")</f>
        <v>11.138063313248558</v>
      </c>
      <c r="R10" s="36">
        <f t="shared" ca="1" si="1"/>
        <v>-3.2621723307380215</v>
      </c>
      <c r="S10" s="16">
        <f ca="1">IFERROR(SLOPE(OFFSET(Q$16,MAX($B$16:$B$506)-59,0,60,1),OFFSET($K$16,MAX($B$16:$B$506)-59,0,60,1)),"N/A")</f>
        <v>0.84847871834492938</v>
      </c>
      <c r="T10" s="16">
        <f ca="1">IFERROR(INTERCEPT(OFFSET(Q$16,MAX($B$16:$B$506)-59,0,60,1),OFFSET($K$16,MAX($B$16:$B$506)-59,0,60,1))*12,"N/A")</f>
        <v>-0.93936987994797727</v>
      </c>
      <c r="U10" s="16">
        <f ca="1">IFERROR(STDEVP(OFFSET(Q$16,MAX($B$16:$B$506)-59,0,60,1))*SQRT(12),"N/A")</f>
        <v>13.307680151859685</v>
      </c>
      <c r="V10" s="41"/>
      <c r="W10" s="7" t="s">
        <v>50</v>
      </c>
      <c r="X10" s="16">
        <f t="array" aca="1" ref="X10" ca="1">IFERROR((GEOMEAN(1+OFFSET(X$16,MAX($B$16:$B$506)-59,0,60,1)/100)^12-1)*100,"N/A")</f>
        <v>7.3495830452092736</v>
      </c>
      <c r="Y10" s="36">
        <f t="shared" ca="1" si="2"/>
        <v>-7.4537142562192127</v>
      </c>
      <c r="Z10" s="16">
        <f ca="1">IFERROR(SLOPE(OFFSET(X$16,MAX($B$16:$B$506)-59,0,60,1),OFFSET($K$16,MAX($B$16:$B$506)-59,0,60,1)),"N/A")</f>
        <v>0.61101938017850466</v>
      </c>
      <c r="AA10" s="16">
        <f ca="1">IFERROR(STDEVP(OFFSET(X$16,MAX($B$16:$B$506)-59,0,60,1))*SQRT(12),"N/A")</f>
        <v>12.625094498355409</v>
      </c>
      <c r="AD10">
        <f>AD209/AZ209</f>
        <v>0.56806966806971237</v>
      </c>
      <c r="AE10">
        <f>AF209/AZ209</f>
        <v>0.43193033193028774</v>
      </c>
    </row>
    <row r="11" spans="1:57" x14ac:dyDescent="0.25">
      <c r="C11" s="7" t="s">
        <v>51</v>
      </c>
      <c r="D11" s="16">
        <f t="array" aca="1" ref="D11" ca="1">IFERROR((GEOMEAN(1+OFFSET(D$16,MAX($B$16:$B$506)-119,0,120,1)/100)^12-1)*100,"N/A")</f>
        <v>10.503036796555421</v>
      </c>
      <c r="E11" s="36">
        <f t="shared" ca="1" si="0"/>
        <v>-4.3002605048730658</v>
      </c>
      <c r="F11" s="16">
        <f ca="1">IFERROR(SLOPE(OFFSET(D$16,MAX($B$16:$B$506)-119,0,120,1),OFFSET($K$16,MAX($B$16:$B$506)-119,0,120,1)),"N/A")</f>
        <v>0.79929337831506386</v>
      </c>
      <c r="G11" s="16">
        <f ca="1">IFERROR(INTERCEPT(OFFSET(D$16,MAX($B$16:$B$506)-119,0,120,1),OFFSET($K$16,MAX($B$16:$B$506)-119,0,120,1))*12,"N/A")</f>
        <v>-1.1033387848181349</v>
      </c>
      <c r="H11" s="16">
        <f ca="1">IFERROR(STDEVP(OFFSET(D$16,MAX($B$16:$B$506)-119,0,120,1))*SQRT(12),"N/A")</f>
        <v>13.193271683887374</v>
      </c>
      <c r="I11" s="39"/>
      <c r="J11" s="7" t="s">
        <v>51</v>
      </c>
      <c r="K11" s="16">
        <f t="array" aca="1" ref="K11" ca="1">IFERROR((GEOMEAN(1+OFFSET(K$16,MAX($B$16:$B$506)-119,0,120,1)/100)^12-1)*100,"N/A")</f>
        <v>14.803297301428486</v>
      </c>
      <c r="L11" s="16">
        <f ca="1">IFERROR(SLOPE(OFFSET(K$16,MAX($B$16:$B$506)-119,0,120,1),OFFSET($K$16,MAX($B$16:$B$506)-119,0,120,1)),"N/A")</f>
        <v>1</v>
      </c>
      <c r="M11" s="16">
        <f ca="1">IFERROR(STDEVP(OFFSET(K$16,MAX($B$16:$B$506)-119,0,120,1))*SQRT(12),"N/A")</f>
        <v>15.056111052702541</v>
      </c>
      <c r="N11" s="16"/>
      <c r="O11" s="41"/>
      <c r="P11" s="7" t="s">
        <v>51</v>
      </c>
      <c r="Q11" s="16">
        <f t="array" aca="1" ref="Q11" ca="1">IFERROR((GEOMEAN(1+OFFSET(Q$16,MAX($B$16:$B$506)-119,0,120,1)/100)^12-1)*100,"N/A")</f>
        <v>12.825831855023528</v>
      </c>
      <c r="R11" s="36">
        <f t="shared" ca="1" si="1"/>
        <v>-1.9774654464049579</v>
      </c>
      <c r="S11" s="16">
        <f ca="1">IFERROR(SLOPE(OFFSET(Q$16,MAX($B$16:$B$506)-119,0,120,1),OFFSET($K$16,MAX($B$16:$B$506)-119,0,120,1)),"N/A")</f>
        <v>0.85660272345347899</v>
      </c>
      <c r="T11" s="16">
        <f ca="1">IFERROR(INTERCEPT(OFFSET(Q$16,MAX($B$16:$B$506)-119,0,120,1),OFFSET($K$16,MAX($B$16:$B$506)-119,0,120,1))*12,"N/A")</f>
        <v>0.15423805621308517</v>
      </c>
      <c r="U11" s="16">
        <f ca="1">IFERROR(STDEVP(OFFSET(Q$16,MAX($B$16:$B$506)-119,0,120,1))*SQRT(12),"N/A")</f>
        <v>13.350050865592021</v>
      </c>
      <c r="V11" s="41"/>
      <c r="W11" s="7" t="s">
        <v>51</v>
      </c>
      <c r="X11" s="16">
        <f t="array" aca="1" ref="X11" ca="1">IFERROR((GEOMEAN(1+OFFSET(X$16,MAX($B$16:$B$506)-119,0,120,1)/100)^12-1)*100,"N/A")</f>
        <v>8.9173183664750901</v>
      </c>
      <c r="Y11" s="36">
        <f t="shared" ca="1" si="2"/>
        <v>0.85041593105936641</v>
      </c>
      <c r="Z11" s="16">
        <f ca="1">IF(P12="N/A","N/A",IFERROR(SLOPE(OFFSET(X$16,MAX($B$16:$B$506)-119,0,120,1),OFFSET($K$16,MAX($B$16:$B$506)-119,0,120,1)),"N/A"))</f>
        <v>0.64708530198889125</v>
      </c>
      <c r="AA11" s="16">
        <f ca="1">IFERROR(STDEVP(OFFSET(X$16,MAX($B$16:$B$506)-119,0,120,1))*SQRT(12),"N/A")</f>
        <v>12.473098339327269</v>
      </c>
      <c r="AD11">
        <f>AD10*AC210</f>
        <v>1.0734498640773098</v>
      </c>
      <c r="AE11">
        <f>AE10*AE210</f>
        <v>0.95327024257014492</v>
      </c>
      <c r="AF11" s="192">
        <f>AD11+AE11</f>
        <v>2.0267201066474545</v>
      </c>
    </row>
    <row r="12" spans="1:57" x14ac:dyDescent="0.25">
      <c r="C12" s="7" t="s">
        <v>52</v>
      </c>
      <c r="D12" s="16" cm="1">
        <f t="array" aca="1" ref="D12" ca="1">IFERROR((GEOMEAN(1+OFFSET(D$16,1,0,MAX($B$16:$B$506),1)/100)^12-1)*100,"N/A")</f>
        <v>11.383944854742612</v>
      </c>
      <c r="E12" s="36">
        <f t="shared" ca="1" si="0"/>
        <v>3.3170424193268886</v>
      </c>
      <c r="F12" s="16">
        <f ca="1">IFERROR(SLOPE(OFFSET(D$16,1,0,MAX($B$16:$B$506),1),OFFSET($K$16,1,0,MAX($B$16:$B$506),1)),"N/A")</f>
        <v>0.6528655177328635</v>
      </c>
      <c r="G12" s="16">
        <f ca="1">IFERROR(INTERCEPT(OFFSET(D$16,1,0,MAX($B$16:$B$506),1),OFFSET($K$16,1,0,MAX($B$16:$B$506),1))*12,"N/A")</f>
        <v>5.7234273693919917</v>
      </c>
      <c r="H12" s="16">
        <f ca="1">IFERROR(STDEVP(OFFSET(D$16,1,0,MAX($B$16:$B$506),1))*SQRT(12),"N/A")</f>
        <v>12.034673284488635</v>
      </c>
      <c r="I12" s="39"/>
      <c r="J12" s="7" t="s">
        <v>53</v>
      </c>
      <c r="K12" s="16">
        <f t="array" aca="1" ref="K12" ca="1">IFERROR((GEOMEAN(1+OFFSET(K$16,1,0,MAX($B$16:$B$506),1)/100)^12-1)*100,"N/A")</f>
        <v>8.0669024354157237</v>
      </c>
      <c r="L12" s="16">
        <f ca="1">IFERROR(SLOPE(OFFSET(K$16,1,0,MAX($B$16:$B$506),1),OFFSET($K$16,1,0,MAX($B$16:$B$506),1)),"N/A")</f>
        <v>1</v>
      </c>
      <c r="M12" s="16">
        <f ca="1">IFERROR(STDEVP(OFFSET(K$16,1,0,MAX($B$16:$B$506),1))*SQRT(12),"N/A")</f>
        <v>15.141943190053263</v>
      </c>
      <c r="N12" s="16"/>
      <c r="O12" s="41"/>
      <c r="P12" s="7" t="s">
        <v>52</v>
      </c>
      <c r="Q12" s="16">
        <f t="array" aca="1" ref="Q12" ca="1">IFERROR((GEOMEAN(1+OFFSET(Q$16,1,0,MAX($B$16:$B$506),1)/100)^12-1)*100,"N/A")</f>
        <v>7.1818794834191291</v>
      </c>
      <c r="R12" s="36">
        <f t="shared" ca="1" si="1"/>
        <v>-0.88502295199659464</v>
      </c>
      <c r="S12" s="16">
        <f ca="1">IFERROR(SLOPE(OFFSET(Q$16,1,0,MAX($B$16:$B$506),1),OFFSET($K$16,1,0,MAX($B$16:$B$506),1)),"N/A")</f>
        <v>0.80660002246213303</v>
      </c>
      <c r="T12" s="16">
        <f ca="1">IFERROR(INTERCEPT(OFFSET(Q$16,1,0,MAX($B$16:$B$506),1),OFFSET($K$16,1,0,MAX($B$16:$B$506),1))*12,"N/A")</f>
        <v>0.56007074420034408</v>
      </c>
      <c r="U12" s="16">
        <f ca="1">IFERROR(STDEVP(OFFSET(Q$16,1,0,MAX($B$16:$B$506),1))*SQRT(12),"N/A")</f>
        <v>12.724271696208094</v>
      </c>
      <c r="V12" s="41"/>
      <c r="W12" s="7" t="s">
        <v>52</v>
      </c>
      <c r="X12" s="16">
        <f t="array" aca="1" ref="X12" ca="1">IFERROR((GEOMEAN(1+OFFSET(X$16,1,0,MAX($B$16:$B$506),1)/100)^12-1)*100,"N/A")</f>
        <v>9.386789426529262</v>
      </c>
      <c r="Y12" s="36">
        <f t="shared" ca="1" si="2"/>
        <v>-4.5680677316040761</v>
      </c>
      <c r="Z12" s="16">
        <f ca="1">IFERROR(SLOPE(OFFSET(X$16,1,0,MAX($B$16:$B$506),1),OFFSET($K$16,1,0,MAX($B$16:$B$506),1)),"N/A")</f>
        <v>0.58320267328571129</v>
      </c>
      <c r="AA12" s="16">
        <f ca="1">IFERROR(STDEVP(OFFSET(X$16,1,0,MAX($B$16:$B$506),1))*SQRT(12),"N/A")</f>
        <v>11.687064755661007</v>
      </c>
    </row>
    <row r="13" spans="1:57" ht="16.5" thickBot="1" x14ac:dyDescent="0.3">
      <c r="C13" s="7" t="s">
        <v>54</v>
      </c>
      <c r="D13" s="33" cm="1">
        <f t="array" aca="1" ref="D13" ca="1">IFERROR((GEOMEAN(1+OFFSET(D$149,1,0,MAX($B$16:$B$506)-133,1)/100)^(MIN(COUNTA(OFFSET(D$149,1,0,MAX($B$16:$B$506)-133,1)),12))-1)*100,"N/A")</f>
        <v>11.824032482423075</v>
      </c>
      <c r="E13" s="42">
        <f t="shared" ca="1" si="0"/>
        <v>-2.1308246757102633</v>
      </c>
      <c r="F13" s="33">
        <f ca="1">IFERROR(SLOPE(OFFSET(D$149,1,0,MAX($B$16:$B$506)-133,1),OFFSET($K$149,1,0,MAX($B$16:$B$506)-133,1)),"N/A")</f>
        <v>0.7283762274589215</v>
      </c>
      <c r="G13" s="33">
        <f ca="1">IFERROR(INTERCEPT(OFFSET(D$149,1,0,MAX($B$16:$B$506)-133,1),OFFSET($K$149,1,0,MAX($B$16:$B$506)-133,1))*12,"N/A")</f>
        <v>1.6302397391446926</v>
      </c>
      <c r="H13" s="33">
        <f ca="1">IFERROR(STDEVP(OFFSET(D$149,1,0,MAX($B$16:$B$506)-133,1))*SQRT(12),"N/A")</f>
        <v>11.703397270892138</v>
      </c>
      <c r="I13" s="39"/>
      <c r="J13" s="7" t="s">
        <v>54</v>
      </c>
      <c r="K13" s="16">
        <f t="array" aca="1" ref="K13" ca="1">IFERROR((GEOMEAN(1+OFFSET(K$149,1,0,MAX($B$16:$B$506)-133,1)/100)^(MIN(COUNTA(OFFSET(K$149,1,0,MAX($B$16:$B$506)-133,1)),12))-1)*100,"N/A")</f>
        <v>13.954857158133338</v>
      </c>
      <c r="L13" s="16">
        <f ca="1">IFERROR(SLOPE(OFFSET(K$149,1,0,MAX($B$16:$B$506)-133,1),OFFSET($K$149,1,0,MAX($B$16:$B$506)-133,1)),"N/A")</f>
        <v>1</v>
      </c>
      <c r="M13" s="16">
        <f ca="1">IFERROR(STDEVP(OFFSET(K$149,1,0,MAX($B$16:$B$506)-133,1))*SQRT(12),"N/A")</f>
        <v>14.038419932790939</v>
      </c>
      <c r="N13" s="16"/>
      <c r="O13" s="41"/>
      <c r="P13" s="7" t="s">
        <v>54</v>
      </c>
      <c r="Q13" s="16">
        <f t="array" aca="1" ref="Q13" ca="1">IFERROR((GEOMEAN(1+OFFSET(Q$149,1,0,MAX($B$16:$B$506)-133,1)/100)^(MIN(COUNTA(OFFSET(Q$149,1,0,MAX($B$16:$B$506)-133,1)),12))-1)*100,"N/A")</f>
        <v>12.932304941306683</v>
      </c>
      <c r="R13" s="36">
        <f t="shared" ca="1" si="1"/>
        <v>-1.0225522168266554</v>
      </c>
      <c r="S13" s="16">
        <f ca="1">IFERROR(SLOPE(OFFSET(Q$149,1,0,MAX($B$16:$B$506)-133,1),OFFSET($K$149,1,0,MAX($B$16:$B$506)-133,1)),"N/A")</f>
        <v>0.84675573812814953</v>
      </c>
      <c r="T13" s="16">
        <f ca="1">IFERROR(INTERCEPT(OFFSET(Q$149,1,0,MAX($B$16:$B$506)-133,1),OFFSET($K$149,1,0,MAX($B$16:$B$506)-133,1))*12,"N/A")</f>
        <v>1.0242804003979997</v>
      </c>
      <c r="U13" s="16">
        <f ca="1">IFERROR(STDEVP(OFFSET(Q$149,1,0,MAX($B$16:$B$506)-133,1))*SQRT(12),"N/A")</f>
        <v>12.304197395373086</v>
      </c>
      <c r="V13" s="41"/>
      <c r="W13" s="7" t="s">
        <v>54</v>
      </c>
      <c r="X13" s="16">
        <f t="array" aca="1" ref="X13" ca="1">IFERROR((GEOMEAN(1+OFFSET(X$149,1,0,MAX($B$16:$B$506)-133,1)/100)^(MIN(COUNTA(OFFSET(X$149,1,0,MAX($B$16:$B$506)-133,1)),12))-1)*100,"N/A")</f>
        <v>10.642852288481164</v>
      </c>
      <c r="Y13" s="36">
        <f t="shared" ca="1" si="2"/>
        <v>10.642852288481164</v>
      </c>
      <c r="Z13" s="16">
        <f ca="1">IFERROR(SLOPE(OFFSET(X$102,1,0,MAX($B$16:$B$506)-86,1),OFFSET($K$102,1,0,MAX($B$16:$B$506)-86,1)),"N/A")</f>
        <v>0.63650071177715073</v>
      </c>
      <c r="AA13" s="16">
        <f ca="1">IFERROR(STDEVP(OFFSET(X$102,1,0,MAX($B$16:$B$506)-86,1))*SQRT(12),"N/A")</f>
        <v>12.022481151056457</v>
      </c>
      <c r="AC13" s="101" t="s">
        <v>56</v>
      </c>
    </row>
    <row r="14" spans="1:57" x14ac:dyDescent="0.25">
      <c r="A14" s="7"/>
      <c r="C14" s="17"/>
      <c r="D14" s="16"/>
      <c r="E14" s="18"/>
      <c r="F14" s="16"/>
      <c r="I14" s="39"/>
      <c r="J14" s="7"/>
      <c r="K14" s="16"/>
      <c r="L14" s="16"/>
      <c r="M14" s="18"/>
      <c r="N14" s="10"/>
      <c r="O14" s="39"/>
      <c r="P14" s="7"/>
      <c r="Q14" s="16"/>
      <c r="R14" s="16"/>
      <c r="S14" s="18"/>
      <c r="T14" s="10"/>
      <c r="U14" s="10"/>
      <c r="V14" s="39"/>
      <c r="AC14" s="324" t="s">
        <v>57</v>
      </c>
      <c r="AD14" s="325"/>
      <c r="AE14" s="324" t="s">
        <v>58</v>
      </c>
      <c r="AF14" s="325"/>
      <c r="AG14" s="324" t="s">
        <v>59</v>
      </c>
      <c r="AH14" s="325"/>
      <c r="AI14" s="324" t="s">
        <v>60</v>
      </c>
      <c r="AJ14" s="325"/>
      <c r="AK14" s="324" t="s">
        <v>61</v>
      </c>
      <c r="AL14" s="325"/>
      <c r="AM14" s="324" t="s">
        <v>62</v>
      </c>
      <c r="AN14" s="325"/>
      <c r="AO14" s="324" t="s">
        <v>63</v>
      </c>
      <c r="AP14" s="325"/>
      <c r="AQ14" s="324" t="s">
        <v>64</v>
      </c>
      <c r="AR14" s="325"/>
      <c r="AS14" s="324" t="s">
        <v>65</v>
      </c>
      <c r="AT14" s="325"/>
      <c r="AU14" s="324" t="s">
        <v>66</v>
      </c>
      <c r="AV14" s="325"/>
      <c r="AW14" s="324" t="s">
        <v>67</v>
      </c>
      <c r="AX14" s="325"/>
      <c r="AY14" s="324" t="s">
        <v>68</v>
      </c>
      <c r="AZ14" s="325"/>
    </row>
    <row r="15" spans="1:57" s="23" customFormat="1" x14ac:dyDescent="0.25">
      <c r="A15" s="13" t="s">
        <v>69</v>
      </c>
      <c r="B15" s="23" t="s">
        <v>70</v>
      </c>
      <c r="C15" s="13" t="s">
        <v>71</v>
      </c>
      <c r="D15" s="33" t="s">
        <v>89</v>
      </c>
      <c r="E15" s="13" t="s">
        <v>73</v>
      </c>
      <c r="F15" s="13" t="s">
        <v>74</v>
      </c>
      <c r="G15" s="13" t="s">
        <v>75</v>
      </c>
      <c r="H15" s="33"/>
      <c r="I15" s="44"/>
      <c r="J15" s="13" t="s">
        <v>69</v>
      </c>
      <c r="K15" s="33" t="s">
        <v>41</v>
      </c>
      <c r="L15" s="13" t="s">
        <v>73</v>
      </c>
      <c r="M15" s="13" t="s">
        <v>74</v>
      </c>
      <c r="N15" s="13" t="s">
        <v>75</v>
      </c>
      <c r="O15" s="44"/>
      <c r="P15" s="13" t="s">
        <v>69</v>
      </c>
      <c r="Q15" s="33" t="s">
        <v>41</v>
      </c>
      <c r="R15" s="13" t="s">
        <v>73</v>
      </c>
      <c r="S15" s="13" t="s">
        <v>74</v>
      </c>
      <c r="T15" s="13" t="s">
        <v>75</v>
      </c>
      <c r="U15" s="33"/>
      <c r="V15" s="44"/>
      <c r="AB15"/>
      <c r="AC15" s="94" t="s">
        <v>41</v>
      </c>
      <c r="AD15" s="93" t="s">
        <v>76</v>
      </c>
      <c r="AE15" s="94" t="s">
        <v>41</v>
      </c>
      <c r="AF15" s="93" t="s">
        <v>76</v>
      </c>
      <c r="AG15" s="94" t="s">
        <v>41</v>
      </c>
      <c r="AH15" s="93" t="s">
        <v>76</v>
      </c>
      <c r="AI15" s="94" t="s">
        <v>41</v>
      </c>
      <c r="AJ15" s="93" t="s">
        <v>76</v>
      </c>
      <c r="AK15" s="94" t="s">
        <v>41</v>
      </c>
      <c r="AL15" s="93" t="s">
        <v>76</v>
      </c>
      <c r="AM15" s="94" t="s">
        <v>41</v>
      </c>
      <c r="AN15" s="93" t="s">
        <v>76</v>
      </c>
      <c r="AO15" s="94" t="s">
        <v>41</v>
      </c>
      <c r="AP15" s="93" t="s">
        <v>76</v>
      </c>
      <c r="AQ15" s="94" t="s">
        <v>41</v>
      </c>
      <c r="AR15" s="93" t="s">
        <v>76</v>
      </c>
      <c r="AS15" s="94" t="s">
        <v>41</v>
      </c>
      <c r="AT15" s="93" t="s">
        <v>76</v>
      </c>
      <c r="AU15" s="94" t="s">
        <v>41</v>
      </c>
      <c r="AV15" s="93" t="s">
        <v>76</v>
      </c>
      <c r="AW15" s="94" t="s">
        <v>41</v>
      </c>
      <c r="AX15" s="93" t="s">
        <v>76</v>
      </c>
      <c r="AY15" s="94" t="s">
        <v>41</v>
      </c>
      <c r="AZ15" s="93" t="s">
        <v>76</v>
      </c>
      <c r="BA15"/>
      <c r="BB15"/>
      <c r="BC15"/>
      <c r="BD15"/>
      <c r="BE15"/>
    </row>
    <row r="16" spans="1:57" x14ac:dyDescent="0.25">
      <c r="A16" s="20">
        <v>36525</v>
      </c>
      <c r="B16" s="23">
        <v>0</v>
      </c>
      <c r="C16" s="17"/>
      <c r="D16" s="16"/>
      <c r="E16" s="46">
        <v>1000000</v>
      </c>
      <c r="F16" s="8"/>
      <c r="I16" s="39"/>
      <c r="J16" s="20">
        <f>$A16</f>
        <v>36525</v>
      </c>
      <c r="K16" s="16"/>
      <c r="L16" s="46">
        <v>1000000</v>
      </c>
      <c r="M16" s="8"/>
      <c r="O16" s="39"/>
      <c r="P16" s="20">
        <f>$A16</f>
        <v>36525</v>
      </c>
      <c r="Q16" s="16"/>
      <c r="R16" s="46">
        <v>1000000</v>
      </c>
      <c r="S16" s="8"/>
      <c r="V16" s="39"/>
      <c r="W16" s="20">
        <f>$A16</f>
        <v>36525</v>
      </c>
      <c r="Y16" s="46">
        <v>1000000</v>
      </c>
    </row>
    <row r="17" spans="1:25" x14ac:dyDescent="0.25">
      <c r="A17" s="20">
        <v>36556</v>
      </c>
      <c r="B17" s="24">
        <f>IF(A17&gt;A16,1+B16,"-")</f>
        <v>1</v>
      </c>
      <c r="C17" s="96" t="s">
        <v>77</v>
      </c>
      <c r="D17" s="27">
        <v>-4.22</v>
      </c>
      <c r="E17" s="46">
        <f t="shared" ref="E17:E80" si="3">E16*D17/100+E16</f>
        <v>957800</v>
      </c>
      <c r="F17" s="10"/>
      <c r="I17" s="39"/>
      <c r="J17" s="20">
        <f t="shared" ref="J17:J80" si="4">$A17</f>
        <v>36556</v>
      </c>
      <c r="K17" s="27">
        <f>'LC (Gross)'!K17</f>
        <v>-5.0242436617321786</v>
      </c>
      <c r="L17" s="46">
        <f t="shared" ref="L17:L80" si="5">L16*K17/100+L16</f>
        <v>949757.5633826782</v>
      </c>
      <c r="M17" s="10"/>
      <c r="O17" s="39"/>
      <c r="P17" s="20">
        <f t="shared" ref="P17:P80" si="6">$A17</f>
        <v>36556</v>
      </c>
      <c r="Q17" s="27">
        <f>'LC (Gross)'!Q17</f>
        <v>-3.7996473944086815</v>
      </c>
      <c r="R17" s="46">
        <f t="shared" ref="R17:R80" si="7">R16*Q17/100+R16</f>
        <v>962003.52605591319</v>
      </c>
      <c r="S17" s="10"/>
      <c r="V17" s="39"/>
      <c r="W17" s="20">
        <f t="shared" ref="W17:W80" si="8">$A17</f>
        <v>36556</v>
      </c>
      <c r="X17" s="36">
        <f>'LC (Gross)'!X17</f>
        <v>-3.5109290909606856</v>
      </c>
      <c r="Y17" s="46">
        <f t="shared" ref="Y17:Y80" si="9">Y16*X17/100+Y16</f>
        <v>964890.70909039315</v>
      </c>
    </row>
    <row r="18" spans="1:25" x14ac:dyDescent="0.25">
      <c r="A18" s="20">
        <v>36585</v>
      </c>
      <c r="B18" s="24">
        <f t="shared" ref="B18:B81" si="10">IF(A18&gt;A17,1+B17,"-")</f>
        <v>2</v>
      </c>
      <c r="C18" s="96" t="s">
        <v>77</v>
      </c>
      <c r="D18" s="27">
        <v>-7.58</v>
      </c>
      <c r="E18" s="46">
        <f t="shared" si="3"/>
        <v>885198.76</v>
      </c>
      <c r="F18" s="8"/>
      <c r="I18" s="39"/>
      <c r="J18" s="20">
        <f t="shared" si="4"/>
        <v>36585</v>
      </c>
      <c r="K18" s="27">
        <f>'LC (Gross)'!K18</f>
        <v>-1.8937944132398354</v>
      </c>
      <c r="L18" s="46">
        <f t="shared" si="5"/>
        <v>931771.1077080142</v>
      </c>
      <c r="M18" s="8"/>
      <c r="O18" s="39"/>
      <c r="P18" s="20">
        <f t="shared" si="6"/>
        <v>36585</v>
      </c>
      <c r="Q18" s="27">
        <f>'LC (Gross)'!Q18</f>
        <v>-6.7517383404194318</v>
      </c>
      <c r="R18" s="46">
        <f t="shared" si="7"/>
        <v>897051.56515100924</v>
      </c>
      <c r="S18" s="8"/>
      <c r="V18" s="39"/>
      <c r="W18" s="20">
        <f t="shared" si="8"/>
        <v>36585</v>
      </c>
      <c r="X18" s="36">
        <f>'LC (Gross)'!X18</f>
        <v>-10.514140077439585</v>
      </c>
      <c r="Y18" s="46">
        <f t="shared" si="9"/>
        <v>863440.74834242917</v>
      </c>
    </row>
    <row r="19" spans="1:25" x14ac:dyDescent="0.25">
      <c r="A19" s="20">
        <v>36616</v>
      </c>
      <c r="B19" s="24">
        <f t="shared" si="10"/>
        <v>3</v>
      </c>
      <c r="C19" s="96" t="s">
        <v>77</v>
      </c>
      <c r="D19" s="27">
        <v>13.21</v>
      </c>
      <c r="E19" s="46">
        <f t="shared" si="3"/>
        <v>1002133.516196</v>
      </c>
      <c r="F19" s="8"/>
      <c r="G19" s="5">
        <f>(E19/E16-1)*100</f>
        <v>0.2133516196000107</v>
      </c>
      <c r="H19" s="5"/>
      <c r="I19" s="39"/>
      <c r="J19" s="20">
        <f t="shared" si="4"/>
        <v>36616</v>
      </c>
      <c r="K19" s="27">
        <f>'LC (Gross)'!K19</f>
        <v>9.7830708689312829</v>
      </c>
      <c r="L19" s="46">
        <f t="shared" si="5"/>
        <v>1022926.9355113152</v>
      </c>
      <c r="M19" s="8"/>
      <c r="N19" s="5">
        <f>(L19/L16-1)*100</f>
        <v>2.2926935511315305</v>
      </c>
      <c r="O19" s="39"/>
      <c r="P19" s="20">
        <f t="shared" si="6"/>
        <v>36616</v>
      </c>
      <c r="Q19" s="27">
        <f>'LC (Gross)'!Q19</f>
        <v>10.209819980339887</v>
      </c>
      <c r="R19" s="46">
        <f t="shared" si="7"/>
        <v>988638.91508374864</v>
      </c>
      <c r="S19" s="8"/>
      <c r="T19" s="5">
        <f>(R19/R16-1)*100</f>
        <v>-1.1361084916251318</v>
      </c>
      <c r="U19" s="5"/>
      <c r="V19" s="39"/>
      <c r="W19" s="20">
        <f t="shared" si="8"/>
        <v>36616</v>
      </c>
      <c r="X19" s="36">
        <f>'LC (Gross)'!X19</f>
        <v>9.3534452854852841</v>
      </c>
      <c r="Y19" s="46">
        <f t="shared" si="9"/>
        <v>944202.20631122298</v>
      </c>
    </row>
    <row r="20" spans="1:25" x14ac:dyDescent="0.25">
      <c r="A20" s="20">
        <v>36646</v>
      </c>
      <c r="B20" s="24">
        <f t="shared" si="10"/>
        <v>4</v>
      </c>
      <c r="C20" s="96" t="s">
        <v>77</v>
      </c>
      <c r="D20" s="27">
        <v>3.05</v>
      </c>
      <c r="E20" s="46">
        <f t="shared" si="3"/>
        <v>1032698.5884399781</v>
      </c>
      <c r="F20" s="8"/>
      <c r="I20" s="39"/>
      <c r="J20" s="20">
        <f t="shared" si="4"/>
        <v>36646</v>
      </c>
      <c r="K20" s="27">
        <f>'LC (Gross)'!K20</f>
        <v>-3.0091712524703413</v>
      </c>
      <c r="L20" s="46">
        <f t="shared" si="5"/>
        <v>992145.3122341329</v>
      </c>
      <c r="M20" s="8"/>
      <c r="O20" s="39"/>
      <c r="P20" s="20">
        <f t="shared" si="6"/>
        <v>36646</v>
      </c>
      <c r="Q20" s="27">
        <f>'LC (Gross)'!Q20</f>
        <v>-1.0985093844792719</v>
      </c>
      <c r="R20" s="46">
        <f t="shared" si="7"/>
        <v>977778.62382293958</v>
      </c>
      <c r="S20" s="8"/>
      <c r="V20" s="39"/>
      <c r="W20" s="20">
        <f t="shared" si="8"/>
        <v>36646</v>
      </c>
      <c r="X20" s="36">
        <f>'LC (Gross)'!X20</f>
        <v>4.7344924419750027</v>
      </c>
      <c r="Y20" s="46">
        <f t="shared" si="9"/>
        <v>988905.38840598904</v>
      </c>
    </row>
    <row r="21" spans="1:25" x14ac:dyDescent="0.25">
      <c r="A21" s="20">
        <v>36677</v>
      </c>
      <c r="B21" s="24">
        <f t="shared" si="10"/>
        <v>5</v>
      </c>
      <c r="C21" s="96" t="s">
        <v>77</v>
      </c>
      <c r="D21" s="27">
        <v>0.28000000000000003</v>
      </c>
      <c r="E21" s="46">
        <f t="shared" si="3"/>
        <v>1035590.14448761</v>
      </c>
      <c r="F21" s="8"/>
      <c r="I21" s="39"/>
      <c r="J21" s="20">
        <f t="shared" si="4"/>
        <v>36677</v>
      </c>
      <c r="K21" s="27">
        <f>'LC (Gross)'!K21</f>
        <v>-2.0522676157355026</v>
      </c>
      <c r="L21" s="46">
        <f t="shared" si="5"/>
        <v>971783.83529011393</v>
      </c>
      <c r="M21" s="8"/>
      <c r="O21" s="39"/>
      <c r="P21" s="20">
        <f t="shared" si="6"/>
        <v>36677</v>
      </c>
      <c r="Q21" s="27">
        <f>'LC (Gross)'!Q21</f>
        <v>1.2422986568637908</v>
      </c>
      <c r="R21" s="46">
        <f t="shared" si="7"/>
        <v>989925.55453379324</v>
      </c>
      <c r="S21" s="8"/>
      <c r="V21" s="39"/>
      <c r="W21" s="20">
        <f t="shared" si="8"/>
        <v>36677</v>
      </c>
      <c r="X21" s="36">
        <f>'LC (Gross)'!X21</f>
        <v>4.9107000529232172</v>
      </c>
      <c r="Y21" s="46">
        <f t="shared" si="9"/>
        <v>1037467.5658378025</v>
      </c>
    </row>
    <row r="22" spans="1:25" x14ac:dyDescent="0.25">
      <c r="A22" s="20">
        <v>36707</v>
      </c>
      <c r="B22" s="24">
        <f t="shared" si="10"/>
        <v>6</v>
      </c>
      <c r="C22" s="96" t="s">
        <v>77</v>
      </c>
      <c r="D22" s="27">
        <v>-0.53</v>
      </c>
      <c r="E22" s="46">
        <f t="shared" si="3"/>
        <v>1030101.5167218256</v>
      </c>
      <c r="F22" s="8"/>
      <c r="G22" s="5">
        <f>(E22/E19-1)*100</f>
        <v>2.7908457379999918</v>
      </c>
      <c r="H22" s="5"/>
      <c r="I22" s="39"/>
      <c r="J22" s="20">
        <f t="shared" si="4"/>
        <v>36707</v>
      </c>
      <c r="K22" s="27">
        <f>'LC (Gross)'!K22</f>
        <v>2.4652586291546026</v>
      </c>
      <c r="L22" s="46">
        <f t="shared" si="5"/>
        <v>995740.82014633296</v>
      </c>
      <c r="M22" s="8"/>
      <c r="N22" s="5">
        <f>(L22/L19-1)*100</f>
        <v>-2.6576790991815202</v>
      </c>
      <c r="O22" s="39"/>
      <c r="P22" s="20">
        <f t="shared" si="6"/>
        <v>36707</v>
      </c>
      <c r="Q22" s="27">
        <f>'LC (Gross)'!Q22</f>
        <v>1.74201768347643</v>
      </c>
      <c r="R22" s="46">
        <f t="shared" si="7"/>
        <v>1007170.232747024</v>
      </c>
      <c r="S22" s="8"/>
      <c r="T22" s="5">
        <f>(R22/R19-1)*100</f>
        <v>1.874427293983838</v>
      </c>
      <c r="U22" s="5"/>
      <c r="V22" s="39"/>
      <c r="W22" s="20">
        <f t="shared" si="8"/>
        <v>36707</v>
      </c>
      <c r="X22" s="36">
        <f>'LC (Gross)'!X22</f>
        <v>-4.1760746357102718</v>
      </c>
      <c r="Y22" s="46">
        <f t="shared" si="9"/>
        <v>994142.14596712927</v>
      </c>
    </row>
    <row r="23" spans="1:25" x14ac:dyDescent="0.25">
      <c r="A23" s="20">
        <v>36738</v>
      </c>
      <c r="B23" s="24">
        <f t="shared" si="10"/>
        <v>7</v>
      </c>
      <c r="C23" s="96" t="s">
        <v>77</v>
      </c>
      <c r="D23" s="27">
        <v>-0.47</v>
      </c>
      <c r="E23" s="46">
        <f t="shared" si="3"/>
        <v>1025260.039593233</v>
      </c>
      <c r="F23" s="8"/>
      <c r="I23" s="39"/>
      <c r="J23" s="20">
        <f t="shared" si="4"/>
        <v>36738</v>
      </c>
      <c r="K23" s="27">
        <f>'LC (Gross)'!K23</f>
        <v>-1.5573152064652021</v>
      </c>
      <c r="L23" s="46">
        <f t="shared" si="5"/>
        <v>980233.99693721277</v>
      </c>
      <c r="M23" s="8"/>
      <c r="O23" s="39"/>
      <c r="P23" s="20">
        <f t="shared" si="6"/>
        <v>36738</v>
      </c>
      <c r="Q23" s="27">
        <f>'LC (Gross)'!Q23</f>
        <v>-1.0405934173936995</v>
      </c>
      <c r="R23" s="46">
        <f t="shared" si="7"/>
        <v>996689.68560310965</v>
      </c>
      <c r="S23" s="8"/>
      <c r="V23" s="39"/>
      <c r="W23" s="20">
        <f t="shared" si="8"/>
        <v>36738</v>
      </c>
      <c r="X23" s="36">
        <f>'LC (Gross)'!X23</f>
        <v>1.3630467806027475</v>
      </c>
      <c r="Y23" s="46">
        <f t="shared" si="9"/>
        <v>1007692.7684823493</v>
      </c>
    </row>
    <row r="24" spans="1:25" x14ac:dyDescent="0.25">
      <c r="A24" s="20">
        <v>36769</v>
      </c>
      <c r="B24" s="24">
        <f t="shared" si="10"/>
        <v>8</v>
      </c>
      <c r="C24" s="96" t="s">
        <v>77</v>
      </c>
      <c r="D24" s="27">
        <v>0.2</v>
      </c>
      <c r="E24" s="46">
        <f t="shared" si="3"/>
        <v>1027310.5596724194</v>
      </c>
      <c r="F24" s="8"/>
      <c r="I24" s="39"/>
      <c r="J24" s="20">
        <f t="shared" si="4"/>
        <v>36769</v>
      </c>
      <c r="K24" s="27">
        <f>'LC (Gross)'!K24</f>
        <v>6.2114812796588783</v>
      </c>
      <c r="L24" s="46">
        <f t="shared" si="5"/>
        <v>1041121.0481538197</v>
      </c>
      <c r="M24" s="8"/>
      <c r="O24" s="39"/>
      <c r="P24" s="20">
        <f t="shared" si="6"/>
        <v>36769</v>
      </c>
      <c r="Q24" s="27">
        <f>'LC (Gross)'!Q24</f>
        <v>4.1027127777837782</v>
      </c>
      <c r="R24" s="46">
        <f t="shared" si="7"/>
        <v>1037581.0006892014</v>
      </c>
      <c r="S24" s="8"/>
      <c r="V24" s="39"/>
      <c r="W24" s="20">
        <f t="shared" si="8"/>
        <v>36769</v>
      </c>
      <c r="X24" s="36">
        <f>'LC (Gross)'!X24</f>
        <v>7.4544538688008544</v>
      </c>
      <c r="Y24" s="46">
        <f t="shared" si="9"/>
        <v>1082810.7610481083</v>
      </c>
    </row>
    <row r="25" spans="1:25" x14ac:dyDescent="0.25">
      <c r="A25" s="20">
        <v>36799</v>
      </c>
      <c r="B25" s="24">
        <f t="shared" si="10"/>
        <v>9</v>
      </c>
      <c r="C25" s="96" t="s">
        <v>77</v>
      </c>
      <c r="D25" s="27">
        <v>4.74</v>
      </c>
      <c r="E25" s="46">
        <f t="shared" si="3"/>
        <v>1076005.0802008922</v>
      </c>
      <c r="F25" s="8"/>
      <c r="G25" s="5">
        <f>(E25/E22-1)*100</f>
        <v>4.4562174439999991</v>
      </c>
      <c r="H25" s="5"/>
      <c r="I25" s="39"/>
      <c r="J25" s="20">
        <f t="shared" si="4"/>
        <v>36799</v>
      </c>
      <c r="K25" s="27">
        <f>'LC (Gross)'!K25</f>
        <v>-5.2795735751916082</v>
      </c>
      <c r="L25" s="46">
        <f t="shared" si="5"/>
        <v>986154.29640973278</v>
      </c>
      <c r="M25" s="8"/>
      <c r="N25" s="5">
        <f>(L25/L22-1)*100</f>
        <v>-0.96275291146459274</v>
      </c>
      <c r="O25" s="39"/>
      <c r="P25" s="20">
        <f t="shared" si="6"/>
        <v>36799</v>
      </c>
      <c r="Q25" s="27">
        <f>'LC (Gross)'!Q25</f>
        <v>-2.419202330292217</v>
      </c>
      <c r="R25" s="46">
        <f t="shared" si="7"/>
        <v>1012479.816941859</v>
      </c>
      <c r="S25" s="8"/>
      <c r="T25" s="5">
        <f>(R25/R22-1)*100</f>
        <v>0.52717842745939603</v>
      </c>
      <c r="U25" s="5"/>
      <c r="V25" s="39"/>
      <c r="W25" s="20">
        <f t="shared" si="8"/>
        <v>36799</v>
      </c>
      <c r="X25" s="36">
        <f>'LC (Gross)'!X25</f>
        <v>3.1585659504960018</v>
      </c>
      <c r="Y25" s="46">
        <f t="shared" si="9"/>
        <v>1117012.0530548806</v>
      </c>
    </row>
    <row r="26" spans="1:25" x14ac:dyDescent="0.25">
      <c r="A26" s="20">
        <v>36830</v>
      </c>
      <c r="B26" s="24">
        <f t="shared" si="10"/>
        <v>10</v>
      </c>
      <c r="C26" s="96" t="s">
        <v>77</v>
      </c>
      <c r="D26" s="27">
        <v>1.04</v>
      </c>
      <c r="E26" s="46">
        <f t="shared" si="3"/>
        <v>1087195.5330349815</v>
      </c>
      <c r="F26" s="8"/>
      <c r="I26" s="39"/>
      <c r="J26" s="20">
        <f t="shared" si="4"/>
        <v>36830</v>
      </c>
      <c r="K26" s="27">
        <f>'LC (Gross)'!K26</f>
        <v>-0.42330523307498158</v>
      </c>
      <c r="L26" s="46">
        <f t="shared" si="5"/>
        <v>981979.85366683663</v>
      </c>
      <c r="M26" s="8"/>
      <c r="O26" s="39"/>
      <c r="P26" s="20">
        <f t="shared" si="6"/>
        <v>36830</v>
      </c>
      <c r="Q26" s="27">
        <f>'LC (Gross)'!Q26</f>
        <v>2.9561551856130004</v>
      </c>
      <c r="R26" s="46">
        <f t="shared" si="7"/>
        <v>1042410.2915536708</v>
      </c>
      <c r="S26" s="8"/>
      <c r="V26" s="39"/>
      <c r="W26" s="20">
        <f t="shared" si="8"/>
        <v>36830</v>
      </c>
      <c r="X26" s="36">
        <f>'LC (Gross)'!X26</f>
        <v>2.3517125559209182</v>
      </c>
      <c r="Y26" s="46">
        <f t="shared" si="9"/>
        <v>1143280.9657577223</v>
      </c>
    </row>
    <row r="27" spans="1:25" x14ac:dyDescent="0.25">
      <c r="A27" s="20">
        <v>36860</v>
      </c>
      <c r="B27" s="24">
        <f t="shared" si="10"/>
        <v>11</v>
      </c>
      <c r="C27" s="96" t="s">
        <v>77</v>
      </c>
      <c r="D27" s="27">
        <v>0.83</v>
      </c>
      <c r="E27" s="46">
        <f t="shared" si="3"/>
        <v>1096219.2559591718</v>
      </c>
      <c r="F27" s="8"/>
      <c r="I27" s="39"/>
      <c r="J27" s="20">
        <f t="shared" si="4"/>
        <v>36860</v>
      </c>
      <c r="K27" s="27">
        <f>'LC (Gross)'!K27</f>
        <v>-7.883501358043695</v>
      </c>
      <c r="L27" s="46">
        <f t="shared" si="5"/>
        <v>904565.45856729604</v>
      </c>
      <c r="M27" s="8"/>
      <c r="O27" s="39"/>
      <c r="P27" s="20">
        <f t="shared" si="6"/>
        <v>36860</v>
      </c>
      <c r="Q27" s="27">
        <f>'LC (Gross)'!Q27</f>
        <v>-3.6785294872347136</v>
      </c>
      <c r="R27" s="46">
        <f t="shared" si="7"/>
        <v>1004064.9216008997</v>
      </c>
      <c r="S27" s="8"/>
      <c r="V27" s="39"/>
      <c r="W27" s="20">
        <f t="shared" si="8"/>
        <v>36860</v>
      </c>
      <c r="X27" s="36">
        <f>'LC (Gross)'!X27</f>
        <v>1.7025759251241699</v>
      </c>
      <c r="Y27" s="46">
        <f t="shared" si="9"/>
        <v>1162746.1922372403</v>
      </c>
    </row>
    <row r="28" spans="1:25" x14ac:dyDescent="0.25">
      <c r="A28" s="20">
        <v>36891</v>
      </c>
      <c r="B28" s="24">
        <f t="shared" si="10"/>
        <v>12</v>
      </c>
      <c r="C28" s="96" t="s">
        <v>77</v>
      </c>
      <c r="D28" s="27">
        <v>6.43</v>
      </c>
      <c r="E28" s="46">
        <f t="shared" si="3"/>
        <v>1166706.1541173465</v>
      </c>
      <c r="F28" s="11">
        <f>(E28-E16)/E16*100</f>
        <v>16.670615411734651</v>
      </c>
      <c r="G28" s="5">
        <f>(E28/E25-1)*100</f>
        <v>8.4294280376000064</v>
      </c>
      <c r="H28" s="1"/>
      <c r="I28" s="39"/>
      <c r="J28" s="20">
        <f t="shared" si="4"/>
        <v>36891</v>
      </c>
      <c r="K28" s="27">
        <f>'LC (Gross)'!K28</f>
        <v>0.48873135410954627</v>
      </c>
      <c r="L28" s="46">
        <f t="shared" si="5"/>
        <v>908986.35358175926</v>
      </c>
      <c r="M28" s="11">
        <f>(L28-L16)/L16*100</f>
        <v>-9.1013646418240732</v>
      </c>
      <c r="N28" s="5">
        <f>(L28/L25-1)*100</f>
        <v>-7.8251388356687102</v>
      </c>
      <c r="O28" s="39"/>
      <c r="P28" s="20">
        <f t="shared" si="6"/>
        <v>36891</v>
      </c>
      <c r="Q28" s="27">
        <f>'LC (Gross)'!Q28</f>
        <v>-0.6284648695527103</v>
      </c>
      <c r="R28" s="46">
        <f t="shared" si="7"/>
        <v>997754.72630113608</v>
      </c>
      <c r="S28" s="11">
        <f>(R28-R16)/R16*100</f>
        <v>-0.22452736988639227</v>
      </c>
      <c r="T28" s="5">
        <f>(R28/R25-1)*100</f>
        <v>-1.4543589308475546</v>
      </c>
      <c r="U28" s="5"/>
      <c r="V28" s="39"/>
      <c r="W28" s="20">
        <f t="shared" si="8"/>
        <v>36891</v>
      </c>
      <c r="X28" s="36">
        <f>'LC (Gross)'!X28</f>
        <v>7.5325175365576476</v>
      </c>
      <c r="Y28" s="46">
        <f t="shared" si="9"/>
        <v>1250330.2530731666</v>
      </c>
    </row>
    <row r="29" spans="1:25" x14ac:dyDescent="0.25">
      <c r="A29" s="20">
        <v>36922</v>
      </c>
      <c r="B29" s="24">
        <f t="shared" si="10"/>
        <v>13</v>
      </c>
      <c r="C29" s="96" t="s">
        <v>77</v>
      </c>
      <c r="D29" s="27">
        <v>-0.62</v>
      </c>
      <c r="E29" s="46">
        <f t="shared" si="3"/>
        <v>1159472.5759618189</v>
      </c>
      <c r="F29" s="10"/>
      <c r="I29" s="39"/>
      <c r="J29" s="20">
        <f t="shared" si="4"/>
        <v>36922</v>
      </c>
      <c r="K29" s="27">
        <f>'LC (Gross)'!K29</f>
        <v>3.5478696743355993</v>
      </c>
      <c r="L29" s="46">
        <f t="shared" si="5"/>
        <v>941236.00476433546</v>
      </c>
      <c r="M29" s="10"/>
      <c r="O29" s="39"/>
      <c r="P29" s="20">
        <f t="shared" si="6"/>
        <v>36922</v>
      </c>
      <c r="Q29" s="27">
        <f>'LC (Gross)'!Q29</f>
        <v>-0.34175607637019806</v>
      </c>
      <c r="R29" s="46">
        <f t="shared" si="7"/>
        <v>994344.83889673115</v>
      </c>
      <c r="S29" s="10"/>
      <c r="V29" s="39"/>
      <c r="W29" s="20">
        <f t="shared" si="8"/>
        <v>36922</v>
      </c>
      <c r="X29" s="36">
        <f>'LC (Gross)'!X29</f>
        <v>-4.3133685174024965</v>
      </c>
      <c r="Y29" s="46">
        <f t="shared" si="9"/>
        <v>1196398.9015735497</v>
      </c>
    </row>
    <row r="30" spans="1:25" x14ac:dyDescent="0.25">
      <c r="A30" s="20">
        <v>36950</v>
      </c>
      <c r="B30" s="24">
        <f t="shared" si="10"/>
        <v>14</v>
      </c>
      <c r="C30" s="96" t="s">
        <v>77</v>
      </c>
      <c r="D30" s="27">
        <v>2.02</v>
      </c>
      <c r="E30" s="46">
        <f t="shared" si="3"/>
        <v>1182893.9219962477</v>
      </c>
      <c r="F30" s="8"/>
      <c r="I30" s="39"/>
      <c r="J30" s="20">
        <f t="shared" si="4"/>
        <v>36950</v>
      </c>
      <c r="K30" s="27">
        <f>'LC (Gross)'!K30</f>
        <v>-9.1189454708220552</v>
      </c>
      <c r="L30" s="46">
        <f t="shared" si="5"/>
        <v>855405.20673813159</v>
      </c>
      <c r="M30" s="8"/>
      <c r="O30" s="39"/>
      <c r="P30" s="20">
        <f t="shared" si="6"/>
        <v>36950</v>
      </c>
      <c r="Q30" s="27">
        <f>'LC (Gross)'!Q30</f>
        <v>-4.5916623223877169</v>
      </c>
      <c r="R30" s="46">
        <f t="shared" si="7"/>
        <v>948687.88157450315</v>
      </c>
      <c r="S30" s="8"/>
      <c r="V30" s="39"/>
      <c r="W30" s="20">
        <f t="shared" si="8"/>
        <v>36950</v>
      </c>
      <c r="X30" s="36">
        <f>'LC (Gross)'!X30</f>
        <v>2.8779234468673836</v>
      </c>
      <c r="Y30" s="46">
        <f t="shared" si="9"/>
        <v>1230830.3460799986</v>
      </c>
    </row>
    <row r="31" spans="1:25" x14ac:dyDescent="0.25">
      <c r="A31" s="20">
        <v>36981</v>
      </c>
      <c r="B31" s="24">
        <f t="shared" si="10"/>
        <v>15</v>
      </c>
      <c r="C31" s="96" t="s">
        <v>77</v>
      </c>
      <c r="D31" s="27">
        <v>-2.11</v>
      </c>
      <c r="E31" s="46">
        <f t="shared" si="3"/>
        <v>1157934.860242127</v>
      </c>
      <c r="F31" s="8"/>
      <c r="G31" s="5">
        <f>(E31/E28-1)*100</f>
        <v>-0.75179974359999013</v>
      </c>
      <c r="H31" s="5"/>
      <c r="I31" s="39"/>
      <c r="J31" s="20">
        <f t="shared" si="4"/>
        <v>36981</v>
      </c>
      <c r="K31" s="27">
        <f>'LC (Gross)'!K31</f>
        <v>-6.3349729683408986</v>
      </c>
      <c r="L31" s="46">
        <f t="shared" si="5"/>
        <v>801215.51812149037</v>
      </c>
      <c r="M31" s="8"/>
      <c r="N31" s="5">
        <f>(L31/L28-1)*100</f>
        <v>-11.856155489640729</v>
      </c>
      <c r="O31" s="39"/>
      <c r="P31" s="20">
        <f t="shared" si="6"/>
        <v>36981</v>
      </c>
      <c r="Q31" s="27">
        <f>'LC (Gross)'!Q31</f>
        <v>-5.3831855405659024</v>
      </c>
      <c r="R31" s="46">
        <f t="shared" si="7"/>
        <v>897618.25270848349</v>
      </c>
      <c r="S31" s="8"/>
      <c r="T31" s="5">
        <f>(R31/R28-1)*100</f>
        <v>-10.036181333249839</v>
      </c>
      <c r="U31" s="5"/>
      <c r="V31" s="39"/>
      <c r="W31" s="20">
        <f t="shared" si="8"/>
        <v>36981</v>
      </c>
      <c r="X31" s="36">
        <f>'LC (Gross)'!X31</f>
        <v>-1.2489882068463871</v>
      </c>
      <c r="Y31" s="46">
        <f t="shared" si="9"/>
        <v>1215457.4202111729</v>
      </c>
    </row>
    <row r="32" spans="1:25" x14ac:dyDescent="0.25">
      <c r="A32" s="20">
        <v>37011</v>
      </c>
      <c r="B32" s="24">
        <f t="shared" si="10"/>
        <v>16</v>
      </c>
      <c r="C32" s="96" t="s">
        <v>77</v>
      </c>
      <c r="D32" s="27">
        <v>6.72</v>
      </c>
      <c r="E32" s="46">
        <f t="shared" si="3"/>
        <v>1235748.082850398</v>
      </c>
      <c r="F32" s="8"/>
      <c r="I32" s="39"/>
      <c r="J32" s="20">
        <f t="shared" si="4"/>
        <v>37011</v>
      </c>
      <c r="K32" s="27">
        <f>'LC (Gross)'!K32</f>
        <v>7.7701831121151006</v>
      </c>
      <c r="L32" s="46">
        <f t="shared" si="5"/>
        <v>863471.43100221187</v>
      </c>
      <c r="M32" s="8"/>
      <c r="O32" s="39"/>
      <c r="P32" s="20">
        <f t="shared" si="6"/>
        <v>37011</v>
      </c>
      <c r="Q32" s="27">
        <f>'LC (Gross)'!Q32</f>
        <v>6.600599371308312</v>
      </c>
      <c r="R32" s="46">
        <f t="shared" si="7"/>
        <v>956866.43745350826</v>
      </c>
      <c r="S32" s="8"/>
      <c r="V32" s="39"/>
      <c r="W32" s="20">
        <f t="shared" si="8"/>
        <v>37011</v>
      </c>
      <c r="X32" s="36">
        <f>'LC (Gross)'!X32</f>
        <v>5.244085909939824</v>
      </c>
      <c r="Y32" s="46">
        <f t="shared" si="9"/>
        <v>1279197.0515257851</v>
      </c>
    </row>
    <row r="33" spans="1:25" x14ac:dyDescent="0.25">
      <c r="A33" s="20">
        <v>37042</v>
      </c>
      <c r="B33" s="24">
        <f t="shared" si="10"/>
        <v>17</v>
      </c>
      <c r="C33" s="96" t="s">
        <v>77</v>
      </c>
      <c r="D33" s="27">
        <v>3.17</v>
      </c>
      <c r="E33" s="46">
        <f t="shared" si="3"/>
        <v>1274921.2970767557</v>
      </c>
      <c r="F33" s="8"/>
      <c r="I33" s="39"/>
      <c r="J33" s="20">
        <f t="shared" si="4"/>
        <v>37042</v>
      </c>
      <c r="K33" s="27">
        <f>'LC (Gross)'!K33</f>
        <v>0.66989034216855858</v>
      </c>
      <c r="L33" s="46">
        <f t="shared" si="5"/>
        <v>869255.74272588035</v>
      </c>
      <c r="M33" s="8"/>
      <c r="O33" s="39"/>
      <c r="P33" s="20">
        <f t="shared" si="6"/>
        <v>37042</v>
      </c>
      <c r="Q33" s="27">
        <f>'LC (Gross)'!Q33</f>
        <v>0.99856242025135222</v>
      </c>
      <c r="R33" s="46">
        <f t="shared" si="7"/>
        <v>966421.34610991692</v>
      </c>
      <c r="S33" s="8"/>
      <c r="V33" s="39"/>
      <c r="W33" s="20">
        <f t="shared" si="8"/>
        <v>37042</v>
      </c>
      <c r="X33" s="36">
        <f>'LC (Gross)'!X33</f>
        <v>3.6247618531215964</v>
      </c>
      <c r="Y33" s="46">
        <f t="shared" si="9"/>
        <v>1325564.8982757479</v>
      </c>
    </row>
    <row r="34" spans="1:25" x14ac:dyDescent="0.25">
      <c r="A34" s="20">
        <v>37072</v>
      </c>
      <c r="B34" s="24">
        <f t="shared" si="10"/>
        <v>18</v>
      </c>
      <c r="C34" s="96" t="s">
        <v>77</v>
      </c>
      <c r="D34" s="27">
        <v>7.0000000000000007E-2</v>
      </c>
      <c r="E34" s="46">
        <f t="shared" si="3"/>
        <v>1275813.7419847094</v>
      </c>
      <c r="F34" s="8"/>
      <c r="G34" s="5">
        <f>(E34/E31-1)*100</f>
        <v>10.180096116800019</v>
      </c>
      <c r="H34" s="5"/>
      <c r="I34" s="39"/>
      <c r="J34" s="20">
        <f t="shared" si="4"/>
        <v>37072</v>
      </c>
      <c r="K34" s="27">
        <f>'LC (Gross)'!K34</f>
        <v>-2.434530213271064</v>
      </c>
      <c r="L34" s="46">
        <f t="shared" si="5"/>
        <v>848093.449038625</v>
      </c>
      <c r="M34" s="8"/>
      <c r="N34" s="5">
        <f>(L34/L31-1)*100</f>
        <v>5.8508515944677875</v>
      </c>
      <c r="O34" s="39"/>
      <c r="P34" s="20">
        <f t="shared" si="6"/>
        <v>37072</v>
      </c>
      <c r="Q34" s="27">
        <f>'LC (Gross)'!Q34</f>
        <v>-2.5146445336249785</v>
      </c>
      <c r="R34" s="46">
        <f t="shared" si="7"/>
        <v>942119.28455817897</v>
      </c>
      <c r="S34" s="8"/>
      <c r="T34" s="5">
        <f>(R34/R31-1)*100</f>
        <v>4.957679026180406</v>
      </c>
      <c r="U34" s="5"/>
      <c r="V34" s="39"/>
      <c r="W34" s="20">
        <f t="shared" si="8"/>
        <v>37072</v>
      </c>
      <c r="X34" s="36">
        <f>'LC (Gross)'!X34</f>
        <v>-2.472624178249661</v>
      </c>
      <c r="Y34" s="46">
        <f t="shared" si="9"/>
        <v>1292788.6601025912</v>
      </c>
    </row>
    <row r="35" spans="1:25" x14ac:dyDescent="0.25">
      <c r="A35" s="20">
        <v>37103</v>
      </c>
      <c r="B35" s="24">
        <f t="shared" si="10"/>
        <v>19</v>
      </c>
      <c r="C35" s="96" t="s">
        <v>77</v>
      </c>
      <c r="D35" s="27">
        <v>-1.65</v>
      </c>
      <c r="E35" s="46">
        <f t="shared" si="3"/>
        <v>1254762.8152419617</v>
      </c>
      <c r="F35" s="8"/>
      <c r="I35" s="39"/>
      <c r="J35" s="20">
        <f t="shared" si="4"/>
        <v>37103</v>
      </c>
      <c r="K35" s="27">
        <f>'LC (Gross)'!K35</f>
        <v>-0.98539293371843717</v>
      </c>
      <c r="L35" s="46">
        <f t="shared" si="5"/>
        <v>839736.39612046944</v>
      </c>
      <c r="M35" s="8"/>
      <c r="O35" s="39"/>
      <c r="P35" s="20">
        <f t="shared" si="6"/>
        <v>37103</v>
      </c>
      <c r="Q35" s="27">
        <f>'LC (Gross)'!Q35</f>
        <v>-0.10469571254271051</v>
      </c>
      <c r="R35" s="46">
        <f t="shared" si="7"/>
        <v>941132.92606020847</v>
      </c>
      <c r="S35" s="8"/>
      <c r="V35" s="39"/>
      <c r="W35" s="20">
        <f t="shared" si="8"/>
        <v>37103</v>
      </c>
      <c r="X35" s="36">
        <f>'LC (Gross)'!X35</f>
        <v>-0.390442094584043</v>
      </c>
      <c r="Y35" s="46">
        <f t="shared" si="9"/>
        <v>1287741.0689795415</v>
      </c>
    </row>
    <row r="36" spans="1:25" x14ac:dyDescent="0.25">
      <c r="A36" s="20">
        <v>37134</v>
      </c>
      <c r="B36" s="24">
        <f t="shared" si="10"/>
        <v>20</v>
      </c>
      <c r="C36" s="96" t="s">
        <v>77</v>
      </c>
      <c r="D36" s="27">
        <v>-0.23</v>
      </c>
      <c r="E36" s="46">
        <f t="shared" si="3"/>
        <v>1251876.8607669051</v>
      </c>
      <c r="F36" s="8"/>
      <c r="I36" s="39"/>
      <c r="J36" s="20">
        <f t="shared" si="4"/>
        <v>37134</v>
      </c>
      <c r="K36" s="27">
        <f>'LC (Gross)'!K36</f>
        <v>-6.2599029796738135</v>
      </c>
      <c r="L36" s="46">
        <f t="shared" si="5"/>
        <v>787169.71243831865</v>
      </c>
      <c r="M36" s="8"/>
      <c r="O36" s="39"/>
      <c r="P36" s="20">
        <f t="shared" si="6"/>
        <v>37134</v>
      </c>
      <c r="Q36" s="27">
        <f>'LC (Gross)'!Q36</f>
        <v>-4.1201586478853534</v>
      </c>
      <c r="R36" s="46">
        <f t="shared" si="7"/>
        <v>902356.75641904236</v>
      </c>
      <c r="S36" s="8"/>
      <c r="V36" s="39"/>
      <c r="W36" s="20">
        <f t="shared" si="8"/>
        <v>37134</v>
      </c>
      <c r="X36" s="36">
        <f>'LC (Gross)'!X36</f>
        <v>5.3862557443200045E-2</v>
      </c>
      <c r="Y36" s="46">
        <f t="shared" si="9"/>
        <v>1288434.6792525402</v>
      </c>
    </row>
    <row r="37" spans="1:25" x14ac:dyDescent="0.25">
      <c r="A37" s="20">
        <v>37164</v>
      </c>
      <c r="B37" s="24">
        <f t="shared" si="10"/>
        <v>21</v>
      </c>
      <c r="C37" s="96" t="s">
        <v>77</v>
      </c>
      <c r="D37" s="27">
        <v>-3.34</v>
      </c>
      <c r="E37" s="46">
        <f t="shared" si="3"/>
        <v>1210064.1736172906</v>
      </c>
      <c r="F37" s="8"/>
      <c r="G37" s="5">
        <f>(E37/E34-1)*100</f>
        <v>-5.1535397530000022</v>
      </c>
      <c r="H37" s="5"/>
      <c r="I37" s="39"/>
      <c r="J37" s="20">
        <f t="shared" si="4"/>
        <v>37164</v>
      </c>
      <c r="K37" s="27">
        <f>'LC (Gross)'!K37</f>
        <v>-8.0765442643118277</v>
      </c>
      <c r="L37" s="46">
        <f t="shared" si="5"/>
        <v>723593.60217798175</v>
      </c>
      <c r="M37" s="8"/>
      <c r="N37" s="5">
        <f>(L37/L34-1)*100</f>
        <v>-14.67996799194391</v>
      </c>
      <c r="O37" s="39"/>
      <c r="P37" s="20">
        <f t="shared" si="6"/>
        <v>37164</v>
      </c>
      <c r="Q37" s="27">
        <f>'LC (Gross)'!Q37</f>
        <v>-3.6734538445793525</v>
      </c>
      <c r="R37" s="46">
        <f t="shared" si="7"/>
        <v>869209.09745854547</v>
      </c>
      <c r="S37" s="8"/>
      <c r="T37" s="5">
        <f>(R37/R34-1)*100</f>
        <v>-7.7389549598091296</v>
      </c>
      <c r="U37" s="5"/>
      <c r="V37" s="39"/>
      <c r="W37" s="20">
        <f t="shared" si="8"/>
        <v>37164</v>
      </c>
      <c r="X37" s="36">
        <f>'LC (Gross)'!X37</f>
        <v>-4.6035035860492801</v>
      </c>
      <c r="Y37" s="46">
        <f t="shared" si="9"/>
        <v>1229121.542589247</v>
      </c>
    </row>
    <row r="38" spans="1:25" x14ac:dyDescent="0.25">
      <c r="A38" s="20">
        <v>37195</v>
      </c>
      <c r="B38" s="24">
        <f t="shared" si="10"/>
        <v>22</v>
      </c>
      <c r="C38" s="96" t="s">
        <v>77</v>
      </c>
      <c r="D38" s="27">
        <v>-0.02</v>
      </c>
      <c r="E38" s="46">
        <f t="shared" si="3"/>
        <v>1209822.160782567</v>
      </c>
      <c r="F38" s="8"/>
      <c r="I38" s="39"/>
      <c r="J38" s="20">
        <f t="shared" si="4"/>
        <v>37195</v>
      </c>
      <c r="K38" s="27">
        <f>'LC (Gross)'!K38</f>
        <v>1.9053654180414203</v>
      </c>
      <c r="L38" s="46">
        <f t="shared" si="5"/>
        <v>737380.70444104122</v>
      </c>
      <c r="M38" s="8"/>
      <c r="O38" s="39"/>
      <c r="P38" s="20">
        <f t="shared" si="6"/>
        <v>37195</v>
      </c>
      <c r="Q38" s="27">
        <f>'LC (Gross)'!Q38</f>
        <v>-0.19510437612422324</v>
      </c>
      <c r="R38" s="46">
        <f t="shared" si="7"/>
        <v>867513.23247173394</v>
      </c>
      <c r="S38" s="8"/>
      <c r="V38" s="39"/>
      <c r="W38" s="20">
        <f t="shared" si="8"/>
        <v>37195</v>
      </c>
      <c r="X38" s="36">
        <f>'LC (Gross)'!X38</f>
        <v>-0.78952633549994988</v>
      </c>
      <c r="Y38" s="46">
        <f t="shared" si="9"/>
        <v>1219417.3043152017</v>
      </c>
    </row>
    <row r="39" spans="1:25" x14ac:dyDescent="0.25">
      <c r="A39" s="20">
        <v>37225</v>
      </c>
      <c r="B39" s="24">
        <f t="shared" si="10"/>
        <v>23</v>
      </c>
      <c r="C39" s="96" t="s">
        <v>77</v>
      </c>
      <c r="D39" s="27">
        <v>4.74</v>
      </c>
      <c r="E39" s="46">
        <f t="shared" si="3"/>
        <v>1267167.7312036606</v>
      </c>
      <c r="F39" s="8"/>
      <c r="I39" s="39"/>
      <c r="J39" s="20">
        <f t="shared" si="4"/>
        <v>37225</v>
      </c>
      <c r="K39" s="27">
        <f>'LC (Gross)'!K39</f>
        <v>7.6715489046208916</v>
      </c>
      <c r="L39" s="46">
        <f t="shared" si="5"/>
        <v>793949.22579547379</v>
      </c>
      <c r="M39" s="8"/>
      <c r="O39" s="39"/>
      <c r="P39" s="20">
        <f t="shared" si="6"/>
        <v>37225</v>
      </c>
      <c r="Q39" s="27">
        <f>'LC (Gross)'!Q39</f>
        <v>4.7526157419389712</v>
      </c>
      <c r="R39" s="46">
        <f t="shared" si="7"/>
        <v>908742.80292158923</v>
      </c>
      <c r="S39" s="8"/>
      <c r="V39" s="39"/>
      <c r="W39" s="20">
        <f t="shared" si="8"/>
        <v>37225</v>
      </c>
      <c r="X39" s="36">
        <f>'LC (Gross)'!X39</f>
        <v>3.3957639563985276</v>
      </c>
      <c r="Y39" s="46">
        <f t="shared" si="9"/>
        <v>1260825.8376132238</v>
      </c>
    </row>
    <row r="40" spans="1:25" x14ac:dyDescent="0.25">
      <c r="A40" s="20">
        <v>37256</v>
      </c>
      <c r="B40" s="24">
        <f t="shared" si="10"/>
        <v>24</v>
      </c>
      <c r="C40" s="96" t="s">
        <v>77</v>
      </c>
      <c r="D40" s="27">
        <v>4.0199999999999996</v>
      </c>
      <c r="E40" s="46">
        <f t="shared" si="3"/>
        <v>1318107.8739980478</v>
      </c>
      <c r="F40" s="11">
        <f>(E40-E28)/E28*100</f>
        <v>12.976851055974922</v>
      </c>
      <c r="G40" s="5">
        <f>(E40/E37-1)*100</f>
        <v>8.9287578903999965</v>
      </c>
      <c r="H40" s="1"/>
      <c r="I40" s="39"/>
      <c r="J40" s="20">
        <f t="shared" si="4"/>
        <v>37256</v>
      </c>
      <c r="K40" s="27">
        <f>'LC (Gross)'!K40</f>
        <v>0.87621202357562322</v>
      </c>
      <c r="L40" s="46">
        <f t="shared" si="5"/>
        <v>800905.9043729793</v>
      </c>
      <c r="M40" s="11">
        <f>(L40-L28)/L28*100</f>
        <v>-11.890216919418098</v>
      </c>
      <c r="N40" s="5">
        <f>(L40/L37-1)*100</f>
        <v>10.684492229103636</v>
      </c>
      <c r="O40" s="39"/>
      <c r="P40" s="20">
        <f t="shared" si="6"/>
        <v>37256</v>
      </c>
      <c r="Q40" s="27">
        <f>'LC (Gross)'!Q40</f>
        <v>1.297915709923535</v>
      </c>
      <c r="R40" s="46">
        <f t="shared" si="7"/>
        <v>920537.51852350798</v>
      </c>
      <c r="S40" s="11">
        <f>(R40-R28)/R28*100</f>
        <v>-7.7390971690895176</v>
      </c>
      <c r="T40" s="5">
        <f>(R40/R37-1)*100</f>
        <v>5.9051868204141211</v>
      </c>
      <c r="U40" s="5"/>
      <c r="V40" s="39"/>
      <c r="W40" s="20">
        <f t="shared" si="8"/>
        <v>37256</v>
      </c>
      <c r="X40" s="36">
        <f>'LC (Gross)'!X40</f>
        <v>3.5005376209647232</v>
      </c>
      <c r="Y40" s="46">
        <f t="shared" si="9"/>
        <v>1304961.5203937183</v>
      </c>
    </row>
    <row r="41" spans="1:25" x14ac:dyDescent="0.25">
      <c r="A41" s="20">
        <v>37287</v>
      </c>
      <c r="B41" s="24">
        <f t="shared" si="10"/>
        <v>25</v>
      </c>
      <c r="C41" s="96" t="s">
        <v>77</v>
      </c>
      <c r="D41" s="27">
        <v>-1.85</v>
      </c>
      <c r="E41" s="46">
        <f t="shared" si="3"/>
        <v>1293722.8783290838</v>
      </c>
      <c r="F41" s="10"/>
      <c r="I41" s="39"/>
      <c r="J41" s="20">
        <f t="shared" si="4"/>
        <v>37287</v>
      </c>
      <c r="K41" s="27">
        <f>'LC (Gross)'!K41</f>
        <v>-1.459135520352574</v>
      </c>
      <c r="L41" s="46">
        <f t="shared" si="5"/>
        <v>789219.60183767218</v>
      </c>
      <c r="M41" s="10"/>
      <c r="O41" s="39"/>
      <c r="P41" s="20">
        <f t="shared" si="6"/>
        <v>37287</v>
      </c>
      <c r="Q41" s="27">
        <f>'LC (Gross)'!Q41</f>
        <v>-0.83238712555066385</v>
      </c>
      <c r="R41" s="46">
        <f t="shared" si="7"/>
        <v>912875.08273345476</v>
      </c>
      <c r="S41" s="10"/>
      <c r="V41" s="39"/>
      <c r="W41" s="20">
        <f t="shared" si="8"/>
        <v>37287</v>
      </c>
      <c r="X41" s="36">
        <f>'LC (Gross)'!X41</f>
        <v>-0.24498138479714932</v>
      </c>
      <c r="Y41" s="46">
        <f t="shared" si="9"/>
        <v>1301764.6075899878</v>
      </c>
    </row>
    <row r="42" spans="1:25" x14ac:dyDescent="0.25">
      <c r="A42" s="20">
        <v>37315</v>
      </c>
      <c r="B42" s="24">
        <f t="shared" si="10"/>
        <v>26</v>
      </c>
      <c r="C42" s="96" t="s">
        <v>77</v>
      </c>
      <c r="D42" s="27">
        <v>1.34</v>
      </c>
      <c r="E42" s="46">
        <f t="shared" si="3"/>
        <v>1311058.7648986934</v>
      </c>
      <c r="F42" s="8"/>
      <c r="I42" s="39"/>
      <c r="J42" s="20">
        <f t="shared" si="4"/>
        <v>37315</v>
      </c>
      <c r="K42" s="27">
        <f>'LC (Gross)'!K42</f>
        <v>-1.929963316286353</v>
      </c>
      <c r="L42" s="46">
        <f t="shared" si="5"/>
        <v>773987.95303726394</v>
      </c>
      <c r="M42" s="8"/>
      <c r="O42" s="39"/>
      <c r="P42" s="20">
        <f t="shared" si="6"/>
        <v>37315</v>
      </c>
      <c r="Q42" s="27">
        <f>'LC (Gross)'!Q42</f>
        <v>1.1064504176177481</v>
      </c>
      <c r="R42" s="46">
        <f t="shared" si="7"/>
        <v>922975.59289868746</v>
      </c>
      <c r="S42" s="8"/>
      <c r="V42" s="39"/>
      <c r="W42" s="20">
        <f t="shared" si="8"/>
        <v>37315</v>
      </c>
      <c r="X42" s="36">
        <f>'LC (Gross)'!X42</f>
        <v>2.6350524951864323</v>
      </c>
      <c r="Y42" s="46">
        <f t="shared" si="9"/>
        <v>1336066.7883637417</v>
      </c>
    </row>
    <row r="43" spans="1:25" x14ac:dyDescent="0.25">
      <c r="A43" s="20">
        <v>37346</v>
      </c>
      <c r="B43" s="24">
        <f t="shared" si="10"/>
        <v>27</v>
      </c>
      <c r="C43" s="96" t="s">
        <v>77</v>
      </c>
      <c r="D43" s="27">
        <v>7.41</v>
      </c>
      <c r="E43" s="46">
        <f t="shared" si="3"/>
        <v>1408208.2193776867</v>
      </c>
      <c r="F43" s="8"/>
      <c r="G43" s="5">
        <f>(E43/E40-1)*100</f>
        <v>6.8355820609999896</v>
      </c>
      <c r="H43" s="5"/>
      <c r="I43" s="39"/>
      <c r="J43" s="20">
        <f t="shared" si="4"/>
        <v>37346</v>
      </c>
      <c r="K43" s="27">
        <f>'LC (Gross)'!K43</f>
        <v>3.7602606724799821</v>
      </c>
      <c r="L43" s="46">
        <f t="shared" si="5"/>
        <v>803091.91764505696</v>
      </c>
      <c r="M43" s="8"/>
      <c r="N43" s="5">
        <f>(L43/L40-1)*100</f>
        <v>0.27294258415899719</v>
      </c>
      <c r="O43" s="39"/>
      <c r="P43" s="20">
        <f t="shared" si="6"/>
        <v>37346</v>
      </c>
      <c r="Q43" s="27">
        <f>'LC (Gross)'!Q43</f>
        <v>1.9015260311196844</v>
      </c>
      <c r="R43" s="46">
        <f t="shared" si="7"/>
        <v>940526.21405853727</v>
      </c>
      <c r="S43" s="8"/>
      <c r="T43" s="5">
        <f>(R43/R40-1)*100</f>
        <v>2.1714156275878915</v>
      </c>
      <c r="U43" s="5"/>
      <c r="V43" s="39"/>
      <c r="W43" s="20">
        <f t="shared" si="8"/>
        <v>37346</v>
      </c>
      <c r="X43" s="36">
        <f>'LC (Gross)'!X43</f>
        <v>4.6300513244056409</v>
      </c>
      <c r="Y43" s="46">
        <f t="shared" si="9"/>
        <v>1397927.366393321</v>
      </c>
    </row>
    <row r="44" spans="1:25" x14ac:dyDescent="0.25">
      <c r="A44" s="20">
        <v>37376</v>
      </c>
      <c r="B44" s="24">
        <f t="shared" si="10"/>
        <v>28</v>
      </c>
      <c r="C44" s="96" t="s">
        <v>77</v>
      </c>
      <c r="D44" s="27">
        <v>-0.84</v>
      </c>
      <c r="E44" s="46">
        <f t="shared" si="3"/>
        <v>1396379.2703349141</v>
      </c>
      <c r="F44" s="8"/>
      <c r="I44" s="39"/>
      <c r="J44" s="20">
        <f t="shared" si="4"/>
        <v>37376</v>
      </c>
      <c r="K44" s="27">
        <f>'LC (Gross)'!K44</f>
        <v>-6.0635566402032302</v>
      </c>
      <c r="L44" s="46">
        <f t="shared" si="5"/>
        <v>754395.98434575461</v>
      </c>
      <c r="M44" s="8"/>
      <c r="O44" s="39"/>
      <c r="P44" s="20">
        <f t="shared" si="6"/>
        <v>37376</v>
      </c>
      <c r="Q44" s="27">
        <f>'LC (Gross)'!Q44</f>
        <v>-5.2617954672507325</v>
      </c>
      <c r="R44" s="46">
        <f t="shared" si="7"/>
        <v>891037.64835890022</v>
      </c>
      <c r="S44" s="8"/>
      <c r="V44" s="39"/>
      <c r="W44" s="20">
        <f t="shared" si="8"/>
        <v>37376</v>
      </c>
      <c r="X44" s="36">
        <f>'LC (Gross)'!X44</f>
        <v>-0.19598733412118285</v>
      </c>
      <c r="Y44" s="46">
        <f t="shared" si="9"/>
        <v>1395187.6058149762</v>
      </c>
    </row>
    <row r="45" spans="1:25" x14ac:dyDescent="0.25">
      <c r="A45" s="20">
        <v>37407</v>
      </c>
      <c r="B45" s="24">
        <f t="shared" si="10"/>
        <v>29</v>
      </c>
      <c r="C45" s="96" t="s">
        <v>77</v>
      </c>
      <c r="D45" s="27">
        <v>0.33</v>
      </c>
      <c r="E45" s="46">
        <f t="shared" si="3"/>
        <v>1400987.3219270194</v>
      </c>
      <c r="F45" s="8"/>
      <c r="I45" s="39"/>
      <c r="J45" s="20">
        <f t="shared" si="4"/>
        <v>37407</v>
      </c>
      <c r="K45" s="27">
        <f>'LC (Gross)'!K45</f>
        <v>-0.73730848794787363</v>
      </c>
      <c r="L45" s="46">
        <f t="shared" si="5"/>
        <v>748833.75872043543</v>
      </c>
      <c r="M45" s="8"/>
      <c r="O45" s="39"/>
      <c r="P45" s="20">
        <f t="shared" si="6"/>
        <v>37407</v>
      </c>
      <c r="Q45" s="27">
        <f>'LC (Gross)'!Q45</f>
        <v>-0.57786540496373606</v>
      </c>
      <c r="R45" s="46">
        <f t="shared" si="7"/>
        <v>885888.65004383167</v>
      </c>
      <c r="S45" s="8"/>
      <c r="V45" s="39"/>
      <c r="W45" s="20">
        <f t="shared" si="8"/>
        <v>37407</v>
      </c>
      <c r="X45" s="36">
        <f>'LC (Gross)'!X45</f>
        <v>-0.40652886716518288</v>
      </c>
      <c r="Y45" s="46">
        <f t="shared" si="9"/>
        <v>1389515.7654462275</v>
      </c>
    </row>
    <row r="46" spans="1:25" x14ac:dyDescent="0.25">
      <c r="A46" s="20">
        <v>37437</v>
      </c>
      <c r="B46" s="24">
        <f t="shared" si="10"/>
        <v>30</v>
      </c>
      <c r="C46" s="96" t="s">
        <v>77</v>
      </c>
      <c r="D46" s="27">
        <v>-3.09</v>
      </c>
      <c r="E46" s="46">
        <f t="shared" si="3"/>
        <v>1357696.8136794744</v>
      </c>
      <c r="F46" s="8"/>
      <c r="G46" s="5">
        <f>(E46/E43-1)*100</f>
        <v>-3.5869273452000083</v>
      </c>
      <c r="H46" s="5"/>
      <c r="I46" s="39"/>
      <c r="J46" s="20">
        <f t="shared" si="4"/>
        <v>37437</v>
      </c>
      <c r="K46" s="27">
        <f>'LC (Gross)'!K46</f>
        <v>-7.1145148624280097</v>
      </c>
      <c r="L46" s="46">
        <f t="shared" si="5"/>
        <v>695557.86966139171</v>
      </c>
      <c r="M46" s="8"/>
      <c r="N46" s="5">
        <f>(L46/L43-1)*100</f>
        <v>-13.390005007022388</v>
      </c>
      <c r="O46" s="39"/>
      <c r="P46" s="20">
        <f t="shared" si="6"/>
        <v>37437</v>
      </c>
      <c r="Q46" s="27">
        <f>'LC (Gross)'!Q46</f>
        <v>-5.3806287798988288</v>
      </c>
      <c r="R46" s="46">
        <f t="shared" si="7"/>
        <v>838222.27038171608</v>
      </c>
      <c r="S46" s="8"/>
      <c r="T46" s="5">
        <f>(R46/R43-1)*100</f>
        <v>-10.877309122024526</v>
      </c>
      <c r="U46" s="5"/>
      <c r="V46" s="39"/>
      <c r="W46" s="20">
        <f t="shared" si="8"/>
        <v>37437</v>
      </c>
      <c r="X46" s="36">
        <f>'LC (Gross)'!X46</f>
        <v>-3.2348750249586984</v>
      </c>
      <c r="Y46" s="46">
        <f t="shared" si="9"/>
        <v>1344566.6669819439</v>
      </c>
    </row>
    <row r="47" spans="1:25" x14ac:dyDescent="0.25">
      <c r="A47" s="20">
        <v>37468</v>
      </c>
      <c r="B47" s="24">
        <f t="shared" si="10"/>
        <v>31</v>
      </c>
      <c r="C47" s="96" t="s">
        <v>77</v>
      </c>
      <c r="D47" s="27">
        <v>-5.38</v>
      </c>
      <c r="E47" s="46">
        <f t="shared" si="3"/>
        <v>1284652.7251035187</v>
      </c>
      <c r="F47" s="8"/>
      <c r="I47" s="39"/>
      <c r="J47" s="20">
        <f t="shared" si="4"/>
        <v>37468</v>
      </c>
      <c r="K47" s="27">
        <f>'LC (Gross)'!K47</f>
        <v>-7.7951489527259943</v>
      </c>
      <c r="L47" s="46">
        <f t="shared" si="5"/>
        <v>641338.0976688785</v>
      </c>
      <c r="M47" s="8"/>
      <c r="O47" s="39"/>
      <c r="P47" s="20">
        <f t="shared" si="6"/>
        <v>37468</v>
      </c>
      <c r="Q47" s="27">
        <f>'LC (Gross)'!Q47</f>
        <v>-5.8181354029933576</v>
      </c>
      <c r="R47" s="46">
        <f t="shared" si="7"/>
        <v>789453.36371286272</v>
      </c>
      <c r="S47" s="8"/>
      <c r="V47" s="39"/>
      <c r="W47" s="20">
        <f t="shared" si="8"/>
        <v>37468</v>
      </c>
      <c r="X47" s="36">
        <f>'LC (Gross)'!X47</f>
        <v>-6.02995279866626</v>
      </c>
      <c r="Y47" s="46">
        <f t="shared" si="9"/>
        <v>1263489.9316163324</v>
      </c>
    </row>
    <row r="48" spans="1:25" x14ac:dyDescent="0.25">
      <c r="A48" s="20">
        <v>37499</v>
      </c>
      <c r="B48" s="24">
        <f t="shared" si="10"/>
        <v>32</v>
      </c>
      <c r="C48" s="96" t="s">
        <v>77</v>
      </c>
      <c r="D48" s="27">
        <v>-0.42</v>
      </c>
      <c r="E48" s="46">
        <f t="shared" si="3"/>
        <v>1279257.1836580839</v>
      </c>
      <c r="F48" s="8"/>
      <c r="I48" s="39"/>
      <c r="J48" s="20">
        <f t="shared" si="4"/>
        <v>37499</v>
      </c>
      <c r="K48" s="27">
        <f>'LC (Gross)'!K48</f>
        <v>0.65484364619659652</v>
      </c>
      <c r="L48" s="46">
        <f t="shared" si="5"/>
        <v>645537.85945210129</v>
      </c>
      <c r="M48" s="8"/>
      <c r="O48" s="39"/>
      <c r="P48" s="20">
        <f t="shared" si="6"/>
        <v>37499</v>
      </c>
      <c r="Q48" s="27">
        <f>'LC (Gross)'!Q48</f>
        <v>0.7235479856138588</v>
      </c>
      <c r="R48" s="46">
        <f t="shared" si="7"/>
        <v>795165.43762336799</v>
      </c>
      <c r="S48" s="8"/>
      <c r="V48" s="39"/>
      <c r="W48" s="20">
        <f t="shared" si="8"/>
        <v>37499</v>
      </c>
      <c r="X48" s="36">
        <f>'LC (Gross)'!X48</f>
        <v>1.195992564035379</v>
      </c>
      <c r="Y48" s="46">
        <f t="shared" si="9"/>
        <v>1278601.1772457995</v>
      </c>
    </row>
    <row r="49" spans="1:25" x14ac:dyDescent="0.25">
      <c r="A49" s="20">
        <v>37529</v>
      </c>
      <c r="B49" s="24">
        <f t="shared" si="10"/>
        <v>33</v>
      </c>
      <c r="C49" s="96" t="s">
        <v>77</v>
      </c>
      <c r="D49" s="27">
        <v>-5.43</v>
      </c>
      <c r="E49" s="46">
        <f t="shared" si="3"/>
        <v>1209793.51858545</v>
      </c>
      <c r="F49" s="8"/>
      <c r="G49" s="5">
        <f>(E49/E46-1)*100</f>
        <v>-10.893690962799996</v>
      </c>
      <c r="H49" s="5"/>
      <c r="I49" s="39"/>
      <c r="J49" s="20">
        <f t="shared" si="4"/>
        <v>37529</v>
      </c>
      <c r="K49" s="27">
        <f>'LC (Gross)'!K49</f>
        <v>-10.867941755894977</v>
      </c>
      <c r="L49" s="46">
        <f t="shared" si="5"/>
        <v>575381.18087459577</v>
      </c>
      <c r="M49" s="8"/>
      <c r="N49" s="5">
        <f>(L49/L46-1)*100</f>
        <v>-17.277741224508002</v>
      </c>
      <c r="O49" s="39"/>
      <c r="P49" s="20">
        <f t="shared" si="6"/>
        <v>37529</v>
      </c>
      <c r="Q49" s="27">
        <f>'LC (Gross)'!Q49</f>
        <v>-9.9631230519842351</v>
      </c>
      <c r="R49" s="46">
        <f t="shared" si="7"/>
        <v>715942.12660610292</v>
      </c>
      <c r="S49" s="8"/>
      <c r="T49" s="5">
        <f>(R49/R46-1)*100</f>
        <v>-14.58803328142645</v>
      </c>
      <c r="U49" s="5"/>
      <c r="V49" s="39"/>
      <c r="W49" s="20">
        <f t="shared" si="8"/>
        <v>37529</v>
      </c>
      <c r="X49" s="36">
        <f>'LC (Gross)'!X49</f>
        <v>-7.7098148677838401</v>
      </c>
      <c r="Y49" s="46">
        <f t="shared" si="9"/>
        <v>1180023.3935828437</v>
      </c>
    </row>
    <row r="50" spans="1:25" x14ac:dyDescent="0.25">
      <c r="A50" s="20">
        <v>37560</v>
      </c>
      <c r="B50" s="24">
        <f t="shared" si="10"/>
        <v>34</v>
      </c>
      <c r="C50" s="96" t="s">
        <v>77</v>
      </c>
      <c r="D50" s="27">
        <v>2.85</v>
      </c>
      <c r="E50" s="46">
        <f t="shared" si="3"/>
        <v>1244272.6338651353</v>
      </c>
      <c r="F50" s="8"/>
      <c r="I50" s="39"/>
      <c r="J50" s="20">
        <f t="shared" si="4"/>
        <v>37560</v>
      </c>
      <c r="K50" s="27">
        <f>'LC (Gross)'!K50</f>
        <v>8.8015691900482995</v>
      </c>
      <c r="L50" s="46">
        <f t="shared" si="5"/>
        <v>626023.75361579028</v>
      </c>
      <c r="M50" s="8"/>
      <c r="O50" s="39"/>
      <c r="P50" s="20">
        <f t="shared" si="6"/>
        <v>37560</v>
      </c>
      <c r="Q50" s="27">
        <f>'LC (Gross)'!Q50</f>
        <v>7.3309994307277453</v>
      </c>
      <c r="R50" s="46">
        <f t="shared" si="7"/>
        <v>768427.83983193641</v>
      </c>
      <c r="S50" s="8"/>
      <c r="V50" s="39"/>
      <c r="W50" s="20">
        <f t="shared" si="8"/>
        <v>37560</v>
      </c>
      <c r="X50" s="36">
        <f>'LC (Gross)'!X50</f>
        <v>3.015915849321769</v>
      </c>
      <c r="Y50" s="46">
        <f t="shared" si="9"/>
        <v>1215611.9061356133</v>
      </c>
    </row>
    <row r="51" spans="1:25" x14ac:dyDescent="0.25">
      <c r="A51" s="20">
        <v>37590</v>
      </c>
      <c r="B51" s="24">
        <f t="shared" si="10"/>
        <v>35</v>
      </c>
      <c r="C51" s="96" t="s">
        <v>77</v>
      </c>
      <c r="D51" s="27">
        <v>2.84</v>
      </c>
      <c r="E51" s="46">
        <f t="shared" si="3"/>
        <v>1279609.976666905</v>
      </c>
      <c r="F51" s="8"/>
      <c r="H51" s="49"/>
      <c r="I51" s="39"/>
      <c r="J51" s="20">
        <f t="shared" si="4"/>
        <v>37590</v>
      </c>
      <c r="K51" s="27">
        <f>'LC (Gross)'!K51</f>
        <v>5.8859707927523175</v>
      </c>
      <c r="L51" s="46">
        <f t="shared" si="5"/>
        <v>662871.32890930749</v>
      </c>
      <c r="M51" s="8"/>
      <c r="O51" s="39"/>
      <c r="P51" s="20">
        <f t="shared" si="6"/>
        <v>37590</v>
      </c>
      <c r="Q51" s="27">
        <f>'LC (Gross)'!Q51</f>
        <v>1.7565989017445616</v>
      </c>
      <c r="R51" s="46">
        <f t="shared" si="7"/>
        <v>781926.03482712363</v>
      </c>
      <c r="S51" s="8"/>
      <c r="U51" s="49"/>
      <c r="V51" s="39"/>
      <c r="W51" s="20">
        <f t="shared" si="8"/>
        <v>37590</v>
      </c>
      <c r="X51" s="36">
        <f>'LC (Gross)'!X51</f>
        <v>-0.12864104738710935</v>
      </c>
      <c r="Y51" s="46">
        <f t="shared" si="9"/>
        <v>1214048.130247398</v>
      </c>
    </row>
    <row r="52" spans="1:25" x14ac:dyDescent="0.25">
      <c r="A52" s="20">
        <v>37621</v>
      </c>
      <c r="B52" s="24">
        <f t="shared" si="10"/>
        <v>36</v>
      </c>
      <c r="C52" s="96" t="s">
        <v>77</v>
      </c>
      <c r="D52" s="27">
        <v>-0.24</v>
      </c>
      <c r="E52" s="46">
        <f t="shared" si="3"/>
        <v>1276538.9127229045</v>
      </c>
      <c r="F52" s="11">
        <f>(E52-E40)/E40*100</f>
        <v>-3.1536843148548614</v>
      </c>
      <c r="G52" s="5">
        <f>(E52/E49-1)*100</f>
        <v>5.5170897439999811</v>
      </c>
      <c r="H52" s="1"/>
      <c r="I52" s="39"/>
      <c r="J52" s="20">
        <f t="shared" si="4"/>
        <v>37621</v>
      </c>
      <c r="K52" s="27">
        <f>'LC (Gross)'!K52</f>
        <v>-5.875675887135718</v>
      </c>
      <c r="L52" s="46">
        <f t="shared" si="5"/>
        <v>623923.15807384718</v>
      </c>
      <c r="M52" s="11">
        <f>(L52-L40)/L40*100</f>
        <v>-22.09782014751034</v>
      </c>
      <c r="N52" s="5">
        <f>(L52/L49-1)*100</f>
        <v>8.4364902455562163</v>
      </c>
      <c r="O52" s="39"/>
      <c r="P52" s="20">
        <f t="shared" si="6"/>
        <v>37621</v>
      </c>
      <c r="Q52" s="27">
        <f>'LC (Gross)'!Q52</f>
        <v>-3.3318863643712562</v>
      </c>
      <c r="R52" s="46">
        <f t="shared" si="7"/>
        <v>755873.14789324987</v>
      </c>
      <c r="S52" s="11">
        <f>(R52-R40)/R40*100</f>
        <v>-17.887850013367277</v>
      </c>
      <c r="T52" s="5">
        <f>(R52/R49-1)*100</f>
        <v>5.5774090954025191</v>
      </c>
      <c r="U52" s="49"/>
      <c r="V52" s="39"/>
      <c r="W52" s="20">
        <f t="shared" si="8"/>
        <v>37621</v>
      </c>
      <c r="X52" s="36">
        <f>'LC (Gross)'!X52</f>
        <v>-0.21294663609237258</v>
      </c>
      <c r="Y52" s="46">
        <f t="shared" si="9"/>
        <v>1211462.8555934939</v>
      </c>
    </row>
    <row r="53" spans="1:25" x14ac:dyDescent="0.25">
      <c r="A53" s="20">
        <v>37652</v>
      </c>
      <c r="B53" s="24">
        <f t="shared" si="10"/>
        <v>37</v>
      </c>
      <c r="C53" s="96" t="s">
        <v>77</v>
      </c>
      <c r="D53" s="27">
        <v>-3.6</v>
      </c>
      <c r="E53" s="46">
        <f t="shared" si="3"/>
        <v>1230583.5118648799</v>
      </c>
      <c r="F53" s="10"/>
      <c r="H53" s="49"/>
      <c r="I53" s="39"/>
      <c r="J53" s="20">
        <f t="shared" si="4"/>
        <v>37652</v>
      </c>
      <c r="K53" s="27">
        <f>'LC (Gross)'!K53</f>
        <v>-2.6196491302325975</v>
      </c>
      <c r="L53" s="46">
        <f t="shared" si="5"/>
        <v>607578.56049004593</v>
      </c>
      <c r="M53" s="10"/>
      <c r="O53" s="39"/>
      <c r="P53" s="20">
        <f t="shared" si="6"/>
        <v>37652</v>
      </c>
      <c r="Q53" s="27">
        <f>'LC (Gross)'!Q53</f>
        <v>-3.2514792777136501</v>
      </c>
      <c r="R53" s="46">
        <f t="shared" si="7"/>
        <v>731296.089123699</v>
      </c>
      <c r="S53" s="10"/>
      <c r="U53" s="49"/>
      <c r="V53" s="39"/>
      <c r="W53" s="20">
        <f t="shared" si="8"/>
        <v>37652</v>
      </c>
      <c r="X53" s="36">
        <f>'LC (Gross)'!X53</f>
        <v>-2.0018061017090321</v>
      </c>
      <c r="Y53" s="46">
        <f t="shared" si="9"/>
        <v>1187211.7182302848</v>
      </c>
    </row>
    <row r="54" spans="1:25" x14ac:dyDescent="0.25">
      <c r="A54" s="20">
        <v>37680</v>
      </c>
      <c r="B54" s="24">
        <f t="shared" si="10"/>
        <v>38</v>
      </c>
      <c r="C54" s="96" t="s">
        <v>77</v>
      </c>
      <c r="D54" s="27">
        <v>-0.42</v>
      </c>
      <c r="E54" s="46">
        <f t="shared" si="3"/>
        <v>1225415.0611150474</v>
      </c>
      <c r="F54" s="8"/>
      <c r="H54" s="49"/>
      <c r="I54" s="39"/>
      <c r="J54" s="20">
        <f t="shared" si="4"/>
        <v>37680</v>
      </c>
      <c r="K54" s="27">
        <f>'LC (Gross)'!K54</f>
        <v>-1.5003840101231662</v>
      </c>
      <c r="L54" s="46">
        <f t="shared" si="5"/>
        <v>598462.54891951673</v>
      </c>
      <c r="M54" s="8"/>
      <c r="O54" s="39"/>
      <c r="P54" s="20">
        <f t="shared" si="6"/>
        <v>37680</v>
      </c>
      <c r="Q54" s="27">
        <f>'LC (Gross)'!Q54</f>
        <v>-2.2920471961327489</v>
      </c>
      <c r="R54" s="46">
        <f t="shared" si="7"/>
        <v>714534.43761751079</v>
      </c>
      <c r="S54" s="8"/>
      <c r="U54" s="49"/>
      <c r="V54" s="39"/>
      <c r="W54" s="20">
        <f t="shared" si="8"/>
        <v>37680</v>
      </c>
      <c r="X54" s="36">
        <f>'LC (Gross)'!X54</f>
        <v>-1.3235571394807255</v>
      </c>
      <c r="Y54" s="46">
        <f t="shared" si="9"/>
        <v>1171498.2927728961</v>
      </c>
    </row>
    <row r="55" spans="1:25" x14ac:dyDescent="0.25">
      <c r="A55" s="20">
        <v>37711</v>
      </c>
      <c r="B55" s="24">
        <f t="shared" si="10"/>
        <v>39</v>
      </c>
      <c r="C55" s="96" t="s">
        <v>77</v>
      </c>
      <c r="D55" s="27">
        <v>1.81</v>
      </c>
      <c r="E55" s="46">
        <f t="shared" si="3"/>
        <v>1247595.0737212298</v>
      </c>
      <c r="F55" s="8"/>
      <c r="G55" s="5">
        <f>(E55/E52-1)*100</f>
        <v>-2.2673683279999968</v>
      </c>
      <c r="H55" s="49"/>
      <c r="I55" s="39"/>
      <c r="J55" s="20">
        <f t="shared" si="4"/>
        <v>37711</v>
      </c>
      <c r="K55" s="27">
        <f>'LC (Gross)'!K55</f>
        <v>0.96986083448358928</v>
      </c>
      <c r="L55" s="46">
        <f t="shared" si="5"/>
        <v>604266.80279053934</v>
      </c>
      <c r="M55" s="8"/>
      <c r="N55" s="5">
        <f>(L55/L52-1)*100</f>
        <v>-3.1504448951678921</v>
      </c>
      <c r="O55" s="39"/>
      <c r="P55" s="20">
        <f t="shared" si="6"/>
        <v>37711</v>
      </c>
      <c r="Q55" s="27">
        <f>'LC (Gross)'!Q55</f>
        <v>1.7191189841389471</v>
      </c>
      <c r="R55" s="46">
        <f t="shared" si="7"/>
        <v>726818.13478280383</v>
      </c>
      <c r="S55" s="8"/>
      <c r="T55" s="5">
        <f>(R55/R52-1)*100</f>
        <v>-3.8439006851119673</v>
      </c>
      <c r="U55" s="49"/>
      <c r="V55" s="39"/>
      <c r="W55" s="20">
        <f t="shared" si="8"/>
        <v>37711</v>
      </c>
      <c r="X55" s="36">
        <f>'LC (Gross)'!X55</f>
        <v>0.58507388778100466</v>
      </c>
      <c r="Y55" s="46">
        <f t="shared" si="9"/>
        <v>1178352.4233797106</v>
      </c>
    </row>
    <row r="56" spans="1:25" x14ac:dyDescent="0.25">
      <c r="A56" s="20">
        <v>37741</v>
      </c>
      <c r="B56" s="24">
        <f t="shared" si="10"/>
        <v>40</v>
      </c>
      <c r="C56" s="96" t="s">
        <v>77</v>
      </c>
      <c r="D56" s="27">
        <v>5.52</v>
      </c>
      <c r="E56" s="46">
        <f t="shared" si="3"/>
        <v>1316462.3217906416</v>
      </c>
      <c r="F56" s="8"/>
      <c r="H56" s="49"/>
      <c r="I56" s="39"/>
      <c r="J56" s="20">
        <f t="shared" si="4"/>
        <v>37741</v>
      </c>
      <c r="K56" s="27">
        <f>'LC (Gross)'!K56</f>
        <v>8.2347753314583301</v>
      </c>
      <c r="L56" s="46">
        <f t="shared" si="5"/>
        <v>654026.81640292658</v>
      </c>
      <c r="M56" s="8"/>
      <c r="O56" s="39"/>
      <c r="P56" s="20">
        <f t="shared" si="6"/>
        <v>37741</v>
      </c>
      <c r="Q56" s="27">
        <f>'LC (Gross)'!Q56</f>
        <v>5.7619830723556333</v>
      </c>
      <c r="R56" s="46">
        <f t="shared" si="7"/>
        <v>768697.2726757999</v>
      </c>
      <c r="S56" s="8"/>
      <c r="U56" s="49"/>
      <c r="V56" s="39"/>
      <c r="W56" s="20">
        <f t="shared" si="8"/>
        <v>37741</v>
      </c>
      <c r="X56" s="36">
        <f>'LC (Gross)'!X56</f>
        <v>5.3792498214051516</v>
      </c>
      <c r="Y56" s="46">
        <f t="shared" si="9"/>
        <v>1241738.9440098871</v>
      </c>
    </row>
    <row r="57" spans="1:25" x14ac:dyDescent="0.25">
      <c r="A57" s="20">
        <v>37772</v>
      </c>
      <c r="B57" s="24">
        <f t="shared" si="10"/>
        <v>41</v>
      </c>
      <c r="C57" s="96" t="s">
        <v>77</v>
      </c>
      <c r="D57" s="27">
        <v>5.62</v>
      </c>
      <c r="E57" s="46">
        <f t="shared" si="3"/>
        <v>1390447.5042752756</v>
      </c>
      <c r="F57" s="8"/>
      <c r="H57" s="49"/>
      <c r="I57" s="39"/>
      <c r="J57" s="20">
        <f t="shared" si="4"/>
        <v>37772</v>
      </c>
      <c r="K57" s="27">
        <f>'LC (Gross)'!K57</f>
        <v>5.2682982060379278</v>
      </c>
      <c r="L57" s="46">
        <f t="shared" si="5"/>
        <v>688482.89943848888</v>
      </c>
      <c r="M57" s="8"/>
      <c r="O57" s="39"/>
      <c r="P57" s="20">
        <f t="shared" si="6"/>
        <v>37772</v>
      </c>
      <c r="Q57" s="27">
        <f>'LC (Gross)'!Q57</f>
        <v>3.5828549331467441</v>
      </c>
      <c r="R57" s="46">
        <f t="shared" si="7"/>
        <v>796238.58083082933</v>
      </c>
      <c r="S57" s="8"/>
      <c r="U57" s="49"/>
      <c r="V57" s="39"/>
      <c r="W57" s="20">
        <f t="shared" si="8"/>
        <v>37772</v>
      </c>
      <c r="X57" s="36">
        <f>'LC (Gross)'!X57</f>
        <v>6.2604098960026038</v>
      </c>
      <c r="Y57" s="46">
        <f t="shared" si="9"/>
        <v>1319476.8917432004</v>
      </c>
    </row>
    <row r="58" spans="1:25" x14ac:dyDescent="0.25">
      <c r="A58" s="20">
        <v>37802</v>
      </c>
      <c r="B58" s="24">
        <f t="shared" si="10"/>
        <v>42</v>
      </c>
      <c r="C58" s="96" t="s">
        <v>77</v>
      </c>
      <c r="D58" s="27">
        <v>3.92</v>
      </c>
      <c r="E58" s="46">
        <f t="shared" si="3"/>
        <v>1444953.0464428663</v>
      </c>
      <c r="F58" s="8"/>
      <c r="G58" s="5">
        <f>(E58/E55-1)*100</f>
        <v>15.819072780799992</v>
      </c>
      <c r="H58" s="49"/>
      <c r="I58" s="39"/>
      <c r="J58" s="20">
        <f t="shared" si="4"/>
        <v>37802</v>
      </c>
      <c r="K58" s="27">
        <f>'LC (Gross)'!K58</f>
        <v>1.275187125545022</v>
      </c>
      <c r="L58" s="46">
        <f t="shared" si="5"/>
        <v>697262.34473370761</v>
      </c>
      <c r="M58" s="8"/>
      <c r="N58" s="5">
        <f>(L58/L55-1)*100</f>
        <v>15.389814815857727</v>
      </c>
      <c r="O58" s="39"/>
      <c r="P58" s="20">
        <f t="shared" si="6"/>
        <v>37802</v>
      </c>
      <c r="Q58" s="27">
        <f>'LC (Gross)'!Q58</f>
        <v>0.88071284837872466</v>
      </c>
      <c r="R58" s="46">
        <f t="shared" si="7"/>
        <v>803251.15631595487</v>
      </c>
      <c r="S58" s="8"/>
      <c r="T58" s="5">
        <f>(R58/R55-1)*100</f>
        <v>10.516113711993658</v>
      </c>
      <c r="U58" s="49"/>
      <c r="V58" s="39"/>
      <c r="W58" s="20">
        <f t="shared" si="8"/>
        <v>37802</v>
      </c>
      <c r="X58" s="36">
        <f>'LC (Gross)'!X58</f>
        <v>-0.62865430703467751</v>
      </c>
      <c r="Y58" s="46">
        <f t="shared" si="9"/>
        <v>1311181.9434329295</v>
      </c>
    </row>
    <row r="59" spans="1:25" x14ac:dyDescent="0.25">
      <c r="A59" s="20">
        <v>37833</v>
      </c>
      <c r="B59" s="24">
        <f t="shared" si="10"/>
        <v>43</v>
      </c>
      <c r="C59" s="96" t="s">
        <v>77</v>
      </c>
      <c r="D59" s="27">
        <v>1.97</v>
      </c>
      <c r="E59" s="46">
        <f t="shared" si="3"/>
        <v>1473418.6214577907</v>
      </c>
      <c r="F59" s="8"/>
      <c r="H59" s="49"/>
      <c r="I59" s="39"/>
      <c r="J59" s="20">
        <f t="shared" si="4"/>
        <v>37833</v>
      </c>
      <c r="K59" s="27">
        <f>'LC (Gross)'!K59</f>
        <v>1.7595248663017788</v>
      </c>
      <c r="L59" s="46">
        <f t="shared" si="5"/>
        <v>709530.84907265601</v>
      </c>
      <c r="M59" s="8"/>
      <c r="O59" s="39"/>
      <c r="P59" s="20">
        <f t="shared" si="6"/>
        <v>37833</v>
      </c>
      <c r="Q59" s="27">
        <f>'LC (Gross)'!Q59</f>
        <v>0.37610460294573611</v>
      </c>
      <c r="R59" s="46">
        <f t="shared" si="7"/>
        <v>806272.22088807402</v>
      </c>
      <c r="S59" s="8"/>
      <c r="U59" s="49"/>
      <c r="V59" s="39"/>
      <c r="W59" s="20">
        <f t="shared" si="8"/>
        <v>37833</v>
      </c>
      <c r="X59" s="36">
        <f>'LC (Gross)'!X59</f>
        <v>0.35346564650551665</v>
      </c>
      <c r="Y59" s="46">
        <f t="shared" si="9"/>
        <v>1315816.5211661484</v>
      </c>
    </row>
    <row r="60" spans="1:25" x14ac:dyDescent="0.25">
      <c r="A60" s="20">
        <v>37864</v>
      </c>
      <c r="B60" s="24">
        <f t="shared" si="10"/>
        <v>44</v>
      </c>
      <c r="C60" s="96" t="s">
        <v>77</v>
      </c>
      <c r="D60" s="27">
        <v>1.26</v>
      </c>
      <c r="E60" s="46">
        <f t="shared" si="3"/>
        <v>1491983.696088159</v>
      </c>
      <c r="F60" s="8"/>
      <c r="H60" s="49"/>
      <c r="I60" s="39"/>
      <c r="J60" s="20">
        <f t="shared" si="4"/>
        <v>37864</v>
      </c>
      <c r="K60" s="27">
        <f>'LC (Gross)'!K60</f>
        <v>1.9495851328114169</v>
      </c>
      <c r="L60" s="46">
        <f t="shared" si="5"/>
        <v>723363.75701888709</v>
      </c>
      <c r="M60" s="8"/>
      <c r="O60" s="39"/>
      <c r="P60" s="20">
        <f t="shared" si="6"/>
        <v>37864</v>
      </c>
      <c r="Q60" s="27">
        <f>'LC (Gross)'!Q60</f>
        <v>0.58757200871798743</v>
      </c>
      <c r="R60" s="46">
        <f t="shared" si="7"/>
        <v>811009.65077208122</v>
      </c>
      <c r="S60" s="8"/>
      <c r="U60" s="49"/>
      <c r="V60" s="39"/>
      <c r="W60" s="20">
        <f t="shared" si="8"/>
        <v>37864</v>
      </c>
      <c r="X60" s="36">
        <f>'LC (Gross)'!X60</f>
        <v>1.0315033832352372</v>
      </c>
      <c r="Y60" s="46">
        <f t="shared" si="9"/>
        <v>1329389.2130991453</v>
      </c>
    </row>
    <row r="61" spans="1:25" x14ac:dyDescent="0.25">
      <c r="A61" s="20">
        <v>37894</v>
      </c>
      <c r="B61" s="24">
        <f t="shared" si="10"/>
        <v>45</v>
      </c>
      <c r="C61" s="96" t="s">
        <v>77</v>
      </c>
      <c r="D61" s="27">
        <v>0.93</v>
      </c>
      <c r="E61" s="46">
        <f t="shared" si="3"/>
        <v>1505859.1444617789</v>
      </c>
      <c r="F61" s="8"/>
      <c r="G61" s="5">
        <f>(E61/E58-1)*100</f>
        <v>4.2150918446000052</v>
      </c>
      <c r="H61" s="49"/>
      <c r="I61" s="39"/>
      <c r="J61" s="20">
        <f t="shared" si="4"/>
        <v>37894</v>
      </c>
      <c r="K61" s="27">
        <f>'LC (Gross)'!K61</f>
        <v>-1.0626342324093958</v>
      </c>
      <c r="L61" s="46">
        <f t="shared" si="5"/>
        <v>715677.04611196171</v>
      </c>
      <c r="M61" s="8"/>
      <c r="N61" s="5">
        <f>(L61/L58-1)*100</f>
        <v>2.6410004092916939</v>
      </c>
      <c r="O61" s="39"/>
      <c r="P61" s="20">
        <f t="shared" si="6"/>
        <v>37894</v>
      </c>
      <c r="Q61" s="27">
        <f>'LC (Gross)'!Q61</f>
        <v>-0.3223487596915271</v>
      </c>
      <c r="R61" s="46">
        <f t="shared" si="7"/>
        <v>808395.37122183887</v>
      </c>
      <c r="S61" s="8"/>
      <c r="T61" s="5">
        <f>(R61/R58-1)*100</f>
        <v>0.64042421419938655</v>
      </c>
      <c r="U61" s="49"/>
      <c r="V61" s="39"/>
      <c r="W61" s="20">
        <f t="shared" si="8"/>
        <v>37894</v>
      </c>
      <c r="X61" s="36">
        <f>'LC (Gross)'!X61</f>
        <v>0.92539670869926127</v>
      </c>
      <c r="Y61" s="46">
        <f t="shared" si="9"/>
        <v>1341691.3371229679</v>
      </c>
    </row>
    <row r="62" spans="1:25" x14ac:dyDescent="0.25">
      <c r="A62" s="20">
        <v>37925</v>
      </c>
      <c r="B62" s="24">
        <f t="shared" si="10"/>
        <v>46</v>
      </c>
      <c r="C62" s="96" t="s">
        <v>77</v>
      </c>
      <c r="D62" s="27">
        <v>4.71</v>
      </c>
      <c r="E62" s="46">
        <f t="shared" si="3"/>
        <v>1576785.1101659287</v>
      </c>
      <c r="F62" s="8"/>
      <c r="H62" s="49"/>
      <c r="I62" s="39"/>
      <c r="J62" s="20">
        <f t="shared" si="4"/>
        <v>37925</v>
      </c>
      <c r="K62" s="27">
        <f>'LC (Gross)'!K62</f>
        <v>5.653287633908807</v>
      </c>
      <c r="L62" s="46">
        <f t="shared" si="5"/>
        <v>756136.32805853302</v>
      </c>
      <c r="M62" s="8"/>
      <c r="O62" s="39"/>
      <c r="P62" s="20">
        <f t="shared" si="6"/>
        <v>37925</v>
      </c>
      <c r="Q62" s="27">
        <f>'LC (Gross)'!Q62</f>
        <v>3.6363759317724247</v>
      </c>
      <c r="R62" s="46">
        <f t="shared" si="7"/>
        <v>837791.66593451216</v>
      </c>
      <c r="S62" s="8"/>
      <c r="U62" s="49"/>
      <c r="V62" s="39"/>
      <c r="W62" s="20">
        <f t="shared" si="8"/>
        <v>37925</v>
      </c>
      <c r="X62" s="36">
        <f>'LC (Gross)'!X62</f>
        <v>4.750927603458047</v>
      </c>
      <c r="Y62" s="46">
        <f t="shared" si="9"/>
        <v>1405434.1212115483</v>
      </c>
    </row>
    <row r="63" spans="1:25" x14ac:dyDescent="0.25">
      <c r="A63" s="20">
        <v>37955</v>
      </c>
      <c r="B63" s="24">
        <f t="shared" si="10"/>
        <v>47</v>
      </c>
      <c r="C63" s="96" t="s">
        <v>77</v>
      </c>
      <c r="D63" s="27">
        <v>2.69</v>
      </c>
      <c r="E63" s="46">
        <f t="shared" si="3"/>
        <v>1619200.6296293922</v>
      </c>
      <c r="F63" s="8"/>
      <c r="H63" s="49"/>
      <c r="I63" s="39"/>
      <c r="J63" s="20">
        <f t="shared" si="4"/>
        <v>37955</v>
      </c>
      <c r="K63" s="27">
        <f>'LC (Gross)'!K63</f>
        <v>0.87824573724206845</v>
      </c>
      <c r="L63" s="46">
        <f t="shared" si="5"/>
        <v>762777.06312744576</v>
      </c>
      <c r="M63" s="8"/>
      <c r="O63" s="39"/>
      <c r="P63" s="20">
        <f t="shared" si="6"/>
        <v>37955</v>
      </c>
      <c r="Q63" s="27">
        <f>'LC (Gross)'!Q63</f>
        <v>0.81258476926447176</v>
      </c>
      <c r="R63" s="46">
        <f t="shared" si="7"/>
        <v>844599.43341006304</v>
      </c>
      <c r="S63" s="8"/>
      <c r="U63" s="49"/>
      <c r="V63" s="39"/>
      <c r="W63" s="20">
        <f t="shared" si="8"/>
        <v>37955</v>
      </c>
      <c r="X63" s="36">
        <f>'LC (Gross)'!X63</f>
        <v>1.1537158713885951</v>
      </c>
      <c r="Y63" s="46">
        <f t="shared" si="9"/>
        <v>1421648.8377298769</v>
      </c>
    </row>
    <row r="64" spans="1:25" x14ac:dyDescent="0.25">
      <c r="A64" s="20">
        <v>37986</v>
      </c>
      <c r="B64" s="24">
        <f t="shared" si="10"/>
        <v>48</v>
      </c>
      <c r="C64" s="96" t="s">
        <v>77</v>
      </c>
      <c r="D64" s="27">
        <v>5.07</v>
      </c>
      <c r="E64" s="46">
        <f t="shared" si="3"/>
        <v>1701294.1015516024</v>
      </c>
      <c r="F64" s="11">
        <f>(E64-E52)/E52*100</f>
        <v>33.27397109444</v>
      </c>
      <c r="G64" s="5">
        <f>(E64/E61-1)*100</f>
        <v>12.978302639299999</v>
      </c>
      <c r="H64" s="1"/>
      <c r="I64" s="39"/>
      <c r="J64" s="20">
        <f t="shared" si="4"/>
        <v>37986</v>
      </c>
      <c r="K64" s="27">
        <f>'LC (Gross)'!K64</f>
        <v>5.2430503443262957</v>
      </c>
      <c r="L64" s="46">
        <f t="shared" si="5"/>
        <v>802769.84856219136</v>
      </c>
      <c r="M64" s="11">
        <f>(L64-L52)/L52*100</f>
        <v>28.664858512460601</v>
      </c>
      <c r="N64" s="5">
        <f>(L64/L61-1)*100</f>
        <v>12.169288217831809</v>
      </c>
      <c r="O64" s="39"/>
      <c r="P64" s="20">
        <f t="shared" si="6"/>
        <v>37986</v>
      </c>
      <c r="Q64" s="27">
        <f>'LC (Gross)'!Q64</f>
        <v>4.7449351046833081</v>
      </c>
      <c r="R64" s="46">
        <f t="shared" si="7"/>
        <v>884675.12841989344</v>
      </c>
      <c r="S64" s="11">
        <f>(R64-R52)/R52*100</f>
        <v>17.040158244228827</v>
      </c>
      <c r="T64" s="5">
        <f>(R64/R61-1)*100</f>
        <v>9.435946804440821</v>
      </c>
      <c r="U64" s="49"/>
      <c r="V64" s="39"/>
      <c r="W64" s="20">
        <f t="shared" si="8"/>
        <v>37986</v>
      </c>
      <c r="X64" s="36">
        <f>'LC (Gross)'!X64</f>
        <v>4.6021467222567294</v>
      </c>
      <c r="Y64" s="46">
        <f t="shared" si="9"/>
        <v>1487075.2031174633</v>
      </c>
    </row>
    <row r="65" spans="1:25" x14ac:dyDescent="0.25">
      <c r="A65" s="20">
        <v>38017</v>
      </c>
      <c r="B65" s="24">
        <f t="shared" si="10"/>
        <v>49</v>
      </c>
      <c r="C65" s="96" t="s">
        <v>77</v>
      </c>
      <c r="D65" s="27">
        <v>2.39</v>
      </c>
      <c r="E65" s="46">
        <f t="shared" si="3"/>
        <v>1741955.0305786857</v>
      </c>
      <c r="F65" s="10"/>
      <c r="H65" s="49"/>
      <c r="I65" s="39"/>
      <c r="J65" s="20">
        <f t="shared" si="4"/>
        <v>38017</v>
      </c>
      <c r="K65" s="27">
        <f>'LC (Gross)'!K65</f>
        <v>1.8354690956002737</v>
      </c>
      <c r="L65" s="46">
        <f t="shared" si="5"/>
        <v>817504.44104134745</v>
      </c>
      <c r="M65" s="10"/>
      <c r="O65" s="39"/>
      <c r="P65" s="20">
        <f t="shared" si="6"/>
        <v>38017</v>
      </c>
      <c r="Q65" s="27">
        <f>'LC (Gross)'!Q65</f>
        <v>1.2549239261818839</v>
      </c>
      <c r="R65" s="46">
        <f t="shared" si="7"/>
        <v>895777.12827541505</v>
      </c>
      <c r="S65" s="10"/>
      <c r="U65" s="49"/>
      <c r="V65" s="39"/>
      <c r="W65" s="20">
        <f t="shared" si="8"/>
        <v>38017</v>
      </c>
      <c r="X65" s="36">
        <f>'LC (Gross)'!X65</f>
        <v>1.2911514781458224</v>
      </c>
      <c r="Y65" s="46">
        <f t="shared" si="9"/>
        <v>1506275.5965836544</v>
      </c>
    </row>
    <row r="66" spans="1:25" x14ac:dyDescent="0.25">
      <c r="A66" s="20">
        <v>38046</v>
      </c>
      <c r="B66" s="24">
        <f t="shared" si="10"/>
        <v>50</v>
      </c>
      <c r="C66" s="96" t="s">
        <v>77</v>
      </c>
      <c r="D66" s="27">
        <v>2.25</v>
      </c>
      <c r="E66" s="46">
        <f t="shared" si="3"/>
        <v>1781149.0187667061</v>
      </c>
      <c r="F66" s="8"/>
      <c r="H66" s="49"/>
      <c r="I66" s="39"/>
      <c r="J66" s="20">
        <f t="shared" si="4"/>
        <v>38046</v>
      </c>
      <c r="K66" s="27">
        <f>'LC (Gross)'!K66</f>
        <v>1.3894050744705935</v>
      </c>
      <c r="L66" s="46">
        <f t="shared" si="5"/>
        <v>828862.88922919845</v>
      </c>
      <c r="M66" s="8"/>
      <c r="O66" s="39"/>
      <c r="P66" s="20">
        <f t="shared" si="6"/>
        <v>38046</v>
      </c>
      <c r="Q66" s="27">
        <f>'LC (Gross)'!Q66</f>
        <v>1.5268346885193596</v>
      </c>
      <c r="R66" s="46">
        <f t="shared" si="7"/>
        <v>909454.16420174669</v>
      </c>
      <c r="S66" s="8"/>
      <c r="U66" s="49"/>
      <c r="V66" s="39"/>
      <c r="W66" s="20">
        <f t="shared" si="8"/>
        <v>38046</v>
      </c>
      <c r="X66" s="36">
        <f>'LC (Gross)'!X66</f>
        <v>3.0044247972840026</v>
      </c>
      <c r="Y66" s="46">
        <f t="shared" si="9"/>
        <v>1551530.5141228512</v>
      </c>
    </row>
    <row r="67" spans="1:25" x14ac:dyDescent="0.25">
      <c r="A67" s="20">
        <v>38077</v>
      </c>
      <c r="B67" s="24">
        <f t="shared" si="10"/>
        <v>51</v>
      </c>
      <c r="C67" s="96" t="s">
        <v>77</v>
      </c>
      <c r="D67" s="27">
        <v>1.81</v>
      </c>
      <c r="E67" s="46">
        <f t="shared" si="3"/>
        <v>1813387.8160063834</v>
      </c>
      <c r="F67" s="8"/>
      <c r="G67" s="5">
        <f>(E67/E64-1)*100</f>
        <v>6.5887323274999909</v>
      </c>
      <c r="H67" s="49"/>
      <c r="I67" s="39"/>
      <c r="J67" s="20">
        <f t="shared" si="4"/>
        <v>38077</v>
      </c>
      <c r="K67" s="27">
        <f>'LC (Gross)'!K67</f>
        <v>-1.5087779112417521</v>
      </c>
      <c r="L67" s="46">
        <f t="shared" si="5"/>
        <v>816357.18904202816</v>
      </c>
      <c r="M67" s="8"/>
      <c r="N67" s="5">
        <f>(L67/L64-1)*100</f>
        <v>1.6925574003772814</v>
      </c>
      <c r="O67" s="39"/>
      <c r="P67" s="20">
        <f t="shared" si="6"/>
        <v>38077</v>
      </c>
      <c r="Q67" s="27">
        <f>'LC (Gross)'!Q67</f>
        <v>-1.383566625577014</v>
      </c>
      <c r="R67" s="46">
        <f t="shared" si="7"/>
        <v>896871.259910931</v>
      </c>
      <c r="S67" s="8"/>
      <c r="T67" s="5">
        <f>(R67/R64-1)*100</f>
        <v>1.3786000192885339</v>
      </c>
      <c r="U67" s="49"/>
      <c r="V67" s="39"/>
      <c r="W67" s="20">
        <f t="shared" si="8"/>
        <v>38077</v>
      </c>
      <c r="X67" s="36">
        <f>'LC (Gross)'!X67</f>
        <v>0.49398922205334517</v>
      </c>
      <c r="Y67" s="46">
        <f t="shared" si="9"/>
        <v>1559194.9076394869</v>
      </c>
    </row>
    <row r="68" spans="1:25" x14ac:dyDescent="0.25">
      <c r="A68" s="20">
        <v>38107</v>
      </c>
      <c r="B68" s="24">
        <f t="shared" si="10"/>
        <v>52</v>
      </c>
      <c r="C68" s="96" t="s">
        <v>77</v>
      </c>
      <c r="D68" s="27">
        <v>-2.23</v>
      </c>
      <c r="E68" s="46">
        <f t="shared" si="3"/>
        <v>1772949.267709441</v>
      </c>
      <c r="F68" s="8"/>
      <c r="H68" s="49"/>
      <c r="I68" s="39"/>
      <c r="J68" s="20">
        <f t="shared" si="4"/>
        <v>38107</v>
      </c>
      <c r="K68" s="27">
        <f>'LC (Gross)'!K68</f>
        <v>-1.5698170001687444</v>
      </c>
      <c r="L68" s="46">
        <f t="shared" si="5"/>
        <v>803541.87510634668</v>
      </c>
      <c r="M68" s="8"/>
      <c r="O68" s="39"/>
      <c r="P68" s="20">
        <f t="shared" si="6"/>
        <v>38107</v>
      </c>
      <c r="Q68" s="27">
        <f>'LC (Gross)'!Q68</f>
        <v>0.29481950985467864</v>
      </c>
      <c r="R68" s="46">
        <f t="shared" si="7"/>
        <v>899515.41136342788</v>
      </c>
      <c r="S68" s="8"/>
      <c r="U68" s="49"/>
      <c r="V68" s="39"/>
      <c r="W68" s="20">
        <f t="shared" si="8"/>
        <v>38107</v>
      </c>
      <c r="X68" s="36">
        <f>'LC (Gross)'!X68</f>
        <v>-1.0898862999876764</v>
      </c>
      <c r="Y68" s="46">
        <f t="shared" si="9"/>
        <v>1542201.4559510187</v>
      </c>
    </row>
    <row r="69" spans="1:25" x14ac:dyDescent="0.25">
      <c r="A69" s="20">
        <v>38138</v>
      </c>
      <c r="B69" s="24">
        <f t="shared" si="10"/>
        <v>53</v>
      </c>
      <c r="C69" s="96" t="s">
        <v>77</v>
      </c>
      <c r="D69" s="27">
        <v>0.09</v>
      </c>
      <c r="E69" s="46">
        <f t="shared" si="3"/>
        <v>1774544.9220503794</v>
      </c>
      <c r="F69" s="8"/>
      <c r="H69" s="49"/>
      <c r="I69" s="39"/>
      <c r="J69" s="20">
        <f t="shared" si="4"/>
        <v>38138</v>
      </c>
      <c r="K69" s="27">
        <f>'LC (Gross)'!K69</f>
        <v>1.3714252510939533</v>
      </c>
      <c r="L69" s="46">
        <f t="shared" si="5"/>
        <v>814561.8512846689</v>
      </c>
      <c r="M69" s="8"/>
      <c r="O69" s="39"/>
      <c r="P69" s="20">
        <f t="shared" si="6"/>
        <v>38138</v>
      </c>
      <c r="Q69" s="27">
        <f>'LC (Gross)'!Q69</f>
        <v>1.1161332010476621</v>
      </c>
      <c r="R69" s="46">
        <f t="shared" si="7"/>
        <v>909555.20151819556</v>
      </c>
      <c r="S69" s="8"/>
      <c r="U69" s="49"/>
      <c r="V69" s="39"/>
      <c r="W69" s="20">
        <f t="shared" si="8"/>
        <v>38138</v>
      </c>
      <c r="X69" s="36">
        <f>'LC (Gross)'!X69</f>
        <v>1.9537694441662008</v>
      </c>
      <c r="Y69" s="46">
        <f t="shared" si="9"/>
        <v>1572332.516764876</v>
      </c>
    </row>
    <row r="70" spans="1:25" x14ac:dyDescent="0.25">
      <c r="A70" s="20">
        <v>38168</v>
      </c>
      <c r="B70" s="24">
        <f t="shared" si="10"/>
        <v>54</v>
      </c>
      <c r="C70" s="96" t="s">
        <v>77</v>
      </c>
      <c r="D70" s="27">
        <v>5.27</v>
      </c>
      <c r="E70" s="46">
        <f t="shared" si="3"/>
        <v>1868063.4394424343</v>
      </c>
      <c r="F70" s="8"/>
      <c r="G70" s="5">
        <f>(E70/E67-1)*100</f>
        <v>3.0151092310999994</v>
      </c>
      <c r="H70" s="49"/>
      <c r="I70" s="39"/>
      <c r="J70" s="20">
        <f t="shared" si="4"/>
        <v>38168</v>
      </c>
      <c r="K70" s="27">
        <f>'LC (Gross)'!K70</f>
        <v>1.9445435517360854</v>
      </c>
      <c r="L70" s="46">
        <f t="shared" si="5"/>
        <v>830401.361238727</v>
      </c>
      <c r="M70" s="8"/>
      <c r="N70" s="5">
        <f>(L70/L67-1)*100</f>
        <v>1.7203464837713067</v>
      </c>
      <c r="O70" s="39"/>
      <c r="P70" s="20">
        <f t="shared" si="6"/>
        <v>38168</v>
      </c>
      <c r="Q70" s="27">
        <f>'LC (Gross)'!Q70</f>
        <v>1.3143367348745805</v>
      </c>
      <c r="R70" s="46">
        <f t="shared" si="7"/>
        <v>921509.81965571176</v>
      </c>
      <c r="S70" s="8"/>
      <c r="T70" s="5">
        <f>(R70/R67-1)*100</f>
        <v>2.747167943281803</v>
      </c>
      <c r="U70" s="49"/>
      <c r="V70" s="39"/>
      <c r="W70" s="20">
        <f t="shared" si="8"/>
        <v>38168</v>
      </c>
      <c r="X70" s="36">
        <f>'LC (Gross)'!X70</f>
        <v>1.313378008237186</v>
      </c>
      <c r="Y70" s="46">
        <f t="shared" si="9"/>
        <v>1592983.186256428</v>
      </c>
    </row>
    <row r="71" spans="1:25" x14ac:dyDescent="0.25">
      <c r="A71" s="20">
        <v>38199</v>
      </c>
      <c r="B71" s="24">
        <f t="shared" si="10"/>
        <v>55</v>
      </c>
      <c r="C71" s="96" t="s">
        <v>77</v>
      </c>
      <c r="D71" s="27">
        <v>-1.78</v>
      </c>
      <c r="E71" s="46">
        <f t="shared" si="3"/>
        <v>1834811.910220359</v>
      </c>
      <c r="F71" s="8"/>
      <c r="H71" s="49"/>
      <c r="I71" s="39"/>
      <c r="J71" s="20">
        <f t="shared" si="4"/>
        <v>38199</v>
      </c>
      <c r="K71" s="27">
        <f>'LC (Gross)'!K71</f>
        <v>-3.3097521185718324</v>
      </c>
      <c r="L71" s="46">
        <f t="shared" si="5"/>
        <v>802917.13459247886</v>
      </c>
      <c r="M71" s="8"/>
      <c r="O71" s="39"/>
      <c r="P71" s="20">
        <f t="shared" si="6"/>
        <v>38199</v>
      </c>
      <c r="Q71" s="27">
        <f>'LC (Gross)'!Q71</f>
        <v>-1.9831653673148983</v>
      </c>
      <c r="R71" s="46">
        <f t="shared" si="7"/>
        <v>903234.75605589373</v>
      </c>
      <c r="S71" s="8"/>
      <c r="U71" s="49"/>
      <c r="V71" s="39"/>
      <c r="W71" s="20">
        <f t="shared" si="8"/>
        <v>38199</v>
      </c>
      <c r="X71" s="36">
        <f>'LC (Gross)'!X71</f>
        <v>-1.4762579562367424</v>
      </c>
      <c r="Y71" s="46">
        <f t="shared" si="9"/>
        <v>1569466.6452278038</v>
      </c>
    </row>
    <row r="72" spans="1:25" x14ac:dyDescent="0.25">
      <c r="A72" s="20">
        <v>38230</v>
      </c>
      <c r="B72" s="24">
        <f t="shared" si="10"/>
        <v>56</v>
      </c>
      <c r="C72" s="96" t="s">
        <v>77</v>
      </c>
      <c r="D72" s="27">
        <v>0.78</v>
      </c>
      <c r="E72" s="46">
        <f t="shared" si="3"/>
        <v>1849123.4431200777</v>
      </c>
      <c r="F72" s="8"/>
      <c r="H72" s="49"/>
      <c r="I72" s="39"/>
      <c r="J72" s="20">
        <f t="shared" si="4"/>
        <v>38230</v>
      </c>
      <c r="K72" s="27">
        <f>'LC (Gross)'!K72</f>
        <v>0.40338700298215713</v>
      </c>
      <c r="L72" s="46">
        <f t="shared" si="5"/>
        <v>806155.99795814173</v>
      </c>
      <c r="M72" s="8"/>
      <c r="O72" s="39"/>
      <c r="P72" s="20">
        <f t="shared" si="6"/>
        <v>38230</v>
      </c>
      <c r="Q72" s="27">
        <f>'LC (Gross)'!Q72</f>
        <v>1.3836257479328318</v>
      </c>
      <c r="R72" s="46">
        <f t="shared" si="7"/>
        <v>915732.14470496133</v>
      </c>
      <c r="S72" s="8"/>
      <c r="U72" s="49"/>
      <c r="V72" s="39"/>
      <c r="W72" s="20">
        <f t="shared" si="8"/>
        <v>38230</v>
      </c>
      <c r="X72" s="36">
        <f>'LC (Gross)'!X72</f>
        <v>2.542360964634736</v>
      </c>
      <c r="Y72" s="46">
        <f t="shared" si="9"/>
        <v>1609368.1525690379</v>
      </c>
    </row>
    <row r="73" spans="1:25" x14ac:dyDescent="0.25">
      <c r="A73" s="20">
        <v>38260</v>
      </c>
      <c r="B73" s="24">
        <f t="shared" si="10"/>
        <v>57</v>
      </c>
      <c r="C73" s="96" t="s">
        <v>77</v>
      </c>
      <c r="D73" s="27">
        <v>2.0099999999999998</v>
      </c>
      <c r="E73" s="46">
        <f t="shared" si="3"/>
        <v>1886290.8243267913</v>
      </c>
      <c r="F73" s="8"/>
      <c r="G73" s="5">
        <f>(E73/E70-1)*100</f>
        <v>0.97573693160000197</v>
      </c>
      <c r="H73" s="49"/>
      <c r="I73" s="39"/>
      <c r="J73" s="20">
        <f t="shared" si="4"/>
        <v>38260</v>
      </c>
      <c r="K73" s="27">
        <f>'LC (Gross)'!K73</f>
        <v>1.0830982653727967</v>
      </c>
      <c r="L73" s="46">
        <f t="shared" si="5"/>
        <v>814887.45958822512</v>
      </c>
      <c r="M73" s="8"/>
      <c r="N73" s="5">
        <f>(L73/L70-1)*100</f>
        <v>-1.8682413558859579</v>
      </c>
      <c r="O73" s="39"/>
      <c r="P73" s="20">
        <f t="shared" si="6"/>
        <v>38260</v>
      </c>
      <c r="Q73" s="27">
        <f>'LC (Gross)'!Q73</f>
        <v>0.37522432120515598</v>
      </c>
      <c r="R73" s="46">
        <f t="shared" si="7"/>
        <v>919168.19442898792</v>
      </c>
      <c r="S73" s="8"/>
      <c r="T73" s="5">
        <f>(R73/R70-1)*100</f>
        <v>-0.25410746329308509</v>
      </c>
      <c r="U73" s="49"/>
      <c r="V73" s="39"/>
      <c r="W73" s="20">
        <f t="shared" si="8"/>
        <v>38260</v>
      </c>
      <c r="X73" s="36">
        <f>'LC (Gross)'!X73</f>
        <v>0.46291489457568963</v>
      </c>
      <c r="Y73" s="46">
        <f t="shared" si="9"/>
        <v>1616818.1574558376</v>
      </c>
    </row>
    <row r="74" spans="1:25" x14ac:dyDescent="0.25">
      <c r="A74" s="20">
        <v>38291</v>
      </c>
      <c r="B74" s="24">
        <f t="shared" si="10"/>
        <v>58</v>
      </c>
      <c r="C74" s="96" t="s">
        <v>77</v>
      </c>
      <c r="D74" s="27">
        <v>0.82</v>
      </c>
      <c r="E74" s="46">
        <f t="shared" si="3"/>
        <v>1901758.409086271</v>
      </c>
      <c r="F74" s="8"/>
      <c r="H74" s="49"/>
      <c r="I74" s="39"/>
      <c r="J74" s="20">
        <f t="shared" si="4"/>
        <v>38291</v>
      </c>
      <c r="K74" s="27">
        <f>'LC (Gross)'!K74</f>
        <v>1.5277379418936301</v>
      </c>
      <c r="L74" s="46">
        <f t="shared" si="5"/>
        <v>827336.80449208757</v>
      </c>
      <c r="M74" s="8"/>
      <c r="O74" s="39"/>
      <c r="P74" s="20">
        <f t="shared" si="6"/>
        <v>38291</v>
      </c>
      <c r="Q74" s="27">
        <f>'LC (Gross)'!Q74</f>
        <v>0.80763871483009586</v>
      </c>
      <c r="R74" s="46">
        <f t="shared" si="7"/>
        <v>926591.75262160122</v>
      </c>
      <c r="S74" s="8"/>
      <c r="U74" s="49"/>
      <c r="V74" s="39"/>
      <c r="W74" s="20">
        <f t="shared" si="8"/>
        <v>38291</v>
      </c>
      <c r="X74" s="36">
        <f>'LC (Gross)'!X74</f>
        <v>1.9375068249536018</v>
      </c>
      <c r="Y74" s="46">
        <f t="shared" si="9"/>
        <v>1648144.1196036334</v>
      </c>
    </row>
    <row r="75" spans="1:25" x14ac:dyDescent="0.25">
      <c r="A75" s="20">
        <v>38321</v>
      </c>
      <c r="B75" s="24">
        <f t="shared" si="10"/>
        <v>59</v>
      </c>
      <c r="C75" s="96" t="s">
        <v>77</v>
      </c>
      <c r="D75" s="27">
        <v>4.6100000000000003</v>
      </c>
      <c r="E75" s="46">
        <f t="shared" si="3"/>
        <v>1989429.4717451481</v>
      </c>
      <c r="F75" s="8"/>
      <c r="H75" s="49"/>
      <c r="I75" s="39"/>
      <c r="J75" s="20">
        <f t="shared" si="4"/>
        <v>38321</v>
      </c>
      <c r="K75" s="27">
        <f>'LC (Gross)'!K75</f>
        <v>4.046144482983471</v>
      </c>
      <c r="L75" s="46">
        <f t="shared" si="5"/>
        <v>860812.04696273594</v>
      </c>
      <c r="M75" s="8"/>
      <c r="O75" s="39"/>
      <c r="P75" s="20">
        <f t="shared" si="6"/>
        <v>38321</v>
      </c>
      <c r="Q75" s="27">
        <f>'LC (Gross)'!Q75</f>
        <v>3.223583811862174</v>
      </c>
      <c r="R75" s="46">
        <f t="shared" si="7"/>
        <v>956461.21436116111</v>
      </c>
      <c r="S75" s="8"/>
      <c r="U75" s="49"/>
      <c r="V75" s="39"/>
      <c r="W75" s="20">
        <f t="shared" si="8"/>
        <v>38321</v>
      </c>
      <c r="X75" s="36">
        <f>'LC (Gross)'!X75</f>
        <v>3.3659805646950804</v>
      </c>
      <c r="Y75" s="46">
        <f t="shared" si="9"/>
        <v>1703620.3303476565</v>
      </c>
    </row>
    <row r="76" spans="1:25" x14ac:dyDescent="0.25">
      <c r="A76" s="20">
        <v>38352</v>
      </c>
      <c r="B76" s="24">
        <f t="shared" si="10"/>
        <v>60</v>
      </c>
      <c r="C76" s="96" t="s">
        <v>77</v>
      </c>
      <c r="D76" s="27">
        <v>5.23</v>
      </c>
      <c r="E76" s="46">
        <f t="shared" si="3"/>
        <v>2093476.6331174192</v>
      </c>
      <c r="F76" s="11">
        <f>(E76-E64)/E64*100</f>
        <v>23.052012653670005</v>
      </c>
      <c r="G76" s="5">
        <f>(E76/E73-1)*100</f>
        <v>10.983768044599994</v>
      </c>
      <c r="H76" s="1"/>
      <c r="I76" s="39"/>
      <c r="J76" s="20">
        <f t="shared" si="4"/>
        <v>38352</v>
      </c>
      <c r="K76" s="27">
        <f>'LC (Gross)'!K76</f>
        <v>3.3996651190857707</v>
      </c>
      <c r="L76" s="46">
        <f t="shared" si="5"/>
        <v>890076.77386421629</v>
      </c>
      <c r="M76" s="11">
        <f>(L76-L64)/L64*100</f>
        <v>10.875710573634128</v>
      </c>
      <c r="N76" s="5">
        <f>(L76/L73-1)*100</f>
        <v>9.2269568504570465</v>
      </c>
      <c r="O76" s="39"/>
      <c r="P76" s="20">
        <f t="shared" si="6"/>
        <v>38352</v>
      </c>
      <c r="Q76" s="27">
        <f>'LC (Gross)'!Q76</f>
        <v>2.9684396605747803</v>
      </c>
      <c r="R76" s="46">
        <f t="shared" si="7"/>
        <v>984853.18838627299</v>
      </c>
      <c r="S76" s="11">
        <f>(R76-R64)/R64*100</f>
        <v>11.323711580465277</v>
      </c>
      <c r="T76" s="5">
        <f>(R76/R73-1)*100</f>
        <v>7.1461343370448516</v>
      </c>
      <c r="U76" s="49"/>
      <c r="V76" s="39"/>
      <c r="W76" s="20">
        <f t="shared" si="8"/>
        <v>38352</v>
      </c>
      <c r="X76" s="36">
        <f>'LC (Gross)'!X76</f>
        <v>2.7270910288772523</v>
      </c>
      <c r="Y76" s="46">
        <f t="shared" si="9"/>
        <v>1750079.6075426964</v>
      </c>
    </row>
    <row r="77" spans="1:25" x14ac:dyDescent="0.25">
      <c r="A77" s="20">
        <v>38383</v>
      </c>
      <c r="B77" s="24">
        <f t="shared" si="10"/>
        <v>61</v>
      </c>
      <c r="C77" s="96" t="s">
        <v>77</v>
      </c>
      <c r="D77" s="27">
        <v>-0.64</v>
      </c>
      <c r="E77" s="46">
        <f t="shared" si="3"/>
        <v>2080078.3826654677</v>
      </c>
      <c r="F77" s="10"/>
      <c r="H77" s="49"/>
      <c r="I77" s="39"/>
      <c r="J77" s="20">
        <f t="shared" si="4"/>
        <v>38383</v>
      </c>
      <c r="K77" s="27">
        <f>'LC (Gross)'!K77</f>
        <v>-2.4374624018912572</v>
      </c>
      <c r="L77" s="46">
        <f t="shared" si="5"/>
        <v>868381.4871533094</v>
      </c>
      <c r="M77" s="10"/>
      <c r="O77" s="39"/>
      <c r="P77" s="20">
        <f t="shared" si="6"/>
        <v>38383</v>
      </c>
      <c r="Q77" s="27">
        <f>'LC (Gross)'!Q77</f>
        <v>-1.3978776002172693</v>
      </c>
      <c r="R77" s="46">
        <f t="shared" si="7"/>
        <v>971086.14627079573</v>
      </c>
      <c r="S77" s="10"/>
      <c r="U77" s="49"/>
      <c r="V77" s="39"/>
      <c r="W77" s="20">
        <f t="shared" si="8"/>
        <v>38383</v>
      </c>
      <c r="X77" s="36">
        <f>'LC (Gross)'!X77</f>
        <v>-1.4774127532012751</v>
      </c>
      <c r="Y77" s="46">
        <f t="shared" si="9"/>
        <v>1724223.7082296859</v>
      </c>
    </row>
    <row r="78" spans="1:25" x14ac:dyDescent="0.25">
      <c r="A78" s="20">
        <v>38411</v>
      </c>
      <c r="B78" s="24">
        <f t="shared" si="10"/>
        <v>62</v>
      </c>
      <c r="C78" s="96" t="s">
        <v>77</v>
      </c>
      <c r="D78" s="27">
        <v>0.84</v>
      </c>
      <c r="E78" s="46">
        <f t="shared" si="3"/>
        <v>2097551.0410798574</v>
      </c>
      <c r="F78" s="8"/>
      <c r="H78" s="49"/>
      <c r="I78" s="39"/>
      <c r="J78" s="20">
        <f t="shared" si="4"/>
        <v>38411</v>
      </c>
      <c r="K78" s="27">
        <f>'LC (Gross)'!K78</f>
        <v>2.1043923379311194</v>
      </c>
      <c r="L78" s="46">
        <f t="shared" si="5"/>
        <v>886655.64063297596</v>
      </c>
      <c r="M78" s="8"/>
      <c r="O78" s="39"/>
      <c r="P78" s="20">
        <f t="shared" si="6"/>
        <v>38411</v>
      </c>
      <c r="Q78" s="27">
        <f>'LC (Gross)'!Q78</f>
        <v>2.214272976050196</v>
      </c>
      <c r="R78" s="46">
        <f t="shared" si="7"/>
        <v>992588.64438183722</v>
      </c>
      <c r="S78" s="8"/>
      <c r="U78" s="49"/>
      <c r="V78" s="39"/>
      <c r="W78" s="20">
        <f t="shared" si="8"/>
        <v>38411</v>
      </c>
      <c r="X78" s="36">
        <f>'LC (Gross)'!X78</f>
        <v>0.80546214876456523</v>
      </c>
      <c r="Y78" s="46">
        <f t="shared" si="9"/>
        <v>1738111.6775595008</v>
      </c>
    </row>
    <row r="79" spans="1:25" x14ac:dyDescent="0.25">
      <c r="A79" s="20">
        <v>38442</v>
      </c>
      <c r="B79" s="24">
        <f t="shared" si="10"/>
        <v>63</v>
      </c>
      <c r="C79" s="96" t="s">
        <v>77</v>
      </c>
      <c r="D79" s="27">
        <v>-0.53</v>
      </c>
      <c r="E79" s="46">
        <f t="shared" si="3"/>
        <v>2086434.0205621342</v>
      </c>
      <c r="F79" s="8"/>
      <c r="G79" s="5">
        <f>(E79/E76-1)*100</f>
        <v>-0.33640750720000945</v>
      </c>
      <c r="H79" s="49"/>
      <c r="I79" s="39"/>
      <c r="J79" s="20">
        <f t="shared" si="4"/>
        <v>38442</v>
      </c>
      <c r="K79" s="27">
        <f>'LC (Gross)'!K79</f>
        <v>-1.7707812307613995</v>
      </c>
      <c r="L79" s="46">
        <f t="shared" si="5"/>
        <v>870954.90896715992</v>
      </c>
      <c r="M79" s="8"/>
      <c r="N79" s="5">
        <f>(L79/L76-1)*100</f>
        <v>-2.1483388240814194</v>
      </c>
      <c r="O79" s="39"/>
      <c r="P79" s="20">
        <f t="shared" si="6"/>
        <v>38442</v>
      </c>
      <c r="Q79" s="27">
        <f>'LC (Gross)'!Q79</f>
        <v>-1.8409354217521552</v>
      </c>
      <c r="R79" s="46">
        <f t="shared" si="7"/>
        <v>974315.72843512241</v>
      </c>
      <c r="S79" s="8"/>
      <c r="T79" s="5">
        <f>(R79/R76-1)*100</f>
        <v>-1.0699523619775997</v>
      </c>
      <c r="U79" s="49"/>
      <c r="V79" s="39"/>
      <c r="W79" s="20">
        <f t="shared" si="8"/>
        <v>38442</v>
      </c>
      <c r="X79" s="36">
        <f>'LC (Gross)'!X79</f>
        <v>-0.46381617134896153</v>
      </c>
      <c r="Y79" s="46">
        <f t="shared" si="9"/>
        <v>1730050.0345228752</v>
      </c>
    </row>
    <row r="80" spans="1:25" x14ac:dyDescent="0.25">
      <c r="A80" s="20">
        <v>38472</v>
      </c>
      <c r="B80" s="24">
        <f t="shared" si="10"/>
        <v>64</v>
      </c>
      <c r="C80" s="96" t="s">
        <v>77</v>
      </c>
      <c r="D80" s="27">
        <v>-1.66</v>
      </c>
      <c r="E80" s="46">
        <f t="shared" si="3"/>
        <v>2051799.2158208028</v>
      </c>
      <c r="F80" s="8"/>
      <c r="H80" s="49"/>
      <c r="I80" s="39"/>
      <c r="J80" s="20">
        <f t="shared" si="4"/>
        <v>38472</v>
      </c>
      <c r="K80" s="27">
        <f>'LC (Gross)'!K80</f>
        <v>-1.8965256529028849</v>
      </c>
      <c r="L80" s="46">
        <f t="shared" si="5"/>
        <v>854437.02569338074</v>
      </c>
      <c r="M80" s="8"/>
      <c r="O80" s="39"/>
      <c r="P80" s="20">
        <f t="shared" si="6"/>
        <v>38472</v>
      </c>
      <c r="Q80" s="27">
        <f>'LC (Gross)'!Q80</f>
        <v>-1.5651005041061061</v>
      </c>
      <c r="R80" s="46">
        <f t="shared" si="7"/>
        <v>959066.70805779926</v>
      </c>
      <c r="S80" s="8"/>
      <c r="U80" s="49"/>
      <c r="V80" s="39"/>
      <c r="W80" s="20">
        <f t="shared" si="8"/>
        <v>38472</v>
      </c>
      <c r="X80" s="36">
        <f>'LC (Gross)'!X80</f>
        <v>-6.0502351755581767E-2</v>
      </c>
      <c r="Y80" s="46">
        <f t="shared" si="9"/>
        <v>1729003.3135654407</v>
      </c>
    </row>
    <row r="81" spans="1:25" x14ac:dyDescent="0.25">
      <c r="A81" s="20">
        <v>38503</v>
      </c>
      <c r="B81" s="24">
        <f t="shared" si="10"/>
        <v>65</v>
      </c>
      <c r="C81" s="96" t="s">
        <v>77</v>
      </c>
      <c r="D81" s="27">
        <v>3.46</v>
      </c>
      <c r="E81" s="46">
        <f t="shared" ref="E81:E144" si="11">E80*D81/100+E80</f>
        <v>2122791.4686882026</v>
      </c>
      <c r="F81" s="8"/>
      <c r="H81" s="49"/>
      <c r="I81" s="39"/>
      <c r="J81" s="20">
        <f t="shared" ref="J81:J144" si="12">$A81</f>
        <v>38503</v>
      </c>
      <c r="K81" s="27">
        <f>'LC (Gross)'!K81</f>
        <v>3.1818293338057657</v>
      </c>
      <c r="L81" s="46">
        <f t="shared" ref="L81:L144" si="13">L80*K81/100+L80</f>
        <v>881623.75361579028</v>
      </c>
      <c r="M81" s="8"/>
      <c r="O81" s="39"/>
      <c r="P81" s="20">
        <f t="shared" ref="P81:P144" si="14">$A81</f>
        <v>38503</v>
      </c>
      <c r="Q81" s="27">
        <f>'LC (Gross)'!Q81</f>
        <v>2.1340678288714976</v>
      </c>
      <c r="R81" s="46">
        <f t="shared" ref="R81:R144" si="15">R80*Q81/100+R80</f>
        <v>979533.84213187767</v>
      </c>
      <c r="S81" s="8"/>
      <c r="U81" s="49"/>
      <c r="V81" s="39"/>
      <c r="W81" s="20">
        <f t="shared" ref="W81:W144" si="16">$A81</f>
        <v>38503</v>
      </c>
      <c r="X81" s="36">
        <f>'LC (Gross)'!X81</f>
        <v>1.503445433774564</v>
      </c>
      <c r="Y81" s="46">
        <f t="shared" ref="Y81:Y144" si="17">Y80*X81/100+Y80</f>
        <v>1754997.9349330512</v>
      </c>
    </row>
    <row r="82" spans="1:25" x14ac:dyDescent="0.25">
      <c r="A82" s="20">
        <v>38533</v>
      </c>
      <c r="B82" s="24">
        <f t="shared" ref="B82:B145" si="18">IF(A82&gt;A81,1+B81,"-")</f>
        <v>66</v>
      </c>
      <c r="C82" s="96" t="s">
        <v>77</v>
      </c>
      <c r="D82" s="27">
        <v>3.38</v>
      </c>
      <c r="E82" s="46">
        <f t="shared" si="11"/>
        <v>2194541.8203298636</v>
      </c>
      <c r="F82" s="8"/>
      <c r="G82" s="5">
        <f>(E82/E79-1)*100</f>
        <v>5.1814626631999872</v>
      </c>
      <c r="H82" s="49"/>
      <c r="I82" s="39"/>
      <c r="J82" s="20">
        <f t="shared" si="12"/>
        <v>38533</v>
      </c>
      <c r="K82" s="27">
        <f>'LC (Gross)'!K82</f>
        <v>0.14197973528973573</v>
      </c>
      <c r="L82" s="46">
        <f t="shared" si="13"/>
        <v>882875.48068742536</v>
      </c>
      <c r="M82" s="8"/>
      <c r="N82" s="5">
        <f>(L82/L79-1)*100</f>
        <v>1.3686784008602348</v>
      </c>
      <c r="O82" s="39"/>
      <c r="P82" s="20">
        <f t="shared" si="14"/>
        <v>38533</v>
      </c>
      <c r="Q82" s="27">
        <f>'LC (Gross)'!Q82</f>
        <v>-0.65988046748634099</v>
      </c>
      <c r="R82" s="46">
        <f t="shared" si="15"/>
        <v>973070.08963523095</v>
      </c>
      <c r="S82" s="8"/>
      <c r="T82" s="5">
        <f>(R82/R79-1)*100</f>
        <v>-0.1278475512134114</v>
      </c>
      <c r="U82" s="49"/>
      <c r="V82" s="39"/>
      <c r="W82" s="20">
        <f t="shared" si="16"/>
        <v>38533</v>
      </c>
      <c r="X82" s="36">
        <f>'LC (Gross)'!X82</f>
        <v>-3.5929090347421293E-3</v>
      </c>
      <c r="Y82" s="46">
        <f t="shared" si="17"/>
        <v>1754934.8794536875</v>
      </c>
    </row>
    <row r="83" spans="1:25" x14ac:dyDescent="0.25">
      <c r="A83" s="20">
        <v>38564</v>
      </c>
      <c r="B83" s="24">
        <f t="shared" si="18"/>
        <v>67</v>
      </c>
      <c r="C83" s="96" t="s">
        <v>77</v>
      </c>
      <c r="D83" s="27">
        <v>2.62</v>
      </c>
      <c r="E83" s="46">
        <f t="shared" si="11"/>
        <v>2252038.816022506</v>
      </c>
      <c r="F83" s="8"/>
      <c r="H83" s="49"/>
      <c r="I83" s="39"/>
      <c r="J83" s="20">
        <f t="shared" si="12"/>
        <v>38564</v>
      </c>
      <c r="K83" s="27">
        <f>'LC (Gross)'!K83</f>
        <v>3.718748766540688</v>
      </c>
      <c r="L83" s="46">
        <f t="shared" si="13"/>
        <v>915707.40173557913</v>
      </c>
      <c r="M83" s="8"/>
      <c r="O83" s="39"/>
      <c r="P83" s="20">
        <f t="shared" si="14"/>
        <v>38564</v>
      </c>
      <c r="Q83" s="27">
        <f>'LC (Gross)'!Q83</f>
        <v>2.503772869588984</v>
      </c>
      <c r="R83" s="46">
        <f t="shared" si="15"/>
        <v>997433.55454160308</v>
      </c>
      <c r="S83" s="8"/>
      <c r="U83" s="49"/>
      <c r="V83" s="39"/>
      <c r="W83" s="20">
        <f t="shared" si="16"/>
        <v>38564</v>
      </c>
      <c r="X83" s="36">
        <f>'LC (Gross)'!X83</f>
        <v>2.4015866856379136</v>
      </c>
      <c r="Y83" s="46">
        <f t="shared" si="17"/>
        <v>1797081.161860263</v>
      </c>
    </row>
    <row r="84" spans="1:25" x14ac:dyDescent="0.25">
      <c r="A84" s="20">
        <v>38595</v>
      </c>
      <c r="B84" s="24">
        <f t="shared" si="18"/>
        <v>68</v>
      </c>
      <c r="C84" s="96" t="s">
        <v>77</v>
      </c>
      <c r="D84" s="27">
        <v>-1.69</v>
      </c>
      <c r="E84" s="46">
        <f t="shared" si="11"/>
        <v>2213979.3600317258</v>
      </c>
      <c r="F84" s="8"/>
      <c r="H84" s="49"/>
      <c r="I84" s="39"/>
      <c r="J84" s="20">
        <f t="shared" si="12"/>
        <v>38595</v>
      </c>
      <c r="K84" s="27">
        <f>'LC (Gross)'!K84</f>
        <v>-0.91215041796766405</v>
      </c>
      <c r="L84" s="46">
        <f t="shared" si="13"/>
        <v>907354.77284328721</v>
      </c>
      <c r="M84" s="8"/>
      <c r="O84" s="39"/>
      <c r="P84" s="20">
        <f t="shared" si="14"/>
        <v>38595</v>
      </c>
      <c r="Q84" s="27">
        <f>'LC (Gross)'!Q84</f>
        <v>-1.1860102080264696</v>
      </c>
      <c r="R84" s="46">
        <f t="shared" si="15"/>
        <v>985603.89076645835</v>
      </c>
      <c r="S84" s="8"/>
      <c r="U84" s="49"/>
      <c r="V84" s="39"/>
      <c r="W84" s="20">
        <f t="shared" si="16"/>
        <v>38595</v>
      </c>
      <c r="X84" s="36">
        <f>'LC (Gross)'!X84</f>
        <v>-1.0084210526315713</v>
      </c>
      <c r="Y84" s="46">
        <f t="shared" si="17"/>
        <v>1778959.0170911881</v>
      </c>
    </row>
    <row r="85" spans="1:25" x14ac:dyDescent="0.25">
      <c r="A85" s="20">
        <v>38625</v>
      </c>
      <c r="B85" s="24">
        <f t="shared" si="18"/>
        <v>69</v>
      </c>
      <c r="C85" s="96" t="s">
        <v>77</v>
      </c>
      <c r="D85" s="27">
        <v>1.24</v>
      </c>
      <c r="E85" s="46">
        <f t="shared" si="11"/>
        <v>2241432.7040961194</v>
      </c>
      <c r="F85" s="8"/>
      <c r="G85" s="5">
        <f>(E85/E82-1)*100</f>
        <v>2.1367049528000059</v>
      </c>
      <c r="H85" s="49"/>
      <c r="I85" s="39"/>
      <c r="J85" s="20">
        <f t="shared" si="12"/>
        <v>38625</v>
      </c>
      <c r="K85" s="27">
        <f>'LC (Gross)'!K85</f>
        <v>0.80990540314492721</v>
      </c>
      <c r="L85" s="46">
        <f t="shared" si="13"/>
        <v>914703.48817423836</v>
      </c>
      <c r="M85" s="8"/>
      <c r="N85" s="5">
        <f>(L85/L82-1)*100</f>
        <v>3.6050392363406791</v>
      </c>
      <c r="O85" s="39"/>
      <c r="P85" s="20">
        <f t="shared" si="14"/>
        <v>38625</v>
      </c>
      <c r="Q85" s="27">
        <f>'LC (Gross)'!Q85</f>
        <v>0.22018032402066012</v>
      </c>
      <c r="R85" s="46">
        <f t="shared" si="15"/>
        <v>987773.99660670816</v>
      </c>
      <c r="S85" s="8"/>
      <c r="T85" s="5">
        <f>(R85/R82-1)*100</f>
        <v>1.5110840553108851</v>
      </c>
      <c r="U85" s="49"/>
      <c r="V85" s="39"/>
      <c r="W85" s="20">
        <f t="shared" si="16"/>
        <v>38625</v>
      </c>
      <c r="X85" s="36">
        <f>'LC (Gross)'!X85</f>
        <v>-5.0509346887567322E-2</v>
      </c>
      <c r="Y85" s="46">
        <f t="shared" si="17"/>
        <v>1778060.4765102579</v>
      </c>
    </row>
    <row r="86" spans="1:25" x14ac:dyDescent="0.25">
      <c r="A86" s="20">
        <v>38656</v>
      </c>
      <c r="B86" s="24">
        <f t="shared" si="18"/>
        <v>70</v>
      </c>
      <c r="C86" s="96" t="s">
        <v>77</v>
      </c>
      <c r="D86" s="27">
        <v>-2.95</v>
      </c>
      <c r="E86" s="46">
        <f t="shared" si="11"/>
        <v>2175310.4393252837</v>
      </c>
      <c r="F86" s="8"/>
      <c r="H86" s="49"/>
      <c r="I86" s="39"/>
      <c r="J86" s="20">
        <f t="shared" si="12"/>
        <v>38656</v>
      </c>
      <c r="K86" s="27">
        <f>'LC (Gross)'!K86</f>
        <v>-1.6670311454906011</v>
      </c>
      <c r="L86" s="46">
        <f t="shared" si="13"/>
        <v>899455.09613748488</v>
      </c>
      <c r="M86" s="8"/>
      <c r="O86" s="39"/>
      <c r="P86" s="20">
        <f t="shared" si="14"/>
        <v>38656</v>
      </c>
      <c r="Q86" s="27">
        <f>'LC (Gross)'!Q86</f>
        <v>-1.9101744329693198</v>
      </c>
      <c r="R86" s="46">
        <f t="shared" si="15"/>
        <v>968905.79026800755</v>
      </c>
      <c r="S86" s="8"/>
      <c r="U86" s="49"/>
      <c r="V86" s="39"/>
      <c r="W86" s="20">
        <f t="shared" si="16"/>
        <v>38656</v>
      </c>
      <c r="X86" s="36">
        <f>'LC (Gross)'!X86</f>
        <v>-1.6633951986552475</v>
      </c>
      <c r="Y86" s="46">
        <f t="shared" si="17"/>
        <v>1748484.3039147996</v>
      </c>
    </row>
    <row r="87" spans="1:25" x14ac:dyDescent="0.25">
      <c r="A87" s="20">
        <v>38686</v>
      </c>
      <c r="B87" s="24">
        <f t="shared" si="18"/>
        <v>71</v>
      </c>
      <c r="C87" s="96" t="s">
        <v>77</v>
      </c>
      <c r="D87" s="27">
        <v>0.33</v>
      </c>
      <c r="E87" s="46">
        <f t="shared" si="11"/>
        <v>2182488.9637750573</v>
      </c>
      <c r="F87" s="8"/>
      <c r="H87" s="49"/>
      <c r="I87" s="39"/>
      <c r="J87" s="20">
        <f t="shared" si="12"/>
        <v>38686</v>
      </c>
      <c r="K87" s="27">
        <f>'LC (Gross)'!K87</f>
        <v>3.7821851794790979</v>
      </c>
      <c r="L87" s="46">
        <f t="shared" si="13"/>
        <v>933474.15347966633</v>
      </c>
      <c r="M87" s="8"/>
      <c r="O87" s="39"/>
      <c r="P87" s="20">
        <f t="shared" si="14"/>
        <v>38686</v>
      </c>
      <c r="Q87" s="27">
        <f>'LC (Gross)'!Q87</f>
        <v>2.745037666171406</v>
      </c>
      <c r="R87" s="46">
        <f t="shared" si="15"/>
        <v>995502.6191605801</v>
      </c>
      <c r="S87" s="8"/>
      <c r="U87" s="49"/>
      <c r="V87" s="39"/>
      <c r="W87" s="20">
        <f t="shared" si="16"/>
        <v>38686</v>
      </c>
      <c r="X87" s="36">
        <f>'LC (Gross)'!X87</f>
        <v>2.0530630055573091</v>
      </c>
      <c r="Y87" s="46">
        <f t="shared" si="17"/>
        <v>1784381.7883164505</v>
      </c>
    </row>
    <row r="88" spans="1:25" x14ac:dyDescent="0.25">
      <c r="A88" s="20">
        <v>38717</v>
      </c>
      <c r="B88" s="24">
        <f t="shared" si="18"/>
        <v>72</v>
      </c>
      <c r="C88" s="96" t="s">
        <v>77</v>
      </c>
      <c r="D88" s="27">
        <v>3.32</v>
      </c>
      <c r="E88" s="46">
        <f t="shared" si="11"/>
        <v>2254947.5973723894</v>
      </c>
      <c r="F88" s="11">
        <f>(E88-E76)/E76*100</f>
        <v>7.7130530955352476</v>
      </c>
      <c r="G88" s="5">
        <f>(E88/E85-1)*100</f>
        <v>0.60295779800001448</v>
      </c>
      <c r="H88" s="49"/>
      <c r="I88" s="39"/>
      <c r="J88" s="20">
        <f t="shared" si="12"/>
        <v>38717</v>
      </c>
      <c r="K88" s="27">
        <f>'LC (Gross)'!K88</f>
        <v>3.0360765957490956E-2</v>
      </c>
      <c r="L88" s="46">
        <f t="shared" si="13"/>
        <v>933757.56338267797</v>
      </c>
      <c r="M88" s="11">
        <f>(L88-L76)/L76*100</f>
        <v>4.9075305413064632</v>
      </c>
      <c r="N88" s="5">
        <f>(L88/L85-1)*100</f>
        <v>2.0830876294646972</v>
      </c>
      <c r="O88" s="39"/>
      <c r="P88" s="20">
        <f t="shared" si="14"/>
        <v>38717</v>
      </c>
      <c r="Q88" s="27">
        <f>'LC (Gross)'!Q88</f>
        <v>-0.49207318926774735</v>
      </c>
      <c r="R88" s="46">
        <f t="shared" si="15"/>
        <v>990604.01767323271</v>
      </c>
      <c r="S88" s="11">
        <f>(R88-R76)/R76*100</f>
        <v>0.58392756958859193</v>
      </c>
      <c r="T88" s="5">
        <f>(R88/R85-1)*100</f>
        <v>0.286504916736674</v>
      </c>
      <c r="U88" s="49"/>
      <c r="V88" s="39"/>
      <c r="W88" s="20">
        <f t="shared" si="16"/>
        <v>38717</v>
      </c>
      <c r="X88" s="36">
        <f>'LC (Gross)'!X88</f>
        <v>0.23393383418260588</v>
      </c>
      <c r="Y88" s="46">
        <f t="shared" si="17"/>
        <v>1788556.0610503154</v>
      </c>
    </row>
    <row r="89" spans="1:25" x14ac:dyDescent="0.25">
      <c r="A89" s="20">
        <v>38748</v>
      </c>
      <c r="B89" s="24">
        <f t="shared" si="18"/>
        <v>73</v>
      </c>
      <c r="C89" s="96" t="s">
        <v>77</v>
      </c>
      <c r="D89" s="27">
        <v>1</v>
      </c>
      <c r="E89" s="46">
        <f t="shared" si="11"/>
        <v>2277497.0733461133</v>
      </c>
      <c r="F89" s="10"/>
      <c r="H89" s="49"/>
      <c r="I89" s="39"/>
      <c r="J89" s="20">
        <f t="shared" si="12"/>
        <v>38748</v>
      </c>
      <c r="K89" s="27">
        <f>'LC (Gross)'!K89</f>
        <v>2.6477865052660103</v>
      </c>
      <c r="L89" s="46">
        <f t="shared" si="13"/>
        <v>958481.47013782524</v>
      </c>
      <c r="M89" s="10"/>
      <c r="O89" s="39"/>
      <c r="P89" s="20">
        <f t="shared" si="14"/>
        <v>38748</v>
      </c>
      <c r="Q89" s="27">
        <f>'LC (Gross)'!Q89</f>
        <v>1.3903930922819261</v>
      </c>
      <c r="R89" s="46">
        <f t="shared" si="15"/>
        <v>1004377.3075068286</v>
      </c>
      <c r="S89" s="10"/>
      <c r="U89" s="49"/>
      <c r="V89" s="39"/>
      <c r="W89" s="20">
        <f t="shared" si="16"/>
        <v>38748</v>
      </c>
      <c r="X89" s="36">
        <f>'LC (Gross)'!X89</f>
        <v>0.80187415388086258</v>
      </c>
      <c r="Y89" s="46">
        <f t="shared" si="17"/>
        <v>1802898.0298315475</v>
      </c>
    </row>
    <row r="90" spans="1:25" x14ac:dyDescent="0.25">
      <c r="A90" s="20">
        <v>38776</v>
      </c>
      <c r="B90" s="24">
        <f t="shared" si="18"/>
        <v>74</v>
      </c>
      <c r="C90" s="96" t="s">
        <v>77</v>
      </c>
      <c r="D90" s="27">
        <v>1.72</v>
      </c>
      <c r="E90" s="46">
        <f t="shared" si="11"/>
        <v>2316670.0230076667</v>
      </c>
      <c r="F90" s="8"/>
      <c r="H90" s="49"/>
      <c r="I90" s="39"/>
      <c r="J90" s="20">
        <f t="shared" si="12"/>
        <v>38776</v>
      </c>
      <c r="K90" s="27">
        <f>'LC (Gross)'!K90</f>
        <v>0.27106003775326626</v>
      </c>
      <c r="L90" s="46">
        <f t="shared" si="13"/>
        <v>961079.53037263884</v>
      </c>
      <c r="M90" s="8"/>
      <c r="O90" s="39"/>
      <c r="P90" s="20">
        <f t="shared" si="14"/>
        <v>38776</v>
      </c>
      <c r="Q90" s="27">
        <f>'LC (Gross)'!Q90</f>
        <v>0.41842508878776896</v>
      </c>
      <c r="R90" s="46">
        <f t="shared" si="15"/>
        <v>1008579.8741475282</v>
      </c>
      <c r="S90" s="8"/>
      <c r="U90" s="49"/>
      <c r="V90" s="39"/>
      <c r="W90" s="20">
        <f t="shared" si="16"/>
        <v>38776</v>
      </c>
      <c r="X90" s="36">
        <f>'LC (Gross)'!X90</f>
        <v>2.3525605714835272</v>
      </c>
      <c r="Y90" s="46">
        <f t="shared" si="17"/>
        <v>1845312.2980254178</v>
      </c>
    </row>
    <row r="91" spans="1:25" x14ac:dyDescent="0.25">
      <c r="A91" s="20">
        <v>38807</v>
      </c>
      <c r="B91" s="24">
        <f t="shared" si="18"/>
        <v>75</v>
      </c>
      <c r="C91" s="96" t="s">
        <v>77</v>
      </c>
      <c r="D91" s="27">
        <v>1.47</v>
      </c>
      <c r="E91" s="46">
        <f t="shared" si="11"/>
        <v>2350725.0723458794</v>
      </c>
      <c r="F91" s="8"/>
      <c r="G91" s="5">
        <f>(E91/E88-1)*100</f>
        <v>4.2474368400000184</v>
      </c>
      <c r="H91" s="49"/>
      <c r="I91" s="39"/>
      <c r="J91" s="20">
        <f t="shared" si="12"/>
        <v>38807</v>
      </c>
      <c r="K91" s="27">
        <f>'LC (Gross)'!K91</f>
        <v>1.2433129015702551</v>
      </c>
      <c r="L91" s="46">
        <f t="shared" si="13"/>
        <v>973028.75616811262</v>
      </c>
      <c r="M91" s="8"/>
      <c r="N91" s="5">
        <f>(L91/L88-1)*100</f>
        <v>4.2057161650363328</v>
      </c>
      <c r="O91" s="39"/>
      <c r="P91" s="20">
        <f t="shared" si="14"/>
        <v>38807</v>
      </c>
      <c r="Q91" s="27">
        <f>'LC (Gross)'!Q91</f>
        <v>0.80868168914295402</v>
      </c>
      <c r="R91" s="46">
        <f t="shared" si="15"/>
        <v>1016736.0749101404</v>
      </c>
      <c r="S91" s="8"/>
      <c r="T91" s="5">
        <f>(R91/R88-1)*100</f>
        <v>2.6379922522712596</v>
      </c>
      <c r="U91" s="49"/>
      <c r="V91" s="39"/>
      <c r="W91" s="20">
        <f t="shared" si="16"/>
        <v>38807</v>
      </c>
      <c r="X91" s="36">
        <f>'LC (Gross)'!X91</f>
        <v>0.65214642797344391</v>
      </c>
      <c r="Y91" s="46">
        <f t="shared" si="17"/>
        <v>1857346.4362619452</v>
      </c>
    </row>
    <row r="92" spans="1:25" x14ac:dyDescent="0.25">
      <c r="A92" s="20">
        <v>38837</v>
      </c>
      <c r="B92" s="24">
        <f t="shared" si="18"/>
        <v>76</v>
      </c>
      <c r="C92" s="96" t="s">
        <v>77</v>
      </c>
      <c r="D92" s="27">
        <v>-0.42</v>
      </c>
      <c r="E92" s="46">
        <f t="shared" si="11"/>
        <v>2340852.0270420266</v>
      </c>
      <c r="F92" s="8"/>
      <c r="H92" s="49"/>
      <c r="I92" s="39"/>
      <c r="J92" s="20">
        <f t="shared" si="12"/>
        <v>38837</v>
      </c>
      <c r="K92" s="27">
        <f>'LC (Gross)'!K92</f>
        <v>1.3427740539897763</v>
      </c>
      <c r="L92" s="46">
        <f t="shared" si="13"/>
        <v>986094.33384379745</v>
      </c>
      <c r="M92" s="8"/>
      <c r="O92" s="39"/>
      <c r="P92" s="20">
        <f t="shared" si="14"/>
        <v>38837</v>
      </c>
      <c r="Q92" s="27">
        <f>'LC (Gross)'!Q92</f>
        <v>0.86556353322744994</v>
      </c>
      <c r="R92" s="46">
        <f t="shared" si="15"/>
        <v>1025536.5716037307</v>
      </c>
      <c r="S92" s="8"/>
      <c r="U92" s="49"/>
      <c r="V92" s="39"/>
      <c r="W92" s="20">
        <f t="shared" si="16"/>
        <v>38837</v>
      </c>
      <c r="X92" s="36">
        <f>'LC (Gross)'!X92</f>
        <v>2.1635843595902338</v>
      </c>
      <c r="Y92" s="46">
        <f t="shared" si="17"/>
        <v>1897531.6932603151</v>
      </c>
    </row>
    <row r="93" spans="1:25" x14ac:dyDescent="0.25">
      <c r="A93" s="20">
        <v>38868</v>
      </c>
      <c r="B93" s="24">
        <f t="shared" si="18"/>
        <v>77</v>
      </c>
      <c r="C93" s="96" t="s">
        <v>77</v>
      </c>
      <c r="D93" s="27">
        <v>-0.86</v>
      </c>
      <c r="E93" s="46">
        <f t="shared" si="11"/>
        <v>2320720.6996094654</v>
      </c>
      <c r="F93" s="8"/>
      <c r="H93" s="49"/>
      <c r="I93" s="39"/>
      <c r="J93" s="20">
        <f t="shared" si="12"/>
        <v>38868</v>
      </c>
      <c r="K93" s="27">
        <f>'LC (Gross)'!K93</f>
        <v>-2.8781301958263712</v>
      </c>
      <c r="L93" s="46">
        <f t="shared" si="13"/>
        <v>957713.25506210618</v>
      </c>
      <c r="M93" s="8"/>
      <c r="O93" s="39"/>
      <c r="P93" s="20">
        <f t="shared" si="14"/>
        <v>38868</v>
      </c>
      <c r="Q93" s="27">
        <f>'LC (Gross)'!Q93</f>
        <v>-2.153573471751939</v>
      </c>
      <c r="R93" s="46">
        <f t="shared" si="15"/>
        <v>1003450.8880545584</v>
      </c>
      <c r="S93" s="8"/>
      <c r="U93" s="49"/>
      <c r="V93" s="39"/>
      <c r="W93" s="20">
        <f t="shared" si="16"/>
        <v>38868</v>
      </c>
      <c r="X93" s="36">
        <f>'LC (Gross)'!X93</f>
        <v>-0.7681175553823818</v>
      </c>
      <c r="Y93" s="46">
        <f t="shared" si="17"/>
        <v>1882956.4192054381</v>
      </c>
    </row>
    <row r="94" spans="1:25" x14ac:dyDescent="0.25">
      <c r="A94" s="20">
        <v>38898</v>
      </c>
      <c r="B94" s="24">
        <f t="shared" si="18"/>
        <v>78</v>
      </c>
      <c r="C94" s="96" t="s">
        <v>77</v>
      </c>
      <c r="D94" s="27">
        <v>1.49</v>
      </c>
      <c r="E94" s="46">
        <f t="shared" si="11"/>
        <v>2355299.4380336464</v>
      </c>
      <c r="F94" s="8"/>
      <c r="G94" s="5">
        <f>(E94/E91-1)*100</f>
        <v>0.19459381880000404</v>
      </c>
      <c r="H94" s="49"/>
      <c r="I94" s="39"/>
      <c r="J94" s="20">
        <f t="shared" si="12"/>
        <v>38898</v>
      </c>
      <c r="K94" s="27">
        <f>'LC (Gross)'!K94</f>
        <v>0.13289554083580712</v>
      </c>
      <c r="L94" s="46">
        <f t="shared" si="13"/>
        <v>958986.01327207719</v>
      </c>
      <c r="M94" s="8"/>
      <c r="N94" s="5">
        <f>(L94/L91-1)*100</f>
        <v>-1.4431991662134602</v>
      </c>
      <c r="O94" s="39"/>
      <c r="P94" s="20">
        <f t="shared" si="14"/>
        <v>38898</v>
      </c>
      <c r="Q94" s="27">
        <f>'LC (Gross)'!Q94</f>
        <v>0.13473955379318509</v>
      </c>
      <c r="R94" s="46">
        <f t="shared" si="15"/>
        <v>1004802.9333036569</v>
      </c>
      <c r="S94" s="8"/>
      <c r="T94" s="5">
        <f>(R94/R91-1)*100</f>
        <v>-1.173671506397389</v>
      </c>
      <c r="U94" s="49"/>
      <c r="V94" s="39"/>
      <c r="W94" s="20">
        <f t="shared" si="16"/>
        <v>38898</v>
      </c>
      <c r="X94" s="36">
        <f>'LC (Gross)'!X94</f>
        <v>0.43667683570033933</v>
      </c>
      <c r="Y94" s="46">
        <f t="shared" si="17"/>
        <v>1891178.8537144409</v>
      </c>
    </row>
    <row r="95" spans="1:25" x14ac:dyDescent="0.25">
      <c r="A95" s="20">
        <v>38929</v>
      </c>
      <c r="B95" s="24">
        <f t="shared" si="18"/>
        <v>79</v>
      </c>
      <c r="C95" s="96" t="s">
        <v>77</v>
      </c>
      <c r="D95" s="27">
        <v>0.18</v>
      </c>
      <c r="E95" s="46">
        <f t="shared" si="11"/>
        <v>2359538.9770221072</v>
      </c>
      <c r="F95" s="8"/>
      <c r="H95" s="49"/>
      <c r="I95" s="39"/>
      <c r="J95" s="20">
        <f t="shared" si="12"/>
        <v>38929</v>
      </c>
      <c r="K95" s="27">
        <f>'LC (Gross)'!K95</f>
        <v>0.61685311934745402</v>
      </c>
      <c r="L95" s="46">
        <f t="shared" si="13"/>
        <v>964901.54840905184</v>
      </c>
      <c r="M95" s="8"/>
      <c r="O95" s="39"/>
      <c r="P95" s="20">
        <f t="shared" si="14"/>
        <v>38929</v>
      </c>
      <c r="Q95" s="27">
        <f>'LC (Gross)'!Q95</f>
        <v>1.5581553958344272</v>
      </c>
      <c r="R95" s="46">
        <f t="shared" si="15"/>
        <v>1020459.3244264304</v>
      </c>
      <c r="S95" s="8"/>
      <c r="U95" s="49"/>
      <c r="V95" s="39"/>
      <c r="W95" s="20">
        <f t="shared" si="16"/>
        <v>38929</v>
      </c>
      <c r="X95" s="36">
        <f>'LC (Gross)'!X95</f>
        <v>2.1868946362899861</v>
      </c>
      <c r="Y95" s="46">
        <f t="shared" si="17"/>
        <v>1932536.9426289725</v>
      </c>
    </row>
    <row r="96" spans="1:25" x14ac:dyDescent="0.25">
      <c r="A96" s="20">
        <v>38960</v>
      </c>
      <c r="B96" s="24">
        <f t="shared" si="18"/>
        <v>80</v>
      </c>
      <c r="C96" s="96" t="s">
        <v>77</v>
      </c>
      <c r="D96" s="27">
        <v>2.6</v>
      </c>
      <c r="E96" s="46">
        <f t="shared" si="11"/>
        <v>2420886.9904246819</v>
      </c>
      <c r="F96" s="8"/>
      <c r="H96" s="49"/>
      <c r="I96" s="39"/>
      <c r="J96" s="20">
        <f t="shared" si="12"/>
        <v>38960</v>
      </c>
      <c r="K96" s="27">
        <f>'LC (Gross)'!K96</f>
        <v>2.3793071730634172</v>
      </c>
      <c r="L96" s="46">
        <f t="shared" si="13"/>
        <v>987859.52016334841</v>
      </c>
      <c r="M96" s="8"/>
      <c r="O96" s="39"/>
      <c r="P96" s="20">
        <f t="shared" si="14"/>
        <v>38960</v>
      </c>
      <c r="Q96" s="27">
        <f>'LC (Gross)'!Q96</f>
        <v>2.1797859436045033</v>
      </c>
      <c r="R96" s="46">
        <f t="shared" si="15"/>
        <v>1042703.1533404792</v>
      </c>
      <c r="S96" s="8"/>
      <c r="U96" s="49"/>
      <c r="V96" s="39"/>
      <c r="W96" s="20">
        <f t="shared" si="16"/>
        <v>38960</v>
      </c>
      <c r="X96" s="36">
        <f>'LC (Gross)'!X96</f>
        <v>2.1864253039330128</v>
      </c>
      <c r="Y96" s="46">
        <f t="shared" si="17"/>
        <v>1974790.4193504658</v>
      </c>
    </row>
    <row r="97" spans="1:25" x14ac:dyDescent="0.25">
      <c r="A97" s="20">
        <v>38990</v>
      </c>
      <c r="B97" s="24">
        <f t="shared" si="18"/>
        <v>81</v>
      </c>
      <c r="C97" s="96" t="s">
        <v>77</v>
      </c>
      <c r="D97" s="27">
        <v>2.72</v>
      </c>
      <c r="E97" s="46">
        <f t="shared" si="11"/>
        <v>2486735.1165642333</v>
      </c>
      <c r="F97" s="8"/>
      <c r="G97" s="5">
        <f>(E97/E94-1)*100</f>
        <v>5.5804232960000144</v>
      </c>
      <c r="H97" s="49"/>
      <c r="I97" s="39"/>
      <c r="J97" s="20">
        <f t="shared" si="12"/>
        <v>38990</v>
      </c>
      <c r="K97" s="27">
        <f>'LC (Gross)'!K97</f>
        <v>2.574498802063578</v>
      </c>
      <c r="L97" s="46">
        <f t="shared" si="13"/>
        <v>1013291.9516760248</v>
      </c>
      <c r="M97" s="8"/>
      <c r="N97" s="5">
        <f>(L97/L94-1)*100</f>
        <v>5.6628498906521996</v>
      </c>
      <c r="O97" s="39"/>
      <c r="P97" s="20">
        <f t="shared" si="14"/>
        <v>38990</v>
      </c>
      <c r="Q97" s="27">
        <f>'LC (Gross)'!Q97</f>
        <v>1.9453843114712042</v>
      </c>
      <c r="R97" s="46">
        <f t="shared" si="15"/>
        <v>1062987.7369007803</v>
      </c>
      <c r="S97" s="8"/>
      <c r="T97" s="5">
        <f>(R97/R94-1)*100</f>
        <v>5.7906681667239557</v>
      </c>
      <c r="U97" s="49"/>
      <c r="V97" s="39"/>
      <c r="W97" s="20">
        <f t="shared" si="16"/>
        <v>38990</v>
      </c>
      <c r="X97" s="36">
        <f>'LC (Gross)'!X97</f>
        <v>2.0467266741809071</v>
      </c>
      <c r="Y97" s="46">
        <f t="shared" si="17"/>
        <v>2015208.9816224808</v>
      </c>
    </row>
    <row r="98" spans="1:25" x14ac:dyDescent="0.25">
      <c r="A98" s="20">
        <v>39021</v>
      </c>
      <c r="B98" s="24">
        <f t="shared" si="18"/>
        <v>82</v>
      </c>
      <c r="C98" s="96" t="s">
        <v>77</v>
      </c>
      <c r="D98" s="27">
        <v>2.75</v>
      </c>
      <c r="E98" s="46">
        <f t="shared" si="11"/>
        <v>2555120.3322697496</v>
      </c>
      <c r="F98" s="8"/>
      <c r="H98" s="49"/>
      <c r="I98" s="39"/>
      <c r="J98" s="20">
        <f t="shared" si="12"/>
        <v>39021</v>
      </c>
      <c r="K98" s="27">
        <f>'LC (Gross)'!K98</f>
        <v>3.2586430546584828</v>
      </c>
      <c r="L98" s="46">
        <f t="shared" si="13"/>
        <v>1046311.519482729</v>
      </c>
      <c r="M98" s="8"/>
      <c r="O98" s="39"/>
      <c r="P98" s="20">
        <f t="shared" si="14"/>
        <v>39021</v>
      </c>
      <c r="Q98" s="27">
        <f>'LC (Gross)'!Q98</f>
        <v>2.5310933908349598</v>
      </c>
      <c r="R98" s="46">
        <f t="shared" si="15"/>
        <v>1089892.949254862</v>
      </c>
      <c r="S98" s="8"/>
      <c r="U98" s="49"/>
      <c r="V98" s="39"/>
      <c r="W98" s="20">
        <f t="shared" si="16"/>
        <v>39021</v>
      </c>
      <c r="X98" s="36">
        <f>'LC (Gross)'!X98</f>
        <v>2.8015319484469408</v>
      </c>
      <c r="Y98" s="46">
        <f t="shared" si="17"/>
        <v>2071665.7050706069</v>
      </c>
    </row>
    <row r="99" spans="1:25" x14ac:dyDescent="0.25">
      <c r="A99" s="20">
        <v>39051</v>
      </c>
      <c r="B99" s="24">
        <f t="shared" si="18"/>
        <v>83</v>
      </c>
      <c r="C99" s="96" t="s">
        <v>77</v>
      </c>
      <c r="D99" s="27">
        <v>1.75</v>
      </c>
      <c r="E99" s="46">
        <f t="shared" si="11"/>
        <v>2599834.9380844701</v>
      </c>
      <c r="F99" s="8"/>
      <c r="H99" s="49"/>
      <c r="I99" s="39"/>
      <c r="J99" s="20">
        <f t="shared" si="12"/>
        <v>39051</v>
      </c>
      <c r="K99" s="27">
        <f>'LC (Gross)'!K99</f>
        <v>1.9018102727573376</v>
      </c>
      <c r="L99" s="46">
        <f t="shared" si="13"/>
        <v>1066210.3794452948</v>
      </c>
      <c r="M99" s="8"/>
      <c r="O99" s="39"/>
      <c r="P99" s="20">
        <f t="shared" si="14"/>
        <v>39051</v>
      </c>
      <c r="Q99" s="27">
        <f>'LC (Gross)'!Q99</f>
        <v>1.3980821490821798</v>
      </c>
      <c r="R99" s="46">
        <f t="shared" si="15"/>
        <v>1105130.5480224995</v>
      </c>
      <c r="S99" s="8"/>
      <c r="U99" s="49"/>
      <c r="V99" s="39"/>
      <c r="W99" s="20">
        <f t="shared" si="16"/>
        <v>39051</v>
      </c>
      <c r="X99" s="36">
        <f>'LC (Gross)'!X99</f>
        <v>1.0108158205916069</v>
      </c>
      <c r="Y99" s="46">
        <f t="shared" si="17"/>
        <v>2092606.4297672312</v>
      </c>
    </row>
    <row r="100" spans="1:25" x14ac:dyDescent="0.25">
      <c r="A100" s="20">
        <v>39082</v>
      </c>
      <c r="B100" s="24">
        <f t="shared" si="18"/>
        <v>84</v>
      </c>
      <c r="C100" s="96" t="s">
        <v>77</v>
      </c>
      <c r="D100" s="27">
        <v>2.85</v>
      </c>
      <c r="E100" s="46">
        <f t="shared" si="11"/>
        <v>2673930.2338198777</v>
      </c>
      <c r="F100" s="11">
        <f>(E100-E88)/E88*100</f>
        <v>18.580593045076256</v>
      </c>
      <c r="G100" s="5">
        <f>(E100/E97-1)*100</f>
        <v>7.5277465624999929</v>
      </c>
      <c r="H100" s="49"/>
      <c r="I100" s="39"/>
      <c r="J100" s="20">
        <f t="shared" si="12"/>
        <v>39082</v>
      </c>
      <c r="K100" s="27">
        <f>'LC (Gross)'!K100</f>
        <v>1.393864501507023</v>
      </c>
      <c r="L100" s="46">
        <f t="shared" si="13"/>
        <v>1081071.9074357662</v>
      </c>
      <c r="M100" s="11">
        <f>(L100-L88)/L88*100</f>
        <v>15.77650878879307</v>
      </c>
      <c r="N100" s="5">
        <f>(L100/L97-1)*100</f>
        <v>6.6890845868883719</v>
      </c>
      <c r="O100" s="39"/>
      <c r="P100" s="20">
        <f t="shared" si="14"/>
        <v>39082</v>
      </c>
      <c r="Q100" s="27">
        <f>'LC (Gross)'!Q100</f>
        <v>1.7874383759971715</v>
      </c>
      <c r="R100" s="46">
        <f t="shared" si="15"/>
        <v>1124884.0755427214</v>
      </c>
      <c r="S100" s="11">
        <f>(R100-R88)/R88*100</f>
        <v>13.555371821011859</v>
      </c>
      <c r="T100" s="5">
        <f>(R100/R97-1)*100</f>
        <v>5.8228647888643126</v>
      </c>
      <c r="U100" s="49"/>
      <c r="V100" s="39"/>
      <c r="W100" s="20">
        <f t="shared" si="16"/>
        <v>39082</v>
      </c>
      <c r="X100" s="36">
        <f>'LC (Gross)'!X100</f>
        <v>2.2988090126330527</v>
      </c>
      <c r="Y100" s="46">
        <f t="shared" si="17"/>
        <v>2140711.454973659</v>
      </c>
    </row>
    <row r="101" spans="1:25" x14ac:dyDescent="0.25">
      <c r="A101" s="20">
        <v>39113</v>
      </c>
      <c r="B101" s="24">
        <f t="shared" si="18"/>
        <v>85</v>
      </c>
      <c r="C101" s="96" t="s">
        <v>77</v>
      </c>
      <c r="D101" s="27">
        <v>2.34</v>
      </c>
      <c r="E101" s="46">
        <f t="shared" si="11"/>
        <v>2736500.2012912626</v>
      </c>
      <c r="F101" s="10"/>
      <c r="H101" s="49"/>
      <c r="I101" s="39"/>
      <c r="J101" s="20">
        <f t="shared" si="12"/>
        <v>39113</v>
      </c>
      <c r="K101" s="27">
        <f>'LC (Gross)'!K101</f>
        <v>1.5122910358948396</v>
      </c>
      <c r="L101" s="46">
        <f t="shared" si="13"/>
        <v>1097420.8609834947</v>
      </c>
      <c r="M101" s="10"/>
      <c r="O101" s="39"/>
      <c r="P101" s="20">
        <f t="shared" si="14"/>
        <v>39113</v>
      </c>
      <c r="Q101" s="27">
        <f>'LC (Gross)'!Q101</f>
        <v>0.72498355465841791</v>
      </c>
      <c r="R101" s="46">
        <f t="shared" si="15"/>
        <v>1133039.3000993775</v>
      </c>
      <c r="S101" s="10"/>
      <c r="U101" s="49"/>
      <c r="V101" s="39"/>
      <c r="W101" s="20">
        <f t="shared" si="16"/>
        <v>39113</v>
      </c>
      <c r="X101" s="36">
        <f>'LC (Gross)'!X101</f>
        <v>1.0263728786600097</v>
      </c>
      <c r="Y101" s="46">
        <f t="shared" si="17"/>
        <v>2162683.1367578767</v>
      </c>
    </row>
    <row r="102" spans="1:25" x14ac:dyDescent="0.25">
      <c r="A102" s="20">
        <v>39141</v>
      </c>
      <c r="B102" s="24">
        <f t="shared" si="18"/>
        <v>86</v>
      </c>
      <c r="C102" s="96" t="s">
        <v>77</v>
      </c>
      <c r="D102" s="27">
        <v>-1.73</v>
      </c>
      <c r="E102" s="46">
        <f t="shared" si="11"/>
        <v>2689158.7478089239</v>
      </c>
      <c r="F102" s="8"/>
      <c r="H102" s="49"/>
      <c r="I102" s="39"/>
      <c r="J102" s="20">
        <f t="shared" si="12"/>
        <v>39141</v>
      </c>
      <c r="K102" s="27">
        <f>'LC (Gross)'!K102</f>
        <v>-1.9557480543115775</v>
      </c>
      <c r="L102" s="46">
        <f t="shared" si="13"/>
        <v>1075958.0738472007</v>
      </c>
      <c r="M102" s="8"/>
      <c r="O102" s="39"/>
      <c r="P102" s="20">
        <f t="shared" si="14"/>
        <v>39141</v>
      </c>
      <c r="Q102" s="27">
        <f>'LC (Gross)'!Q102</f>
        <v>-2.5164217477012896</v>
      </c>
      <c r="R102" s="46">
        <f t="shared" si="15"/>
        <v>1104527.2527416742</v>
      </c>
      <c r="S102" s="8"/>
      <c r="U102" s="49"/>
      <c r="V102" s="39"/>
      <c r="W102" s="20">
        <f t="shared" si="16"/>
        <v>39141</v>
      </c>
      <c r="X102" s="36">
        <f>'LC (Gross)'!X102</f>
        <v>6.3414591478833576E-2</v>
      </c>
      <c r="Y102" s="46">
        <f t="shared" si="17"/>
        <v>2164054.5934340334</v>
      </c>
    </row>
    <row r="103" spans="1:25" x14ac:dyDescent="0.25">
      <c r="A103" s="20">
        <v>39172</v>
      </c>
      <c r="B103" s="24">
        <f t="shared" si="18"/>
        <v>87</v>
      </c>
      <c r="C103" s="96" t="s">
        <v>77</v>
      </c>
      <c r="D103" s="27">
        <v>1.87</v>
      </c>
      <c r="E103" s="46">
        <f t="shared" si="11"/>
        <v>2739446.0163929509</v>
      </c>
      <c r="F103" s="8"/>
      <c r="G103" s="5">
        <f>(E103/E100-1)*100</f>
        <v>2.4501679866000048</v>
      </c>
      <c r="H103" s="49"/>
      <c r="I103" s="39"/>
      <c r="J103" s="20">
        <f t="shared" si="12"/>
        <v>39172</v>
      </c>
      <c r="K103" s="27">
        <f>'LC (Gross)'!K103</f>
        <v>1.1173156439624867</v>
      </c>
      <c r="L103" s="46">
        <f t="shared" si="13"/>
        <v>1087979.921728773</v>
      </c>
      <c r="M103" s="8"/>
      <c r="N103" s="5">
        <f>(L103/L100-1)*100</f>
        <v>0.63899674438792076</v>
      </c>
      <c r="O103" s="39"/>
      <c r="P103" s="20">
        <f t="shared" si="14"/>
        <v>39172</v>
      </c>
      <c r="Q103" s="27">
        <f>'LC (Gross)'!Q103</f>
        <v>0.69088399035219505</v>
      </c>
      <c r="R103" s="46">
        <f t="shared" si="15"/>
        <v>1112158.2546999434</v>
      </c>
      <c r="S103" s="8"/>
      <c r="T103" s="5">
        <f>(R103/R100-1)*100</f>
        <v>-1.1313006486146859</v>
      </c>
      <c r="U103" s="49"/>
      <c r="V103" s="39"/>
      <c r="W103" s="20">
        <f t="shared" si="16"/>
        <v>39172</v>
      </c>
      <c r="X103" s="36">
        <f>'LC (Gross)'!X103</f>
        <v>0.59164011497718771</v>
      </c>
      <c r="Y103" s="46">
        <f t="shared" si="17"/>
        <v>2176858.0085187955</v>
      </c>
    </row>
    <row r="104" spans="1:25" x14ac:dyDescent="0.25">
      <c r="A104" s="20">
        <v>39202</v>
      </c>
      <c r="B104" s="24">
        <f t="shared" si="18"/>
        <v>88</v>
      </c>
      <c r="C104" s="96" t="s">
        <v>77</v>
      </c>
      <c r="D104" s="27">
        <v>1.96</v>
      </c>
      <c r="E104" s="46">
        <f t="shared" si="11"/>
        <v>2793139.1583142527</v>
      </c>
      <c r="F104" s="8"/>
      <c r="H104" s="49"/>
      <c r="I104" s="39"/>
      <c r="J104" s="20">
        <f t="shared" si="12"/>
        <v>39202</v>
      </c>
      <c r="K104" s="27">
        <f>'LC (Gross)'!K104</f>
        <v>4.429481246494797</v>
      </c>
      <c r="L104" s="46">
        <f t="shared" si="13"/>
        <v>1136171.7883273778</v>
      </c>
      <c r="M104" s="8"/>
      <c r="O104" s="39"/>
      <c r="P104" s="20">
        <f t="shared" si="14"/>
        <v>39202</v>
      </c>
      <c r="Q104" s="27">
        <f>'LC (Gross)'!Q104</f>
        <v>3.7411807251335367</v>
      </c>
      <c r="R104" s="46">
        <f t="shared" si="15"/>
        <v>1153766.1049577591</v>
      </c>
      <c r="S104" s="8"/>
      <c r="U104" s="49"/>
      <c r="V104" s="39"/>
      <c r="W104" s="20">
        <f t="shared" si="16"/>
        <v>39202</v>
      </c>
      <c r="X104" s="36">
        <f>'LC (Gross)'!X104</f>
        <v>2.9478983515289845</v>
      </c>
      <c r="Y104" s="46">
        <f t="shared" si="17"/>
        <v>2241029.5698670479</v>
      </c>
    </row>
    <row r="105" spans="1:25" x14ac:dyDescent="0.25">
      <c r="A105" s="20">
        <v>39233</v>
      </c>
      <c r="B105" s="24">
        <f t="shared" si="18"/>
        <v>89</v>
      </c>
      <c r="C105" s="96" t="s">
        <v>77</v>
      </c>
      <c r="D105" s="27">
        <v>3.14</v>
      </c>
      <c r="E105" s="46">
        <f t="shared" si="11"/>
        <v>2880843.7278853203</v>
      </c>
      <c r="F105" s="8"/>
      <c r="H105" s="49"/>
      <c r="I105" s="39"/>
      <c r="J105" s="20">
        <f t="shared" si="12"/>
        <v>39233</v>
      </c>
      <c r="K105" s="27">
        <f>'LC (Gross)'!K105</f>
        <v>3.4887790264828626</v>
      </c>
      <c r="L105" s="46">
        <f t="shared" si="13"/>
        <v>1175810.3113833587</v>
      </c>
      <c r="M105" s="8"/>
      <c r="O105" s="39"/>
      <c r="P105" s="20">
        <f t="shared" si="14"/>
        <v>39233</v>
      </c>
      <c r="Q105" s="27">
        <f>'LC (Gross)'!Q105</f>
        <v>2.4555626252233851</v>
      </c>
      <c r="R105" s="46">
        <f t="shared" si="15"/>
        <v>1182097.5542135974</v>
      </c>
      <c r="S105" s="8"/>
      <c r="U105" s="49"/>
      <c r="V105" s="39"/>
      <c r="W105" s="20">
        <f t="shared" si="16"/>
        <v>39233</v>
      </c>
      <c r="X105" s="36">
        <f>'LC (Gross)'!X105</f>
        <v>1.6364383268712361</v>
      </c>
      <c r="Y105" s="46">
        <f t="shared" si="17"/>
        <v>2277702.6366648697</v>
      </c>
    </row>
    <row r="106" spans="1:25" x14ac:dyDescent="0.25">
      <c r="A106" s="20">
        <v>39263</v>
      </c>
      <c r="B106" s="24">
        <f t="shared" si="18"/>
        <v>90</v>
      </c>
      <c r="C106" s="96" t="s">
        <v>77</v>
      </c>
      <c r="D106" s="27">
        <v>-0.54</v>
      </c>
      <c r="E106" s="46">
        <f t="shared" si="11"/>
        <v>2865287.1717547397</v>
      </c>
      <c r="F106" s="8"/>
      <c r="G106" s="5">
        <f>(E106/E103-1)*100</f>
        <v>4.5936716624000118</v>
      </c>
      <c r="H106" s="49"/>
      <c r="I106" s="39"/>
      <c r="J106" s="20">
        <f t="shared" si="12"/>
        <v>39263</v>
      </c>
      <c r="K106" s="27">
        <f>'LC (Gross)'!K106</f>
        <v>-1.6624031371889709</v>
      </c>
      <c r="L106" s="46">
        <f t="shared" si="13"/>
        <v>1156263.6038795302</v>
      </c>
      <c r="M106" s="8"/>
      <c r="N106" s="5">
        <f>(L106/L103-1)*100</f>
        <v>6.2761895497350784</v>
      </c>
      <c r="O106" s="39"/>
      <c r="P106" s="20">
        <f t="shared" si="14"/>
        <v>39263</v>
      </c>
      <c r="Q106" s="27">
        <f>'LC (Gross)'!Q106</f>
        <v>-1.8693379359324964</v>
      </c>
      <c r="R106" s="46">
        <f t="shared" si="15"/>
        <v>1160000.1561929525</v>
      </c>
      <c r="S106" s="8"/>
      <c r="T106" s="5">
        <f>(R106/R103-1)*100</f>
        <v>4.3017170704646501</v>
      </c>
      <c r="U106" s="49"/>
      <c r="V106" s="39"/>
      <c r="W106" s="20">
        <f t="shared" si="16"/>
        <v>39263</v>
      </c>
      <c r="X106" s="36">
        <f>'LC (Gross)'!X106</f>
        <v>-2.9445880926410846</v>
      </c>
      <c r="Y106" s="46">
        <f t="shared" si="17"/>
        <v>2210633.6760398638</v>
      </c>
    </row>
    <row r="107" spans="1:25" x14ac:dyDescent="0.25">
      <c r="A107" s="20">
        <v>39294</v>
      </c>
      <c r="B107" s="24">
        <f t="shared" si="18"/>
        <v>91</v>
      </c>
      <c r="C107" s="96" t="s">
        <v>77</v>
      </c>
      <c r="D107" s="27">
        <v>-3.78</v>
      </c>
      <c r="E107" s="46">
        <f t="shared" si="11"/>
        <v>2756979.3166624107</v>
      </c>
      <c r="F107" s="8"/>
      <c r="H107" s="49"/>
      <c r="I107" s="39"/>
      <c r="J107" s="20">
        <f t="shared" si="12"/>
        <v>39294</v>
      </c>
      <c r="K107" s="27">
        <f>'LC (Gross)'!K107</f>
        <v>-3.1004915529729398</v>
      </c>
      <c r="L107" s="46">
        <f t="shared" si="13"/>
        <v>1120413.7485111449</v>
      </c>
      <c r="M107" s="8"/>
      <c r="O107" s="39"/>
      <c r="P107" s="20">
        <f t="shared" si="14"/>
        <v>39294</v>
      </c>
      <c r="Q107" s="27">
        <f>'LC (Gross)'!Q107</f>
        <v>-2.9214642414123277</v>
      </c>
      <c r="R107" s="46">
        <f t="shared" si="15"/>
        <v>1126111.1664294482</v>
      </c>
      <c r="S107" s="8"/>
      <c r="U107" s="49"/>
      <c r="V107" s="39"/>
      <c r="W107" s="20">
        <f t="shared" si="16"/>
        <v>39294</v>
      </c>
      <c r="X107" s="36">
        <f>'LC (Gross)'!X107</f>
        <v>-4.7795758809192073</v>
      </c>
      <c r="Y107" s="46">
        <f t="shared" si="17"/>
        <v>2104974.7620443851</v>
      </c>
    </row>
    <row r="108" spans="1:25" x14ac:dyDescent="0.25">
      <c r="A108" s="20">
        <v>39325</v>
      </c>
      <c r="B108" s="24">
        <f t="shared" si="18"/>
        <v>92</v>
      </c>
      <c r="C108" s="96" t="s">
        <v>77</v>
      </c>
      <c r="D108" s="27">
        <v>1.21</v>
      </c>
      <c r="E108" s="46">
        <f t="shared" si="11"/>
        <v>2790338.7663940261</v>
      </c>
      <c r="F108" s="8"/>
      <c r="H108" s="49"/>
      <c r="I108" s="39"/>
      <c r="J108" s="20">
        <f t="shared" si="12"/>
        <v>39325</v>
      </c>
      <c r="K108" s="27">
        <f>'LC (Gross)'!K108</f>
        <v>1.4989965482864875</v>
      </c>
      <c r="L108" s="46">
        <f t="shared" si="13"/>
        <v>1137208.7119278542</v>
      </c>
      <c r="M108" s="8"/>
      <c r="O108" s="39"/>
      <c r="P108" s="20">
        <f t="shared" si="14"/>
        <v>39325</v>
      </c>
      <c r="Q108" s="27">
        <f>'LC (Gross)'!Q108</f>
        <v>2.0543379228977532</v>
      </c>
      <c r="R108" s="46">
        <f t="shared" si="15"/>
        <v>1149245.2951753945</v>
      </c>
      <c r="S108" s="8"/>
      <c r="U108" s="49"/>
      <c r="V108" s="39"/>
      <c r="W108" s="20">
        <f t="shared" si="16"/>
        <v>39325</v>
      </c>
      <c r="X108" s="36">
        <f>'LC (Gross)'!X108</f>
        <v>2.6044771424891238</v>
      </c>
      <c r="Y108" s="46">
        <f t="shared" si="17"/>
        <v>2159798.348576996</v>
      </c>
    </row>
    <row r="109" spans="1:25" x14ac:dyDescent="0.25">
      <c r="A109" s="20">
        <v>39355</v>
      </c>
      <c r="B109" s="24">
        <f t="shared" si="18"/>
        <v>93</v>
      </c>
      <c r="C109" s="96" t="s">
        <v>77</v>
      </c>
      <c r="D109" s="27">
        <v>2.89</v>
      </c>
      <c r="E109" s="46">
        <f t="shared" si="11"/>
        <v>2870979.5567428134</v>
      </c>
      <c r="F109" s="8"/>
      <c r="G109" s="5">
        <f>(E109/E106-1)*100</f>
        <v>0.19866717180001547</v>
      </c>
      <c r="H109" s="49"/>
      <c r="I109" s="39"/>
      <c r="J109" s="20">
        <f t="shared" si="12"/>
        <v>39355</v>
      </c>
      <c r="K109" s="27">
        <f>'LC (Gross)'!K109</f>
        <v>3.7387813427693635</v>
      </c>
      <c r="L109" s="46">
        <f t="shared" si="13"/>
        <v>1179726.4590777606</v>
      </c>
      <c r="M109" s="8"/>
      <c r="N109" s="5">
        <f>(L109/L106-1)*100</f>
        <v>2.029196034494829</v>
      </c>
      <c r="O109" s="39"/>
      <c r="P109" s="20">
        <f t="shared" si="14"/>
        <v>39355</v>
      </c>
      <c r="Q109" s="27">
        <f>'LC (Gross)'!Q109</f>
        <v>3.0590601712285355</v>
      </c>
      <c r="R109" s="46">
        <f t="shared" si="15"/>
        <v>1184401.4002698229</v>
      </c>
      <c r="S109" s="8"/>
      <c r="T109" s="5">
        <f>(R109/R106-1)*100</f>
        <v>2.1035552406263314</v>
      </c>
      <c r="U109" s="49"/>
      <c r="V109" s="39"/>
      <c r="W109" s="20">
        <f t="shared" si="16"/>
        <v>39355</v>
      </c>
      <c r="X109" s="36">
        <f>'LC (Gross)'!X109</f>
        <v>2.3236361884658918</v>
      </c>
      <c r="Y109" s="46">
        <f t="shared" si="17"/>
        <v>2209984.2046024199</v>
      </c>
    </row>
    <row r="110" spans="1:25" x14ac:dyDescent="0.25">
      <c r="A110" s="20">
        <v>39386</v>
      </c>
      <c r="B110" s="24">
        <f t="shared" si="18"/>
        <v>94</v>
      </c>
      <c r="C110" s="96" t="s">
        <v>77</v>
      </c>
      <c r="D110" s="27">
        <v>0.86</v>
      </c>
      <c r="E110" s="46">
        <f t="shared" si="11"/>
        <v>2895669.9809308015</v>
      </c>
      <c r="F110" s="8"/>
      <c r="H110" s="49"/>
      <c r="I110" s="39"/>
      <c r="J110" s="20">
        <f t="shared" si="12"/>
        <v>39386</v>
      </c>
      <c r="K110" s="27">
        <f>'LC (Gross)'!K110</f>
        <v>1.5906474139034625</v>
      </c>
      <c r="L110" s="46">
        <f t="shared" si="13"/>
        <v>1198491.7474902158</v>
      </c>
      <c r="M110" s="8"/>
      <c r="O110" s="39"/>
      <c r="P110" s="20">
        <f t="shared" si="14"/>
        <v>39386</v>
      </c>
      <c r="Q110" s="27">
        <f>'LC (Gross)'!Q110</f>
        <v>0.55527623694644057</v>
      </c>
      <c r="R110" s="46">
        <f t="shared" si="15"/>
        <v>1190978.0997955822</v>
      </c>
      <c r="S110" s="8"/>
      <c r="U110" s="49"/>
      <c r="V110" s="39"/>
      <c r="W110" s="20">
        <f t="shared" si="16"/>
        <v>39386</v>
      </c>
      <c r="X110" s="36">
        <f>'LC (Gross)'!X110</f>
        <v>0.17975219875457926</v>
      </c>
      <c r="Y110" s="46">
        <f t="shared" si="17"/>
        <v>2213956.6998023214</v>
      </c>
    </row>
    <row r="111" spans="1:25" x14ac:dyDescent="0.25">
      <c r="A111" s="20">
        <v>39416</v>
      </c>
      <c r="B111" s="24">
        <f t="shared" si="18"/>
        <v>95</v>
      </c>
      <c r="C111" s="96" t="s">
        <v>77</v>
      </c>
      <c r="D111" s="27">
        <v>-2.89</v>
      </c>
      <c r="E111" s="46">
        <f t="shared" si="11"/>
        <v>2811985.1184819015</v>
      </c>
      <c r="F111" s="8"/>
      <c r="H111" s="49"/>
      <c r="I111" s="39"/>
      <c r="J111" s="20">
        <f t="shared" si="12"/>
        <v>39416</v>
      </c>
      <c r="K111" s="27">
        <f>'LC (Gross)'!K111</f>
        <v>-4.1027120469037097</v>
      </c>
      <c r="L111" s="46">
        <f t="shared" si="13"/>
        <v>1149321.0821847878</v>
      </c>
      <c r="M111" s="8"/>
      <c r="O111" s="39"/>
      <c r="P111" s="20">
        <f t="shared" si="14"/>
        <v>39416</v>
      </c>
      <c r="Q111" s="27">
        <f>'LC (Gross)'!Q111</f>
        <v>-3.1718670466644956</v>
      </c>
      <c r="R111" s="46">
        <f t="shared" si="15"/>
        <v>1153201.8579151751</v>
      </c>
      <c r="S111" s="8"/>
      <c r="U111" s="49"/>
      <c r="V111" s="39"/>
      <c r="W111" s="20">
        <f t="shared" si="16"/>
        <v>39416</v>
      </c>
      <c r="X111" s="36">
        <f>'LC (Gross)'!X111</f>
        <v>-1.764961372779374</v>
      </c>
      <c r="Y111" s="46">
        <f t="shared" si="17"/>
        <v>2174881.2192407493</v>
      </c>
    </row>
    <row r="112" spans="1:25" x14ac:dyDescent="0.25">
      <c r="A112" s="20">
        <v>39447</v>
      </c>
      <c r="B112" s="24">
        <f t="shared" si="18"/>
        <v>96</v>
      </c>
      <c r="C112" s="96" t="s">
        <v>77</v>
      </c>
      <c r="D112" s="27">
        <v>4.5999999999999996</v>
      </c>
      <c r="E112" s="46">
        <f t="shared" si="11"/>
        <v>2941336.4339320688</v>
      </c>
      <c r="F112" s="11">
        <f>(E112-E100)/E100*100</f>
        <v>10.000492785115954</v>
      </c>
      <c r="G112" s="5">
        <f>(E112/E109-1)*100</f>
        <v>2.4506227159999838</v>
      </c>
      <c r="H112" s="49"/>
      <c r="I112" s="39"/>
      <c r="J112" s="20">
        <f t="shared" si="12"/>
        <v>39447</v>
      </c>
      <c r="K112" s="27">
        <f>'LC (Gross)'!K112</f>
        <v>-0.69811209020277187</v>
      </c>
      <c r="L112" s="46">
        <f t="shared" si="13"/>
        <v>1141297.5327548066</v>
      </c>
      <c r="M112" s="11">
        <f>(L112-L100)/L100*100</f>
        <v>5.5709176147118411</v>
      </c>
      <c r="N112" s="5">
        <f>(L112/L109-1)*100</f>
        <v>-3.2574437936227607</v>
      </c>
      <c r="O112" s="39"/>
      <c r="P112" s="20">
        <f t="shared" si="14"/>
        <v>39447</v>
      </c>
      <c r="Q112" s="27">
        <f>'LC (Gross)'!Q112</f>
        <v>-1.2293132200692396</v>
      </c>
      <c r="R112" s="46">
        <f t="shared" si="15"/>
        <v>1139025.3950217399</v>
      </c>
      <c r="S112" s="11">
        <f>(R112-R100)/R100*100</f>
        <v>1.2571357161577474</v>
      </c>
      <c r="T112" s="5">
        <f>(R112/R109-1)*100</f>
        <v>-3.8311340427110041</v>
      </c>
      <c r="U112" s="49"/>
      <c r="V112" s="39"/>
      <c r="W112" s="20">
        <f t="shared" si="16"/>
        <v>39447</v>
      </c>
      <c r="X112" s="36">
        <f>'LC (Gross)'!X112</f>
        <v>-0.99575113324858555</v>
      </c>
      <c r="Y112" s="46">
        <f t="shared" si="17"/>
        <v>2153224.8148533488</v>
      </c>
    </row>
    <row r="113" spans="1:25" x14ac:dyDescent="0.25">
      <c r="A113" s="20">
        <v>39478</v>
      </c>
      <c r="B113" s="24">
        <f t="shared" si="18"/>
        <v>97</v>
      </c>
      <c r="C113" s="96" t="s">
        <v>77</v>
      </c>
      <c r="D113" s="27">
        <v>-7.4</v>
      </c>
      <c r="E113" s="46">
        <f t="shared" si="11"/>
        <v>2723677.5378210954</v>
      </c>
      <c r="F113" s="10"/>
      <c r="H113" s="49"/>
      <c r="I113" s="39"/>
      <c r="J113" s="20">
        <f t="shared" si="12"/>
        <v>39478</v>
      </c>
      <c r="K113" s="27">
        <f>'LC (Gross)'!K113</f>
        <v>-5.9981761055273015</v>
      </c>
      <c r="L113" s="46">
        <f t="shared" si="13"/>
        <v>1072840.4968521351</v>
      </c>
      <c r="M113" s="10"/>
      <c r="O113" s="39"/>
      <c r="P113" s="20">
        <f t="shared" si="14"/>
        <v>39478</v>
      </c>
      <c r="Q113" s="27">
        <f>'LC (Gross)'!Q113</f>
        <v>-4.3344635015101343</v>
      </c>
      <c r="R113" s="46">
        <f t="shared" si="15"/>
        <v>1089654.7550015911</v>
      </c>
      <c r="S113" s="10"/>
      <c r="U113" s="49"/>
      <c r="V113" s="39"/>
      <c r="W113" s="20">
        <f t="shared" si="16"/>
        <v>39478</v>
      </c>
      <c r="X113" s="36">
        <f>'LC (Gross)'!X113</f>
        <v>-5.0901807128361503</v>
      </c>
      <c r="Y113" s="46">
        <f t="shared" si="17"/>
        <v>2043621.7806236816</v>
      </c>
    </row>
    <row r="114" spans="1:25" x14ac:dyDescent="0.25">
      <c r="A114" s="20">
        <v>39507</v>
      </c>
      <c r="B114" s="24">
        <f t="shared" si="18"/>
        <v>98</v>
      </c>
      <c r="C114" s="96" t="s">
        <v>77</v>
      </c>
      <c r="D114" s="27">
        <v>0.32</v>
      </c>
      <c r="E114" s="46">
        <f t="shared" si="11"/>
        <v>2732393.3059421228</v>
      </c>
      <c r="F114" s="8"/>
      <c r="H114" s="49"/>
      <c r="I114" s="39"/>
      <c r="J114" s="20">
        <f t="shared" si="12"/>
        <v>39507</v>
      </c>
      <c r="K114" s="27">
        <f>'LC (Gross)'!K114</f>
        <v>-3.2485532785005358</v>
      </c>
      <c r="L114" s="46">
        <f t="shared" si="13"/>
        <v>1037988.7017185636</v>
      </c>
      <c r="M114" s="8"/>
      <c r="O114" s="39"/>
      <c r="P114" s="20">
        <f t="shared" si="14"/>
        <v>39507</v>
      </c>
      <c r="Q114" s="27">
        <f>'LC (Gross)'!Q114</f>
        <v>-3.7592253815128656</v>
      </c>
      <c r="R114" s="46">
        <f t="shared" si="15"/>
        <v>1048692.1768807094</v>
      </c>
      <c r="S114" s="8"/>
      <c r="U114" s="49"/>
      <c r="V114" s="39"/>
      <c r="W114" s="20">
        <f t="shared" si="16"/>
        <v>39507</v>
      </c>
      <c r="X114" s="36">
        <f>'LC (Gross)'!X114</f>
        <v>-2.5484497020971926</v>
      </c>
      <c r="Y114" s="46">
        <f t="shared" si="17"/>
        <v>1991541.1074433841</v>
      </c>
    </row>
    <row r="115" spans="1:25" x14ac:dyDescent="0.25">
      <c r="A115" s="20">
        <v>39538</v>
      </c>
      <c r="B115" s="24">
        <f t="shared" si="18"/>
        <v>99</v>
      </c>
      <c r="C115" s="96" t="s">
        <v>77</v>
      </c>
      <c r="D115" s="27">
        <v>-2.29</v>
      </c>
      <c r="E115" s="46">
        <f t="shared" si="11"/>
        <v>2669821.4992360482</v>
      </c>
      <c r="F115" s="8"/>
      <c r="G115" s="5">
        <f>(E115/E112-1)*100</f>
        <v>-9.2310057280000084</v>
      </c>
      <c r="H115" s="49"/>
      <c r="I115" s="39"/>
      <c r="J115" s="20">
        <f t="shared" si="12"/>
        <v>39538</v>
      </c>
      <c r="K115" s="27">
        <f>'LC (Gross)'!K115</f>
        <v>-0.43232258509129834</v>
      </c>
      <c r="L115" s="46">
        <f t="shared" si="13"/>
        <v>1033501.2421303382</v>
      </c>
      <c r="M115" s="8"/>
      <c r="N115" s="5">
        <f>(L115/L112-1)*100</f>
        <v>-9.4450647207021561</v>
      </c>
      <c r="O115" s="39"/>
      <c r="P115" s="20">
        <f t="shared" si="14"/>
        <v>39538</v>
      </c>
      <c r="Q115" s="27">
        <f>'LC (Gross)'!Q115</f>
        <v>-0.14326234136651117</v>
      </c>
      <c r="R115" s="46">
        <f t="shared" si="15"/>
        <v>1047189.7959143827</v>
      </c>
      <c r="S115" s="8"/>
      <c r="T115" s="5">
        <f>(R115/R112-1)*100</f>
        <v>-8.0626471989770128</v>
      </c>
      <c r="U115" s="49"/>
      <c r="V115" s="39"/>
      <c r="W115" s="20">
        <f t="shared" si="16"/>
        <v>39538</v>
      </c>
      <c r="X115" s="36">
        <f>'LC (Gross)'!X115</f>
        <v>-5.1133566257538454E-2</v>
      </c>
      <c r="Y115" s="46">
        <f t="shared" si="17"/>
        <v>1990522.7614516634</v>
      </c>
    </row>
    <row r="116" spans="1:25" x14ac:dyDescent="0.25">
      <c r="A116" s="20">
        <v>39568</v>
      </c>
      <c r="B116" s="24">
        <f t="shared" si="18"/>
        <v>100</v>
      </c>
      <c r="C116" s="96" t="s">
        <v>77</v>
      </c>
      <c r="D116" s="27">
        <v>2.06</v>
      </c>
      <c r="E116" s="46">
        <f t="shared" si="11"/>
        <v>2724819.8221203107</v>
      </c>
      <c r="F116" s="8"/>
      <c r="H116" s="49"/>
      <c r="I116" s="39"/>
      <c r="J116" s="20">
        <f t="shared" si="12"/>
        <v>39568</v>
      </c>
      <c r="K116" s="27">
        <f>'LC (Gross)'!K116</f>
        <v>4.8703904063539696</v>
      </c>
      <c r="L116" s="46">
        <f t="shared" si="13"/>
        <v>1083836.7874766034</v>
      </c>
      <c r="M116" s="8"/>
      <c r="O116" s="39"/>
      <c r="P116" s="20">
        <f t="shared" si="14"/>
        <v>39568</v>
      </c>
      <c r="Q116" s="27">
        <f>'LC (Gross)'!Q116</f>
        <v>2.8409249809362178</v>
      </c>
      <c r="R116" s="46">
        <f t="shared" si="15"/>
        <v>1076939.6724243294</v>
      </c>
      <c r="S116" s="8"/>
      <c r="U116" s="49"/>
      <c r="V116" s="39"/>
      <c r="W116" s="20">
        <f t="shared" si="16"/>
        <v>39568</v>
      </c>
      <c r="X116" s="36">
        <f>'LC (Gross)'!X116</f>
        <v>1.9462870393248688</v>
      </c>
      <c r="Y116" s="46">
        <f t="shared" si="17"/>
        <v>2029264.0479726086</v>
      </c>
    </row>
    <row r="117" spans="1:25" x14ac:dyDescent="0.25">
      <c r="A117" s="20">
        <v>39599</v>
      </c>
      <c r="B117" s="24">
        <f t="shared" si="18"/>
        <v>101</v>
      </c>
      <c r="C117" s="96" t="s">
        <v>77</v>
      </c>
      <c r="D117" s="27">
        <v>2.5299999999999998</v>
      </c>
      <c r="E117" s="46">
        <f t="shared" si="11"/>
        <v>2793757.7636199547</v>
      </c>
      <c r="F117" s="8"/>
      <c r="H117" s="49"/>
      <c r="I117" s="39"/>
      <c r="J117" s="20">
        <f t="shared" si="12"/>
        <v>39599</v>
      </c>
      <c r="K117" s="27">
        <f>'LC (Gross)'!K117</f>
        <v>1.295242884572684</v>
      </c>
      <c r="L117" s="46">
        <f t="shared" si="13"/>
        <v>1097875.1063467753</v>
      </c>
      <c r="M117" s="8"/>
      <c r="O117" s="39"/>
      <c r="P117" s="20">
        <f t="shared" si="14"/>
        <v>39599</v>
      </c>
      <c r="Q117" s="27">
        <f>'LC (Gross)'!Q117</f>
        <v>-8.6385922992340797E-2</v>
      </c>
      <c r="R117" s="46">
        <f t="shared" si="15"/>
        <v>1076009.3481482349</v>
      </c>
      <c r="S117" s="8"/>
      <c r="U117" s="49"/>
      <c r="V117" s="39"/>
      <c r="W117" s="20">
        <f t="shared" si="16"/>
        <v>39599</v>
      </c>
      <c r="X117" s="36">
        <f>'LC (Gross)'!X117</f>
        <v>2.1267968007159288</v>
      </c>
      <c r="Y117" s="46">
        <f t="shared" si="17"/>
        <v>2072422.3708229687</v>
      </c>
    </row>
    <row r="118" spans="1:25" x14ac:dyDescent="0.25">
      <c r="A118" s="20">
        <v>39629</v>
      </c>
      <c r="B118" s="24">
        <f t="shared" si="18"/>
        <v>102</v>
      </c>
      <c r="C118" s="96" t="s">
        <v>77</v>
      </c>
      <c r="D118" s="27">
        <v>-3.28</v>
      </c>
      <c r="E118" s="46">
        <f t="shared" si="11"/>
        <v>2702122.5089732204</v>
      </c>
      <c r="F118" s="8"/>
      <c r="G118" s="5">
        <f>(E118/E115-1)*100</f>
        <v>1.2098565296000174</v>
      </c>
      <c r="H118" s="49"/>
      <c r="I118" s="39"/>
      <c r="J118" s="20">
        <f t="shared" si="12"/>
        <v>39629</v>
      </c>
      <c r="K118" s="27">
        <f>'LC (Gross)'!K118</f>
        <v>-8.4309071059661456</v>
      </c>
      <c r="L118" s="46">
        <f t="shared" si="13"/>
        <v>1005314.2759911517</v>
      </c>
      <c r="M118" s="8"/>
      <c r="N118" s="5">
        <f>(L118/L115-1)*100</f>
        <v>-2.7273277467074197</v>
      </c>
      <c r="O118" s="39"/>
      <c r="P118" s="20">
        <f t="shared" si="14"/>
        <v>39629</v>
      </c>
      <c r="Q118" s="27">
        <f>'LC (Gross)'!Q118</f>
        <v>-8.2154819838945627</v>
      </c>
      <c r="R118" s="46">
        <f t="shared" si="15"/>
        <v>987609.99400609534</v>
      </c>
      <c r="S118" s="8"/>
      <c r="T118" s="5">
        <f>(R118/R115-1)*100</f>
        <v>-5.689494124249328</v>
      </c>
      <c r="U118" s="49"/>
      <c r="V118" s="39"/>
      <c r="W118" s="20">
        <f t="shared" si="16"/>
        <v>39629</v>
      </c>
      <c r="X118" s="36">
        <f>'LC (Gross)'!X118</f>
        <v>-6.4679545983542566</v>
      </c>
      <c r="Y118" s="46">
        <f t="shared" si="17"/>
        <v>1938379.0327920022</v>
      </c>
    </row>
    <row r="119" spans="1:25" x14ac:dyDescent="0.25">
      <c r="A119" s="20">
        <v>39660</v>
      </c>
      <c r="B119" s="24">
        <f t="shared" si="18"/>
        <v>103</v>
      </c>
      <c r="C119" s="96" t="s">
        <v>77</v>
      </c>
      <c r="D119" s="27">
        <v>1.41</v>
      </c>
      <c r="E119" s="46">
        <f t="shared" si="11"/>
        <v>2740222.4363497426</v>
      </c>
      <c r="F119" s="8"/>
      <c r="H119" s="49"/>
      <c r="I119" s="39"/>
      <c r="J119" s="20">
        <f t="shared" si="12"/>
        <v>39660</v>
      </c>
      <c r="K119" s="27">
        <f>'LC (Gross)'!K119</f>
        <v>-0.84061695613849063</v>
      </c>
      <c r="L119" s="46">
        <f t="shared" si="13"/>
        <v>996863.43372468918</v>
      </c>
      <c r="M119" s="8"/>
      <c r="O119" s="39"/>
      <c r="P119" s="20">
        <f t="shared" si="14"/>
        <v>39660</v>
      </c>
      <c r="Q119" s="27">
        <f>'LC (Gross)'!Q119</f>
        <v>-0.47623660399216194</v>
      </c>
      <c r="R119" s="46">
        <f t="shared" si="15"/>
        <v>982906.63370995352</v>
      </c>
      <c r="S119" s="8"/>
      <c r="U119" s="49"/>
      <c r="V119" s="39"/>
      <c r="W119" s="20">
        <f t="shared" si="16"/>
        <v>39660</v>
      </c>
      <c r="X119" s="36">
        <f>'LC (Gross)'!X119</f>
        <v>2.8964716330225078</v>
      </c>
      <c r="Y119" s="46">
        <f t="shared" si="17"/>
        <v>1994523.6316172786</v>
      </c>
    </row>
    <row r="120" spans="1:25" x14ac:dyDescent="0.25">
      <c r="A120" s="20">
        <v>39691</v>
      </c>
      <c r="B120" s="24">
        <f t="shared" si="18"/>
        <v>104</v>
      </c>
      <c r="C120" s="96" t="s">
        <v>77</v>
      </c>
      <c r="D120" s="27">
        <v>2.15</v>
      </c>
      <c r="E120" s="46">
        <f t="shared" si="11"/>
        <v>2799137.2187312623</v>
      </c>
      <c r="F120" s="8"/>
      <c r="H120" s="49"/>
      <c r="I120" s="39"/>
      <c r="J120" s="20">
        <f t="shared" si="12"/>
        <v>39691</v>
      </c>
      <c r="K120" s="27">
        <f>'LC (Gross)'!K120</f>
        <v>1.4464630801146197</v>
      </c>
      <c r="L120" s="46">
        <f t="shared" si="13"/>
        <v>1011282.6952526796</v>
      </c>
      <c r="M120" s="8"/>
      <c r="O120" s="39"/>
      <c r="P120" s="20">
        <f t="shared" si="14"/>
        <v>39691</v>
      </c>
      <c r="Q120" s="27">
        <f>'LC (Gross)'!Q120</f>
        <v>2.1155786680226853</v>
      </c>
      <c r="R120" s="46">
        <f t="shared" si="15"/>
        <v>1003700.7967793011</v>
      </c>
      <c r="S120" s="8"/>
      <c r="U120" s="49"/>
      <c r="V120" s="39"/>
      <c r="W120" s="20">
        <f t="shared" si="16"/>
        <v>39691</v>
      </c>
      <c r="X120" s="36">
        <f>'LC (Gross)'!X120</f>
        <v>3.2619640387275188</v>
      </c>
      <c r="Y120" s="46">
        <f t="shared" si="17"/>
        <v>2059584.2752245562</v>
      </c>
    </row>
    <row r="121" spans="1:25" x14ac:dyDescent="0.25">
      <c r="A121" s="20">
        <v>39721</v>
      </c>
      <c r="B121" s="24">
        <f t="shared" si="18"/>
        <v>105</v>
      </c>
      <c r="C121" s="96" t="s">
        <v>77</v>
      </c>
      <c r="D121" s="27">
        <v>-3.48</v>
      </c>
      <c r="E121" s="46">
        <f t="shared" si="11"/>
        <v>2701727.2435194142</v>
      </c>
      <c r="F121" s="8"/>
      <c r="G121" s="5">
        <f>(E121/E118-1)*100</f>
        <v>-1.462796200000227E-2</v>
      </c>
      <c r="H121" s="49"/>
      <c r="I121" s="39"/>
      <c r="J121" s="20">
        <f t="shared" si="12"/>
        <v>39721</v>
      </c>
      <c r="K121" s="27">
        <f>'LC (Gross)'!K121</f>
        <v>-8.9113127631068245</v>
      </c>
      <c r="L121" s="46">
        <f t="shared" si="13"/>
        <v>921164.1313595369</v>
      </c>
      <c r="M121" s="8"/>
      <c r="N121" s="5">
        <f>(L121/L118-1)*100</f>
        <v>-8.370531150435534</v>
      </c>
      <c r="O121" s="39"/>
      <c r="P121" s="20">
        <f t="shared" si="14"/>
        <v>39721</v>
      </c>
      <c r="Q121" s="27">
        <f>'LC (Gross)'!Q121</f>
        <v>-6.1349394309279077</v>
      </c>
      <c r="R121" s="46">
        <f t="shared" si="15"/>
        <v>942124.36082915019</v>
      </c>
      <c r="S121" s="8"/>
      <c r="T121" s="5">
        <f>(R121/R118-1)*100</f>
        <v>-4.6056270646309798</v>
      </c>
      <c r="U121" s="49"/>
      <c r="V121" s="39"/>
      <c r="W121" s="20">
        <f t="shared" si="16"/>
        <v>39721</v>
      </c>
      <c r="X121" s="36">
        <f>'LC (Gross)'!X121</f>
        <v>-4.1583685540695017</v>
      </c>
      <c r="Y121" s="46">
        <f t="shared" si="17"/>
        <v>1973939.170379058</v>
      </c>
    </row>
    <row r="122" spans="1:25" x14ac:dyDescent="0.25">
      <c r="A122" s="20">
        <v>39752</v>
      </c>
      <c r="B122" s="24">
        <f t="shared" si="18"/>
        <v>106</v>
      </c>
      <c r="C122" s="96" t="s">
        <v>77</v>
      </c>
      <c r="D122" s="27">
        <v>-16.39</v>
      </c>
      <c r="E122" s="46">
        <f t="shared" si="11"/>
        <v>2258914.1483065821</v>
      </c>
      <c r="F122" s="8"/>
      <c r="H122" s="49"/>
      <c r="I122" s="39"/>
      <c r="J122" s="20">
        <f t="shared" si="12"/>
        <v>39752</v>
      </c>
      <c r="K122" s="27">
        <f>'LC (Gross)'!K122</f>
        <v>-16.794825909229676</v>
      </c>
      <c r="L122" s="46">
        <f t="shared" si="13"/>
        <v>766456.2191594349</v>
      </c>
      <c r="M122" s="8"/>
      <c r="O122" s="39"/>
      <c r="P122" s="20">
        <f t="shared" si="14"/>
        <v>39752</v>
      </c>
      <c r="Q122" s="27">
        <f>'LC (Gross)'!Q122</f>
        <v>-13.940235690497357</v>
      </c>
      <c r="R122" s="46">
        <f t="shared" si="15"/>
        <v>810790.00443197484</v>
      </c>
      <c r="S122" s="8"/>
      <c r="U122" s="49"/>
      <c r="V122" s="39"/>
      <c r="W122" s="20">
        <f t="shared" si="16"/>
        <v>39752</v>
      </c>
      <c r="X122" s="36">
        <f>'LC (Gross)'!X122</f>
        <v>-12.83349518284736</v>
      </c>
      <c r="Y122" s="46">
        <f t="shared" si="17"/>
        <v>1720613.7820361245</v>
      </c>
    </row>
    <row r="123" spans="1:25" x14ac:dyDescent="0.25">
      <c r="A123" s="20">
        <v>39782</v>
      </c>
      <c r="B123" s="24">
        <f t="shared" si="18"/>
        <v>107</v>
      </c>
      <c r="C123" s="96" t="s">
        <v>77</v>
      </c>
      <c r="D123" s="27">
        <v>-5.73</v>
      </c>
      <c r="E123" s="46">
        <f t="shared" si="11"/>
        <v>2129478.3676086147</v>
      </c>
      <c r="F123" s="8"/>
      <c r="H123" s="49"/>
      <c r="I123" s="39"/>
      <c r="J123" s="20">
        <f t="shared" si="12"/>
        <v>39782</v>
      </c>
      <c r="K123" s="27">
        <f>'LC (Gross)'!K123</f>
        <v>-7.1754609961071578</v>
      </c>
      <c r="L123" s="46">
        <f t="shared" si="13"/>
        <v>711459.452101412</v>
      </c>
      <c r="M123" s="8"/>
      <c r="O123" s="39"/>
      <c r="P123" s="20">
        <f t="shared" si="14"/>
        <v>39782</v>
      </c>
      <c r="Q123" s="27">
        <f>'LC (Gross)'!Q123</f>
        <v>-4.1467231078311508</v>
      </c>
      <c r="R123" s="46">
        <f t="shared" si="15"/>
        <v>777168.78796220897</v>
      </c>
      <c r="S123" s="8"/>
      <c r="U123" s="49"/>
      <c r="V123" s="39"/>
      <c r="W123" s="20">
        <f t="shared" si="16"/>
        <v>39782</v>
      </c>
      <c r="X123" s="36">
        <f>'LC (Gross)'!X123</f>
        <v>-3.3612706277279099</v>
      </c>
      <c r="Y123" s="46">
        <f t="shared" si="17"/>
        <v>1662779.296363906</v>
      </c>
    </row>
    <row r="124" spans="1:25" x14ac:dyDescent="0.25">
      <c r="A124" s="20">
        <v>39813</v>
      </c>
      <c r="B124" s="24">
        <f t="shared" si="18"/>
        <v>108</v>
      </c>
      <c r="C124" s="96" t="s">
        <v>77</v>
      </c>
      <c r="D124" s="27">
        <v>2.92</v>
      </c>
      <c r="E124" s="46">
        <f t="shared" si="11"/>
        <v>2191659.1359427865</v>
      </c>
      <c r="F124" s="11">
        <f>(E124-E112)/E112*100</f>
        <v>-25.48764192157001</v>
      </c>
      <c r="G124" s="5">
        <f>(E124/E121-1)*100</f>
        <v>-18.879333907600003</v>
      </c>
      <c r="H124" s="49"/>
      <c r="I124" s="39"/>
      <c r="J124" s="20">
        <f t="shared" si="12"/>
        <v>39813</v>
      </c>
      <c r="K124" s="27">
        <f>'LC (Gross)'!K124</f>
        <v>1.0634243294680077</v>
      </c>
      <c r="L124" s="46">
        <f t="shared" si="13"/>
        <v>719025.28500935819</v>
      </c>
      <c r="M124" s="11">
        <f>(L124-L112)/L112*100</f>
        <v>-36.999313117429502</v>
      </c>
      <c r="N124" s="5">
        <f>(L124/L121-1)*100</f>
        <v>-21.943846863842165</v>
      </c>
      <c r="O124" s="39"/>
      <c r="P124" s="20">
        <f t="shared" si="14"/>
        <v>39813</v>
      </c>
      <c r="Q124" s="27">
        <f>'LC (Gross)'!Q124</f>
        <v>1.0061404715294266</v>
      </c>
      <c r="R124" s="46">
        <f t="shared" si="15"/>
        <v>784988.19766999152</v>
      </c>
      <c r="S124" s="11">
        <f>(R124-R112)/R112*100</f>
        <v>-31.082467423387961</v>
      </c>
      <c r="T124" s="5">
        <f>(R124/R121-1)*100</f>
        <v>-16.678919439134908</v>
      </c>
      <c r="U124" s="49"/>
      <c r="V124" s="39"/>
      <c r="W124" s="20">
        <f t="shared" si="16"/>
        <v>39813</v>
      </c>
      <c r="X124" s="36">
        <f>'LC (Gross)'!X124</f>
        <v>1.7728412103101618</v>
      </c>
      <c r="Y124" s="46">
        <f t="shared" si="17"/>
        <v>1692257.7329663506</v>
      </c>
    </row>
    <row r="125" spans="1:25" x14ac:dyDescent="0.25">
      <c r="A125" s="20">
        <v>39844</v>
      </c>
      <c r="B125" s="24">
        <f t="shared" si="18"/>
        <v>109</v>
      </c>
      <c r="C125" s="96" t="s">
        <v>77</v>
      </c>
      <c r="D125" s="27">
        <v>-3.18</v>
      </c>
      <c r="E125" s="46">
        <f t="shared" si="11"/>
        <v>2121964.3754198058</v>
      </c>
      <c r="F125" s="10"/>
      <c r="H125" s="49"/>
      <c r="I125" s="39"/>
      <c r="J125" s="20">
        <f t="shared" si="12"/>
        <v>39844</v>
      </c>
      <c r="K125" s="27">
        <f>'LC (Gross)'!K125</f>
        <v>-8.4286395692502936</v>
      </c>
      <c r="L125" s="46">
        <f t="shared" si="13"/>
        <v>658421.23532414471</v>
      </c>
      <c r="M125" s="10"/>
      <c r="O125" s="39"/>
      <c r="P125" s="20">
        <f t="shared" si="14"/>
        <v>39844</v>
      </c>
      <c r="Q125" s="27">
        <f>'LC (Gross)'!Q125</f>
        <v>-7.4157450086833814</v>
      </c>
      <c r="R125" s="46">
        <f t="shared" si="15"/>
        <v>726775.47458252544</v>
      </c>
      <c r="S125" s="10"/>
      <c r="U125" s="49"/>
      <c r="V125" s="39"/>
      <c r="W125" s="20">
        <f t="shared" si="16"/>
        <v>39844</v>
      </c>
      <c r="X125" s="36">
        <f>'LC (Gross)'!X125</f>
        <v>-2.9607714549736204</v>
      </c>
      <c r="Y125" s="46">
        <f t="shared" si="17"/>
        <v>1642153.8490640991</v>
      </c>
    </row>
    <row r="126" spans="1:25" x14ac:dyDescent="0.25">
      <c r="A126" s="20">
        <v>39872</v>
      </c>
      <c r="B126" s="24">
        <f t="shared" si="18"/>
        <v>110</v>
      </c>
      <c r="C126" s="96" t="s">
        <v>77</v>
      </c>
      <c r="D126" s="27">
        <v>-8.5</v>
      </c>
      <c r="E126" s="46">
        <f t="shared" si="11"/>
        <v>1941597.4035091223</v>
      </c>
      <c r="F126" s="8"/>
      <c r="H126" s="49"/>
      <c r="I126" s="39"/>
      <c r="J126" s="20">
        <f t="shared" si="12"/>
        <v>39872</v>
      </c>
      <c r="K126" s="27">
        <f>'LC (Gross)'!K126</f>
        <v>-10.647783189616048</v>
      </c>
      <c r="L126" s="46">
        <f t="shared" si="13"/>
        <v>588313.96971243806</v>
      </c>
      <c r="M126" s="8"/>
      <c r="O126" s="39"/>
      <c r="P126" s="20">
        <f t="shared" si="14"/>
        <v>39872</v>
      </c>
      <c r="Q126" s="27">
        <f>'LC (Gross)'!Q126</f>
        <v>-10.677673397584034</v>
      </c>
      <c r="R126" s="46">
        <f t="shared" si="15"/>
        <v>649172.76307286206</v>
      </c>
      <c r="S126" s="8"/>
      <c r="U126" s="49"/>
      <c r="V126" s="39"/>
      <c r="W126" s="20">
        <f t="shared" si="16"/>
        <v>39872</v>
      </c>
      <c r="X126" s="36">
        <f>'LC (Gross)'!X126</f>
        <v>-10.340206581423029</v>
      </c>
      <c r="Y126" s="46">
        <f t="shared" si="17"/>
        <v>1472351.7486860815</v>
      </c>
    </row>
    <row r="127" spans="1:25" x14ac:dyDescent="0.25">
      <c r="A127" s="20">
        <v>39903</v>
      </c>
      <c r="B127" s="24">
        <f t="shared" si="18"/>
        <v>111</v>
      </c>
      <c r="C127" s="96" t="s">
        <v>77</v>
      </c>
      <c r="D127" s="27">
        <v>5.69</v>
      </c>
      <c r="E127" s="46">
        <f t="shared" si="11"/>
        <v>2052074.2957687913</v>
      </c>
      <c r="F127" s="8"/>
      <c r="G127" s="5">
        <f>(E127/E124-1)*100</f>
        <v>-6.3689119299999986</v>
      </c>
      <c r="H127" s="49"/>
      <c r="I127" s="39"/>
      <c r="J127" s="20">
        <f t="shared" si="12"/>
        <v>39903</v>
      </c>
      <c r="K127" s="27">
        <f>'LC (Gross)'!K127</f>
        <v>8.7591422432926702</v>
      </c>
      <c r="L127" s="46">
        <f t="shared" si="13"/>
        <v>639845.22715671232</v>
      </c>
      <c r="M127" s="8"/>
      <c r="N127" s="5">
        <f>(L127/L124-1)*100</f>
        <v>-11.012138168634134</v>
      </c>
      <c r="O127" s="39"/>
      <c r="P127" s="20">
        <f t="shared" si="14"/>
        <v>39903</v>
      </c>
      <c r="Q127" s="27">
        <f>'LC (Gross)'!Q127</f>
        <v>6.8517285149362506</v>
      </c>
      <c r="R127" s="46">
        <f t="shared" si="15"/>
        <v>693652.31839152484</v>
      </c>
      <c r="S127" s="8"/>
      <c r="T127" s="5">
        <f>(R127/R124-1)*100</f>
        <v>-11.635318791998483</v>
      </c>
      <c r="U127" s="49"/>
      <c r="V127" s="39"/>
      <c r="W127" s="20">
        <f t="shared" si="16"/>
        <v>39903</v>
      </c>
      <c r="X127" s="36">
        <f>'LC (Gross)'!X127</f>
        <v>4.570001841533851</v>
      </c>
      <c r="Y127" s="46">
        <f t="shared" si="17"/>
        <v>1539638.2507148914</v>
      </c>
    </row>
    <row r="128" spans="1:25" x14ac:dyDescent="0.25">
      <c r="A128" s="20">
        <v>39933</v>
      </c>
      <c r="B128" s="24">
        <f t="shared" si="18"/>
        <v>112</v>
      </c>
      <c r="C128" s="96" t="s">
        <v>77</v>
      </c>
      <c r="D128" s="27">
        <v>2.94</v>
      </c>
      <c r="E128" s="46">
        <f t="shared" si="11"/>
        <v>2112405.2800643938</v>
      </c>
      <c r="F128" s="8"/>
      <c r="H128" s="49"/>
      <c r="I128" s="39"/>
      <c r="J128" s="20">
        <f t="shared" si="12"/>
        <v>39933</v>
      </c>
      <c r="K128" s="27">
        <f>'LC (Gross)'!K128</f>
        <v>9.5690679833029275</v>
      </c>
      <c r="L128" s="46">
        <f t="shared" si="13"/>
        <v>701072.45193125715</v>
      </c>
      <c r="M128" s="8"/>
      <c r="O128" s="39"/>
      <c r="P128" s="20">
        <f t="shared" si="14"/>
        <v>39933</v>
      </c>
      <c r="Q128" s="27">
        <f>'LC (Gross)'!Q128</f>
        <v>5.894552939557208</v>
      </c>
      <c r="R128" s="46">
        <f t="shared" si="15"/>
        <v>734540.0215155792</v>
      </c>
      <c r="S128" s="8"/>
      <c r="U128" s="49"/>
      <c r="V128" s="39"/>
      <c r="W128" s="20">
        <f t="shared" si="16"/>
        <v>39933</v>
      </c>
      <c r="X128" s="36">
        <f>'LC (Gross)'!X128</f>
        <v>4.2017512245466415</v>
      </c>
      <c r="Y128" s="46">
        <f t="shared" si="17"/>
        <v>1604330.0197678928</v>
      </c>
    </row>
    <row r="129" spans="1:25" x14ac:dyDescent="0.25">
      <c r="A129" s="20">
        <v>39964</v>
      </c>
      <c r="B129" s="24">
        <f t="shared" si="18"/>
        <v>113</v>
      </c>
      <c r="C129" s="96" t="s">
        <v>77</v>
      </c>
      <c r="D129" s="27">
        <v>1.61</v>
      </c>
      <c r="E129" s="46">
        <f t="shared" si="11"/>
        <v>2146415.0050734305</v>
      </c>
      <c r="F129" s="8"/>
      <c r="H129" s="49"/>
      <c r="I129" s="39"/>
      <c r="J129" s="20">
        <f t="shared" si="12"/>
        <v>39964</v>
      </c>
      <c r="K129" s="27">
        <f>'LC (Gross)'!K129</f>
        <v>5.5903558921905452</v>
      </c>
      <c r="L129" s="46">
        <f t="shared" si="13"/>
        <v>740264.89705632091</v>
      </c>
      <c r="M129" s="8"/>
      <c r="O129" s="39"/>
      <c r="P129" s="20">
        <f t="shared" si="14"/>
        <v>39964</v>
      </c>
      <c r="Q129" s="27">
        <f>'LC (Gross)'!Q129</f>
        <v>4.1096230854215392</v>
      </c>
      <c r="R129" s="46">
        <f t="shared" si="15"/>
        <v>764726.84781144373</v>
      </c>
      <c r="S129" s="8"/>
      <c r="U129" s="49"/>
      <c r="V129" s="39"/>
      <c r="W129" s="20">
        <f t="shared" si="16"/>
        <v>39964</v>
      </c>
      <c r="X129" s="36">
        <f>'LC (Gross)'!X129</f>
        <v>2.9935365707469384</v>
      </c>
      <c r="Y129" s="46">
        <f t="shared" si="17"/>
        <v>1652356.2256251161</v>
      </c>
    </row>
    <row r="130" spans="1:25" x14ac:dyDescent="0.25">
      <c r="A130" s="20">
        <v>39994</v>
      </c>
      <c r="B130" s="24">
        <f t="shared" si="18"/>
        <v>114</v>
      </c>
      <c r="C130" s="96" t="s">
        <v>77</v>
      </c>
      <c r="D130" s="27">
        <v>5.53</v>
      </c>
      <c r="E130" s="46">
        <f t="shared" si="11"/>
        <v>2265111.7548539913</v>
      </c>
      <c r="F130" s="8"/>
      <c r="G130" s="5">
        <f>(E130/E127-1)*100</f>
        <v>10.381566570199997</v>
      </c>
      <c r="H130" s="49"/>
      <c r="I130" s="39"/>
      <c r="J130" s="20">
        <f t="shared" si="12"/>
        <v>39994</v>
      </c>
      <c r="K130" s="27">
        <f>'LC (Gross)'!K130</f>
        <v>0.19835713146939041</v>
      </c>
      <c r="L130" s="46">
        <f t="shared" si="13"/>
        <v>741733.26527139673</v>
      </c>
      <c r="M130" s="8"/>
      <c r="N130" s="5">
        <f>(L130/L127-1)*100</f>
        <v>15.923856862611196</v>
      </c>
      <c r="O130" s="39"/>
      <c r="P130" s="20">
        <f t="shared" si="14"/>
        <v>39994</v>
      </c>
      <c r="Q130" s="27">
        <f>'LC (Gross)'!Q130</f>
        <v>0.7347520566049397</v>
      </c>
      <c r="R130" s="46">
        <f t="shared" si="15"/>
        <v>770345.69405314839</v>
      </c>
      <c r="S130" s="8"/>
      <c r="T130" s="5">
        <f>(R130/R127-1)*100</f>
        <v>11.05645777115889</v>
      </c>
      <c r="U130" s="49"/>
      <c r="V130" s="39"/>
      <c r="W130" s="20">
        <f t="shared" si="16"/>
        <v>39994</v>
      </c>
      <c r="X130" s="36">
        <f>'LC (Gross)'!X130</f>
        <v>2.8231469043839303</v>
      </c>
      <c r="Y130" s="46">
        <f t="shared" si="17"/>
        <v>1699004.6692582467</v>
      </c>
    </row>
    <row r="131" spans="1:25" x14ac:dyDescent="0.25">
      <c r="A131" s="20">
        <v>40025</v>
      </c>
      <c r="B131" s="24">
        <f t="shared" si="18"/>
        <v>115</v>
      </c>
      <c r="C131" s="96" t="s">
        <v>77</v>
      </c>
      <c r="D131" s="27">
        <v>4.42</v>
      </c>
      <c r="E131" s="46">
        <f t="shared" si="11"/>
        <v>2365229.6944185379</v>
      </c>
      <c r="F131" s="8"/>
      <c r="H131" s="49"/>
      <c r="I131" s="39"/>
      <c r="J131" s="20">
        <f t="shared" si="12"/>
        <v>40025</v>
      </c>
      <c r="K131" s="27">
        <f>'LC (Gross)'!K131</f>
        <v>7.5621155457612241</v>
      </c>
      <c r="L131" s="46">
        <f t="shared" si="13"/>
        <v>797823.99183256738</v>
      </c>
      <c r="M131" s="8"/>
      <c r="O131" s="39"/>
      <c r="P131" s="20">
        <f t="shared" si="14"/>
        <v>40025</v>
      </c>
      <c r="Q131" s="27">
        <f>'LC (Gross)'!Q131</f>
        <v>5.8327729004168027</v>
      </c>
      <c r="R131" s="46">
        <f t="shared" si="15"/>
        <v>815278.20893540815</v>
      </c>
      <c r="S131" s="8"/>
      <c r="U131" s="49"/>
      <c r="V131" s="39"/>
      <c r="W131" s="20">
        <f t="shared" si="16"/>
        <v>40025</v>
      </c>
      <c r="X131" s="36">
        <f>'LC (Gross)'!X131</f>
        <v>4.2355425576924501</v>
      </c>
      <c r="Y131" s="46">
        <f t="shared" si="17"/>
        <v>1770966.7350818615</v>
      </c>
    </row>
    <row r="132" spans="1:25" x14ac:dyDescent="0.25">
      <c r="A132" s="20">
        <v>40056</v>
      </c>
      <c r="B132" s="24">
        <f t="shared" si="18"/>
        <v>116</v>
      </c>
      <c r="C132" s="96" t="s">
        <v>77</v>
      </c>
      <c r="D132" s="27">
        <v>1.31</v>
      </c>
      <c r="E132" s="46">
        <f t="shared" si="11"/>
        <v>2396214.2034154208</v>
      </c>
      <c r="F132" s="8"/>
      <c r="H132" s="49"/>
      <c r="I132" s="39"/>
      <c r="J132" s="20">
        <f t="shared" si="12"/>
        <v>40056</v>
      </c>
      <c r="K132" s="27">
        <f>'LC (Gross)'!K132</f>
        <v>3.6084111376963857</v>
      </c>
      <c r="L132" s="46">
        <f t="shared" si="13"/>
        <v>826612.76161306759</v>
      </c>
      <c r="M132" s="8"/>
      <c r="O132" s="39"/>
      <c r="P132" s="20">
        <f t="shared" si="14"/>
        <v>40056</v>
      </c>
      <c r="Q132" s="27">
        <f>'LC (Gross)'!Q132</f>
        <v>1.4112677749548652</v>
      </c>
      <c r="R132" s="46">
        <f t="shared" si="15"/>
        <v>826783.96757434274</v>
      </c>
      <c r="S132" s="8"/>
      <c r="U132" s="49"/>
      <c r="V132" s="39"/>
      <c r="W132" s="20">
        <f t="shared" si="16"/>
        <v>40056</v>
      </c>
      <c r="X132" s="36">
        <f>'LC (Gross)'!X132</f>
        <v>2.0061703669285351</v>
      </c>
      <c r="Y132" s="46">
        <f t="shared" si="17"/>
        <v>1806495.3449292355</v>
      </c>
    </row>
    <row r="133" spans="1:25" x14ac:dyDescent="0.25">
      <c r="A133" s="20">
        <v>40086</v>
      </c>
      <c r="B133" s="24">
        <f t="shared" si="18"/>
        <v>117</v>
      </c>
      <c r="C133" s="96" t="s">
        <v>77</v>
      </c>
      <c r="D133" s="27">
        <v>3.96</v>
      </c>
      <c r="E133" s="46">
        <f t="shared" si="11"/>
        <v>2491104.2858706713</v>
      </c>
      <c r="F133" s="8"/>
      <c r="G133" s="5">
        <f>(E133/E130-1)*100</f>
        <v>9.9771029191999983</v>
      </c>
      <c r="H133" s="49"/>
      <c r="I133" s="39"/>
      <c r="J133" s="20">
        <f t="shared" si="12"/>
        <v>40086</v>
      </c>
      <c r="K133" s="27">
        <f>'LC (Gross)'!K133</f>
        <v>3.7315166857032853</v>
      </c>
      <c r="L133" s="46">
        <f t="shared" si="13"/>
        <v>857457.95473881194</v>
      </c>
      <c r="M133" s="8"/>
      <c r="N133" s="5">
        <f>(L133/L130-1)*100</f>
        <v>15.601927928238734</v>
      </c>
      <c r="O133" s="39"/>
      <c r="P133" s="20">
        <f t="shared" si="14"/>
        <v>40086</v>
      </c>
      <c r="Q133" s="27">
        <f>'LC (Gross)'!Q133</f>
        <v>2.4930573266456966</v>
      </c>
      <c r="R133" s="46">
        <f t="shared" si="15"/>
        <v>847396.16585348686</v>
      </c>
      <c r="S133" s="8"/>
      <c r="T133" s="5">
        <f>(R133/R130-1)*100</f>
        <v>10.002064319323956</v>
      </c>
      <c r="U133" s="49"/>
      <c r="V133" s="39"/>
      <c r="W133" s="20">
        <f t="shared" si="16"/>
        <v>40086</v>
      </c>
      <c r="X133" s="36">
        <f>'LC (Gross)'!X133</f>
        <v>2.672491125437622</v>
      </c>
      <c r="Y133" s="46">
        <f t="shared" si="17"/>
        <v>1854773.772703913</v>
      </c>
    </row>
    <row r="134" spans="1:25" x14ac:dyDescent="0.25">
      <c r="A134" s="20">
        <v>40117</v>
      </c>
      <c r="B134" s="24">
        <f t="shared" si="18"/>
        <v>118</v>
      </c>
      <c r="C134" s="96" t="s">
        <v>77</v>
      </c>
      <c r="D134" s="27">
        <v>-0.1</v>
      </c>
      <c r="E134" s="46">
        <f t="shared" si="11"/>
        <v>2488613.1815848006</v>
      </c>
      <c r="F134" s="8"/>
      <c r="H134" s="49"/>
      <c r="I134" s="39"/>
      <c r="J134" s="20">
        <f t="shared" si="12"/>
        <v>40117</v>
      </c>
      <c r="K134" s="27">
        <f>'LC (Gross)'!K134</f>
        <v>-1.8590670207595392</v>
      </c>
      <c r="L134" s="46">
        <f t="shared" si="13"/>
        <v>841517.23668538348</v>
      </c>
      <c r="M134" s="8"/>
      <c r="O134" s="39"/>
      <c r="P134" s="20">
        <f t="shared" si="14"/>
        <v>40117</v>
      </c>
      <c r="Q134" s="27">
        <f>'LC (Gross)'!Q134</f>
        <v>-0.15067094015026516</v>
      </c>
      <c r="R134" s="46">
        <f t="shared" si="15"/>
        <v>846119.38608359813</v>
      </c>
      <c r="S134" s="8"/>
      <c r="U134" s="49"/>
      <c r="V134" s="39"/>
      <c r="W134" s="20">
        <f t="shared" si="16"/>
        <v>40117</v>
      </c>
      <c r="X134" s="36">
        <f>'LC (Gross)'!X134</f>
        <v>-0.50093574865840917</v>
      </c>
      <c r="Y134" s="46">
        <f t="shared" si="17"/>
        <v>1845482.5478196989</v>
      </c>
    </row>
    <row r="135" spans="1:25" x14ac:dyDescent="0.25">
      <c r="A135" s="20">
        <v>40147</v>
      </c>
      <c r="B135" s="24">
        <f t="shared" si="18"/>
        <v>119</v>
      </c>
      <c r="C135" s="96" t="s">
        <v>77</v>
      </c>
      <c r="D135" s="27">
        <v>4.57</v>
      </c>
      <c r="E135" s="46">
        <f t="shared" si="11"/>
        <v>2602342.803983226</v>
      </c>
      <c r="F135" s="8"/>
      <c r="H135" s="49"/>
      <c r="I135" s="39"/>
      <c r="J135" s="20">
        <f t="shared" si="12"/>
        <v>40147</v>
      </c>
      <c r="K135" s="27">
        <f>'LC (Gross)'!K135</f>
        <v>5.994617272479621</v>
      </c>
      <c r="L135" s="46">
        <f t="shared" si="13"/>
        <v>891962.97430661868</v>
      </c>
      <c r="M135" s="8"/>
      <c r="O135" s="39"/>
      <c r="P135" s="20">
        <f t="shared" si="14"/>
        <v>40147</v>
      </c>
      <c r="Q135" s="27">
        <f>'LC (Gross)'!Q135</f>
        <v>5.6967309906388568</v>
      </c>
      <c r="R135" s="46">
        <f t="shared" si="15"/>
        <v>894320.5313684257</v>
      </c>
      <c r="S135" s="8"/>
      <c r="U135" s="49"/>
      <c r="V135" s="39"/>
      <c r="W135" s="20">
        <f t="shared" si="16"/>
        <v>40147</v>
      </c>
      <c r="X135" s="36">
        <f>'LC (Gross)'!X135</f>
        <v>5.9494116360753866</v>
      </c>
      <c r="Y135" s="46">
        <f t="shared" si="17"/>
        <v>1955277.9012614246</v>
      </c>
    </row>
    <row r="136" spans="1:25" x14ac:dyDescent="0.25">
      <c r="A136" s="20">
        <v>40178</v>
      </c>
      <c r="B136" s="24">
        <f t="shared" si="18"/>
        <v>120</v>
      </c>
      <c r="C136" s="96" t="s">
        <v>77</v>
      </c>
      <c r="D136" s="27">
        <v>3.31</v>
      </c>
      <c r="E136" s="46">
        <f t="shared" si="11"/>
        <v>2688480.3507950706</v>
      </c>
      <c r="F136" s="11">
        <f>(E136-E124)/E124*100</f>
        <v>22.668726477786269</v>
      </c>
      <c r="G136" s="5">
        <f>(E136/E133-1)*100</f>
        <v>7.9232357330000003</v>
      </c>
      <c r="H136" s="49"/>
      <c r="I136" s="39"/>
      <c r="J136" s="20">
        <f t="shared" si="12"/>
        <v>40178</v>
      </c>
      <c r="K136" s="27">
        <f>'LC (Gross)'!K136</f>
        <v>1.9315360064878291</v>
      </c>
      <c r="L136" s="46">
        <f t="shared" si="13"/>
        <v>909191.56031989085</v>
      </c>
      <c r="M136" s="11">
        <f>(L136-L124)/L124*100</f>
        <v>26.447786924218892</v>
      </c>
      <c r="N136" s="5">
        <f>(L136/L133-1)*100</f>
        <v>6.033369367578767</v>
      </c>
      <c r="O136" s="39"/>
      <c r="P136" s="20">
        <f t="shared" si="14"/>
        <v>40178</v>
      </c>
      <c r="Q136" s="27">
        <f>'LC (Gross)'!Q136</f>
        <v>1.4356982343008589</v>
      </c>
      <c r="R136" s="46">
        <f t="shared" si="15"/>
        <v>907160.27544627222</v>
      </c>
      <c r="S136" s="11">
        <f>(R136-R124)/R124*100</f>
        <v>15.563556004907191</v>
      </c>
      <c r="T136" s="5">
        <f>(R136/R133-1)*100</f>
        <v>7.0526764223191485</v>
      </c>
      <c r="U136" s="49"/>
      <c r="V136" s="39"/>
      <c r="W136" s="20">
        <f t="shared" si="16"/>
        <v>40178</v>
      </c>
      <c r="X136" s="36">
        <f>'LC (Gross)'!X136</f>
        <v>3.182962283348135</v>
      </c>
      <c r="Y136" s="46">
        <f t="shared" si="17"/>
        <v>2017513.6593932167</v>
      </c>
    </row>
    <row r="137" spans="1:25" x14ac:dyDescent="0.25">
      <c r="A137" s="20">
        <v>40209</v>
      </c>
      <c r="B137" s="24">
        <f t="shared" si="18"/>
        <v>121</v>
      </c>
      <c r="C137" s="96" t="s">
        <v>77</v>
      </c>
      <c r="D137" s="27">
        <v>-0.91</v>
      </c>
      <c r="E137" s="46">
        <f t="shared" si="11"/>
        <v>2664015.1796028353</v>
      </c>
      <c r="F137" s="10"/>
      <c r="H137" s="49"/>
      <c r="I137" s="39"/>
      <c r="J137" s="20">
        <f t="shared" si="12"/>
        <v>40209</v>
      </c>
      <c r="K137" s="27">
        <f>'LC (Gross)'!K137</f>
        <v>-3.5974271271255565</v>
      </c>
      <c r="L137" s="46">
        <f t="shared" si="13"/>
        <v>876484.05649140698</v>
      </c>
      <c r="M137" s="10"/>
      <c r="O137" s="39"/>
      <c r="P137" s="20">
        <f t="shared" si="14"/>
        <v>40209</v>
      </c>
      <c r="Q137" s="27">
        <f>'LC (Gross)'!Q137</f>
        <v>-4.0853296464305258</v>
      </c>
      <c r="R137" s="46">
        <f t="shared" si="15"/>
        <v>870099.78777282487</v>
      </c>
      <c r="S137" s="10"/>
      <c r="U137" s="49"/>
      <c r="V137" s="39"/>
      <c r="W137" s="20">
        <f t="shared" si="16"/>
        <v>40209</v>
      </c>
      <c r="X137" s="36">
        <f>'LC (Gross)'!X137</f>
        <v>-2.3271768057419959</v>
      </c>
      <c r="Y137" s="46">
        <f t="shared" si="17"/>
        <v>1970562.5494591412</v>
      </c>
    </row>
    <row r="138" spans="1:25" x14ac:dyDescent="0.25">
      <c r="A138" s="20">
        <v>40237</v>
      </c>
      <c r="B138" s="24">
        <f t="shared" si="18"/>
        <v>122</v>
      </c>
      <c r="C138" s="96" t="s">
        <v>77</v>
      </c>
      <c r="D138" s="27">
        <v>3.08</v>
      </c>
      <c r="E138" s="46">
        <f t="shared" si="11"/>
        <v>2746066.8471346027</v>
      </c>
      <c r="F138" s="8"/>
      <c r="H138" s="49"/>
      <c r="I138" s="39"/>
      <c r="J138" s="20">
        <f t="shared" si="12"/>
        <v>40237</v>
      </c>
      <c r="K138" s="27">
        <f>'LC (Gross)'!K138</f>
        <v>3.0959464788159261</v>
      </c>
      <c r="L138" s="46">
        <f t="shared" si="13"/>
        <v>903619.53377573565</v>
      </c>
      <c r="M138" s="8"/>
      <c r="O138" s="39"/>
      <c r="P138" s="20">
        <f t="shared" si="14"/>
        <v>40237</v>
      </c>
      <c r="Q138" s="27">
        <f>'LC (Gross)'!Q138</f>
        <v>2.1049971973760861</v>
      </c>
      <c r="R138" s="46">
        <f t="shared" si="15"/>
        <v>888415.36391981808</v>
      </c>
      <c r="S138" s="8"/>
      <c r="U138" s="49"/>
      <c r="V138" s="39"/>
      <c r="W138" s="20">
        <f t="shared" si="16"/>
        <v>40237</v>
      </c>
      <c r="X138" s="36">
        <f>'LC (Gross)'!X138</f>
        <v>1.7983280668773192</v>
      </c>
      <c r="Y138" s="46">
        <f t="shared" si="17"/>
        <v>2005999.7288614381</v>
      </c>
    </row>
    <row r="139" spans="1:25" x14ac:dyDescent="0.25">
      <c r="A139" s="20">
        <v>40268</v>
      </c>
      <c r="B139" s="24">
        <f t="shared" si="18"/>
        <v>123</v>
      </c>
      <c r="C139" s="96" t="s">
        <v>77</v>
      </c>
      <c r="D139" s="27">
        <v>4.51</v>
      </c>
      <c r="E139" s="46">
        <f t="shared" si="11"/>
        <v>2869914.4619403733</v>
      </c>
      <c r="F139" s="8"/>
      <c r="G139" s="5">
        <f>(E139/E136-1)*100</f>
        <v>6.7485749372000026</v>
      </c>
      <c r="H139" s="49"/>
      <c r="I139" s="39"/>
      <c r="J139" s="20">
        <f t="shared" si="12"/>
        <v>40268</v>
      </c>
      <c r="K139" s="27">
        <f>'LC (Gross)'!K139</f>
        <v>6.0345062641086527</v>
      </c>
      <c r="L139" s="46">
        <f t="shared" si="13"/>
        <v>958148.51114514179</v>
      </c>
      <c r="M139" s="8"/>
      <c r="N139" s="5">
        <f>(L139/L136-1)*100</f>
        <v>5.3846684199340578</v>
      </c>
      <c r="O139" s="39"/>
      <c r="P139" s="20">
        <f t="shared" si="14"/>
        <v>40268</v>
      </c>
      <c r="Q139" s="27">
        <f>'LC (Gross)'!Q139</f>
        <v>4.2422249902644724</v>
      </c>
      <c r="R139" s="46">
        <f t="shared" si="15"/>
        <v>926103.94250537362</v>
      </c>
      <c r="S139" s="8"/>
      <c r="T139" s="5">
        <f>(R139/R136-1)*100</f>
        <v>2.088238161639322</v>
      </c>
      <c r="U139" s="49"/>
      <c r="V139" s="39"/>
      <c r="W139" s="20">
        <f t="shared" si="16"/>
        <v>40268</v>
      </c>
      <c r="X139" s="36">
        <f>'LC (Gross)'!X139</f>
        <v>3.8512255113828355</v>
      </c>
      <c r="Y139" s="46">
        <f t="shared" si="17"/>
        <v>2083255.3021776204</v>
      </c>
    </row>
    <row r="140" spans="1:25" x14ac:dyDescent="0.25">
      <c r="A140" s="20">
        <v>40298</v>
      </c>
      <c r="B140" s="24">
        <f t="shared" si="18"/>
        <v>124</v>
      </c>
      <c r="C140" s="96" t="s">
        <v>77</v>
      </c>
      <c r="D140" s="27">
        <v>2.44</v>
      </c>
      <c r="E140" s="46">
        <f t="shared" si="11"/>
        <v>2939940.3748117182</v>
      </c>
      <c r="F140" s="8"/>
      <c r="H140" s="49"/>
      <c r="I140" s="39"/>
      <c r="J140" s="20">
        <f t="shared" si="12"/>
        <v>40298</v>
      </c>
      <c r="K140" s="27">
        <f>'LC (Gross)'!K140</f>
        <v>1.5778687229077404</v>
      </c>
      <c r="L140" s="46">
        <f t="shared" si="13"/>
        <v>973266.8368215072</v>
      </c>
      <c r="M140" s="8"/>
      <c r="O140" s="39"/>
      <c r="P140" s="20">
        <f t="shared" si="14"/>
        <v>40298</v>
      </c>
      <c r="Q140" s="27">
        <f>'LC (Gross)'!Q140</f>
        <v>0.77351949578613388</v>
      </c>
      <c r="R140" s="46">
        <f t="shared" si="15"/>
        <v>933267.53705189668</v>
      </c>
      <c r="S140" s="8"/>
      <c r="U140" s="49"/>
      <c r="V140" s="39"/>
      <c r="W140" s="20">
        <f t="shared" si="16"/>
        <v>40298</v>
      </c>
      <c r="X140" s="36">
        <f>'LC (Gross)'!X140</f>
        <v>0.75654275548642103</v>
      </c>
      <c r="Y140" s="46">
        <f t="shared" si="17"/>
        <v>2099016.0192445321</v>
      </c>
    </row>
    <row r="141" spans="1:25" x14ac:dyDescent="0.25">
      <c r="A141" s="20">
        <v>40329</v>
      </c>
      <c r="B141" s="24">
        <f t="shared" si="18"/>
        <v>125</v>
      </c>
      <c r="C141" s="96" t="s">
        <v>77</v>
      </c>
      <c r="D141" s="27">
        <v>-5.18</v>
      </c>
      <c r="E141" s="46">
        <f t="shared" si="11"/>
        <v>2787651.463396471</v>
      </c>
      <c r="F141" s="8"/>
      <c r="H141" s="49"/>
      <c r="I141" s="39"/>
      <c r="J141" s="20">
        <f t="shared" si="12"/>
        <v>40329</v>
      </c>
      <c r="K141" s="27">
        <f>'LC (Gross)'!K141</f>
        <v>-7.985035794049983</v>
      </c>
      <c r="L141" s="46">
        <f t="shared" si="13"/>
        <v>895551.13152969186</v>
      </c>
      <c r="M141" s="8"/>
      <c r="O141" s="39"/>
      <c r="P141" s="20">
        <f t="shared" si="14"/>
        <v>40329</v>
      </c>
      <c r="Q141" s="27">
        <f>'LC (Gross)'!Q141</f>
        <v>-7.498438832026693</v>
      </c>
      <c r="R141" s="46">
        <f t="shared" si="15"/>
        <v>863287.04164689814</v>
      </c>
      <c r="S141" s="8"/>
      <c r="U141" s="49"/>
      <c r="V141" s="39"/>
      <c r="W141" s="20">
        <f t="shared" si="16"/>
        <v>40329</v>
      </c>
      <c r="X141" s="36">
        <f>'LC (Gross)'!X141</f>
        <v>-5.2189351245478903</v>
      </c>
      <c r="Y141" s="46">
        <f t="shared" si="17"/>
        <v>1989469.7349462924</v>
      </c>
    </row>
    <row r="142" spans="1:25" x14ac:dyDescent="0.25">
      <c r="A142" s="20">
        <v>40359</v>
      </c>
      <c r="B142" s="24">
        <f t="shared" si="18"/>
        <v>126</v>
      </c>
      <c r="C142" s="96" t="s">
        <v>77</v>
      </c>
      <c r="D142" s="27">
        <v>-1.88</v>
      </c>
      <c r="E142" s="46">
        <f t="shared" si="11"/>
        <v>2735243.6158846174</v>
      </c>
      <c r="F142" s="8"/>
      <c r="G142" s="5">
        <f>(E142/E139-1)*100</f>
        <v>-4.6925038304000077</v>
      </c>
      <c r="H142" s="49"/>
      <c r="I142" s="39"/>
      <c r="J142" s="20">
        <f t="shared" si="12"/>
        <v>40359</v>
      </c>
      <c r="K142" s="27">
        <f>'LC (Gross)'!K142</f>
        <v>-5.2351726740277833</v>
      </c>
      <c r="L142" s="46">
        <f t="shared" si="13"/>
        <v>848667.48340990278</v>
      </c>
      <c r="M142" s="8"/>
      <c r="N142" s="5">
        <f>(L142/L139-1)*100</f>
        <v>-11.426310896667946</v>
      </c>
      <c r="O142" s="39"/>
      <c r="P142" s="20">
        <f t="shared" si="14"/>
        <v>40359</v>
      </c>
      <c r="Q142" s="27">
        <f>'LC (Gross)'!Q142</f>
        <v>-4.3438142012337462</v>
      </c>
      <c r="R142" s="46">
        <f t="shared" si="15"/>
        <v>825787.45653442945</v>
      </c>
      <c r="S142" s="8"/>
      <c r="T142" s="5">
        <f>(R142/R139-1)*100</f>
        <v>-10.832097928398799</v>
      </c>
      <c r="U142" s="49"/>
      <c r="V142" s="39"/>
      <c r="W142" s="20">
        <f t="shared" si="16"/>
        <v>40359</v>
      </c>
      <c r="X142" s="36">
        <f>'LC (Gross)'!X142</f>
        <v>-1.3089876422692135</v>
      </c>
      <c r="Y142" s="46">
        <f t="shared" si="17"/>
        <v>1963427.8219691594</v>
      </c>
    </row>
    <row r="143" spans="1:25" x14ac:dyDescent="0.25">
      <c r="A143" s="20">
        <v>40390</v>
      </c>
      <c r="B143" s="24">
        <f t="shared" si="18"/>
        <v>127</v>
      </c>
      <c r="C143" s="96" t="s">
        <v>77</v>
      </c>
      <c r="D143" s="27">
        <v>3.69</v>
      </c>
      <c r="E143" s="46">
        <f t="shared" si="11"/>
        <v>2836174.10531076</v>
      </c>
      <c r="F143" s="8"/>
      <c r="H143" s="49"/>
      <c r="I143" s="39"/>
      <c r="J143" s="20">
        <f t="shared" si="12"/>
        <v>40390</v>
      </c>
      <c r="K143" s="27">
        <f>'LC (Gross)'!K143</f>
        <v>7.0055955358897952</v>
      </c>
      <c r="L143" s="46">
        <f t="shared" si="13"/>
        <v>908121.69474221522</v>
      </c>
      <c r="M143" s="8"/>
      <c r="O143" s="39"/>
      <c r="P143" s="20">
        <f t="shared" si="14"/>
        <v>40390</v>
      </c>
      <c r="Q143" s="27">
        <f>'LC (Gross)'!Q143</f>
        <v>5.4383938248183696</v>
      </c>
      <c r="R143" s="46">
        <f t="shared" si="15"/>
        <v>870697.03057672258</v>
      </c>
      <c r="S143" s="8"/>
      <c r="U143" s="49"/>
      <c r="V143" s="39"/>
      <c r="W143" s="20">
        <f t="shared" si="16"/>
        <v>40390</v>
      </c>
      <c r="X143" s="36">
        <f>'LC (Gross)'!X143</f>
        <v>5.0054434920563597</v>
      </c>
      <c r="Y143" s="46">
        <f t="shared" si="17"/>
        <v>2061706.0921051386</v>
      </c>
    </row>
    <row r="144" spans="1:25" x14ac:dyDescent="0.25">
      <c r="A144" s="20">
        <v>40421</v>
      </c>
      <c r="B144" s="24">
        <f t="shared" si="18"/>
        <v>128</v>
      </c>
      <c r="C144" s="96" t="s">
        <v>77</v>
      </c>
      <c r="D144" s="27">
        <v>-2.96</v>
      </c>
      <c r="E144" s="46">
        <f t="shared" si="11"/>
        <v>2752223.3517935616</v>
      </c>
      <c r="F144" s="8"/>
      <c r="H144" s="49"/>
      <c r="I144" s="39"/>
      <c r="J144" s="20">
        <f t="shared" si="12"/>
        <v>40421</v>
      </c>
      <c r="K144" s="27">
        <f>'LC (Gross)'!K144</f>
        <v>-4.5147721827071274</v>
      </c>
      <c r="L144" s="46">
        <f t="shared" si="13"/>
        <v>867122.06908286514</v>
      </c>
      <c r="M144" s="8"/>
      <c r="O144" s="39"/>
      <c r="P144" s="20">
        <f t="shared" si="14"/>
        <v>40421</v>
      </c>
      <c r="Q144" s="27">
        <f>'LC (Gross)'!Q144</f>
        <v>-3.2740065974571255</v>
      </c>
      <c r="R144" s="46">
        <f t="shared" si="15"/>
        <v>842190.35235177737</v>
      </c>
      <c r="S144" s="8"/>
      <c r="U144" s="49"/>
      <c r="V144" s="39"/>
      <c r="W144" s="20">
        <f t="shared" si="16"/>
        <v>40421</v>
      </c>
      <c r="X144" s="36">
        <f>'LC (Gross)'!X144</f>
        <v>-0.61458801652766959</v>
      </c>
      <c r="Y144" s="46">
        <f t="shared" si="17"/>
        <v>2049035.0935270395</v>
      </c>
    </row>
    <row r="145" spans="1:25" x14ac:dyDescent="0.25">
      <c r="A145" s="20">
        <v>40451</v>
      </c>
      <c r="B145" s="24">
        <f t="shared" si="18"/>
        <v>129</v>
      </c>
      <c r="C145" s="96" t="s">
        <v>77</v>
      </c>
      <c r="D145" s="27">
        <v>6.52</v>
      </c>
      <c r="E145" s="46">
        <f t="shared" ref="E145:E208" si="19">E144*D145/100+E144</f>
        <v>2931668.3143305019</v>
      </c>
      <c r="F145" s="8"/>
      <c r="G145" s="5">
        <f>(E145/E142-1)*100</f>
        <v>7.1812505952000061</v>
      </c>
      <c r="H145" s="49"/>
      <c r="I145" s="39"/>
      <c r="J145" s="20">
        <f t="shared" ref="J145:J212" si="20">$A145</f>
        <v>40451</v>
      </c>
      <c r="K145" s="27">
        <f>'LC (Gross)'!K145</f>
        <v>8.9245051349701168</v>
      </c>
      <c r="L145" s="46">
        <f t="shared" ref="L145:L208" si="21">L144*K145/100+L144</f>
        <v>944508.42266462452</v>
      </c>
      <c r="M145" s="8"/>
      <c r="N145" s="5">
        <f>(L145/L142-1)*100</f>
        <v>11.293108446860444</v>
      </c>
      <c r="O145" s="39"/>
      <c r="P145" s="20">
        <f t="shared" ref="P145:P212" si="22">$A145</f>
        <v>40451</v>
      </c>
      <c r="Q145" s="27">
        <f>'LC (Gross)'!Q145</f>
        <v>7.9708558266844785</v>
      </c>
      <c r="R145" s="46">
        <f t="shared" ref="R145:R208" si="23">R144*Q145/100+R144</f>
        <v>909320.13112398353</v>
      </c>
      <c r="S145" s="8"/>
      <c r="T145" s="5">
        <f>(R145/R142-1)*100</f>
        <v>10.115517489223503</v>
      </c>
      <c r="U145" s="49"/>
      <c r="V145" s="39"/>
      <c r="W145" s="20">
        <f t="shared" ref="W145:W212" si="24">$A145</f>
        <v>40451</v>
      </c>
      <c r="X145" s="36">
        <f>'LC (Gross)'!X145</f>
        <v>5.4813321742074077</v>
      </c>
      <c r="Y145" s="46">
        <f t="shared" ref="Y145:Y208" si="25">Y144*X145/100+Y144</f>
        <v>2161349.5133693381</v>
      </c>
    </row>
    <row r="146" spans="1:25" x14ac:dyDescent="0.25">
      <c r="A146" s="20">
        <v>40482</v>
      </c>
      <c r="B146" s="24">
        <f t="shared" ref="B146:B197" si="26">IF(A146&gt;A145,1+B145,"-")</f>
        <v>130</v>
      </c>
      <c r="C146" s="96" t="s">
        <v>77</v>
      </c>
      <c r="D146" s="27">
        <v>2.54</v>
      </c>
      <c r="E146" s="46">
        <f t="shared" si="19"/>
        <v>3006132.6895144968</v>
      </c>
      <c r="F146" s="8"/>
      <c r="H146" s="49"/>
      <c r="I146" s="39"/>
      <c r="J146" s="20">
        <f t="shared" si="20"/>
        <v>40482</v>
      </c>
      <c r="K146" s="27">
        <f>'LC (Gross)'!K146</f>
        <v>3.8045454447189919</v>
      </c>
      <c r="L146" s="46">
        <f t="shared" si="21"/>
        <v>980442.67483409867</v>
      </c>
      <c r="M146" s="8"/>
      <c r="O146" s="39"/>
      <c r="P146" s="20">
        <f t="shared" si="22"/>
        <v>40482</v>
      </c>
      <c r="Q146" s="27">
        <f>'LC (Gross)'!Q146</f>
        <v>3.36900079539754</v>
      </c>
      <c r="R146" s="46">
        <f t="shared" si="23"/>
        <v>939955.13357426052</v>
      </c>
      <c r="S146" s="8"/>
      <c r="U146" s="49"/>
      <c r="V146" s="39"/>
      <c r="W146" s="20">
        <f t="shared" si="24"/>
        <v>40482</v>
      </c>
      <c r="X146" s="36">
        <f>'LC (Gross)'!X146</f>
        <v>2.428454106914407</v>
      </c>
      <c r="Y146" s="46">
        <f t="shared" si="25"/>
        <v>2213836.8943915302</v>
      </c>
    </row>
    <row r="147" spans="1:25" x14ac:dyDescent="0.25">
      <c r="A147" s="20">
        <v>40512</v>
      </c>
      <c r="B147" s="24">
        <f t="shared" si="26"/>
        <v>131</v>
      </c>
      <c r="C147" s="96" t="s">
        <v>77</v>
      </c>
      <c r="D147" s="27">
        <v>-1.1200000000000001</v>
      </c>
      <c r="E147" s="46">
        <f t="shared" si="19"/>
        <v>2972464.0033919346</v>
      </c>
      <c r="F147" s="8"/>
      <c r="H147" s="49"/>
      <c r="I147" s="39"/>
      <c r="J147" s="20">
        <f t="shared" si="20"/>
        <v>40512</v>
      </c>
      <c r="K147" s="27">
        <f>'LC (Gross)'!K147</f>
        <v>1.2467759803188268E-2</v>
      </c>
      <c r="L147" s="46">
        <f t="shared" si="21"/>
        <v>980564.91407180496</v>
      </c>
      <c r="M147" s="8"/>
      <c r="O147" s="39"/>
      <c r="P147" s="20">
        <f t="shared" si="22"/>
        <v>40512</v>
      </c>
      <c r="Q147" s="27">
        <f>'LC (Gross)'!Q147</f>
        <v>-1.1185569408648446</v>
      </c>
      <c r="R147" s="46">
        <f t="shared" si="23"/>
        <v>929441.20018665015</v>
      </c>
      <c r="S147" s="8"/>
      <c r="U147" s="49"/>
      <c r="V147" s="39"/>
      <c r="W147" s="20">
        <f t="shared" si="24"/>
        <v>40512</v>
      </c>
      <c r="X147" s="36">
        <f>'LC (Gross)'!X147</f>
        <v>-1.4234100033182018</v>
      </c>
      <c r="Y147" s="46">
        <f t="shared" si="25"/>
        <v>2182324.9185796119</v>
      </c>
    </row>
    <row r="148" spans="1:25" x14ac:dyDescent="0.25">
      <c r="A148" s="20">
        <v>40543</v>
      </c>
      <c r="B148" s="24">
        <f t="shared" si="26"/>
        <v>132</v>
      </c>
      <c r="C148" s="96" t="s">
        <v>77</v>
      </c>
      <c r="D148" s="27">
        <v>5.67</v>
      </c>
      <c r="E148" s="46">
        <f t="shared" si="19"/>
        <v>3141002.7123842575</v>
      </c>
      <c r="F148" s="11">
        <f>(E148-E136)/E136*100</f>
        <v>16.831901392002415</v>
      </c>
      <c r="G148" s="49">
        <f>(E148/E145-1)*100</f>
        <v>7.1404529984000265</v>
      </c>
      <c r="H148" s="49"/>
      <c r="I148" s="39"/>
      <c r="J148" s="20">
        <f t="shared" si="20"/>
        <v>40543</v>
      </c>
      <c r="K148" s="27">
        <f>'LC (Gross)'!K148</f>
        <v>6.6831355699853177</v>
      </c>
      <c r="L148" s="46">
        <f t="shared" si="21"/>
        <v>1046097.3966309337</v>
      </c>
      <c r="M148" s="11">
        <f>(L148-L136)/L136*100</f>
        <v>15.057974830174823</v>
      </c>
      <c r="N148" s="49">
        <f>(L148/L145-1)*100</f>
        <v>10.755750984168966</v>
      </c>
      <c r="O148" s="39"/>
      <c r="P148" s="20">
        <f t="shared" si="22"/>
        <v>40543</v>
      </c>
      <c r="Q148" s="27">
        <f>'LC (Gross)'!Q148</f>
        <v>5.0314915921240617</v>
      </c>
      <c r="R148" s="46">
        <f t="shared" si="23"/>
        <v>976205.95602777845</v>
      </c>
      <c r="S148" s="11">
        <f>(R148-R136)/R136*100</f>
        <v>7.6111887226917654</v>
      </c>
      <c r="T148" s="49">
        <f>(R148/R145-1)*100</f>
        <v>7.3555860707844811</v>
      </c>
      <c r="U148" s="49"/>
      <c r="V148" s="39"/>
      <c r="W148" s="20">
        <f t="shared" si="24"/>
        <v>40543</v>
      </c>
      <c r="X148" s="36">
        <f>'LC (Gross)'!X148</f>
        <v>4.7980907031575031</v>
      </c>
      <c r="Y148" s="46">
        <f t="shared" si="25"/>
        <v>2287034.8476106697</v>
      </c>
    </row>
    <row r="149" spans="1:25" x14ac:dyDescent="0.25">
      <c r="A149" s="20">
        <v>40574</v>
      </c>
      <c r="B149" s="24">
        <f t="shared" si="26"/>
        <v>133</v>
      </c>
      <c r="C149" s="96" t="s">
        <v>77</v>
      </c>
      <c r="D149" s="75">
        <v>-0.84</v>
      </c>
      <c r="E149" s="46">
        <f t="shared" si="19"/>
        <v>3114618.2896002298</v>
      </c>
      <c r="F149" s="10"/>
      <c r="H149" s="255"/>
      <c r="I149" s="39"/>
      <c r="J149" s="20">
        <f t="shared" si="20"/>
        <v>40574</v>
      </c>
      <c r="K149" s="27">
        <f>'LC (Gross)'!K149</f>
        <v>2.3701370988509525</v>
      </c>
      <c r="L149" s="46">
        <f t="shared" si="21"/>
        <v>1070891.3391185976</v>
      </c>
      <c r="M149" s="10"/>
      <c r="O149" s="39"/>
      <c r="P149" s="20">
        <f t="shared" si="22"/>
        <v>40574</v>
      </c>
      <c r="Q149" s="27">
        <f>'LC (Gross)'!Q149</f>
        <v>1.3311000000000035</v>
      </c>
      <c r="R149" s="46">
        <f t="shared" si="23"/>
        <v>989200.23350846418</v>
      </c>
      <c r="S149" s="10"/>
      <c r="U149" s="49"/>
      <c r="V149" s="39"/>
      <c r="W149" s="20">
        <f t="shared" si="24"/>
        <v>40574</v>
      </c>
      <c r="X149" s="36">
        <f>'LC (Gross)'!X149</f>
        <v>-0.31637542665879725</v>
      </c>
      <c r="Y149" s="46">
        <f t="shared" si="25"/>
        <v>2279799.2313537062</v>
      </c>
    </row>
    <row r="150" spans="1:25" x14ac:dyDescent="0.25">
      <c r="A150" s="21">
        <v>40602</v>
      </c>
      <c r="B150" s="24">
        <f t="shared" si="26"/>
        <v>134</v>
      </c>
      <c r="C150" s="97" t="s">
        <v>90</v>
      </c>
      <c r="D150" s="29">
        <v>2.23</v>
      </c>
      <c r="E150" s="47">
        <f t="shared" si="19"/>
        <v>3184074.2774583148</v>
      </c>
      <c r="F150" s="8"/>
      <c r="H150" s="255"/>
      <c r="I150" s="39"/>
      <c r="J150" s="20">
        <f t="shared" si="20"/>
        <v>40602</v>
      </c>
      <c r="K150" s="27">
        <f>'LC (Gross)'!K150</f>
        <v>3.4253055042143896</v>
      </c>
      <c r="L150" s="46">
        <f t="shared" si="21"/>
        <v>1107572.6391015821</v>
      </c>
      <c r="M150" s="8"/>
      <c r="O150" s="39"/>
      <c r="P150" s="20">
        <f t="shared" si="22"/>
        <v>40602</v>
      </c>
      <c r="Q150" s="27">
        <f>'LC (Gross)'!Q150</f>
        <v>2.815256125710651</v>
      </c>
      <c r="R150" s="46">
        <f t="shared" si="23"/>
        <v>1017048.7536778552</v>
      </c>
      <c r="S150" s="8"/>
      <c r="U150" s="49"/>
      <c r="V150" s="39"/>
      <c r="W150" s="20">
        <f t="shared" si="24"/>
        <v>40602</v>
      </c>
      <c r="X150" s="36">
        <f>'LC (Gross)'!X150</f>
        <v>2.6601798622337665</v>
      </c>
      <c r="Y150" s="46">
        <f t="shared" si="25"/>
        <v>2340445.9914055378</v>
      </c>
    </row>
    <row r="151" spans="1:25" x14ac:dyDescent="0.25">
      <c r="A151" s="21">
        <v>40633</v>
      </c>
      <c r="B151" s="24">
        <f t="shared" si="26"/>
        <v>135</v>
      </c>
      <c r="C151" s="97" t="s">
        <v>90</v>
      </c>
      <c r="D151" s="29">
        <v>2.5299999999999998</v>
      </c>
      <c r="E151" s="47">
        <f t="shared" si="19"/>
        <v>3264631.35667801</v>
      </c>
      <c r="F151" s="8"/>
      <c r="G151" s="49">
        <f>(E151/E148-1)*100</f>
        <v>3.9359610803999967</v>
      </c>
      <c r="H151" s="255"/>
      <c r="I151" s="39"/>
      <c r="J151" s="20">
        <f t="shared" si="20"/>
        <v>40633</v>
      </c>
      <c r="K151" s="27">
        <f>'LC (Gross)'!K151</f>
        <v>3.9808244460732466E-2</v>
      </c>
      <c r="L151" s="46">
        <f t="shared" si="21"/>
        <v>1108013.5443253359</v>
      </c>
      <c r="M151" s="8"/>
      <c r="N151" s="49">
        <f>(L151/L148-1)*100</f>
        <v>5.9187746660884111</v>
      </c>
      <c r="O151" s="39"/>
      <c r="P151" s="20">
        <f t="shared" si="22"/>
        <v>40633</v>
      </c>
      <c r="Q151" s="27">
        <f>'LC (Gross)'!Q151</f>
        <v>0.26984993736552487</v>
      </c>
      <c r="R151" s="46">
        <f t="shared" si="23"/>
        <v>1019793.2591026318</v>
      </c>
      <c r="S151" s="8"/>
      <c r="T151" s="49">
        <f>(R151/R148-1)*100</f>
        <v>4.4649699999999903</v>
      </c>
      <c r="U151" s="49"/>
      <c r="V151" s="39"/>
      <c r="W151" s="20">
        <f t="shared" si="24"/>
        <v>40633</v>
      </c>
      <c r="X151" s="36">
        <f>'LC (Gross)'!X151</f>
        <v>1.2930645454606657</v>
      </c>
      <c r="Y151" s="46">
        <f t="shared" si="25"/>
        <v>2370709.468726058</v>
      </c>
    </row>
    <row r="152" spans="1:25" x14ac:dyDescent="0.25">
      <c r="A152" s="21">
        <v>40663</v>
      </c>
      <c r="B152" s="24">
        <f t="shared" si="26"/>
        <v>136</v>
      </c>
      <c r="C152" s="97" t="s">
        <v>90</v>
      </c>
      <c r="D152" s="29">
        <v>4</v>
      </c>
      <c r="E152" s="47">
        <f t="shared" si="19"/>
        <v>3395216.6109451302</v>
      </c>
      <c r="F152" s="10"/>
      <c r="H152" s="255"/>
      <c r="I152" s="39"/>
      <c r="J152" s="20">
        <f t="shared" si="20"/>
        <v>40663</v>
      </c>
      <c r="K152" s="27">
        <f>'LC (Gross)'!K152</f>
        <v>2.9610634584414655</v>
      </c>
      <c r="L152" s="46">
        <f t="shared" si="21"/>
        <v>1140822.5285009355</v>
      </c>
      <c r="M152" s="10"/>
      <c r="O152" s="39"/>
      <c r="P152" s="20">
        <f t="shared" si="22"/>
        <v>40663</v>
      </c>
      <c r="Q152" s="27">
        <f>'LC (Gross)'!Q152</f>
        <v>4.0469642598854092</v>
      </c>
      <c r="R152" s="46">
        <f t="shared" si="23"/>
        <v>1061063.927823236</v>
      </c>
      <c r="S152" s="10"/>
      <c r="U152" s="49"/>
      <c r="V152" s="39"/>
      <c r="W152" s="20">
        <f t="shared" si="24"/>
        <v>40663</v>
      </c>
      <c r="X152" s="36">
        <f>'LC (Gross)'!X152</f>
        <v>4.0238368814699053</v>
      </c>
      <c r="Y152" s="46">
        <f t="shared" si="25"/>
        <v>2466102.9506811565</v>
      </c>
    </row>
    <row r="153" spans="1:25" x14ac:dyDescent="0.25">
      <c r="A153" s="21">
        <v>40694</v>
      </c>
      <c r="B153" s="24">
        <f t="shared" si="26"/>
        <v>137</v>
      </c>
      <c r="C153" s="97" t="s">
        <v>90</v>
      </c>
      <c r="D153" s="29">
        <v>2.08</v>
      </c>
      <c r="E153" s="47">
        <f t="shared" si="19"/>
        <v>3465837.1164527889</v>
      </c>
      <c r="F153" s="10"/>
      <c r="H153" s="255"/>
      <c r="I153" s="39"/>
      <c r="J153" s="20">
        <f t="shared" si="20"/>
        <v>40694</v>
      </c>
      <c r="K153" s="27">
        <f>'LC (Gross)'!K153</f>
        <v>-1.1326170306001107</v>
      </c>
      <c r="L153" s="46">
        <f t="shared" si="21"/>
        <v>1127901.378254211</v>
      </c>
      <c r="M153" s="10"/>
      <c r="O153" s="39"/>
      <c r="P153" s="20">
        <f t="shared" si="22"/>
        <v>40694</v>
      </c>
      <c r="Q153" s="27">
        <f>'LC (Gross)'!Q153</f>
        <v>-0.18857764321279463</v>
      </c>
      <c r="R153" s="46">
        <f t="shared" si="23"/>
        <v>1059062.9984751658</v>
      </c>
      <c r="S153" s="10"/>
      <c r="U153" s="49"/>
      <c r="V153" s="39"/>
      <c r="W153" s="20">
        <f t="shared" si="24"/>
        <v>40694</v>
      </c>
      <c r="X153" s="36">
        <f>'LC (Gross)'!X153</f>
        <v>1.9190719520941506</v>
      </c>
      <c r="Y153" s="46">
        <f t="shared" si="25"/>
        <v>2513429.2407174446</v>
      </c>
    </row>
    <row r="154" spans="1:25" x14ac:dyDescent="0.25">
      <c r="A154" s="21">
        <v>40724</v>
      </c>
      <c r="B154" s="24">
        <f t="shared" si="26"/>
        <v>138</v>
      </c>
      <c r="C154" s="97" t="s">
        <v>90</v>
      </c>
      <c r="D154" s="29">
        <v>-0.17</v>
      </c>
      <c r="E154" s="47">
        <f t="shared" si="19"/>
        <v>3459945.193354819</v>
      </c>
      <c r="F154" s="10"/>
      <c r="G154" s="49">
        <f>(E154/E151-1)*100</f>
        <v>5.9827225599999867</v>
      </c>
      <c r="H154" s="255"/>
      <c r="I154" s="39"/>
      <c r="J154" s="20">
        <f t="shared" si="20"/>
        <v>40724</v>
      </c>
      <c r="K154" s="27">
        <f>'LC (Gross)'!K154</f>
        <v>-1.6668968785382234</v>
      </c>
      <c r="L154" s="46">
        <f t="shared" si="21"/>
        <v>1109100.4253871019</v>
      </c>
      <c r="M154" s="10"/>
      <c r="N154" s="49">
        <f>(L154/L151-1)*100</f>
        <v>9.8092759545442831E-2</v>
      </c>
      <c r="O154" s="39"/>
      <c r="P154" s="20">
        <f t="shared" si="22"/>
        <v>40724</v>
      </c>
      <c r="Q154" s="27">
        <f>'LC (Gross)'!Q154</f>
        <v>-1.398739727633544</v>
      </c>
      <c r="R154" s="46">
        <f t="shared" si="23"/>
        <v>1044249.4635748266</v>
      </c>
      <c r="S154" s="10"/>
      <c r="T154" s="49">
        <f>(R154/R151-1)*100</f>
        <v>2.3981531799607048</v>
      </c>
      <c r="U154" s="49"/>
      <c r="V154" s="39"/>
      <c r="W154" s="20">
        <f t="shared" si="24"/>
        <v>40724</v>
      </c>
      <c r="X154" s="36">
        <f>'LC (Gross)'!X154</f>
        <v>-1.2216323888752343</v>
      </c>
      <c r="Y154" s="46">
        <f t="shared" si="25"/>
        <v>2482724.3750413796</v>
      </c>
    </row>
    <row r="155" spans="1:25" x14ac:dyDescent="0.25">
      <c r="A155" s="21">
        <v>40755</v>
      </c>
      <c r="B155" s="24">
        <f t="shared" si="26"/>
        <v>139</v>
      </c>
      <c r="C155" s="97" t="s">
        <v>90</v>
      </c>
      <c r="D155" s="29">
        <v>-1.96</v>
      </c>
      <c r="E155" s="47">
        <f t="shared" si="19"/>
        <v>3392130.2675650646</v>
      </c>
      <c r="F155" s="10"/>
      <c r="H155" s="255"/>
      <c r="I155" s="39"/>
      <c r="J155" s="20">
        <f t="shared" si="20"/>
        <v>40755</v>
      </c>
      <c r="K155" s="27">
        <f>'LC (Gross)'!K155</f>
        <v>-2.0337691643892444</v>
      </c>
      <c r="L155" s="46">
        <f t="shared" si="21"/>
        <v>1086543.882933469</v>
      </c>
      <c r="M155" s="10"/>
      <c r="O155" s="39"/>
      <c r="P155" s="20">
        <f t="shared" si="22"/>
        <v>40755</v>
      </c>
      <c r="Q155" s="27">
        <f>'LC (Gross)'!Q155</f>
        <v>-2.0223950221650409</v>
      </c>
      <c r="R155" s="46">
        <f t="shared" si="23"/>
        <v>1023130.6144045042</v>
      </c>
      <c r="S155" s="10"/>
      <c r="U155" s="49"/>
      <c r="V155" s="39"/>
      <c r="W155" s="20">
        <f t="shared" si="24"/>
        <v>40755</v>
      </c>
      <c r="X155" s="36">
        <f>'LC (Gross)'!X155</f>
        <v>-2.3596999516173853</v>
      </c>
      <c r="Y155" s="46">
        <f t="shared" si="25"/>
        <v>2424139.5291647352</v>
      </c>
    </row>
    <row r="156" spans="1:25" x14ac:dyDescent="0.25">
      <c r="A156" s="21">
        <v>40786</v>
      </c>
      <c r="B156" s="24">
        <f t="shared" si="26"/>
        <v>140</v>
      </c>
      <c r="C156" s="97" t="s">
        <v>90</v>
      </c>
      <c r="D156" s="29">
        <v>0.34</v>
      </c>
      <c r="E156" s="47">
        <f t="shared" si="19"/>
        <v>3403663.5104747857</v>
      </c>
      <c r="F156" s="10"/>
      <c r="H156" s="255"/>
      <c r="I156" s="39"/>
      <c r="J156" s="20">
        <f t="shared" si="20"/>
        <v>40786</v>
      </c>
      <c r="K156" s="27">
        <f>'LC (Gross)'!K156</f>
        <v>-5.4329272165715432</v>
      </c>
      <c r="L156" s="46">
        <f t="shared" si="21"/>
        <v>1027512.7445975833</v>
      </c>
      <c r="M156" s="10"/>
      <c r="O156" s="39"/>
      <c r="P156" s="20">
        <f t="shared" si="22"/>
        <v>40786</v>
      </c>
      <c r="Q156" s="27">
        <f>'LC (Gross)'!Q156</f>
        <v>-3.1644976606488795</v>
      </c>
      <c r="R156" s="46">
        <f t="shared" si="23"/>
        <v>990753.6700462912</v>
      </c>
      <c r="S156" s="10"/>
      <c r="U156" s="49"/>
      <c r="V156" s="39"/>
      <c r="W156" s="20">
        <f t="shared" si="24"/>
        <v>40786</v>
      </c>
      <c r="X156" s="36">
        <f>'LC (Gross)'!X156</f>
        <v>0.13343893997979192</v>
      </c>
      <c r="Y156" s="46">
        <f t="shared" si="25"/>
        <v>2427374.2752560838</v>
      </c>
    </row>
    <row r="157" spans="1:25" x14ac:dyDescent="0.25">
      <c r="A157" s="21">
        <v>40816</v>
      </c>
      <c r="B157" s="24">
        <f t="shared" si="26"/>
        <v>141</v>
      </c>
      <c r="C157" s="97" t="s">
        <v>90</v>
      </c>
      <c r="D157" s="29">
        <v>-1.2</v>
      </c>
      <c r="E157" s="47">
        <f t="shared" si="19"/>
        <v>3362819.5483490881</v>
      </c>
      <c r="F157" s="10"/>
      <c r="G157" s="49">
        <f>(E157/E154-1)*100</f>
        <v>-2.8071440320000085</v>
      </c>
      <c r="H157" s="255"/>
      <c r="I157" s="39"/>
      <c r="J157" s="20">
        <f t="shared" si="20"/>
        <v>40816</v>
      </c>
      <c r="K157" s="27">
        <f>'LC (Gross)'!K157</f>
        <v>-7.0299391305309671</v>
      </c>
      <c r="L157" s="46">
        <f t="shared" si="21"/>
        <v>955279.22409392509</v>
      </c>
      <c r="M157" s="10"/>
      <c r="N157" s="49">
        <f>(L157/L154-1)*100</f>
        <v>-13.869005706989036</v>
      </c>
      <c r="O157" s="39"/>
      <c r="P157" s="20">
        <f t="shared" si="22"/>
        <v>40816</v>
      </c>
      <c r="Q157" s="27">
        <f>'LC (Gross)'!Q157</f>
        <v>-3.8775456514385662</v>
      </c>
      <c r="R157" s="46">
        <f t="shared" si="23"/>
        <v>952336.74419694324</v>
      </c>
      <c r="S157" s="10"/>
      <c r="T157" s="49">
        <f>(R157/R154-1)*100</f>
        <v>-8.801797136024792</v>
      </c>
      <c r="U157" s="49"/>
      <c r="V157" s="39"/>
      <c r="W157" s="20">
        <f t="shared" si="24"/>
        <v>40816</v>
      </c>
      <c r="X157" s="36">
        <f>'LC (Gross)'!X157</f>
        <v>-2.1512708512735803</v>
      </c>
      <c r="Y157" s="46">
        <f t="shared" si="25"/>
        <v>2375154.8800211865</v>
      </c>
    </row>
    <row r="158" spans="1:25" x14ac:dyDescent="0.25">
      <c r="A158" s="21">
        <v>40847</v>
      </c>
      <c r="B158" s="24">
        <f t="shared" si="26"/>
        <v>142</v>
      </c>
      <c r="C158" s="97" t="s">
        <v>90</v>
      </c>
      <c r="D158" s="29">
        <v>3.39</v>
      </c>
      <c r="E158" s="47">
        <f t="shared" si="19"/>
        <v>3476819.1310381223</v>
      </c>
      <c r="F158" s="10"/>
      <c r="H158" s="255"/>
      <c r="I158" s="39"/>
      <c r="J158" s="20">
        <f t="shared" si="20"/>
        <v>40847</v>
      </c>
      <c r="K158" s="27">
        <f>'LC (Gross)'!K158</f>
        <v>10.928827311434473</v>
      </c>
      <c r="L158" s="46">
        <f t="shared" si="21"/>
        <v>1059680.0408371612</v>
      </c>
      <c r="M158" s="10"/>
      <c r="O158" s="39"/>
      <c r="P158" s="20">
        <f t="shared" si="22"/>
        <v>40847</v>
      </c>
      <c r="Q158" s="27">
        <f>'LC (Gross)'!Q158</f>
        <v>8.3062665227477037</v>
      </c>
      <c r="R158" s="46">
        <f t="shared" si="23"/>
        <v>1031440.3723639994</v>
      </c>
      <c r="S158" s="10"/>
      <c r="U158" s="49"/>
      <c r="V158" s="39"/>
      <c r="W158" s="20">
        <f t="shared" si="24"/>
        <v>40847</v>
      </c>
      <c r="X158" s="36">
        <f>'LC (Gross)'!X158</f>
        <v>5.9136873236220984</v>
      </c>
      <c r="Y158" s="46">
        <f t="shared" si="25"/>
        <v>2515614.1130773909</v>
      </c>
    </row>
    <row r="159" spans="1:25" x14ac:dyDescent="0.25">
      <c r="A159" s="21">
        <v>40877</v>
      </c>
      <c r="B159" s="24">
        <f t="shared" si="26"/>
        <v>143</v>
      </c>
      <c r="C159" s="97" t="s">
        <v>90</v>
      </c>
      <c r="D159" s="29">
        <v>0.43</v>
      </c>
      <c r="E159" s="47">
        <f t="shared" si="19"/>
        <v>3491769.4533015862</v>
      </c>
      <c r="F159" s="10"/>
      <c r="H159" s="255"/>
      <c r="I159" s="39"/>
      <c r="J159" s="20">
        <f t="shared" si="20"/>
        <v>40877</v>
      </c>
      <c r="K159" s="27">
        <f>'LC (Gross)'!K159</f>
        <v>-0.22168556951224463</v>
      </c>
      <c r="L159" s="46">
        <f t="shared" si="21"/>
        <v>1057330.8831036238</v>
      </c>
      <c r="M159" s="10"/>
      <c r="O159" s="39"/>
      <c r="P159" s="20">
        <f t="shared" si="22"/>
        <v>40877</v>
      </c>
      <c r="Q159" s="27">
        <f>'LC (Gross)'!Q159</f>
        <v>1.2099501722868951</v>
      </c>
      <c r="R159" s="46">
        <f t="shared" si="23"/>
        <v>1043920.2869264542</v>
      </c>
      <c r="S159" s="10"/>
      <c r="U159" s="49"/>
      <c r="V159" s="39"/>
      <c r="W159" s="20">
        <f t="shared" si="24"/>
        <v>40877</v>
      </c>
      <c r="X159" s="36">
        <f>'LC (Gross)'!X159</f>
        <v>1.1541474235654638</v>
      </c>
      <c r="Y159" s="46">
        <f t="shared" si="25"/>
        <v>2544648.0085503226</v>
      </c>
    </row>
    <row r="160" spans="1:25" x14ac:dyDescent="0.25">
      <c r="A160" s="21">
        <v>40908</v>
      </c>
      <c r="B160" s="24">
        <f t="shared" si="26"/>
        <v>144</v>
      </c>
      <c r="C160" s="97" t="s">
        <v>90</v>
      </c>
      <c r="D160" s="29">
        <v>3.14</v>
      </c>
      <c r="E160" s="47">
        <f t="shared" si="19"/>
        <v>3601411.0141352559</v>
      </c>
      <c r="F160" s="12">
        <f>(E160-E148)/E148*100</f>
        <v>14.658003953187098</v>
      </c>
      <c r="G160" s="49">
        <f>(E160/E157-1)*100</f>
        <v>7.0949827178000024</v>
      </c>
      <c r="H160" s="255"/>
      <c r="I160" s="39"/>
      <c r="J160" s="20">
        <f t="shared" si="20"/>
        <v>40908</v>
      </c>
      <c r="K160" s="27">
        <f>'LC (Gross)'!K160</f>
        <v>1.0206481768649647</v>
      </c>
      <c r="L160" s="46">
        <f t="shared" si="21"/>
        <v>1068122.5114854511</v>
      </c>
      <c r="M160" s="12">
        <f>(L160-L148)/L148*100</f>
        <v>2.1054554695816643</v>
      </c>
      <c r="N160" s="49">
        <f>(L160/L157-1)*100</f>
        <v>11.812597253808899</v>
      </c>
      <c r="O160" s="39"/>
      <c r="P160" s="20">
        <f t="shared" si="22"/>
        <v>40908</v>
      </c>
      <c r="Q160" s="27">
        <f>'LC (Gross)'!Q160</f>
        <v>1.6358589697360397</v>
      </c>
      <c r="R160" s="46">
        <f t="shared" si="23"/>
        <v>1060997.3505770348</v>
      </c>
      <c r="S160" s="37">
        <f>(R160-R148)/R148*100</f>
        <v>8.6858099999999929</v>
      </c>
      <c r="T160" s="49">
        <f>(R160/R157-1)*100</f>
        <v>11.409893301105312</v>
      </c>
      <c r="U160" s="49"/>
      <c r="V160" s="39"/>
      <c r="W160" s="20">
        <f t="shared" si="24"/>
        <v>40908</v>
      </c>
      <c r="X160" s="36">
        <f>'LC (Gross)'!X160</f>
        <v>3.1585377034718687</v>
      </c>
      <c r="Y160" s="46">
        <f t="shared" si="25"/>
        <v>2625021.6753210304</v>
      </c>
    </row>
    <row r="161" spans="1:31" x14ac:dyDescent="0.25">
      <c r="A161" s="21">
        <v>40939</v>
      </c>
      <c r="B161" s="24">
        <f t="shared" si="26"/>
        <v>145</v>
      </c>
      <c r="C161" s="97" t="s">
        <v>90</v>
      </c>
      <c r="D161" s="29">
        <v>-7.0000000000000007E-2</v>
      </c>
      <c r="E161" s="47">
        <f t="shared" si="19"/>
        <v>3598890.0264253612</v>
      </c>
      <c r="F161" s="84">
        <f>(E160-E149)/E149*100</f>
        <v>15.629289989095497</v>
      </c>
      <c r="H161" s="49"/>
      <c r="I161" s="39"/>
      <c r="J161" s="20">
        <f t="shared" si="20"/>
        <v>40939</v>
      </c>
      <c r="K161" s="27">
        <f>'LC (Gross)'!K161</f>
        <v>4.4816384477796118</v>
      </c>
      <c r="L161" s="46">
        <f t="shared" si="21"/>
        <v>1115991.9006295723</v>
      </c>
      <c r="M161" s="84">
        <f>(L160-L149)/L149*100</f>
        <v>-0.25855355552929643</v>
      </c>
      <c r="O161" s="39"/>
      <c r="P161" s="20">
        <f t="shared" si="22"/>
        <v>40939</v>
      </c>
      <c r="Q161" s="27">
        <f>'LC (Gross)'!Q161</f>
        <v>2.4133601249325989</v>
      </c>
      <c r="R161" s="46">
        <f t="shared" si="23"/>
        <v>1086603.0375624523</v>
      </c>
      <c r="S161" s="10"/>
      <c r="U161" s="49"/>
      <c r="V161" s="39"/>
      <c r="W161" s="20">
        <f t="shared" si="24"/>
        <v>40939</v>
      </c>
      <c r="X161" s="36">
        <f>'LC (Gross)'!X161</f>
        <v>-0.50203757595119036</v>
      </c>
      <c r="Y161" s="46">
        <f t="shared" si="25"/>
        <v>2611843.0801340556</v>
      </c>
      <c r="Z161" s="102">
        <f>(Y160-Y149)/Y149*100</f>
        <v>15.142668670974899</v>
      </c>
    </row>
    <row r="162" spans="1:31" x14ac:dyDescent="0.25">
      <c r="A162" s="21">
        <v>40968</v>
      </c>
      <c r="B162" s="24">
        <f t="shared" si="26"/>
        <v>146</v>
      </c>
      <c r="C162" s="97" t="s">
        <v>90</v>
      </c>
      <c r="D162" s="29">
        <v>0.42</v>
      </c>
      <c r="E162" s="47">
        <f t="shared" si="19"/>
        <v>3614005.3645363478</v>
      </c>
      <c r="F162" s="10"/>
      <c r="H162" s="49"/>
      <c r="I162" s="39"/>
      <c r="J162" s="20">
        <f t="shared" si="20"/>
        <v>40968</v>
      </c>
      <c r="K162" s="27">
        <f>'LC (Gross)'!K162</f>
        <v>4.3244770246911024</v>
      </c>
      <c r="L162" s="46">
        <f t="shared" si="21"/>
        <v>1164252.7139697117</v>
      </c>
      <c r="M162" s="10"/>
      <c r="O162" s="39"/>
      <c r="P162" s="20">
        <f t="shared" si="22"/>
        <v>40968</v>
      </c>
      <c r="Q162" s="27">
        <f>'LC (Gross)'!Q162</f>
        <v>3.4262792722838911</v>
      </c>
      <c r="R162" s="46">
        <f t="shared" si="23"/>
        <v>1123833.0922104616</v>
      </c>
      <c r="S162" s="10"/>
      <c r="U162" s="49"/>
      <c r="V162" s="39"/>
      <c r="W162" s="20">
        <f t="shared" si="24"/>
        <v>40968</v>
      </c>
      <c r="X162" s="36">
        <f>'LC (Gross)'!X162</f>
        <v>1.8952786425357964</v>
      </c>
      <c r="Y162" s="46">
        <f t="shared" si="25"/>
        <v>2661344.7842083853</v>
      </c>
    </row>
    <row r="163" spans="1:31" x14ac:dyDescent="0.25">
      <c r="A163" s="21">
        <v>40999</v>
      </c>
      <c r="B163" s="24">
        <f t="shared" si="26"/>
        <v>147</v>
      </c>
      <c r="C163" s="97" t="s">
        <v>90</v>
      </c>
      <c r="D163" s="29">
        <v>2.78</v>
      </c>
      <c r="E163" s="47">
        <f t="shared" si="19"/>
        <v>3714474.7136704582</v>
      </c>
      <c r="F163" s="10"/>
      <c r="G163" s="49">
        <f>(E163/E160-1)*100</f>
        <v>3.1394278267999898</v>
      </c>
      <c r="H163" s="49"/>
      <c r="I163" s="39"/>
      <c r="J163" s="20">
        <f t="shared" si="20"/>
        <v>40999</v>
      </c>
      <c r="K163" s="27">
        <f>'LC (Gross)'!K163</f>
        <v>3.2849592444847491</v>
      </c>
      <c r="L163" s="46">
        <f t="shared" si="21"/>
        <v>1202497.9411264244</v>
      </c>
      <c r="M163" s="10"/>
      <c r="N163" s="49">
        <f>(L163/L160-1)*100</f>
        <v>12.580525941176512</v>
      </c>
      <c r="O163" s="39"/>
      <c r="P163" s="20">
        <f t="shared" si="22"/>
        <v>40999</v>
      </c>
      <c r="Q163" s="27">
        <f>'LC (Gross)'!Q163</f>
        <v>2.9620698083971986</v>
      </c>
      <c r="R163" s="46">
        <f t="shared" si="23"/>
        <v>1157121.8129316045</v>
      </c>
      <c r="S163" s="10"/>
      <c r="T163" s="49">
        <f>(R163/R160-1)*100</f>
        <v>9.0598211486853764</v>
      </c>
      <c r="U163" s="49"/>
      <c r="V163" s="39"/>
      <c r="W163" s="20">
        <f t="shared" si="24"/>
        <v>40999</v>
      </c>
      <c r="X163" s="36">
        <f>'LC (Gross)'!X163</f>
        <v>2.8290733158952133</v>
      </c>
      <c r="Y163" s="46">
        <f t="shared" si="25"/>
        <v>2736636.1793423938</v>
      </c>
    </row>
    <row r="164" spans="1:31" ht="16.5" thickBot="1" x14ac:dyDescent="0.3">
      <c r="A164" s="21">
        <v>41029</v>
      </c>
      <c r="B164" s="24">
        <f t="shared" si="26"/>
        <v>148</v>
      </c>
      <c r="C164" s="97" t="s">
        <v>90</v>
      </c>
      <c r="D164" s="29">
        <v>1.22</v>
      </c>
      <c r="E164" s="47">
        <f t="shared" si="19"/>
        <v>3759791.3051772378</v>
      </c>
      <c r="F164" s="10"/>
      <c r="H164" s="49"/>
      <c r="I164" s="39"/>
      <c r="J164" s="20">
        <f t="shared" si="20"/>
        <v>41029</v>
      </c>
      <c r="K164" s="27">
        <f>'LC (Gross)'!K164</f>
        <v>-0.62799908148773587</v>
      </c>
      <c r="L164" s="46">
        <f t="shared" si="21"/>
        <v>1194946.2651012414</v>
      </c>
      <c r="M164" s="10"/>
      <c r="O164" s="39"/>
      <c r="P164" s="20">
        <f t="shared" si="22"/>
        <v>41029</v>
      </c>
      <c r="Q164" s="27">
        <f>'LC (Gross)'!Q164</f>
        <v>0.16558320900040038</v>
      </c>
      <c r="R164" s="46">
        <f t="shared" si="23"/>
        <v>1159037.8123615002</v>
      </c>
      <c r="S164" s="10"/>
      <c r="U164" s="49"/>
      <c r="V164" s="39"/>
      <c r="W164" s="20">
        <f t="shared" si="24"/>
        <v>41029</v>
      </c>
      <c r="X164" s="36">
        <f>'LC (Gross)'!X164</f>
        <v>1.0961867906899541</v>
      </c>
      <c r="Y164" s="46">
        <f t="shared" si="25"/>
        <v>2766634.8236495871</v>
      </c>
    </row>
    <row r="165" spans="1:31" x14ac:dyDescent="0.25">
      <c r="A165" s="21">
        <v>41060</v>
      </c>
      <c r="B165" s="24">
        <f t="shared" si="26"/>
        <v>149</v>
      </c>
      <c r="C165" s="97" t="s">
        <v>90</v>
      </c>
      <c r="D165" s="29">
        <v>-0.39</v>
      </c>
      <c r="E165" s="47">
        <f t="shared" si="19"/>
        <v>3745128.1190870465</v>
      </c>
      <c r="F165" s="10"/>
      <c r="H165" s="49"/>
      <c r="I165" s="39"/>
      <c r="J165" s="20">
        <f t="shared" si="20"/>
        <v>41060</v>
      </c>
      <c r="K165" s="27">
        <f>'LC (Gross)'!K165</f>
        <v>-6.0101506269839993</v>
      </c>
      <c r="L165" s="46">
        <f t="shared" si="21"/>
        <v>1123128.1946571372</v>
      </c>
      <c r="M165" s="10"/>
      <c r="O165" s="39"/>
      <c r="P165" s="20">
        <f t="shared" si="22"/>
        <v>41060</v>
      </c>
      <c r="Q165" s="27">
        <f>'LC (Gross)'!Q165</f>
        <v>-4.1314484553960744</v>
      </c>
      <c r="R165" s="46">
        <f t="shared" si="23"/>
        <v>1111152.7625652347</v>
      </c>
      <c r="S165" s="10"/>
      <c r="U165" s="49"/>
      <c r="V165" s="39"/>
      <c r="W165" s="20">
        <f t="shared" si="24"/>
        <v>41060</v>
      </c>
      <c r="X165" s="36">
        <f>'LC (Gross)'!X165</f>
        <v>-1.55391761364932</v>
      </c>
      <c r="Y165" s="46">
        <f t="shared" si="25"/>
        <v>2723643.5978195402</v>
      </c>
      <c r="AC165" s="324" t="s">
        <v>57</v>
      </c>
      <c r="AD165" s="325"/>
    </row>
    <row r="166" spans="1:31" x14ac:dyDescent="0.25">
      <c r="A166" s="21">
        <v>41090</v>
      </c>
      <c r="B166" s="24">
        <f t="shared" si="26"/>
        <v>150</v>
      </c>
      <c r="C166" s="97" t="s">
        <v>57</v>
      </c>
      <c r="D166" s="114">
        <f>AC166</f>
        <v>3.7228541882109565</v>
      </c>
      <c r="E166" s="47">
        <f t="shared" si="19"/>
        <v>3884553.778122345</v>
      </c>
      <c r="F166" s="10"/>
      <c r="G166" s="49">
        <f>(E166/E163-1)*100</f>
        <v>4.578818744570845</v>
      </c>
      <c r="H166" s="49"/>
      <c r="I166" s="39"/>
      <c r="J166" s="20">
        <f t="shared" si="20"/>
        <v>41090</v>
      </c>
      <c r="K166" s="27">
        <f>'LC (Gross)'!K166</f>
        <v>4.1204404843881131</v>
      </c>
      <c r="L166" s="46">
        <f t="shared" si="21"/>
        <v>1169406.0234813672</v>
      </c>
      <c r="M166" s="10"/>
      <c r="N166" s="49">
        <f>(L166/L163-1)*100</f>
        <v>-2.7519313350390262</v>
      </c>
      <c r="O166" s="39"/>
      <c r="P166" s="20">
        <f t="shared" si="22"/>
        <v>41090</v>
      </c>
      <c r="Q166" s="27">
        <f>'LC (Gross)'!Q166</f>
        <v>4.010574257008205</v>
      </c>
      <c r="R166" s="46">
        <f t="shared" si="23"/>
        <v>1155716.3692167115</v>
      </c>
      <c r="S166" s="10"/>
      <c r="T166" s="49">
        <f>(R166/R163-1)*100</f>
        <v>-0.12146030773823036</v>
      </c>
      <c r="U166" s="49"/>
      <c r="V166" s="39"/>
      <c r="W166" s="20">
        <f t="shared" si="24"/>
        <v>41090</v>
      </c>
      <c r="X166" s="36">
        <f>'LC (Gross)'!X166</f>
        <v>4.1571361102365243</v>
      </c>
      <c r="Y166" s="46">
        <f t="shared" si="25"/>
        <v>2836869.1693386417</v>
      </c>
      <c r="AC166" s="107">
        <f>'LC (Gross)'!AC166</f>
        <v>3.7228541882109565</v>
      </c>
      <c r="AE166" s="223"/>
    </row>
    <row r="167" spans="1:31" x14ac:dyDescent="0.25">
      <c r="A167" s="21">
        <v>41121</v>
      </c>
      <c r="B167" s="24">
        <f t="shared" si="26"/>
        <v>151</v>
      </c>
      <c r="C167" s="97" t="s">
        <v>57</v>
      </c>
      <c r="D167" s="114">
        <f t="shared" ref="D167:D209" si="27">AC167</f>
        <v>0.89999999999999991</v>
      </c>
      <c r="E167" s="47">
        <f t="shared" si="19"/>
        <v>3919514.762125446</v>
      </c>
      <c r="F167" s="10"/>
      <c r="H167" s="49"/>
      <c r="I167" s="39"/>
      <c r="J167" s="20">
        <f t="shared" si="20"/>
        <v>41121</v>
      </c>
      <c r="K167" s="27">
        <f>'LC (Gross)'!K167</f>
        <v>1.388953396263829</v>
      </c>
      <c r="L167" s="46">
        <f t="shared" si="21"/>
        <v>1185648.5281606254</v>
      </c>
      <c r="M167" s="10"/>
      <c r="O167" s="39"/>
      <c r="P167" s="20">
        <f t="shared" si="22"/>
        <v>41121</v>
      </c>
      <c r="Q167" s="27">
        <f>'LC (Gross)'!Q167</f>
        <v>1.6327334950719066</v>
      </c>
      <c r="R167" s="46">
        <f t="shared" si="23"/>
        <v>1174586.1374849416</v>
      </c>
      <c r="S167" s="10"/>
      <c r="U167" s="49"/>
      <c r="V167" s="39"/>
      <c r="W167" s="20">
        <f t="shared" si="24"/>
        <v>41121</v>
      </c>
      <c r="X167" s="36">
        <f>'LC (Gross)'!X167</f>
        <v>2.103576235189788</v>
      </c>
      <c r="Y167" s="46">
        <f t="shared" si="25"/>
        <v>2896544.8750082753</v>
      </c>
      <c r="AC167" s="107">
        <f>'LC (Gross)'!AC167</f>
        <v>0.89999999999999991</v>
      </c>
      <c r="AE167" s="223"/>
    </row>
    <row r="168" spans="1:31" x14ac:dyDescent="0.25">
      <c r="A168" s="21">
        <v>41152</v>
      </c>
      <c r="B168" s="24">
        <f t="shared" si="26"/>
        <v>152</v>
      </c>
      <c r="C168" s="97" t="s">
        <v>57</v>
      </c>
      <c r="D168" s="114">
        <f t="shared" si="27"/>
        <v>0.59</v>
      </c>
      <c r="E168" s="47">
        <f t="shared" si="19"/>
        <v>3942639.8992219861</v>
      </c>
      <c r="F168" s="10"/>
      <c r="H168" s="49"/>
      <c r="I168" s="39"/>
      <c r="J168" s="20">
        <f t="shared" si="20"/>
        <v>41152</v>
      </c>
      <c r="K168" s="27">
        <f>'LC (Gross)'!K168</f>
        <v>2.2536384751420702</v>
      </c>
      <c r="L168" s="46">
        <f t="shared" si="21"/>
        <v>1212368.7595712089</v>
      </c>
      <c r="M168" s="10"/>
      <c r="O168" s="39"/>
      <c r="P168" s="20">
        <f t="shared" si="22"/>
        <v>41152</v>
      </c>
      <c r="Q168" s="27">
        <f>'LC (Gross)'!Q168</f>
        <v>1.1354990024646383</v>
      </c>
      <c r="R168" s="46">
        <f t="shared" si="23"/>
        <v>1187923.551359171</v>
      </c>
      <c r="S168" s="10"/>
      <c r="U168" s="49"/>
      <c r="V168" s="39"/>
      <c r="W168" s="20">
        <f t="shared" si="24"/>
        <v>41152</v>
      </c>
      <c r="X168" s="36">
        <f>'LC (Gross)'!X168</f>
        <v>-0.8573801414780684</v>
      </c>
      <c r="Y168" s="46">
        <f t="shared" si="25"/>
        <v>2871710.4744609534</v>
      </c>
      <c r="AC168" s="107">
        <f>'LC (Gross)'!AC168</f>
        <v>0.59</v>
      </c>
      <c r="AE168" s="223"/>
    </row>
    <row r="169" spans="1:31" x14ac:dyDescent="0.25">
      <c r="A169" s="21">
        <v>41182</v>
      </c>
      <c r="B169" s="24">
        <f t="shared" si="26"/>
        <v>153</v>
      </c>
      <c r="C169" s="97" t="s">
        <v>57</v>
      </c>
      <c r="D169" s="114">
        <f t="shared" si="27"/>
        <v>1.5717092337917502</v>
      </c>
      <c r="E169" s="47">
        <f t="shared" si="19"/>
        <v>4004606.7345732157</v>
      </c>
      <c r="F169" s="10"/>
      <c r="G169" s="49">
        <f>(E169/E166-1)*100</f>
        <v>3.0905211591355508</v>
      </c>
      <c r="H169" s="49"/>
      <c r="I169" s="39"/>
      <c r="J169" s="20">
        <f t="shared" si="20"/>
        <v>41182</v>
      </c>
      <c r="K169" s="27">
        <f>'LC (Gross)'!K169</f>
        <v>2.5841465720466861</v>
      </c>
      <c r="L169" s="46">
        <f t="shared" si="21"/>
        <v>1243698.1453122331</v>
      </c>
      <c r="M169" s="15"/>
      <c r="N169" s="49">
        <f>(L169/L166-1)*100</f>
        <v>6.3529792338246516</v>
      </c>
      <c r="O169" s="39"/>
      <c r="P169" s="20">
        <f t="shared" si="22"/>
        <v>41182</v>
      </c>
      <c r="Q169" s="27">
        <f>'LC (Gross)'!Q169</f>
        <v>2.1597152713747931</v>
      </c>
      <c r="R169" s="46">
        <f t="shared" si="23"/>
        <v>1213579.3177101328</v>
      </c>
      <c r="S169" s="10"/>
      <c r="T169" s="49">
        <f>(R169/R166-1)*100</f>
        <v>5.0066737855965382</v>
      </c>
      <c r="U169" s="49"/>
      <c r="V169" s="39"/>
      <c r="W169" s="20">
        <f t="shared" si="24"/>
        <v>41182</v>
      </c>
      <c r="X169" s="36">
        <f>'LC (Gross)'!X169</f>
        <v>1.7094983597774296</v>
      </c>
      <c r="Y169" s="46">
        <f t="shared" si="25"/>
        <v>2920802.3179194201</v>
      </c>
      <c r="AC169" s="107">
        <f>'LC (Gross)'!AC169</f>
        <v>1.5717092337917502</v>
      </c>
      <c r="AE169" s="223"/>
    </row>
    <row r="170" spans="1:31" x14ac:dyDescent="0.25">
      <c r="A170" s="21">
        <v>41213</v>
      </c>
      <c r="B170" s="24">
        <f t="shared" si="26"/>
        <v>154</v>
      </c>
      <c r="C170" s="97" t="s">
        <v>57</v>
      </c>
      <c r="D170" s="114">
        <f t="shared" si="27"/>
        <v>-0.48355899419729897</v>
      </c>
      <c r="E170" s="47">
        <f t="shared" si="19"/>
        <v>3985242.0985259563</v>
      </c>
      <c r="F170" s="10"/>
      <c r="H170" s="49"/>
      <c r="I170" s="39"/>
      <c r="J170" s="20">
        <f t="shared" si="20"/>
        <v>41213</v>
      </c>
      <c r="K170" s="27">
        <f>'LC (Gross)'!K170</f>
        <v>-1.8463927858727345</v>
      </c>
      <c r="L170" s="46">
        <f t="shared" si="21"/>
        <v>1220734.5924791552</v>
      </c>
      <c r="M170" s="15"/>
      <c r="O170" s="39"/>
      <c r="P170" s="20">
        <f t="shared" si="22"/>
        <v>41213</v>
      </c>
      <c r="Q170" s="27">
        <f>'LC (Gross)'!Q170</f>
        <v>-1.7705537448907398</v>
      </c>
      <c r="R170" s="46">
        <f t="shared" si="23"/>
        <v>1192092.2436531966</v>
      </c>
      <c r="S170" s="10"/>
      <c r="U170" s="49"/>
      <c r="V170" s="39"/>
      <c r="W170" s="20">
        <f t="shared" si="24"/>
        <v>41213</v>
      </c>
      <c r="X170" s="36">
        <f>'LC (Gross)'!X170</f>
        <v>-8.0416829029492029E-2</v>
      </c>
      <c r="Y170" s="46">
        <f t="shared" si="25"/>
        <v>2918453.5013131294</v>
      </c>
      <c r="AC170" s="107">
        <f>'LC (Gross)'!AC170</f>
        <v>-0.48355899419729897</v>
      </c>
      <c r="AE170" s="223"/>
    </row>
    <row r="171" spans="1:31" x14ac:dyDescent="0.25">
      <c r="A171" s="21">
        <v>41243</v>
      </c>
      <c r="B171" s="24">
        <f t="shared" si="26"/>
        <v>155</v>
      </c>
      <c r="C171" s="97" t="s">
        <v>57</v>
      </c>
      <c r="D171" s="114">
        <f t="shared" si="27"/>
        <v>1.0689990281827135</v>
      </c>
      <c r="E171" s="47">
        <f t="shared" si="19"/>
        <v>4027844.2978299269</v>
      </c>
      <c r="F171" s="10"/>
      <c r="H171" s="49"/>
      <c r="I171" s="39"/>
      <c r="J171" s="20">
        <f t="shared" si="20"/>
        <v>41243</v>
      </c>
      <c r="K171" s="27">
        <f>'LC (Gross)'!K171</f>
        <v>0.57985654598500125</v>
      </c>
      <c r="L171" s="46">
        <f t="shared" si="21"/>
        <v>1227813.1019227488</v>
      </c>
      <c r="M171" s="15"/>
      <c r="O171" s="39"/>
      <c r="P171" s="20">
        <f t="shared" si="22"/>
        <v>41243</v>
      </c>
      <c r="Q171" s="27">
        <f>'LC (Gross)'!Q171</f>
        <v>0.53296557019323232</v>
      </c>
      <c r="R171" s="46">
        <f t="shared" si="23"/>
        <v>1198445.6848768122</v>
      </c>
      <c r="S171" s="10"/>
      <c r="U171" s="49"/>
      <c r="V171" s="39"/>
      <c r="W171" s="20">
        <f t="shared" si="24"/>
        <v>41243</v>
      </c>
      <c r="X171" s="36">
        <f>'LC (Gross)'!X171</f>
        <v>-0.24198479384841656</v>
      </c>
      <c r="Y171" s="46">
        <f t="shared" si="25"/>
        <v>2911391.287624415</v>
      </c>
      <c r="AC171" s="107">
        <f>'LC (Gross)'!AC171</f>
        <v>1.0689990281827135</v>
      </c>
      <c r="AE171" s="223"/>
    </row>
    <row r="172" spans="1:31" x14ac:dyDescent="0.25">
      <c r="A172" s="21">
        <v>41274</v>
      </c>
      <c r="B172" s="24">
        <f t="shared" si="26"/>
        <v>156</v>
      </c>
      <c r="C172" s="97" t="s">
        <v>57</v>
      </c>
      <c r="D172" s="114">
        <f t="shared" si="27"/>
        <v>-0.76564509999999997</v>
      </c>
      <c r="E172" s="47">
        <f t="shared" si="19"/>
        <v>3997005.3053279626</v>
      </c>
      <c r="F172" s="12">
        <f>(E172-E160)/E160*100</f>
        <v>10.984424983430941</v>
      </c>
      <c r="G172" s="49">
        <f>(E172/E169-1)*100</f>
        <v>-0.18981712185686117</v>
      </c>
      <c r="H172" s="49"/>
      <c r="I172" s="39"/>
      <c r="J172" s="20">
        <f t="shared" si="20"/>
        <v>41274</v>
      </c>
      <c r="K172" s="27">
        <f>'LC (Gross)'!K172</f>
        <v>0.90745693207692124</v>
      </c>
      <c r="L172" s="46">
        <f t="shared" si="21"/>
        <v>1238954.9770290954</v>
      </c>
      <c r="M172" s="12">
        <f>(L172-L160)/L160*100</f>
        <v>15.993714551158131</v>
      </c>
      <c r="N172" s="49">
        <f>(L172/L169-1)*100</f>
        <v>-0.38137616438649324</v>
      </c>
      <c r="O172" s="39"/>
      <c r="P172" s="20">
        <f t="shared" si="22"/>
        <v>41274</v>
      </c>
      <c r="Q172" s="27">
        <f>'LC (Gross)'!Q172</f>
        <v>-0.26478088416582263</v>
      </c>
      <c r="R172" s="46">
        <f t="shared" si="23"/>
        <v>1195272.4297961481</v>
      </c>
      <c r="S172" s="12">
        <f>(R172-R160)/R160*100</f>
        <v>12.655552734989056</v>
      </c>
      <c r="T172" s="49">
        <f>(R172/R169-1)*100</f>
        <v>-1.5085036179198763</v>
      </c>
      <c r="U172" s="49"/>
      <c r="V172" s="39"/>
      <c r="W172" s="20">
        <f t="shared" si="24"/>
        <v>41274</v>
      </c>
      <c r="X172" s="36">
        <f>'LC (Gross)'!X172</f>
        <v>-0.54795232598180443</v>
      </c>
      <c r="Y172" s="46">
        <f t="shared" si="25"/>
        <v>2895438.2513454454</v>
      </c>
      <c r="Z172" s="33">
        <f>(Y172-Y160)/Y160*100</f>
        <v>10.301498786342176</v>
      </c>
      <c r="AC172" s="107">
        <f>'LC (Gross)'!AC172</f>
        <v>-0.76564509999999997</v>
      </c>
      <c r="AE172" s="223"/>
    </row>
    <row r="173" spans="1:31" x14ac:dyDescent="0.25">
      <c r="A173" s="21">
        <v>41305</v>
      </c>
      <c r="B173" s="24">
        <f t="shared" si="26"/>
        <v>157</v>
      </c>
      <c r="C173" s="97" t="s">
        <v>57</v>
      </c>
      <c r="D173" s="114">
        <f t="shared" si="27"/>
        <v>4.8039215686274535</v>
      </c>
      <c r="E173" s="47">
        <f t="shared" si="19"/>
        <v>4189018.3052897961</v>
      </c>
      <c r="F173" s="10"/>
      <c r="H173" s="49"/>
      <c r="I173" s="39"/>
      <c r="J173" s="20">
        <f t="shared" si="20"/>
        <v>41305</v>
      </c>
      <c r="K173" s="27">
        <f>'LC (Gross)'!K173</f>
        <v>5.1790588389629049</v>
      </c>
      <c r="L173" s="46">
        <f t="shared" si="21"/>
        <v>1303121.1842776916</v>
      </c>
      <c r="M173" s="15"/>
      <c r="O173" s="39"/>
      <c r="P173" s="20">
        <f t="shared" si="22"/>
        <v>41305</v>
      </c>
      <c r="Q173" s="27">
        <f>'LC (Gross)'!Q173</f>
        <v>5.487722209789891</v>
      </c>
      <c r="R173" s="46">
        <f t="shared" si="23"/>
        <v>1260865.6603935666</v>
      </c>
      <c r="S173" s="10"/>
      <c r="U173" s="49"/>
      <c r="V173" s="39"/>
      <c r="W173" s="20">
        <f t="shared" si="24"/>
        <v>41305</v>
      </c>
      <c r="X173" s="36">
        <f>'LC (Gross)'!X173</f>
        <v>5.0441103772085105</v>
      </c>
      <c r="Y173" s="46">
        <f t="shared" si="25"/>
        <v>3041487.3526472258</v>
      </c>
      <c r="AC173" s="107">
        <f>'LC (Gross)'!AC173</f>
        <v>4.8039215686274535</v>
      </c>
      <c r="AE173" s="223"/>
    </row>
    <row r="174" spans="1:31" x14ac:dyDescent="0.25">
      <c r="A174" s="21">
        <v>41333</v>
      </c>
      <c r="B174" s="24">
        <f t="shared" si="26"/>
        <v>158</v>
      </c>
      <c r="C174" s="97" t="s">
        <v>57</v>
      </c>
      <c r="D174" s="114">
        <f t="shared" si="27"/>
        <v>3.8353601496725926</v>
      </c>
      <c r="E174" s="47">
        <f t="shared" si="19"/>
        <v>4349682.2440333711</v>
      </c>
      <c r="F174" s="10"/>
      <c r="H174" s="49"/>
      <c r="I174" s="39"/>
      <c r="J174" s="20">
        <f t="shared" si="20"/>
        <v>41333</v>
      </c>
      <c r="K174" s="27">
        <f>'LC (Gross)'!K174</f>
        <v>1.35685017550303</v>
      </c>
      <c r="L174" s="46">
        <f t="shared" si="21"/>
        <v>1320802.5863535807</v>
      </c>
      <c r="M174" s="15"/>
      <c r="O174" s="39"/>
      <c r="P174" s="20">
        <f t="shared" si="22"/>
        <v>41333</v>
      </c>
      <c r="Q174" s="27">
        <f>'LC (Gross)'!Q174</f>
        <v>1.9114616157658963</v>
      </c>
      <c r="R174" s="46">
        <f t="shared" si="23"/>
        <v>1284966.6235183629</v>
      </c>
      <c r="S174" s="10"/>
      <c r="U174" s="49"/>
      <c r="V174" s="39"/>
      <c r="W174" s="20">
        <f t="shared" si="24"/>
        <v>41333</v>
      </c>
      <c r="X174" s="36">
        <f>'LC (Gross)'!X174</f>
        <v>2.7228097381367515</v>
      </c>
      <c r="Y174" s="46">
        <f t="shared" si="25"/>
        <v>3124301.2664693021</v>
      </c>
      <c r="AC174" s="107">
        <f>'LC (Gross)'!AC174</f>
        <v>3.8353601496725926</v>
      </c>
      <c r="AE174" s="223"/>
    </row>
    <row r="175" spans="1:31" x14ac:dyDescent="0.25">
      <c r="A175" s="21">
        <v>41364</v>
      </c>
      <c r="B175" s="24">
        <f t="shared" si="26"/>
        <v>159</v>
      </c>
      <c r="C175" s="97" t="s">
        <v>57</v>
      </c>
      <c r="D175" s="114">
        <f t="shared" si="27"/>
        <v>4.3243243243243281</v>
      </c>
      <c r="E175" s="47">
        <f t="shared" si="19"/>
        <v>4537776.6113429228</v>
      </c>
      <c r="F175" s="10"/>
      <c r="G175" s="49">
        <f>(E175/E172-1)*100</f>
        <v>13.529411764705902</v>
      </c>
      <c r="H175" s="49"/>
      <c r="I175" s="39"/>
      <c r="J175" s="20">
        <f t="shared" si="20"/>
        <v>41364</v>
      </c>
      <c r="K175" s="27">
        <f>'LC (Gross)'!K175</f>
        <v>3.7504846466217607</v>
      </c>
      <c r="L175" s="46">
        <f t="shared" si="21"/>
        <v>1370339.0845669548</v>
      </c>
      <c r="M175" s="15"/>
      <c r="N175" s="49">
        <f>(L175/L172-1)*100</f>
        <v>10.604429537294969</v>
      </c>
      <c r="O175" s="39"/>
      <c r="P175" s="20">
        <f t="shared" si="22"/>
        <v>41364</v>
      </c>
      <c r="Q175" s="27">
        <f>'LC (Gross)'!Q175</f>
        <v>4.0247244064817593</v>
      </c>
      <c r="R175" s="46">
        <f t="shared" si="23"/>
        <v>1336682.9888302509</v>
      </c>
      <c r="S175" s="10"/>
      <c r="T175" s="49">
        <f>(R175/R172-1)*100</f>
        <v>11.830822455950084</v>
      </c>
      <c r="U175" s="49"/>
      <c r="V175" s="39"/>
      <c r="W175" s="20">
        <f t="shared" si="24"/>
        <v>41364</v>
      </c>
      <c r="X175" s="36">
        <f>'LC (Gross)'!X175</f>
        <v>4.8732099591410032</v>
      </c>
      <c r="Y175" s="46">
        <f t="shared" si="25"/>
        <v>3276555.0269404529</v>
      </c>
      <c r="AC175" s="107">
        <f>'LC (Gross)'!AC175</f>
        <v>4.3243243243243281</v>
      </c>
      <c r="AE175" s="223"/>
    </row>
    <row r="176" spans="1:31" x14ac:dyDescent="0.25">
      <c r="A176" s="21">
        <v>41394</v>
      </c>
      <c r="B176" s="24">
        <f t="shared" si="26"/>
        <v>160</v>
      </c>
      <c r="C176" s="97" t="s">
        <v>57</v>
      </c>
      <c r="D176" s="114">
        <f t="shared" si="27"/>
        <v>2.5043177892918753</v>
      </c>
      <c r="E176" s="47">
        <f t="shared" si="19"/>
        <v>4651416.9582591094</v>
      </c>
      <c r="F176" s="10"/>
      <c r="H176" s="49"/>
      <c r="I176" s="39"/>
      <c r="J176" s="20">
        <f t="shared" si="20"/>
        <v>41394</v>
      </c>
      <c r="K176" s="27">
        <f>'LC (Gross)'!K176</f>
        <v>1.9264708679827447</v>
      </c>
      <c r="L176" s="46">
        <f t="shared" si="21"/>
        <v>1396738.2678237185</v>
      </c>
      <c r="M176" s="15"/>
      <c r="O176" s="39"/>
      <c r="P176" s="20">
        <f t="shared" si="22"/>
        <v>41394</v>
      </c>
      <c r="Q176" s="27">
        <f>'LC (Gross)'!Q176</f>
        <v>2.6750954327045702</v>
      </c>
      <c r="R176" s="46">
        <f t="shared" si="23"/>
        <v>1372440.534414188</v>
      </c>
      <c r="S176" s="10"/>
      <c r="U176" s="49"/>
      <c r="V176" s="39"/>
      <c r="W176" s="20">
        <f t="shared" si="24"/>
        <v>41394</v>
      </c>
      <c r="X176" s="36">
        <f>'LC (Gross)'!X176</f>
        <v>3.8395552224128378</v>
      </c>
      <c r="Y176" s="46">
        <f t="shared" si="25"/>
        <v>3402360.1665925756</v>
      </c>
      <c r="AC176" s="107">
        <f>'LC (Gross)'!AC176</f>
        <v>2.5043177892918753</v>
      </c>
      <c r="AE176" s="223"/>
    </row>
    <row r="177" spans="1:31" x14ac:dyDescent="0.25">
      <c r="A177" s="21">
        <v>41425</v>
      </c>
      <c r="B177" s="24">
        <f t="shared" si="26"/>
        <v>161</v>
      </c>
      <c r="C177" s="97" t="s">
        <v>57</v>
      </c>
      <c r="D177" s="114">
        <f t="shared" si="27"/>
        <v>-1.3479359730412668</v>
      </c>
      <c r="E177" s="47">
        <f t="shared" si="19"/>
        <v>4588718.8358225934</v>
      </c>
      <c r="F177" s="10"/>
      <c r="H177" s="49"/>
      <c r="I177" s="39"/>
      <c r="J177" s="20">
        <f t="shared" si="20"/>
        <v>41425</v>
      </c>
      <c r="K177" s="27">
        <f>'LC (Gross)'!K177</f>
        <v>2.3380172001401065</v>
      </c>
      <c r="L177" s="46">
        <f t="shared" si="21"/>
        <v>1429394.2487663759</v>
      </c>
      <c r="M177" s="15"/>
      <c r="O177" s="39"/>
      <c r="P177" s="20">
        <f t="shared" si="22"/>
        <v>41425</v>
      </c>
      <c r="Q177" s="27">
        <f>'LC (Gross)'!Q177</f>
        <v>0.61008936388019086</v>
      </c>
      <c r="R177" s="46">
        <f t="shared" si="23"/>
        <v>1380813.6481402295</v>
      </c>
      <c r="S177" s="10"/>
      <c r="U177" s="49"/>
      <c r="V177" s="39"/>
      <c r="W177" s="20">
        <f t="shared" si="24"/>
        <v>41425</v>
      </c>
      <c r="X177" s="36">
        <f>'LC (Gross)'!X177</f>
        <v>-3.4338617670715457</v>
      </c>
      <c r="Y177" s="46">
        <f t="shared" si="25"/>
        <v>3285527.8216538816</v>
      </c>
      <c r="AC177" s="107">
        <f>'LC (Gross)'!AC177</f>
        <v>-1.3479359730412668</v>
      </c>
      <c r="AE177" s="223"/>
    </row>
    <row r="178" spans="1:31" x14ac:dyDescent="0.25">
      <c r="A178" s="21">
        <v>41455</v>
      </c>
      <c r="B178" s="24">
        <f t="shared" si="26"/>
        <v>162</v>
      </c>
      <c r="C178" s="97" t="s">
        <v>57</v>
      </c>
      <c r="D178" s="114">
        <f t="shared" si="27"/>
        <v>0.42698548249358609</v>
      </c>
      <c r="E178" s="47">
        <f t="shared" si="19"/>
        <v>4608311.9990840042</v>
      </c>
      <c r="F178" s="10"/>
      <c r="G178" s="49">
        <f>(E178/E175-1)*100</f>
        <v>1.5544041450777035</v>
      </c>
      <c r="H178" s="49"/>
      <c r="I178" s="39"/>
      <c r="J178" s="20">
        <f t="shared" si="20"/>
        <v>41455</v>
      </c>
      <c r="K178" s="27">
        <f>'LC (Gross)'!K178</f>
        <v>-1.3426216140609801</v>
      </c>
      <c r="L178" s="46">
        <f t="shared" si="21"/>
        <v>1410202.892632294</v>
      </c>
      <c r="M178" s="15"/>
      <c r="N178" s="49">
        <f>(L178/L175-1)*100</f>
        <v>2.9090470026210236</v>
      </c>
      <c r="O178" s="39"/>
      <c r="P178" s="20">
        <f t="shared" si="22"/>
        <v>41455</v>
      </c>
      <c r="Q178" s="27">
        <f>'LC (Gross)'!Q178</f>
        <v>-0.92038740175114964</v>
      </c>
      <c r="R178" s="46">
        <f t="shared" si="23"/>
        <v>1368104.8132810865</v>
      </c>
      <c r="S178" s="10"/>
      <c r="T178" s="49">
        <f>(R178/R175-1)*100</f>
        <v>2.3507312289754889</v>
      </c>
      <c r="U178" s="49"/>
      <c r="V178" s="39"/>
      <c r="W178" s="20">
        <f t="shared" si="24"/>
        <v>41455</v>
      </c>
      <c r="X178" s="36">
        <f>'LC (Gross)'!X178</f>
        <v>0.60416060922727655</v>
      </c>
      <c r="Y178" s="46">
        <f t="shared" si="25"/>
        <v>3305377.6865575174</v>
      </c>
      <c r="AC178" s="107">
        <f>'LC (Gross)'!AC178</f>
        <v>0.42698548249358609</v>
      </c>
      <c r="AE178" s="223"/>
    </row>
    <row r="179" spans="1:31" x14ac:dyDescent="0.25">
      <c r="A179" s="21">
        <v>41486</v>
      </c>
      <c r="B179" s="24">
        <f t="shared" si="26"/>
        <v>163</v>
      </c>
      <c r="C179" s="97" t="s">
        <v>57</v>
      </c>
      <c r="D179" s="114">
        <f t="shared" si="27"/>
        <v>4.5068027210884303</v>
      </c>
      <c r="E179" s="47">
        <f t="shared" si="19"/>
        <v>4815999.5296549667</v>
      </c>
      <c r="F179" s="10"/>
      <c r="H179" s="49"/>
      <c r="I179" s="39"/>
      <c r="J179" s="20">
        <f t="shared" si="20"/>
        <v>41486</v>
      </c>
      <c r="K179" s="27">
        <f>'LC (Gross)'!K179</f>
        <v>5.0883842905535053</v>
      </c>
      <c r="L179" s="46">
        <f t="shared" si="21"/>
        <v>1481959.4350859267</v>
      </c>
      <c r="M179" s="15"/>
      <c r="O179" s="39"/>
      <c r="P179" s="20">
        <f t="shared" si="22"/>
        <v>41486</v>
      </c>
      <c r="Q179" s="27">
        <f>'LC (Gross)'!Q179</f>
        <v>4.4449288630141188</v>
      </c>
      <c r="R179" s="46">
        <f t="shared" si="23"/>
        <v>1428916.0990029029</v>
      </c>
      <c r="S179" s="10"/>
      <c r="U179" s="49"/>
      <c r="V179" s="39"/>
      <c r="W179" s="20">
        <f t="shared" si="24"/>
        <v>41486</v>
      </c>
      <c r="X179" s="36">
        <f>'LC (Gross)'!X179</f>
        <v>4.2384464752580708</v>
      </c>
      <c r="Y179" s="46">
        <f t="shared" si="25"/>
        <v>3445474.3506073812</v>
      </c>
      <c r="AC179" s="107">
        <f>'LC (Gross)'!AC179</f>
        <v>4.5068027210884303</v>
      </c>
      <c r="AE179" s="223"/>
    </row>
    <row r="180" spans="1:31" x14ac:dyDescent="0.25">
      <c r="A180" s="21">
        <v>41517</v>
      </c>
      <c r="B180" s="24">
        <f t="shared" si="26"/>
        <v>164</v>
      </c>
      <c r="C180" s="97" t="s">
        <v>57</v>
      </c>
      <c r="D180" s="114">
        <f t="shared" si="27"/>
        <v>-3.5801464605370183</v>
      </c>
      <c r="E180" s="47">
        <f t="shared" si="19"/>
        <v>4643579.6929545449</v>
      </c>
      <c r="F180" s="10"/>
      <c r="H180" s="49"/>
      <c r="I180" s="39"/>
      <c r="J180" s="20">
        <f t="shared" si="20"/>
        <v>41517</v>
      </c>
      <c r="K180" s="27">
        <f>'LC (Gross)'!K180</f>
        <v>-2.897235282454881</v>
      </c>
      <c r="L180" s="46">
        <f t="shared" si="21"/>
        <v>1439023.5834609482</v>
      </c>
      <c r="M180" s="15"/>
      <c r="O180" s="39"/>
      <c r="P180" s="20">
        <f t="shared" si="22"/>
        <v>41517</v>
      </c>
      <c r="Q180" s="27">
        <f>'LC (Gross)'!Q180</f>
        <v>-3.2021093845271453</v>
      </c>
      <c r="R180" s="46">
        <f t="shared" si="23"/>
        <v>1383160.6424997118</v>
      </c>
      <c r="S180" s="10"/>
      <c r="U180" s="49"/>
      <c r="V180" s="39"/>
      <c r="W180" s="20">
        <f t="shared" si="24"/>
        <v>41517</v>
      </c>
      <c r="X180" s="36">
        <f>'LC (Gross)'!X180</f>
        <v>-4.8339233867019633</v>
      </c>
      <c r="Y180" s="46">
        <f t="shared" si="25"/>
        <v>3278922.7601905535</v>
      </c>
      <c r="AC180" s="107">
        <f>'LC (Gross)'!AC180</f>
        <v>-3.5801464605370183</v>
      </c>
      <c r="AE180" s="223"/>
    </row>
    <row r="181" spans="1:31" x14ac:dyDescent="0.25">
      <c r="A181" s="21">
        <v>41547</v>
      </c>
      <c r="B181" s="24">
        <f t="shared" si="26"/>
        <v>165</v>
      </c>
      <c r="C181" s="97" t="s">
        <v>57</v>
      </c>
      <c r="D181" s="114">
        <f t="shared" si="27"/>
        <v>2.0253164556962044</v>
      </c>
      <c r="E181" s="47">
        <f t="shared" si="19"/>
        <v>4737626.8766093208</v>
      </c>
      <c r="F181" s="10"/>
      <c r="G181" s="49">
        <f>(E181/E178-1)*100</f>
        <v>2.8061224489795977</v>
      </c>
      <c r="H181" s="49"/>
      <c r="I181" s="39"/>
      <c r="J181" s="20">
        <f t="shared" si="20"/>
        <v>41547</v>
      </c>
      <c r="K181" s="27">
        <f>'LC (Gross)'!K181</f>
        <v>3.1362227634925532</v>
      </c>
      <c r="L181" s="46">
        <f t="shared" si="21"/>
        <v>1484154.5686574767</v>
      </c>
      <c r="M181" s="15"/>
      <c r="N181" s="49">
        <f>(L181/L178-1)*100</f>
        <v>5.244045123687413</v>
      </c>
      <c r="O181" s="39"/>
      <c r="P181" s="20">
        <f t="shared" si="22"/>
        <v>41547</v>
      </c>
      <c r="Q181" s="27">
        <f>'LC (Gross)'!Q181</f>
        <v>2.6107124007797928</v>
      </c>
      <c r="R181" s="46">
        <f t="shared" si="23"/>
        <v>1419270.9889161573</v>
      </c>
      <c r="S181" s="10"/>
      <c r="T181" s="49">
        <f>(R181/R178-1)*100</f>
        <v>3.7399309715430595</v>
      </c>
      <c r="U181" s="49"/>
      <c r="V181" s="39"/>
      <c r="W181" s="20">
        <f t="shared" si="24"/>
        <v>41547</v>
      </c>
      <c r="X181" s="36">
        <f>'LC (Gross)'!X181</f>
        <v>1.9794963904262544</v>
      </c>
      <c r="Y181" s="46">
        <f t="shared" si="25"/>
        <v>3343828.9178733905</v>
      </c>
      <c r="AC181" s="107">
        <f>'LC (Gross)'!AC181</f>
        <v>2.0253164556962044</v>
      </c>
      <c r="AE181" s="223"/>
    </row>
    <row r="182" spans="1:31" x14ac:dyDescent="0.25">
      <c r="A182" s="21">
        <v>41578</v>
      </c>
      <c r="B182" s="24">
        <f t="shared" si="26"/>
        <v>166</v>
      </c>
      <c r="C182" s="97" t="s">
        <v>57</v>
      </c>
      <c r="D182" s="114">
        <f t="shared" si="27"/>
        <v>3.7220843672456518</v>
      </c>
      <c r="E182" s="47">
        <f t="shared" si="19"/>
        <v>4913965.3459620243</v>
      </c>
      <c r="F182" s="1"/>
      <c r="H182" s="49"/>
      <c r="I182" s="39"/>
      <c r="J182" s="20">
        <f t="shared" si="20"/>
        <v>41578</v>
      </c>
      <c r="K182" s="27">
        <f>'LC (Gross)'!K182</f>
        <v>4.5962932762223021</v>
      </c>
      <c r="L182" s="46">
        <f t="shared" si="21"/>
        <v>1552370.6653054263</v>
      </c>
      <c r="M182" s="4"/>
      <c r="O182" s="39"/>
      <c r="P182" s="20">
        <f t="shared" si="22"/>
        <v>41578</v>
      </c>
      <c r="Q182" s="27">
        <f>'LC (Gross)'!Q182</f>
        <v>4.6154995345851768</v>
      </c>
      <c r="R182" s="46">
        <f t="shared" si="23"/>
        <v>1484777.4348040849</v>
      </c>
      <c r="S182" s="54"/>
      <c r="U182" s="49"/>
      <c r="V182" s="39"/>
      <c r="W182" s="20">
        <f t="shared" si="24"/>
        <v>41578</v>
      </c>
      <c r="X182" s="36">
        <f>'LC (Gross)'!X182</f>
        <v>4.5744904530364456</v>
      </c>
      <c r="Y182" s="46">
        <f t="shared" si="25"/>
        <v>3496792.0524873808</v>
      </c>
      <c r="AC182" s="107">
        <f>'LC (Gross)'!AC182</f>
        <v>3.7220843672456518</v>
      </c>
      <c r="AE182" s="223"/>
    </row>
    <row r="183" spans="1:31" x14ac:dyDescent="0.25">
      <c r="A183" s="21">
        <v>41608</v>
      </c>
      <c r="B183" s="24">
        <f t="shared" si="26"/>
        <v>167</v>
      </c>
      <c r="C183" s="97" t="s">
        <v>57</v>
      </c>
      <c r="D183" s="114">
        <f t="shared" si="27"/>
        <v>1.8341307814992061</v>
      </c>
      <c r="E183" s="47">
        <f t="shared" si="19"/>
        <v>5004093.8969645174</v>
      </c>
      <c r="F183" s="1"/>
      <c r="H183" s="49"/>
      <c r="I183" s="39"/>
      <c r="J183" s="20">
        <f t="shared" si="20"/>
        <v>41608</v>
      </c>
      <c r="K183" s="27">
        <f>'LC (Gross)'!K183</f>
        <v>3.0467850036079138</v>
      </c>
      <c r="L183" s="46">
        <f t="shared" si="21"/>
        <v>1599668.0619363606</v>
      </c>
      <c r="M183" s="4"/>
      <c r="O183" s="39"/>
      <c r="P183" s="20">
        <f t="shared" si="22"/>
        <v>41608</v>
      </c>
      <c r="Q183" s="27">
        <f>'LC (Gross)'!Q183</f>
        <v>2.9453819983255345</v>
      </c>
      <c r="R183" s="46">
        <f t="shared" si="23"/>
        <v>1528509.802084004</v>
      </c>
      <c r="S183" s="54"/>
      <c r="U183" s="49"/>
      <c r="V183" s="39"/>
      <c r="W183" s="20">
        <f t="shared" si="24"/>
        <v>41608</v>
      </c>
      <c r="X183" s="36">
        <f>'LC (Gross)'!X183</f>
        <v>1.1941041333819051</v>
      </c>
      <c r="Y183" s="46">
        <f t="shared" si="25"/>
        <v>3538547.3909219024</v>
      </c>
      <c r="AC183" s="107">
        <f>'LC (Gross)'!AC183</f>
        <v>1.8341307814992061</v>
      </c>
      <c r="AE183" s="223"/>
    </row>
    <row r="184" spans="1:31" x14ac:dyDescent="0.25">
      <c r="A184" s="21">
        <v>41639</v>
      </c>
      <c r="B184" s="24">
        <f t="shared" si="26"/>
        <v>168</v>
      </c>
      <c r="C184" s="97" t="s">
        <v>57</v>
      </c>
      <c r="D184" s="114">
        <f t="shared" si="27"/>
        <v>2.0052750000000001</v>
      </c>
      <c r="E184" s="47">
        <f t="shared" si="19"/>
        <v>5104439.7408568729</v>
      </c>
      <c r="F184" s="12">
        <f>(E184-E172)/E172*100</f>
        <v>27.706604093137248</v>
      </c>
      <c r="G184" s="49">
        <f>(E184/E181-1)*100</f>
        <v>7.7425443961951945</v>
      </c>
      <c r="H184" s="49"/>
      <c r="I184" s="39"/>
      <c r="J184" s="20">
        <f t="shared" si="20"/>
        <v>41639</v>
      </c>
      <c r="K184" s="27">
        <f>'LC (Gross)'!K184</f>
        <v>2.5247921308159684</v>
      </c>
      <c r="L184" s="46">
        <f t="shared" si="21"/>
        <v>1640056.355283306</v>
      </c>
      <c r="M184" s="12">
        <f>(L184-L172)/L172*100</f>
        <v>32.374169012663899</v>
      </c>
      <c r="N184" s="49">
        <f>(L184/L181-1)*100</f>
        <v>10.504417121921028</v>
      </c>
      <c r="O184" s="39"/>
      <c r="P184" s="20">
        <f t="shared" si="22"/>
        <v>41639</v>
      </c>
      <c r="Q184" s="27">
        <f>'LC (Gross)'!Q184</f>
        <v>2.1549712067392979</v>
      </c>
      <c r="R184" s="46">
        <f t="shared" si="23"/>
        <v>1561448.7482111021</v>
      </c>
      <c r="S184" s="12">
        <f>(R184-R172)/R172*100</f>
        <v>30.635385648224549</v>
      </c>
      <c r="T184" s="49">
        <f>(R184/R181-1)*100</f>
        <v>10.017661208133365</v>
      </c>
      <c r="U184" s="49"/>
      <c r="V184" s="39"/>
      <c r="W184" s="20">
        <f t="shared" si="24"/>
        <v>41639</v>
      </c>
      <c r="X184" s="36">
        <f>'LC (Gross)'!X184</f>
        <v>1.1263765636694114</v>
      </c>
      <c r="Y184" s="46">
        <f t="shared" si="25"/>
        <v>3578404.7594275819</v>
      </c>
      <c r="Z184" s="33">
        <f>(Y184-Y172)/Y172*100</f>
        <v>23.587673049659312</v>
      </c>
      <c r="AC184" s="107">
        <f>'LC (Gross)'!AC184</f>
        <v>2.0052750000000001</v>
      </c>
      <c r="AE184" s="223"/>
    </row>
    <row r="185" spans="1:31" x14ac:dyDescent="0.25">
      <c r="A185" s="21">
        <v>41670</v>
      </c>
      <c r="B185" s="24">
        <f t="shared" si="26"/>
        <v>169</v>
      </c>
      <c r="C185" s="97" t="s">
        <v>57</v>
      </c>
      <c r="D185" s="114">
        <f>AC185</f>
        <v>-3.3018867924528292</v>
      </c>
      <c r="E185" s="47">
        <f t="shared" si="19"/>
        <v>4935896.9192248061</v>
      </c>
      <c r="F185" s="10"/>
      <c r="H185" s="49"/>
      <c r="I185" s="39"/>
      <c r="J185" s="20">
        <f t="shared" si="20"/>
        <v>41670</v>
      </c>
      <c r="K185" s="27">
        <f>'LC (Gross)'!K185</f>
        <v>-3.4574234097127894</v>
      </c>
      <c r="L185" s="46">
        <f t="shared" si="21"/>
        <v>1583352.6629232585</v>
      </c>
      <c r="M185" s="15"/>
      <c r="O185" s="39"/>
      <c r="P185" s="20">
        <f t="shared" si="22"/>
        <v>41670</v>
      </c>
      <c r="Q185" s="27">
        <f>'LC (Gross)'!Q185</f>
        <v>-3.3712627168050076</v>
      </c>
      <c r="R185" s="46">
        <f t="shared" si="23"/>
        <v>1508808.2087206426</v>
      </c>
      <c r="S185" s="10"/>
      <c r="U185" s="49"/>
      <c r="V185" s="39"/>
      <c r="W185" s="20">
        <f t="shared" si="24"/>
        <v>41670</v>
      </c>
      <c r="X185" s="36">
        <f>'LC (Gross)'!X185</f>
        <v>-2.4884537648391851</v>
      </c>
      <c r="Y185" s="46">
        <f t="shared" si="25"/>
        <v>3489357.8114704215</v>
      </c>
      <c r="AC185" s="107">
        <f>'LC (Gross)'!AC185</f>
        <v>-3.3018867924528292</v>
      </c>
      <c r="AE185" s="223"/>
    </row>
    <row r="186" spans="1:31" x14ac:dyDescent="0.25">
      <c r="A186" s="21">
        <v>41698</v>
      </c>
      <c r="B186" s="24">
        <f t="shared" si="26"/>
        <v>170</v>
      </c>
      <c r="C186" s="97" t="s">
        <v>57</v>
      </c>
      <c r="D186" s="114">
        <f t="shared" si="27"/>
        <v>3.5772357723577195</v>
      </c>
      <c r="E186" s="47">
        <f t="shared" si="19"/>
        <v>5112465.5895060189</v>
      </c>
      <c r="F186" s="10"/>
      <c r="H186" s="49"/>
      <c r="I186" s="39"/>
      <c r="J186" s="20">
        <f t="shared" si="20"/>
        <v>41698</v>
      </c>
      <c r="K186" s="27">
        <f>'LC (Gross)'!K186</f>
        <v>4.5734913571781322</v>
      </c>
      <c r="L186" s="46">
        <f t="shared" si="21"/>
        <v>1655767.1601157035</v>
      </c>
      <c r="M186" s="15"/>
      <c r="O186" s="39"/>
      <c r="P186" s="20">
        <f t="shared" si="22"/>
        <v>41698</v>
      </c>
      <c r="Q186" s="27">
        <f>'LC (Gross)'!Q186</f>
        <v>4.2773090480561953</v>
      </c>
      <c r="R186" s="46">
        <f t="shared" si="23"/>
        <v>1573344.5987500653</v>
      </c>
      <c r="S186" s="10"/>
      <c r="U186" s="49"/>
      <c r="V186" s="39"/>
      <c r="W186" s="20">
        <f t="shared" si="24"/>
        <v>41698</v>
      </c>
      <c r="X186" s="36">
        <f>'LC (Gross)'!X186</f>
        <v>3.7290898281286364</v>
      </c>
      <c r="Y186" s="46">
        <f t="shared" si="25"/>
        <v>3619479.0986849768</v>
      </c>
      <c r="AC186" s="107">
        <f>'LC (Gross)'!AC186</f>
        <v>3.5772357723577195</v>
      </c>
      <c r="AE186" s="223"/>
    </row>
    <row r="187" spans="1:31" x14ac:dyDescent="0.25">
      <c r="A187" s="21">
        <v>41729</v>
      </c>
      <c r="B187" s="24">
        <f t="shared" si="26"/>
        <v>171</v>
      </c>
      <c r="C187" s="97" t="s">
        <v>57</v>
      </c>
      <c r="D187" s="114">
        <f t="shared" si="27"/>
        <v>1.8053375196232375</v>
      </c>
      <c r="E187" s="47">
        <f t="shared" si="19"/>
        <v>5204762.8489711983</v>
      </c>
      <c r="F187" s="10"/>
      <c r="G187" s="49">
        <f>(E187/E184-1)*100</f>
        <v>1.9654088050314433</v>
      </c>
      <c r="H187" s="49"/>
      <c r="I187" s="39"/>
      <c r="J187" s="20">
        <f t="shared" si="20"/>
        <v>41729</v>
      </c>
      <c r="K187" s="27">
        <f>'LC (Gross)'!K187</f>
        <v>0.84079821406014832</v>
      </c>
      <c r="L187" s="46">
        <f t="shared" si="21"/>
        <v>1669688.8208269507</v>
      </c>
      <c r="M187" s="15"/>
      <c r="N187" s="49">
        <f>(L187/L184-1)*100</f>
        <v>1.8067955682246062</v>
      </c>
      <c r="O187" s="39"/>
      <c r="P187" s="20">
        <f t="shared" si="22"/>
        <v>41729</v>
      </c>
      <c r="Q187" s="27">
        <f>'LC (Gross)'!Q187</f>
        <v>1.1740198957208625</v>
      </c>
      <c r="R187" s="46">
        <f t="shared" si="23"/>
        <v>1591815.9773676407</v>
      </c>
      <c r="S187" s="10"/>
      <c r="T187" s="49">
        <f>(R187/R184-1)*100</f>
        <v>1.9448111371781707</v>
      </c>
      <c r="U187" s="49"/>
      <c r="V187" s="39"/>
      <c r="W187" s="20">
        <f t="shared" si="24"/>
        <v>41729</v>
      </c>
      <c r="X187" s="36">
        <f>'LC (Gross)'!X187</f>
        <v>2.1060425250211288</v>
      </c>
      <c r="Y187" s="46">
        <f t="shared" si="25"/>
        <v>3695706.8676875341</v>
      </c>
      <c r="AC187" s="107">
        <f>'LC (Gross)'!AC187</f>
        <v>1.8053375196232375</v>
      </c>
      <c r="AE187" s="223"/>
    </row>
    <row r="188" spans="1:31" x14ac:dyDescent="0.25">
      <c r="A188" s="21">
        <v>41759</v>
      </c>
      <c r="B188" s="24">
        <f t="shared" si="26"/>
        <v>172</v>
      </c>
      <c r="C188" s="97" t="s">
        <v>57</v>
      </c>
      <c r="D188" s="114">
        <f t="shared" si="27"/>
        <v>0.61680801850424105</v>
      </c>
      <c r="E188" s="47">
        <f t="shared" si="19"/>
        <v>5236866.2435677825</v>
      </c>
      <c r="F188" s="10"/>
      <c r="H188" s="49"/>
      <c r="I188" s="39"/>
      <c r="J188" s="20">
        <f t="shared" si="20"/>
        <v>41759</v>
      </c>
      <c r="K188" s="27">
        <f>'LC (Gross)'!K188</f>
        <v>0.73893574420213537</v>
      </c>
      <c r="L188" s="46">
        <f t="shared" si="21"/>
        <v>1682026.7483409883</v>
      </c>
      <c r="M188" s="15"/>
      <c r="O188" s="39"/>
      <c r="P188" s="20">
        <f t="shared" si="22"/>
        <v>41759</v>
      </c>
      <c r="Q188" s="27">
        <f>'LC (Gross)'!Q188</f>
        <v>1.4185078279365659</v>
      </c>
      <c r="R188" s="46">
        <f t="shared" si="23"/>
        <v>1614396.0116129457</v>
      </c>
      <c r="S188" s="10"/>
      <c r="U188" s="49"/>
      <c r="V188" s="39"/>
      <c r="W188" s="20">
        <f t="shared" si="24"/>
        <v>41759</v>
      </c>
      <c r="X188" s="36">
        <f>'LC (Gross)'!X188</f>
        <v>1.9478624953933084</v>
      </c>
      <c r="Y188" s="46">
        <f t="shared" si="25"/>
        <v>3767694.1557028946</v>
      </c>
      <c r="AC188" s="107">
        <f>'LC (Gross)'!AC188</f>
        <v>0.61680801850424105</v>
      </c>
      <c r="AE188" s="223"/>
    </row>
    <row r="189" spans="1:31" x14ac:dyDescent="0.25">
      <c r="A189" s="21">
        <v>41790</v>
      </c>
      <c r="B189" s="24">
        <f t="shared" si="26"/>
        <v>173</v>
      </c>
      <c r="C189" s="97" t="s">
        <v>57</v>
      </c>
      <c r="D189" s="114">
        <f t="shared" si="27"/>
        <v>1.1494252873563109</v>
      </c>
      <c r="E189" s="47">
        <f t="shared" si="19"/>
        <v>5297060.1084363768</v>
      </c>
      <c r="F189" s="10"/>
      <c r="H189" s="49"/>
      <c r="I189" s="39"/>
      <c r="J189" s="20">
        <f t="shared" si="20"/>
        <v>41790</v>
      </c>
      <c r="K189" s="27">
        <f>'LC (Gross)'!K189</f>
        <v>2.3465618221986664</v>
      </c>
      <c r="L189" s="46">
        <f t="shared" si="21"/>
        <v>1721496.5458567275</v>
      </c>
      <c r="M189" s="15"/>
      <c r="O189" s="39"/>
      <c r="P189" s="20">
        <f t="shared" si="22"/>
        <v>41790</v>
      </c>
      <c r="Q189" s="27">
        <f>'LC (Gross)'!Q189</f>
        <v>1.7756785159117283</v>
      </c>
      <c r="R189" s="46">
        <f t="shared" si="23"/>
        <v>1643062.4947528925</v>
      </c>
      <c r="S189" s="10"/>
      <c r="U189" s="49"/>
      <c r="V189" s="39"/>
      <c r="W189" s="20">
        <f t="shared" si="24"/>
        <v>41790</v>
      </c>
      <c r="X189" s="36">
        <f>'LC (Gross)'!X189</f>
        <v>1.0427257307489917</v>
      </c>
      <c r="Y189" s="46">
        <f t="shared" si="25"/>
        <v>3806980.8721203348</v>
      </c>
      <c r="AC189" s="107">
        <f>'LC (Gross)'!AC189</f>
        <v>1.1494252873563109</v>
      </c>
      <c r="AE189" s="223"/>
    </row>
    <row r="190" spans="1:31" x14ac:dyDescent="0.25">
      <c r="A190" s="21">
        <v>41820</v>
      </c>
      <c r="B190" s="24">
        <f t="shared" si="26"/>
        <v>174</v>
      </c>
      <c r="C190" s="97" t="s">
        <v>57</v>
      </c>
      <c r="D190" s="114">
        <f t="shared" si="27"/>
        <v>1.3636363636363751</v>
      </c>
      <c r="E190" s="47">
        <f t="shared" si="19"/>
        <v>5369292.746278692</v>
      </c>
      <c r="F190" s="10"/>
      <c r="G190" s="49">
        <f>(E190/E187-1)*100</f>
        <v>3.16114109483423</v>
      </c>
      <c r="H190" s="49"/>
      <c r="I190" s="39"/>
      <c r="J190" s="20">
        <f t="shared" si="20"/>
        <v>41820</v>
      </c>
      <c r="K190" s="27">
        <f>'LC (Gross)'!K190</f>
        <v>2.0658252562913795</v>
      </c>
      <c r="L190" s="46">
        <f t="shared" si="21"/>
        <v>1757059.6562872196</v>
      </c>
      <c r="M190" s="15"/>
      <c r="N190" s="49">
        <f>(L190/L187-1)*100</f>
        <v>5.2327616002721067</v>
      </c>
      <c r="O190" s="39"/>
      <c r="P190" s="20">
        <f t="shared" si="22"/>
        <v>41820</v>
      </c>
      <c r="Q190" s="27">
        <f>'LC (Gross)'!Q190</f>
        <v>1.3691376769380306</v>
      </c>
      <c r="R190" s="46">
        <f t="shared" si="23"/>
        <v>1665558.2824241924</v>
      </c>
      <c r="S190" s="10"/>
      <c r="T190" s="49">
        <f>(R190/R187-1)*100</f>
        <v>4.6325898285364708</v>
      </c>
      <c r="U190" s="49"/>
      <c r="V190" s="39"/>
      <c r="W190" s="20">
        <f t="shared" si="24"/>
        <v>41820</v>
      </c>
      <c r="X190" s="36">
        <f>'LC (Gross)'!X190</f>
        <v>2.1555243800838326</v>
      </c>
      <c r="Y190" s="46">
        <f t="shared" si="25"/>
        <v>3889041.2729640165</v>
      </c>
      <c r="AC190" s="107">
        <f>'LC (Gross)'!AC190</f>
        <v>1.3636363636363751</v>
      </c>
      <c r="AE190" s="223"/>
    </row>
    <row r="191" spans="1:31" x14ac:dyDescent="0.25">
      <c r="A191" s="21">
        <v>41851</v>
      </c>
      <c r="B191" s="24">
        <f t="shared" si="26"/>
        <v>175</v>
      </c>
      <c r="C191" s="97" t="s">
        <v>57</v>
      </c>
      <c r="D191" s="114">
        <f t="shared" si="27"/>
        <v>-1.0463378176382703</v>
      </c>
      <c r="E191" s="47">
        <f t="shared" si="19"/>
        <v>5313111.8057346698</v>
      </c>
      <c r="H191" s="49"/>
      <c r="I191" s="39"/>
      <c r="J191" s="20">
        <f t="shared" si="20"/>
        <v>41851</v>
      </c>
      <c r="K191" s="27">
        <f>'LC (Gross)'!K191</f>
        <v>-1.379228117077598</v>
      </c>
      <c r="L191" s="46">
        <f t="shared" si="21"/>
        <v>1732825.7954738792</v>
      </c>
      <c r="M191" s="113"/>
      <c r="O191" s="39"/>
      <c r="P191" s="20">
        <f t="shared" si="22"/>
        <v>41851</v>
      </c>
      <c r="Q191" s="27">
        <f>'LC (Gross)'!Q191</f>
        <v>-1.5425272715614404</v>
      </c>
      <c r="R191" s="46">
        <f t="shared" si="23"/>
        <v>1639866.5916940488</v>
      </c>
      <c r="S191" s="22"/>
      <c r="U191" s="49"/>
      <c r="V191" s="39"/>
      <c r="W191" s="20">
        <f t="shared" si="24"/>
        <v>41851</v>
      </c>
      <c r="X191" s="36">
        <f>'LC (Gross)'!X191</f>
        <v>-3.8000697186124377</v>
      </c>
      <c r="Y191" s="46">
        <f t="shared" si="25"/>
        <v>3741254.9932057713</v>
      </c>
      <c r="AC191" s="107">
        <f>'LC (Gross)'!AC191</f>
        <v>-1.0463378176382703</v>
      </c>
      <c r="AE191" s="223"/>
    </row>
    <row r="192" spans="1:31" x14ac:dyDescent="0.25">
      <c r="A192" s="21">
        <v>41882</v>
      </c>
      <c r="B192" s="24">
        <f t="shared" si="26"/>
        <v>176</v>
      </c>
      <c r="C192" s="97" t="s">
        <v>57</v>
      </c>
      <c r="D192" s="114">
        <f t="shared" si="27"/>
        <v>3.6253776435045348</v>
      </c>
      <c r="E192" s="47">
        <f t="shared" si="19"/>
        <v>5505732.1733141746</v>
      </c>
      <c r="F192" s="4"/>
      <c r="H192" s="49"/>
      <c r="I192" s="39"/>
      <c r="J192" s="20">
        <f t="shared" si="20"/>
        <v>41882</v>
      </c>
      <c r="K192" s="27">
        <f>'LC (Gross)'!K192</f>
        <v>4.0001307171931559</v>
      </c>
      <c r="L192" s="46">
        <f t="shared" si="21"/>
        <v>1802141.0923940765</v>
      </c>
      <c r="M192" s="4"/>
      <c r="O192" s="39"/>
      <c r="P192" s="20">
        <f t="shared" si="22"/>
        <v>41882</v>
      </c>
      <c r="Q192" s="27">
        <f>'LC (Gross)'!Q192</f>
        <v>3.6376809722040209</v>
      </c>
      <c r="R192" s="46">
        <f t="shared" si="23"/>
        <v>1699519.7066696337</v>
      </c>
      <c r="S192" s="54"/>
      <c r="U192" s="49"/>
      <c r="V192" s="39"/>
      <c r="W192" s="20">
        <f t="shared" si="24"/>
        <v>41882</v>
      </c>
      <c r="X192" s="36">
        <f>'LC (Gross)'!X192</f>
        <v>3.7552616388082538</v>
      </c>
      <c r="Y192" s="46">
        <f t="shared" si="25"/>
        <v>3881748.9067756259</v>
      </c>
      <c r="AC192" s="107">
        <f>'LC (Gross)'!AC192</f>
        <v>3.6253776435045348</v>
      </c>
      <c r="AE192" s="223"/>
    </row>
    <row r="193" spans="1:56" x14ac:dyDescent="0.25">
      <c r="A193" s="21">
        <v>41912</v>
      </c>
      <c r="B193" s="24">
        <f t="shared" si="26"/>
        <v>177</v>
      </c>
      <c r="C193" s="97" t="s">
        <v>57</v>
      </c>
      <c r="D193" s="114">
        <f t="shared" si="27"/>
        <v>-0.87463556851312663</v>
      </c>
      <c r="E193" s="47">
        <f t="shared" si="19"/>
        <v>5457577.0814192984</v>
      </c>
      <c r="F193" s="12"/>
      <c r="G193" s="49">
        <f>(E193/E190-1)*100</f>
        <v>1.6442451420029869</v>
      </c>
      <c r="H193" s="49"/>
      <c r="I193" s="39"/>
      <c r="J193" s="20">
        <f t="shared" si="20"/>
        <v>41912</v>
      </c>
      <c r="K193" s="27">
        <f>'LC (Gross)'!K193</f>
        <v>-1.4020945270779435</v>
      </c>
      <c r="L193" s="46">
        <f t="shared" si="21"/>
        <v>1776873.3707673964</v>
      </c>
      <c r="M193" s="12"/>
      <c r="N193" s="49">
        <f>(L193/L190-1)*100</f>
        <v>1.1276631621059741</v>
      </c>
      <c r="O193" s="39"/>
      <c r="P193" s="20">
        <f t="shared" si="22"/>
        <v>41912</v>
      </c>
      <c r="Q193" s="27">
        <f>'LC (Gross)'!Q193</f>
        <v>-0.96347165255995126</v>
      </c>
      <c r="R193" s="46">
        <f t="shared" si="23"/>
        <v>1683145.3160662018</v>
      </c>
      <c r="S193" s="37"/>
      <c r="T193" s="49">
        <f>(R193/R190-1)*100</f>
        <v>1.0559242403941349</v>
      </c>
      <c r="U193" s="49"/>
      <c r="V193" s="39"/>
      <c r="W193" s="20">
        <f t="shared" si="24"/>
        <v>41912</v>
      </c>
      <c r="X193" s="36">
        <f>'LC (Gross)'!X193</f>
        <v>-0.86028701682969022</v>
      </c>
      <c r="Y193" s="46">
        <f t="shared" si="25"/>
        <v>3848354.7249047067</v>
      </c>
      <c r="AC193" s="107">
        <f>'LC (Gross)'!AC193</f>
        <v>-0.87463556851312663</v>
      </c>
      <c r="AE193" s="223"/>
    </row>
    <row r="194" spans="1:56" x14ac:dyDescent="0.25">
      <c r="A194" s="21">
        <v>41943</v>
      </c>
      <c r="B194" s="24">
        <f t="shared" si="26"/>
        <v>178</v>
      </c>
      <c r="C194" s="97" t="s">
        <v>57</v>
      </c>
      <c r="D194" s="114">
        <f t="shared" si="27"/>
        <v>3.2352941176470558</v>
      </c>
      <c r="E194" s="47">
        <f t="shared" si="19"/>
        <v>5634145.7517005112</v>
      </c>
      <c r="F194" s="12"/>
      <c r="G194" s="49"/>
      <c r="H194" s="49"/>
      <c r="I194" s="39"/>
      <c r="J194" s="20">
        <f t="shared" si="20"/>
        <v>41943</v>
      </c>
      <c r="K194" s="27">
        <f>'LC (Gross)'!K194</f>
        <v>2.4420309995375749</v>
      </c>
      <c r="L194" s="46">
        <f t="shared" si="21"/>
        <v>1820265.1693040645</v>
      </c>
      <c r="M194" s="12"/>
      <c r="N194" s="49"/>
      <c r="O194" s="39"/>
      <c r="P194" s="20">
        <f t="shared" si="22"/>
        <v>41943</v>
      </c>
      <c r="Q194" s="27">
        <f>'LC (Gross)'!Q194</f>
        <v>2.8811423094342814</v>
      </c>
      <c r="R194" s="46">
        <f t="shared" si="23"/>
        <v>1731639.1278966465</v>
      </c>
      <c r="S194" s="37"/>
      <c r="T194" s="49"/>
      <c r="U194" s="49"/>
      <c r="V194" s="39"/>
      <c r="W194" s="20">
        <f t="shared" si="24"/>
        <v>41943</v>
      </c>
      <c r="X194" s="36">
        <f>'LC (Gross)'!X194</f>
        <v>4.9408294930875591</v>
      </c>
      <c r="Y194" s="46">
        <f t="shared" si="25"/>
        <v>4038495.3701514271</v>
      </c>
      <c r="AC194" s="107">
        <f>'LC (Gross)'!AC194</f>
        <v>3.2352941176470558</v>
      </c>
      <c r="AE194" s="223"/>
    </row>
    <row r="195" spans="1:56" x14ac:dyDescent="0.25">
      <c r="A195" s="21">
        <v>41973</v>
      </c>
      <c r="B195" s="24">
        <f t="shared" si="26"/>
        <v>179</v>
      </c>
      <c r="C195" s="97" t="s">
        <v>57</v>
      </c>
      <c r="D195" s="114">
        <f t="shared" si="27"/>
        <v>4.1310541310541318</v>
      </c>
      <c r="E195" s="47">
        <f t="shared" si="19"/>
        <v>5866895.3625257462</v>
      </c>
      <c r="F195" s="12"/>
      <c r="H195" s="49"/>
      <c r="I195" s="39"/>
      <c r="J195" s="20">
        <f t="shared" si="20"/>
        <v>41973</v>
      </c>
      <c r="K195" s="27">
        <f>'LC (Gross)'!K195</f>
        <v>2.6882268432619147</v>
      </c>
      <c r="L195" s="46">
        <f t="shared" si="21"/>
        <v>1869198.0262038433</v>
      </c>
      <c r="M195" s="12"/>
      <c r="N195" s="22"/>
      <c r="O195" s="39"/>
      <c r="P195" s="20">
        <f t="shared" si="22"/>
        <v>41973</v>
      </c>
      <c r="Q195" s="27">
        <f>'LC (Gross)'!Q195</f>
        <v>2.5824788294768029</v>
      </c>
      <c r="R195" s="46">
        <f t="shared" si="23"/>
        <v>1776358.3417775142</v>
      </c>
      <c r="S195" s="37"/>
      <c r="U195" s="49"/>
      <c r="V195" s="39"/>
      <c r="W195" s="20">
        <f t="shared" si="24"/>
        <v>41973</v>
      </c>
      <c r="X195" s="36">
        <f>'LC (Gross)'!X195</f>
        <v>2.854635757970355</v>
      </c>
      <c r="Y195" s="46">
        <f t="shared" si="25"/>
        <v>4153779.703071747</v>
      </c>
      <c r="AC195" s="107">
        <f>'LC (Gross)'!AC195</f>
        <v>4.1310541310541318</v>
      </c>
      <c r="AE195" s="223"/>
    </row>
    <row r="196" spans="1:56" x14ac:dyDescent="0.25">
      <c r="A196" s="21">
        <v>42004</v>
      </c>
      <c r="B196" s="24">
        <f t="shared" si="26"/>
        <v>180</v>
      </c>
      <c r="C196" s="97" t="s">
        <v>57</v>
      </c>
      <c r="D196" s="114">
        <f t="shared" si="27"/>
        <v>3.558E-3</v>
      </c>
      <c r="E196" s="47">
        <f t="shared" si="19"/>
        <v>5867104.1066627447</v>
      </c>
      <c r="F196" s="12">
        <f>(E196-E$184)/E$184*100</f>
        <v>14.941196380503156</v>
      </c>
      <c r="G196" s="49">
        <f>(E196/E193-1)*100</f>
        <v>7.5038248500000071</v>
      </c>
      <c r="H196" s="49"/>
      <c r="I196" s="39"/>
      <c r="J196" s="20">
        <f t="shared" si="20"/>
        <v>42004</v>
      </c>
      <c r="K196" s="27">
        <f>'LC (Gross)'!K196</f>
        <v>-0.25732260110186045</v>
      </c>
      <c r="L196" s="46">
        <f t="shared" si="21"/>
        <v>1864388.157223071</v>
      </c>
      <c r="M196" s="12">
        <f>(L196-L$184)/L$184*100</f>
        <v>13.678298383899959</v>
      </c>
      <c r="N196" s="49">
        <f>(L196/L193-1)*100</f>
        <v>4.9252123361992028</v>
      </c>
      <c r="O196" s="39"/>
      <c r="P196" s="20">
        <f t="shared" si="22"/>
        <v>42004</v>
      </c>
      <c r="Q196" s="27">
        <f>'LC (Gross)'!Q196</f>
        <v>-0.22762552885702175</v>
      </c>
      <c r="R196" s="46">
        <f t="shared" si="23"/>
        <v>1772314.8967076472</v>
      </c>
      <c r="S196" s="12">
        <f>(R196-R$184)/R$184*100</f>
        <v>13.50451935986546</v>
      </c>
      <c r="T196" s="49">
        <f>(R196/R193-1)*100</f>
        <v>5.2977945392053361</v>
      </c>
      <c r="U196" s="49"/>
      <c r="V196" s="39"/>
      <c r="W196" s="20">
        <f t="shared" si="24"/>
        <v>42004</v>
      </c>
      <c r="X196" s="36">
        <f>'LC (Gross)'!X196</f>
        <v>1.2122201138519857</v>
      </c>
      <c r="Y196" s="46">
        <f t="shared" si="25"/>
        <v>4204132.656117484</v>
      </c>
      <c r="Z196" s="33">
        <f>(Y196-Y$184)/Y$184*100</f>
        <v>17.48622469387718</v>
      </c>
      <c r="AC196" s="107">
        <f>'LC (Gross)'!AC196</f>
        <v>3.558E-3</v>
      </c>
      <c r="AE196" s="223"/>
    </row>
    <row r="197" spans="1:56" x14ac:dyDescent="0.25">
      <c r="A197" s="21">
        <v>42035</v>
      </c>
      <c r="B197" s="24">
        <f t="shared" si="26"/>
        <v>181</v>
      </c>
      <c r="C197" s="97" t="s">
        <v>57</v>
      </c>
      <c r="D197" s="114">
        <f>AC197</f>
        <v>-1.2134189864382579</v>
      </c>
      <c r="E197" s="47">
        <f t="shared" si="19"/>
        <v>5795911.5514783999</v>
      </c>
      <c r="H197" s="49"/>
      <c r="I197" s="39"/>
      <c r="J197" s="20">
        <f t="shared" si="20"/>
        <v>42035</v>
      </c>
      <c r="K197" s="27">
        <f>'LC (Gross)'!K197</f>
        <v>-3.0018337485743869</v>
      </c>
      <c r="L197" s="46">
        <f t="shared" si="21"/>
        <v>1808422.3243151247</v>
      </c>
      <c r="M197" s="12"/>
      <c r="O197" s="39"/>
      <c r="P197" s="20">
        <f t="shared" si="22"/>
        <v>42035</v>
      </c>
      <c r="Q197" s="27">
        <f>'LC (Gross)'!Q197</f>
        <v>-2.7810151542266355</v>
      </c>
      <c r="R197" s="46">
        <f t="shared" si="23"/>
        <v>1723026.5508495914</v>
      </c>
      <c r="U197" s="49"/>
      <c r="V197" s="39"/>
      <c r="W197" s="20">
        <f t="shared" si="24"/>
        <v>42035</v>
      </c>
      <c r="X197" s="36">
        <f>'LC (Gross)'!X197</f>
        <v>-0.44297926239115598</v>
      </c>
      <c r="Y197" s="46">
        <f t="shared" si="25"/>
        <v>4185509.2202874692</v>
      </c>
      <c r="AC197" s="107">
        <f>'LC (Gross)'!AC197</f>
        <v>-1.2134189864382579</v>
      </c>
      <c r="AE197" s="223"/>
    </row>
    <row r="198" spans="1:56" x14ac:dyDescent="0.25">
      <c r="A198" s="21">
        <v>42063</v>
      </c>
      <c r="B198" s="24">
        <f>IF(A198&gt;A197,1+B197,"-")</f>
        <v>182</v>
      </c>
      <c r="C198" s="97" t="s">
        <v>57</v>
      </c>
      <c r="D198" s="114">
        <f t="shared" si="27"/>
        <v>3.0346820809248549</v>
      </c>
      <c r="E198" s="47">
        <f t="shared" si="19"/>
        <v>5971799.0407573683</v>
      </c>
      <c r="H198" s="49"/>
      <c r="I198" s="39"/>
      <c r="J198" s="20">
        <f t="shared" si="20"/>
        <v>42063</v>
      </c>
      <c r="K198" s="27">
        <f>'LC (Gross)'!K198</f>
        <v>5.747011365533143</v>
      </c>
      <c r="L198" s="46">
        <f t="shared" si="21"/>
        <v>1912352.5608303535</v>
      </c>
      <c r="M198" s="12"/>
      <c r="O198" s="39"/>
      <c r="P198" s="20">
        <f t="shared" si="22"/>
        <v>42063</v>
      </c>
      <c r="Q198" s="27">
        <f>'LC (Gross)'!Q198</f>
        <v>5.0496605257856046</v>
      </c>
      <c r="R198" s="46">
        <f t="shared" si="23"/>
        <v>1810033.5424366484</v>
      </c>
      <c r="U198" s="49"/>
      <c r="V198" s="39"/>
      <c r="W198" s="20">
        <f t="shared" si="24"/>
        <v>42063</v>
      </c>
      <c r="X198" s="36">
        <f>'LC (Gross)'!X198</f>
        <v>1.521508567571882</v>
      </c>
      <c r="Y198" s="46">
        <f t="shared" si="25"/>
        <v>4249192.1016706545</v>
      </c>
      <c r="AC198" s="107">
        <f>'LC (Gross)'!AC198</f>
        <v>3.0346820809248549</v>
      </c>
      <c r="AE198" s="223"/>
    </row>
    <row r="199" spans="1:56" x14ac:dyDescent="0.25">
      <c r="A199" s="21">
        <v>42094</v>
      </c>
      <c r="B199" s="24">
        <f t="shared" ref="B199:B262" si="28">IF(A199&gt;A198,1+B198,"-")</f>
        <v>183</v>
      </c>
      <c r="C199" s="97" t="s">
        <v>57</v>
      </c>
      <c r="D199" s="114">
        <f t="shared" si="27"/>
        <v>-0.70126227208975911</v>
      </c>
      <c r="E199" s="47">
        <f t="shared" si="19"/>
        <v>5929921.0671195183</v>
      </c>
      <c r="F199" s="12"/>
      <c r="G199" s="49">
        <f>(E199/E196-1)*100</f>
        <v>1.070663811563155</v>
      </c>
      <c r="H199" s="49"/>
      <c r="I199" s="39"/>
      <c r="J199" s="20">
        <f t="shared" si="20"/>
        <v>42094</v>
      </c>
      <c r="K199" s="27">
        <f>'LC (Gross)'!K199</f>
        <v>-1.5811659792919264</v>
      </c>
      <c r="L199" s="46">
        <f t="shared" si="21"/>
        <v>1882115.092734386</v>
      </c>
      <c r="M199" s="12"/>
      <c r="N199" s="49">
        <f>(L199/L196-1)*100</f>
        <v>0.95081785639095084</v>
      </c>
      <c r="O199" s="39"/>
      <c r="P199" s="20">
        <f t="shared" si="22"/>
        <v>42094</v>
      </c>
      <c r="Q199" s="27">
        <f>'LC (Gross)'!Q199</f>
        <v>-1.6815618013481388</v>
      </c>
      <c r="R199" s="46">
        <f t="shared" si="23"/>
        <v>1779596.7097954452</v>
      </c>
      <c r="T199" s="49">
        <f>(R199/R196-1)*100</f>
        <v>0.41086451969258864</v>
      </c>
      <c r="U199" s="49"/>
      <c r="V199" s="39"/>
      <c r="W199" s="20">
        <f t="shared" si="24"/>
        <v>42094</v>
      </c>
      <c r="X199" s="36">
        <f>'LC (Gross)'!X199</f>
        <v>-0.34857760600342619</v>
      </c>
      <c r="Y199" s="46">
        <f t="shared" si="25"/>
        <v>4234380.3695681645</v>
      </c>
      <c r="AC199" s="107">
        <f>'LC (Gross)'!AC199</f>
        <v>-0.70126227208975911</v>
      </c>
      <c r="AE199" s="223"/>
    </row>
    <row r="200" spans="1:56" x14ac:dyDescent="0.25">
      <c r="A200" s="21">
        <v>42124</v>
      </c>
      <c r="B200" s="24">
        <f t="shared" si="28"/>
        <v>184</v>
      </c>
      <c r="C200" s="97" t="s">
        <v>57</v>
      </c>
      <c r="D200" s="114">
        <f t="shared" si="27"/>
        <v>-1.4124293785310684</v>
      </c>
      <c r="E200" s="47">
        <f t="shared" si="19"/>
        <v>5846165.1198438192</v>
      </c>
      <c r="F200" s="12"/>
      <c r="G200" s="49"/>
      <c r="H200" s="49"/>
      <c r="I200" s="39"/>
      <c r="J200" s="20">
        <f t="shared" si="20"/>
        <v>42124</v>
      </c>
      <c r="K200" s="27">
        <f>'LC (Gross)'!K200</f>
        <v>0.95901070467064142</v>
      </c>
      <c r="L200" s="46">
        <f t="shared" si="21"/>
        <v>1900164.7779479306</v>
      </c>
      <c r="M200" s="12"/>
      <c r="N200" s="54"/>
      <c r="O200" s="39"/>
      <c r="P200" s="20">
        <f t="shared" si="22"/>
        <v>42124</v>
      </c>
      <c r="Q200" s="27">
        <f>'LC (Gross)'!Q200</f>
        <v>0.59177521373607234</v>
      </c>
      <c r="R200" s="46">
        <f t="shared" si="23"/>
        <v>1790127.9220284773</v>
      </c>
      <c r="T200" s="49"/>
      <c r="U200" s="49"/>
      <c r="V200" s="39"/>
      <c r="W200" s="20">
        <f t="shared" si="24"/>
        <v>42124</v>
      </c>
      <c r="X200" s="36">
        <f>'LC (Gross)'!X200</f>
        <v>-1.978534173699706</v>
      </c>
      <c r="Y200" s="46">
        <f t="shared" si="25"/>
        <v>4150601.7069118265</v>
      </c>
      <c r="AC200" s="107">
        <f>'LC (Gross)'!AC200</f>
        <v>-1.4124293785310684</v>
      </c>
      <c r="AE200" s="223"/>
    </row>
    <row r="201" spans="1:56" x14ac:dyDescent="0.25">
      <c r="A201" s="21">
        <v>42155</v>
      </c>
      <c r="B201" s="24">
        <f>IF(A201&gt;A200,1+B200,"-")</f>
        <v>185</v>
      </c>
      <c r="C201" s="97" t="s">
        <v>57</v>
      </c>
      <c r="D201" s="114">
        <f t="shared" si="27"/>
        <v>1.0028653295128853</v>
      </c>
      <c r="E201" s="47">
        <f t="shared" si="19"/>
        <v>5904794.2829368087</v>
      </c>
      <c r="F201" s="12"/>
      <c r="G201" s="49"/>
      <c r="H201" s="49"/>
      <c r="I201" s="39"/>
      <c r="J201" s="20">
        <f t="shared" si="20"/>
        <v>42155</v>
      </c>
      <c r="K201" s="27">
        <f>'LC (Gross)'!K201</f>
        <v>1.2861229340560991</v>
      </c>
      <c r="L201" s="46">
        <f t="shared" si="21"/>
        <v>1924603.2329419751</v>
      </c>
      <c r="M201" s="12"/>
      <c r="N201" s="54"/>
      <c r="O201" s="39"/>
      <c r="P201" s="20">
        <f t="shared" si="22"/>
        <v>42155</v>
      </c>
      <c r="Q201" s="27">
        <f>'LC (Gross)'!Q201</f>
        <v>0.95062032364640803</v>
      </c>
      <c r="R201" s="46">
        <f t="shared" si="23"/>
        <v>1807145.2418745491</v>
      </c>
      <c r="T201" s="49"/>
      <c r="U201" s="49"/>
      <c r="V201" s="39"/>
      <c r="W201" s="20">
        <f t="shared" si="24"/>
        <v>42155</v>
      </c>
      <c r="X201" s="36">
        <f>'LC (Gross)'!X201</f>
        <v>0.94052983231192977</v>
      </c>
      <c r="Y201" s="46">
        <f t="shared" si="25"/>
        <v>4189639.3541857805</v>
      </c>
      <c r="AC201" s="107">
        <f>'LC (Gross)'!AC201</f>
        <v>1.0028653295128853</v>
      </c>
      <c r="AE201" s="223"/>
    </row>
    <row r="202" spans="1:56" x14ac:dyDescent="0.25">
      <c r="A202" s="21">
        <v>42185</v>
      </c>
      <c r="B202" s="24">
        <f t="shared" si="28"/>
        <v>186</v>
      </c>
      <c r="C202" s="97" t="s">
        <v>57</v>
      </c>
      <c r="D202" s="114">
        <f t="shared" si="27"/>
        <v>-1.9148936170212734</v>
      </c>
      <c r="E202" s="47">
        <f t="shared" si="19"/>
        <v>5791723.7541146148</v>
      </c>
      <c r="F202" s="12"/>
      <c r="G202" s="49">
        <f>(E202/E199-1)*100</f>
        <v>-2.330508474576265</v>
      </c>
      <c r="H202" s="49"/>
      <c r="I202" s="39"/>
      <c r="J202" s="20">
        <f t="shared" si="20"/>
        <v>42185</v>
      </c>
      <c r="K202" s="27">
        <f>'LC (Gross)'!K202</f>
        <v>-1.9358188264035552</v>
      </c>
      <c r="L202" s="46">
        <f t="shared" si="21"/>
        <v>1887346.4012251128</v>
      </c>
      <c r="M202" s="12"/>
      <c r="N202" s="49">
        <f>(L202/L199-1)*100</f>
        <v>0.27794838428965019</v>
      </c>
      <c r="O202" s="39"/>
      <c r="P202" s="20">
        <f t="shared" si="22"/>
        <v>42185</v>
      </c>
      <c r="Q202" s="27">
        <f>'LC (Gross)'!Q202</f>
        <v>-2.3656425592885362</v>
      </c>
      <c r="R202" s="46">
        <f t="shared" si="23"/>
        <v>1764394.6449246069</v>
      </c>
      <c r="T202" s="49">
        <f>(R202/R199-1)*100</f>
        <v>-0.85424213177971442</v>
      </c>
      <c r="U202" s="49"/>
      <c r="V202" s="39"/>
      <c r="W202" s="20">
        <f t="shared" si="24"/>
        <v>42185</v>
      </c>
      <c r="X202" s="36">
        <f>'LC (Gross)'!X202</f>
        <v>-1.7730048146024422</v>
      </c>
      <c r="Y202" s="46">
        <f t="shared" si="25"/>
        <v>4115356.8467215882</v>
      </c>
      <c r="AC202" s="107">
        <f>'LC (Gross)'!AC202</f>
        <v>-1.9148936170212734</v>
      </c>
      <c r="AE202" s="223"/>
    </row>
    <row r="203" spans="1:56" x14ac:dyDescent="0.25">
      <c r="A203" s="21">
        <v>42216</v>
      </c>
      <c r="B203" s="24">
        <f t="shared" si="28"/>
        <v>187</v>
      </c>
      <c r="C203" s="97" t="s">
        <v>57</v>
      </c>
      <c r="D203" s="114">
        <f t="shared" si="27"/>
        <v>4.6276211135213341</v>
      </c>
      <c r="E203" s="47">
        <f t="shared" si="19"/>
        <v>6059742.7853968535</v>
      </c>
      <c r="F203" s="12"/>
      <c r="G203" s="49"/>
      <c r="H203" s="49"/>
      <c r="I203" s="39"/>
      <c r="J203" s="20">
        <f t="shared" si="20"/>
        <v>42216</v>
      </c>
      <c r="K203" s="27">
        <f>'LC (Gross)'!K203</f>
        <v>2.0954396522417249</v>
      </c>
      <c r="L203" s="46">
        <f t="shared" si="21"/>
        <v>1926894.606091541</v>
      </c>
      <c r="M203" s="12"/>
      <c r="N203" s="54"/>
      <c r="O203" s="39"/>
      <c r="P203" s="20">
        <f t="shared" si="22"/>
        <v>42216</v>
      </c>
      <c r="Q203" s="27">
        <f>'LC (Gross)'!Q203</f>
        <v>3.081642137877612</v>
      </c>
      <c r="R203" s="46">
        <f t="shared" si="23"/>
        <v>1818766.9737810597</v>
      </c>
      <c r="T203" s="49"/>
      <c r="U203" s="49"/>
      <c r="V203" s="39"/>
      <c r="W203" s="20">
        <f t="shared" si="24"/>
        <v>42216</v>
      </c>
      <c r="X203" s="36">
        <f>'LC (Gross)'!X203</f>
        <v>4.3381932149607065</v>
      </c>
      <c r="Y203" s="46">
        <f t="shared" si="25"/>
        <v>4293888.9782174854</v>
      </c>
      <c r="AC203" s="107">
        <f>'LC (Gross)'!AC203</f>
        <v>4.6276211135213341</v>
      </c>
      <c r="AE203" s="223"/>
    </row>
    <row r="204" spans="1:56" x14ac:dyDescent="0.25">
      <c r="A204" s="21">
        <v>42247</v>
      </c>
      <c r="B204" s="24">
        <f t="shared" si="28"/>
        <v>188</v>
      </c>
      <c r="C204" s="97" t="s">
        <v>57</v>
      </c>
      <c r="D204" s="114">
        <f t="shared" si="27"/>
        <v>-4.7684865238424416</v>
      </c>
      <c r="E204" s="47">
        <f t="shared" si="19"/>
        <v>5770784.7672956903</v>
      </c>
      <c r="F204" s="12"/>
      <c r="G204" s="105"/>
      <c r="H204" s="49"/>
      <c r="I204" s="39"/>
      <c r="J204" s="20">
        <f t="shared" si="20"/>
        <v>42247</v>
      </c>
      <c r="K204" s="27">
        <f>'LC (Gross)'!K204</f>
        <v>-6.0338140445487154</v>
      </c>
      <c r="L204" s="46">
        <f t="shared" si="21"/>
        <v>1810629.368725538</v>
      </c>
      <c r="M204" s="12"/>
      <c r="N204" s="105"/>
      <c r="O204" s="39"/>
      <c r="P204" s="20">
        <f t="shared" si="22"/>
        <v>42247</v>
      </c>
      <c r="Q204" s="27">
        <f>'LC (Gross)'!Q204</f>
        <v>-5.7390122771882766</v>
      </c>
      <c r="R204" s="46">
        <f t="shared" si="23"/>
        <v>1714387.713862319</v>
      </c>
      <c r="T204" s="105"/>
      <c r="U204" s="49"/>
      <c r="V204" s="39"/>
      <c r="W204" s="20">
        <f t="shared" si="24"/>
        <v>42247</v>
      </c>
      <c r="X204" s="36">
        <f>'LC (Gross)'!X204</f>
        <v>-4.9050618969998618</v>
      </c>
      <c r="Y204" s="46">
        <f t="shared" si="25"/>
        <v>4083271.0660474626</v>
      </c>
      <c r="AC204" s="107">
        <f>'LC (Gross)'!AC204</f>
        <v>-4.7684865238424416</v>
      </c>
      <c r="AE204" s="223"/>
    </row>
    <row r="205" spans="1:56" x14ac:dyDescent="0.25">
      <c r="A205" s="21">
        <v>42277</v>
      </c>
      <c r="B205" s="24">
        <f>IF(A205&gt;A204,1+B204,"-")</f>
        <v>189</v>
      </c>
      <c r="C205" s="97" t="s">
        <v>57</v>
      </c>
      <c r="D205" s="114">
        <f t="shared" si="27"/>
        <v>0.36284470246734912</v>
      </c>
      <c r="E205" s="47">
        <f t="shared" si="19"/>
        <v>5791723.7541146157</v>
      </c>
      <c r="F205" s="12"/>
      <c r="G205" s="49">
        <f>(E205/E202-1)*100</f>
        <v>2.2204460492503131E-14</v>
      </c>
      <c r="H205" s="49"/>
      <c r="I205" s="39"/>
      <c r="J205" s="20">
        <f t="shared" si="20"/>
        <v>42277</v>
      </c>
      <c r="K205" s="27">
        <f>'LC (Gross)'!K205</f>
        <v>-2.4739432189367951</v>
      </c>
      <c r="L205" s="46">
        <f t="shared" si="21"/>
        <v>1765835.4262378744</v>
      </c>
      <c r="M205" s="12"/>
      <c r="N205" s="49">
        <f>(L205/L202-1)*100</f>
        <v>-6.4381914686335922</v>
      </c>
      <c r="O205" s="39"/>
      <c r="P205" s="20">
        <f t="shared" si="22"/>
        <v>42277</v>
      </c>
      <c r="Q205" s="27">
        <f>'LC (Gross)'!Q205</f>
        <v>-0.81155958218722568</v>
      </c>
      <c r="R205" s="46">
        <f t="shared" si="23"/>
        <v>1700474.4360946289</v>
      </c>
      <c r="S205" s="37"/>
      <c r="T205" s="49">
        <f>(R205/R202-1)*100</f>
        <v>-3.6227841097709379</v>
      </c>
      <c r="U205" s="49"/>
      <c r="V205" s="39"/>
      <c r="W205" s="20">
        <f t="shared" si="24"/>
        <v>42277</v>
      </c>
      <c r="X205" s="36">
        <f>'LC (Gross)'!X205</f>
        <v>-0.40605774219850382</v>
      </c>
      <c r="Y205" s="46">
        <f t="shared" si="25"/>
        <v>4066690.6277488256</v>
      </c>
      <c r="AC205" s="107">
        <f>'LC (Gross)'!AC205</f>
        <v>0.36284470246734912</v>
      </c>
      <c r="AE205" s="223"/>
    </row>
    <row r="206" spans="1:56" x14ac:dyDescent="0.25">
      <c r="A206" s="21">
        <v>42308</v>
      </c>
      <c r="B206" s="24">
        <f t="shared" si="28"/>
        <v>190</v>
      </c>
      <c r="C206" s="97" t="s">
        <v>57</v>
      </c>
      <c r="D206" s="114">
        <f t="shared" si="27"/>
        <v>5.7845263919016681</v>
      </c>
      <c r="E206" s="47">
        <f t="shared" si="19"/>
        <v>6126747.5432174141</v>
      </c>
      <c r="F206" s="12"/>
      <c r="G206" s="49"/>
      <c r="H206" s="49"/>
      <c r="I206" s="39"/>
      <c r="J206" s="20">
        <f t="shared" si="20"/>
        <v>42308</v>
      </c>
      <c r="K206" s="27">
        <f>'LC (Gross)'!K206</f>
        <v>8.435220871353371</v>
      </c>
      <c r="L206" s="46">
        <f t="shared" si="21"/>
        <v>1914787.5446656435</v>
      </c>
      <c r="M206" s="12"/>
      <c r="N206" s="49"/>
      <c r="O206" s="39"/>
      <c r="P206" s="20">
        <f t="shared" si="22"/>
        <v>42308</v>
      </c>
      <c r="Q206" s="27">
        <f>'LC (Gross)'!Q206</f>
        <v>7.5894738787929414</v>
      </c>
      <c r="R206" s="46">
        <f t="shared" si="23"/>
        <v>1829531.4992375823</v>
      </c>
      <c r="S206" s="37"/>
      <c r="T206" s="49"/>
      <c r="U206" s="49"/>
      <c r="V206" s="39"/>
      <c r="W206" s="20">
        <f t="shared" si="24"/>
        <v>42308</v>
      </c>
      <c r="X206" s="36">
        <f>'LC (Gross)'!X206</f>
        <v>6.8115021819909982</v>
      </c>
      <c r="Y206" s="46">
        <f t="shared" si="25"/>
        <v>4343693.34859276</v>
      </c>
      <c r="AC206" s="107">
        <f>'LC (Gross)'!AC206</f>
        <v>5.7845263919016681</v>
      </c>
      <c r="AE206" s="223"/>
    </row>
    <row r="207" spans="1:56" ht="16.5" thickBot="1" x14ac:dyDescent="0.3">
      <c r="A207" s="21">
        <v>42338</v>
      </c>
      <c r="B207" s="24">
        <f t="shared" si="28"/>
        <v>191</v>
      </c>
      <c r="C207" s="97" t="s">
        <v>57</v>
      </c>
      <c r="D207" s="114">
        <f t="shared" si="27"/>
        <v>-0.54682159945317887</v>
      </c>
      <c r="E207" s="47">
        <f t="shared" si="19"/>
        <v>6093245.1643071342</v>
      </c>
      <c r="F207" s="12"/>
      <c r="G207" s="49"/>
      <c r="H207" s="49"/>
      <c r="I207" s="39"/>
      <c r="J207" s="20">
        <f t="shared" si="20"/>
        <v>42338</v>
      </c>
      <c r="K207" s="27">
        <f>'LC (Gross)'!K207</f>
        <v>0.29752942236979663</v>
      </c>
      <c r="L207" s="46">
        <f t="shared" si="21"/>
        <v>1920484.6009868961</v>
      </c>
      <c r="M207" s="12"/>
      <c r="N207" s="49"/>
      <c r="O207" s="39"/>
      <c r="P207" s="20">
        <f t="shared" si="22"/>
        <v>42338</v>
      </c>
      <c r="Q207" s="27">
        <f>'LC (Gross)'!Q207</f>
        <v>0.17547393462921421</v>
      </c>
      <c r="R207" s="46">
        <f t="shared" si="23"/>
        <v>1832741.8501445753</v>
      </c>
      <c r="S207" s="37"/>
      <c r="T207" s="49"/>
      <c r="U207" s="49"/>
      <c r="V207" s="39"/>
      <c r="W207" s="20">
        <f t="shared" si="24"/>
        <v>42338</v>
      </c>
      <c r="X207" s="36">
        <f>'LC (Gross)'!X207</f>
        <v>1.0936049478238594</v>
      </c>
      <c r="Y207" s="46">
        <f t="shared" si="25"/>
        <v>4391196.193971266</v>
      </c>
      <c r="AB207" s="92"/>
      <c r="AC207" s="107">
        <f>'LC (Gross)'!AC207</f>
        <v>-0.54682159945317887</v>
      </c>
      <c r="AE207" s="228"/>
      <c r="BC207" s="61"/>
      <c r="BD207" s="16"/>
    </row>
    <row r="208" spans="1:56" x14ac:dyDescent="0.25">
      <c r="A208" s="21">
        <v>42369</v>
      </c>
      <c r="B208" s="24">
        <f t="shared" si="28"/>
        <v>192</v>
      </c>
      <c r="C208" s="97" t="s">
        <v>57</v>
      </c>
      <c r="D208" s="114">
        <f t="shared" si="27"/>
        <v>-0.27668939999999997</v>
      </c>
      <c r="E208" s="47">
        <f t="shared" si="19"/>
        <v>6076385.8008214841</v>
      </c>
      <c r="F208" s="12">
        <f>(E208-E$196)/E$196*100</f>
        <v>3.5670356338330005</v>
      </c>
      <c r="G208" s="49">
        <f>(E208/E205-1)*100</f>
        <v>4.9149796984815808</v>
      </c>
      <c r="H208" s="49"/>
      <c r="I208" s="39"/>
      <c r="J208" s="20">
        <f t="shared" si="20"/>
        <v>42369</v>
      </c>
      <c r="K208" s="27">
        <f>'LC (Gross)'!K208</f>
        <v>-1.5862368127833484</v>
      </c>
      <c r="L208" s="46">
        <f t="shared" si="21"/>
        <v>1890021.1672622066</v>
      </c>
      <c r="M208" s="12">
        <f>(L208-L$196)/L$196*100</f>
        <v>1.3748751803548727</v>
      </c>
      <c r="N208" s="49">
        <f>(L208/L205-1)*100</f>
        <v>7.032690542906983</v>
      </c>
      <c r="O208" s="39"/>
      <c r="P208" s="20">
        <f t="shared" si="22"/>
        <v>42369</v>
      </c>
      <c r="Q208" s="27">
        <f>'LC (Gross)'!Q208</f>
        <v>-0.92391493379907064</v>
      </c>
      <c r="R208" s="46">
        <f t="shared" si="23"/>
        <v>1815808.8744931042</v>
      </c>
      <c r="S208" s="12">
        <f>(R208-R$196)/R$196*100</f>
        <v>2.4540773124603201</v>
      </c>
      <c r="T208" s="49">
        <f>(R208/R205-1)*100</f>
        <v>6.7824858727871584</v>
      </c>
      <c r="U208" s="49"/>
      <c r="V208" s="39"/>
      <c r="W208" s="20">
        <f t="shared" si="24"/>
        <v>42369</v>
      </c>
      <c r="X208" s="36">
        <f>'LC (Gross)'!X208</f>
        <v>-0.1071220358356242</v>
      </c>
      <c r="Y208" s="46">
        <f t="shared" si="25"/>
        <v>4386492.2552107479</v>
      </c>
      <c r="Z208" s="33">
        <f>(Y208-Y$196)/Y$196*100</f>
        <v>4.3376271399978386</v>
      </c>
      <c r="AB208" s="109" t="s">
        <v>91</v>
      </c>
      <c r="AC208" s="107">
        <f>'LC (Gross)'!AC208</f>
        <v>-0.27668939999999997</v>
      </c>
      <c r="AD208" s="93"/>
      <c r="AE208" s="324" t="s">
        <v>80</v>
      </c>
      <c r="AF208" s="325" t="s">
        <v>81</v>
      </c>
      <c r="AG208" s="94"/>
      <c r="AH208" s="93"/>
      <c r="AI208" s="229"/>
      <c r="AJ208" s="229"/>
      <c r="AK208" s="229"/>
      <c r="AL208" s="229"/>
      <c r="AM208" s="229"/>
      <c r="AN208" s="229"/>
      <c r="AO208" s="229"/>
      <c r="AP208" s="229"/>
      <c r="AQ208" s="229"/>
      <c r="AR208" s="229"/>
      <c r="AS208" s="229"/>
      <c r="AT208" s="229"/>
      <c r="AU208" s="229"/>
      <c r="AV208" s="229"/>
      <c r="AW208" s="229"/>
      <c r="AX208" s="229"/>
      <c r="AY208" s="94"/>
      <c r="AZ208" s="93"/>
      <c r="BC208" s="61"/>
      <c r="BD208" s="16"/>
    </row>
    <row r="209" spans="1:56" x14ac:dyDescent="0.25">
      <c r="A209" s="21">
        <v>42400</v>
      </c>
      <c r="B209" s="24">
        <f t="shared" si="28"/>
        <v>193</v>
      </c>
      <c r="C209" s="97" t="s">
        <v>57</v>
      </c>
      <c r="D209" s="114">
        <f t="shared" si="27"/>
        <v>-2.5055268975681639</v>
      </c>
      <c r="E209" s="47">
        <f t="shared" ref="E209:E235" si="29">E208*D209/100+E208</f>
        <v>5924140.3201818895</v>
      </c>
      <c r="F209" s="12"/>
      <c r="G209" s="49"/>
      <c r="H209" s="49"/>
      <c r="I209" s="39"/>
      <c r="J209" s="20">
        <f t="shared" si="20"/>
        <v>42400</v>
      </c>
      <c r="K209" s="27">
        <f>'LC (Gross)'!K209</f>
        <v>-4.96255266998583</v>
      </c>
      <c r="L209" s="46">
        <f t="shared" ref="L209:L210" si="30">L208*K209/100+L208</f>
        <v>1796227.8713629385</v>
      </c>
      <c r="M209" s="12"/>
      <c r="N209" s="49"/>
      <c r="O209" s="39"/>
      <c r="P209" s="20">
        <f t="shared" si="22"/>
        <v>42400</v>
      </c>
      <c r="Q209" s="27">
        <f>'LC (Gross)'!Q209</f>
        <v>-2.8676057652534443</v>
      </c>
      <c r="R209" s="46">
        <f t="shared" ref="R209:R210" si="31">R208*Q209/100+R208</f>
        <v>1763738.6345221563</v>
      </c>
      <c r="S209" s="12"/>
      <c r="T209" s="6"/>
      <c r="U209" s="49"/>
      <c r="V209" s="39"/>
      <c r="W209" s="20">
        <f t="shared" si="24"/>
        <v>42400</v>
      </c>
      <c r="X209" s="36">
        <f>'LC (Gross)'!X209</f>
        <v>-1.7217561553411533</v>
      </c>
      <c r="Y209" s="46">
        <f t="shared" ref="Y209:Y241" si="32">Y208*X209/100+Y208</f>
        <v>4310967.5548030939</v>
      </c>
      <c r="AB209" s="36"/>
      <c r="AC209" s="107">
        <f>'LC (Gross)'!AC209</f>
        <v>-2.5055268975681639</v>
      </c>
      <c r="AD209" s="108">
        <f>'LC (Gross)'!AD209</f>
        <v>79613453.459999993</v>
      </c>
      <c r="AE209" s="107"/>
      <c r="AF209" s="108">
        <f>'LC (Gross)'!AF209</f>
        <v>60533887.5</v>
      </c>
      <c r="AG209" s="133"/>
      <c r="AH209" s="133"/>
      <c r="AI209" s="133"/>
      <c r="AJ209" s="133"/>
      <c r="AK209" s="133"/>
      <c r="AL209" s="133"/>
      <c r="AM209" s="133"/>
      <c r="AN209" s="133"/>
      <c r="AO209" s="133"/>
      <c r="AP209" s="133"/>
      <c r="AQ209" s="133"/>
      <c r="AR209" s="133"/>
      <c r="AS209" s="133"/>
      <c r="AT209" s="133"/>
      <c r="AU209" s="133"/>
      <c r="AV209" s="133"/>
      <c r="AW209" s="133"/>
      <c r="AX209" s="133"/>
      <c r="AY209" s="95"/>
      <c r="AZ209" s="111">
        <f t="shared" ref="AZ209:AZ222" si="33">AD209+AF209</f>
        <v>140147340.95999998</v>
      </c>
      <c r="BC209" s="61"/>
      <c r="BD209" s="16"/>
    </row>
    <row r="210" spans="1:56" x14ac:dyDescent="0.25">
      <c r="A210" s="21">
        <v>42429</v>
      </c>
      <c r="B210" s="24">
        <f t="shared" si="28"/>
        <v>194</v>
      </c>
      <c r="C210" s="97" t="s">
        <v>92</v>
      </c>
      <c r="D210" s="84">
        <f>AY210</f>
        <v>2.0266999999999999</v>
      </c>
      <c r="E210" s="47">
        <f t="shared" si="29"/>
        <v>6044204.8720510155</v>
      </c>
      <c r="F210" s="104"/>
      <c r="G210" s="49"/>
      <c r="H210" s="49"/>
      <c r="I210" s="39"/>
      <c r="J210" s="20">
        <f t="shared" si="20"/>
        <v>42429</v>
      </c>
      <c r="K210" s="27">
        <f>'LC (Gross)'!K210</f>
        <v>-0.1347500848582405</v>
      </c>
      <c r="L210" s="46">
        <f t="shared" si="30"/>
        <v>1793807.4527820295</v>
      </c>
      <c r="M210" s="104"/>
      <c r="N210" s="49"/>
      <c r="O210" s="39"/>
      <c r="P210" s="20">
        <f t="shared" si="22"/>
        <v>42429</v>
      </c>
      <c r="Q210" s="27">
        <f>'LC (Gross)'!Q210</f>
        <v>0.25837314747985679</v>
      </c>
      <c r="R210" s="46">
        <f t="shared" si="31"/>
        <v>1768295.6615454894</v>
      </c>
      <c r="S210" s="104"/>
      <c r="T210" s="6"/>
      <c r="U210" s="49"/>
      <c r="V210" s="39"/>
      <c r="W210" s="20">
        <f t="shared" si="24"/>
        <v>42429</v>
      </c>
      <c r="X210" s="36">
        <f>'LC (Gross)'!X210</f>
        <v>1.0310401745849809</v>
      </c>
      <c r="Y210" s="46">
        <f t="shared" si="32"/>
        <v>4355415.3622064376</v>
      </c>
      <c r="AB210" s="36">
        <f>IFERROR(AY210-AC210,"-")</f>
        <v>0.13705525321239609</v>
      </c>
      <c r="AC210" s="107">
        <f>'LC (Gross)'!AC210</f>
        <v>1.8896447467876039</v>
      </c>
      <c r="AD210" s="108">
        <f>'LC (Gross)'!AD210</f>
        <v>92880464.780000001</v>
      </c>
      <c r="AE210" s="107">
        <v>2.2069999999999999</v>
      </c>
      <c r="AF210" s="108">
        <f>'LC (Gross)'!AF210</f>
        <v>61869873.369999997</v>
      </c>
      <c r="AG210" s="133"/>
      <c r="AH210" s="133"/>
      <c r="AI210" s="133"/>
      <c r="AJ210" s="133"/>
      <c r="AK210" s="133"/>
      <c r="AL210" s="133"/>
      <c r="AM210" s="133"/>
      <c r="AN210" s="133"/>
      <c r="AO210" s="133"/>
      <c r="AP210" s="133"/>
      <c r="AQ210" s="133"/>
      <c r="AR210" s="133"/>
      <c r="AS210" s="133"/>
      <c r="AT210" s="133"/>
      <c r="AU210" s="133"/>
      <c r="AV210" s="133"/>
      <c r="AW210" s="133"/>
      <c r="AX210" s="133"/>
      <c r="AY210" s="110">
        <f>ROUND(AD209/AZ209*(AC210)+AF209/AZ209*AE210,4)</f>
        <v>2.0266999999999999</v>
      </c>
      <c r="AZ210" s="111">
        <f t="shared" si="33"/>
        <v>154750338.15000001</v>
      </c>
      <c r="BC210" s="61"/>
      <c r="BD210" s="16"/>
    </row>
    <row r="211" spans="1:56" x14ac:dyDescent="0.25">
      <c r="A211" s="21">
        <v>42460</v>
      </c>
      <c r="B211" s="24">
        <f>IF(A211&gt;A210,1+B210,"-")</f>
        <v>195</v>
      </c>
      <c r="C211" s="97" t="s">
        <v>92</v>
      </c>
      <c r="D211" s="84">
        <f t="shared" ref="D211:D239" si="34">AY211</f>
        <v>6.1807999999999996</v>
      </c>
      <c r="E211" s="47">
        <f t="shared" si="29"/>
        <v>6417785.0867827451</v>
      </c>
      <c r="F211" s="104"/>
      <c r="G211" s="49">
        <f>(E211/E208-1)*100</f>
        <v>5.61845967573531</v>
      </c>
      <c r="H211" s="49"/>
      <c r="I211" s="39"/>
      <c r="J211" s="20">
        <f t="shared" si="20"/>
        <v>42460</v>
      </c>
      <c r="K211" s="27">
        <f>'LC (Gross)'!K211</f>
        <v>6.7835590849369094</v>
      </c>
      <c r="L211" s="46">
        <f>L210*K211/100+L210</f>
        <v>1915491.4412115002</v>
      </c>
      <c r="M211" s="104"/>
      <c r="N211" s="49">
        <f>(L211/L208-1)*100</f>
        <v>1.3476184494900956</v>
      </c>
      <c r="O211" s="39"/>
      <c r="P211" s="20">
        <f t="shared" si="22"/>
        <v>42460</v>
      </c>
      <c r="Q211" s="27">
        <f>'LC (Gross)'!Q211</f>
        <v>6.4870902614839512</v>
      </c>
      <c r="R211" s="46">
        <f>R210*Q211/100+R210</f>
        <v>1883006.59719985</v>
      </c>
      <c r="S211" s="106"/>
      <c r="T211" s="49">
        <f>(R211/R208-1)*100</f>
        <v>3.7007046088760154</v>
      </c>
      <c r="U211" s="49"/>
      <c r="V211" s="39"/>
      <c r="W211" s="20">
        <f t="shared" si="24"/>
        <v>42460</v>
      </c>
      <c r="X211" s="36">
        <f>'LC (Gross)'!X211</f>
        <v>5.9656666340923232</v>
      </c>
      <c r="Y211" s="46">
        <f t="shared" si="32"/>
        <v>4615244.9232457187</v>
      </c>
      <c r="AB211" s="36">
        <f t="shared" ref="AB211:AB223" si="35">IFERROR(AY211-AC211,"-")</f>
        <v>9.7713946587535183E-2</v>
      </c>
      <c r="AC211" s="107">
        <f>'LC (Gross)'!AC211</f>
        <v>6.0830860534124644</v>
      </c>
      <c r="AD211" s="108">
        <f>'LC (Gross)'!AD211</f>
        <v>101535195.39</v>
      </c>
      <c r="AE211" s="107">
        <v>6.3274999999999997</v>
      </c>
      <c r="AF211" s="108">
        <f>'LC (Gross)'!AF211</f>
        <v>102503829.15000001</v>
      </c>
      <c r="AG211" s="133"/>
      <c r="AH211" s="133"/>
      <c r="AI211" s="133"/>
      <c r="AJ211" s="133"/>
      <c r="AK211" s="133"/>
      <c r="AL211" s="133"/>
      <c r="AM211" s="133"/>
      <c r="AN211" s="133"/>
      <c r="AO211" s="133"/>
      <c r="AP211" s="133"/>
      <c r="AQ211" s="133"/>
      <c r="AR211" s="133"/>
      <c r="AS211" s="133"/>
      <c r="AT211" s="133"/>
      <c r="AU211" s="133"/>
      <c r="AV211" s="133"/>
      <c r="AW211" s="133"/>
      <c r="AX211" s="133"/>
      <c r="AY211" s="110">
        <f>ROUND(AD210/AZ210*(AC211)+AF210/AZ210*AE211,4)</f>
        <v>6.1807999999999996</v>
      </c>
      <c r="AZ211" s="111">
        <f t="shared" si="33"/>
        <v>204039024.54000002</v>
      </c>
      <c r="BC211" s="61"/>
      <c r="BD211" s="16"/>
    </row>
    <row r="212" spans="1:56" x14ac:dyDescent="0.25">
      <c r="A212" s="21">
        <v>42490</v>
      </c>
      <c r="B212" s="24">
        <f t="shared" ref="B212:B216" si="36">IF(A212&gt;A211,1+B211,"-")</f>
        <v>196</v>
      </c>
      <c r="C212" s="97" t="s">
        <v>92</v>
      </c>
      <c r="D212" s="84">
        <f t="shared" si="34"/>
        <v>-1.3619000000000001</v>
      </c>
      <c r="E212" s="47">
        <f t="shared" si="29"/>
        <v>6330381.2716858508</v>
      </c>
      <c r="F212" s="112"/>
      <c r="G212" s="49"/>
      <c r="H212" s="49"/>
      <c r="I212" s="39"/>
      <c r="J212" s="20">
        <f t="shared" si="20"/>
        <v>42490</v>
      </c>
      <c r="K212" s="27">
        <f>'LC (Gross)'!K212</f>
        <v>0.3879103552603822</v>
      </c>
      <c r="L212" s="46">
        <f t="shared" ref="L212:L238" si="37">L211*K212/100+L211</f>
        <v>1922921.8308660861</v>
      </c>
      <c r="M212" s="112"/>
      <c r="N212" s="49"/>
      <c r="O212" s="39"/>
      <c r="P212" s="20">
        <f t="shared" si="22"/>
        <v>42490</v>
      </c>
      <c r="Q212" s="27">
        <f>'LC (Gross)'!Q212</f>
        <v>-0.31964282288948903</v>
      </c>
      <c r="R212" s="46">
        <f t="shared" ref="R212:R237" si="38">R211*Q212/100+R211</f>
        <v>1876987.7017573651</v>
      </c>
      <c r="S212" s="106"/>
      <c r="T212" s="49"/>
      <c r="U212" s="49"/>
      <c r="V212" s="39"/>
      <c r="W212" s="20">
        <f t="shared" si="24"/>
        <v>42490</v>
      </c>
      <c r="X212" s="36">
        <f>'LC (Gross)'!X212</f>
        <v>-0.70361535329688196</v>
      </c>
      <c r="Y212" s="46">
        <f t="shared" si="32"/>
        <v>4582771.3513735067</v>
      </c>
      <c r="AB212" s="36">
        <f t="shared" si="35"/>
        <v>3.6701398601405977E-2</v>
      </c>
      <c r="AC212" s="107">
        <f>'LC (Gross)'!AC212</f>
        <v>-1.3986013986014061</v>
      </c>
      <c r="AD212" s="108">
        <f>'LC (Gross)'!AD212</f>
        <v>102153602.40000001</v>
      </c>
      <c r="AE212" s="107">
        <v>-1.3256000000000001</v>
      </c>
      <c r="AF212" s="108">
        <f>'LC (Gross)'!AF212</f>
        <v>101145060.19</v>
      </c>
      <c r="AG212" s="107"/>
      <c r="AH212" s="133"/>
      <c r="AI212" s="133"/>
      <c r="AJ212" s="133"/>
      <c r="AK212" s="133"/>
      <c r="AL212" s="133"/>
      <c r="AM212" s="133"/>
      <c r="AN212" s="133"/>
      <c r="AO212" s="133"/>
      <c r="AP212" s="133"/>
      <c r="AQ212" s="133"/>
      <c r="AR212" s="133"/>
      <c r="AS212" s="133"/>
      <c r="AT212" s="133"/>
      <c r="AU212" s="133"/>
      <c r="AV212" s="133"/>
      <c r="AW212" s="133"/>
      <c r="AX212" s="133"/>
      <c r="AY212" s="110">
        <f>ROUND(AD211/AZ211*(AC212)+AF211/AZ211*AE212,4)</f>
        <v>-1.3619000000000001</v>
      </c>
      <c r="AZ212" s="111">
        <f t="shared" si="33"/>
        <v>203298662.59</v>
      </c>
      <c r="BC212" s="61"/>
      <c r="BD212" s="16"/>
    </row>
    <row r="213" spans="1:56" x14ac:dyDescent="0.25">
      <c r="A213" s="21">
        <v>42521</v>
      </c>
      <c r="B213" s="24">
        <f t="shared" si="36"/>
        <v>197</v>
      </c>
      <c r="C213" s="97" t="s">
        <v>92</v>
      </c>
      <c r="D213" s="84">
        <f t="shared" si="34"/>
        <v>1.9543999999999999</v>
      </c>
      <c r="E213" s="47">
        <f t="shared" si="29"/>
        <v>6454102.2432596795</v>
      </c>
      <c r="F213" s="112"/>
      <c r="G213" s="138"/>
      <c r="H213" s="49"/>
      <c r="I213" s="39"/>
      <c r="J213" s="20">
        <f t="shared" ref="J213:J292" si="39">$A213</f>
        <v>42521</v>
      </c>
      <c r="K213" s="27">
        <f>'LC (Gross)'!K213</f>
        <v>1.7954286499449399</v>
      </c>
      <c r="L213" s="46">
        <f t="shared" si="37"/>
        <v>1957446.5203335015</v>
      </c>
      <c r="M213" s="112"/>
      <c r="N213" s="138"/>
      <c r="O213" s="39"/>
      <c r="P213" s="20">
        <f t="shared" ref="P213:P292" si="40">$A213</f>
        <v>42521</v>
      </c>
      <c r="Q213" s="27">
        <f>'LC (Gross)'!Q213</f>
        <v>1.8556096115881444</v>
      </c>
      <c r="R213" s="46">
        <f t="shared" si="38"/>
        <v>1911817.2659595022</v>
      </c>
      <c r="S213" s="106"/>
      <c r="T213" s="130"/>
      <c r="U213" s="49"/>
      <c r="V213" s="39"/>
      <c r="W213" s="20">
        <f t="shared" ref="W213:W292" si="41">$A213</f>
        <v>42521</v>
      </c>
      <c r="X213" s="36">
        <f>'LC (Gross)'!X213</f>
        <v>1.6645936069038334</v>
      </c>
      <c r="Y213" s="46">
        <f t="shared" si="32"/>
        <v>4659055.8703074902</v>
      </c>
      <c r="AB213" s="36">
        <f t="shared" si="35"/>
        <v>3.9506382978726329E-2</v>
      </c>
      <c r="AC213" s="107">
        <f>'LC (Gross)'!AC213</f>
        <v>1.9148936170212736</v>
      </c>
      <c r="AD213" s="108">
        <f>'LC (Gross)'!AD213</f>
        <v>110002370.58</v>
      </c>
      <c r="AE213" s="107">
        <v>1.9944</v>
      </c>
      <c r="AF213" s="108">
        <f>'LC (Gross)'!AF213</f>
        <v>103162331</v>
      </c>
      <c r="AG213" s="107"/>
      <c r="AH213" s="133"/>
      <c r="AI213" s="133"/>
      <c r="AJ213" s="133"/>
      <c r="AK213" s="133"/>
      <c r="AL213" s="133"/>
      <c r="AM213" s="133"/>
      <c r="AN213" s="133"/>
      <c r="AO213" s="133"/>
      <c r="AP213" s="133"/>
      <c r="AQ213" s="133"/>
      <c r="AR213" s="133"/>
      <c r="AS213" s="133"/>
      <c r="AT213" s="133"/>
      <c r="AU213" s="133"/>
      <c r="AV213" s="133"/>
      <c r="AW213" s="133"/>
      <c r="AX213" s="133"/>
      <c r="AY213" s="110">
        <f>ROUND(AD212/AZ212*(AC213)+AF212/AZ212*AE213,4)</f>
        <v>1.9543999999999999</v>
      </c>
      <c r="AZ213" s="111">
        <f t="shared" si="33"/>
        <v>213164701.57999998</v>
      </c>
      <c r="BC213" s="61"/>
      <c r="BD213" s="16"/>
    </row>
    <row r="214" spans="1:56" x14ac:dyDescent="0.25">
      <c r="A214" s="21">
        <v>42551</v>
      </c>
      <c r="B214" s="24">
        <f t="shared" si="36"/>
        <v>198</v>
      </c>
      <c r="C214" s="97" t="s">
        <v>92</v>
      </c>
      <c r="D214" s="84">
        <f t="shared" si="34"/>
        <v>2.8815</v>
      </c>
      <c r="E214" s="47">
        <f t="shared" si="29"/>
        <v>6640077.1993992068</v>
      </c>
      <c r="F214" s="104"/>
      <c r="G214" s="131">
        <f>(E214/E211-1)*100</f>
        <v>3.4636889458057096</v>
      </c>
      <c r="H214" s="49"/>
      <c r="I214" s="39"/>
      <c r="J214" s="20">
        <f t="shared" si="39"/>
        <v>42551</v>
      </c>
      <c r="K214" s="27">
        <f>'LC (Gross)'!K214</f>
        <v>0.25953603335601977</v>
      </c>
      <c r="L214" s="46">
        <f t="shared" si="37"/>
        <v>1962526.7993874406</v>
      </c>
      <c r="M214" s="104"/>
      <c r="N214" s="131">
        <f>(L214/L211-1)*100</f>
        <v>2.4555243194504417</v>
      </c>
      <c r="O214" s="39"/>
      <c r="P214" s="20">
        <f t="shared" si="40"/>
        <v>42551</v>
      </c>
      <c r="Q214" s="27">
        <f>'LC (Gross)'!Q214</f>
        <v>1.7024116276833776</v>
      </c>
      <c r="R214" s="46">
        <f t="shared" si="38"/>
        <v>1944364.2653952553</v>
      </c>
      <c r="S214" s="106"/>
      <c r="T214" s="131">
        <f>(R214/R211-1)*100</f>
        <v>3.2584945951144251</v>
      </c>
      <c r="U214" s="49"/>
      <c r="V214" s="39"/>
      <c r="W214" s="20">
        <f t="shared" si="41"/>
        <v>42551</v>
      </c>
      <c r="X214" s="36">
        <f>'LC (Gross)'!X214</f>
        <v>5.7451663459117963</v>
      </c>
      <c r="Y214" s="46">
        <f t="shared" si="32"/>
        <v>4926726.3802056238</v>
      </c>
      <c r="AB214" s="36">
        <f t="shared" si="35"/>
        <v>0.23710194850382171</v>
      </c>
      <c r="AC214" s="107">
        <f>'LC (Gross)'!AC214</f>
        <v>2.6443980514961782</v>
      </c>
      <c r="AD214" s="108">
        <f>'LC (Gross)'!AD214</f>
        <v>124674744.19</v>
      </c>
      <c r="AE214" s="107">
        <v>3.1343999999999999</v>
      </c>
      <c r="AF214" s="108">
        <f>'LC (Gross)'!AF214</f>
        <v>106475101.51000001</v>
      </c>
      <c r="AG214" s="107"/>
      <c r="AH214" s="133"/>
      <c r="AI214" s="133"/>
      <c r="AJ214" s="133"/>
      <c r="AK214" s="133"/>
      <c r="AL214" s="133"/>
      <c r="AM214" s="133"/>
      <c r="AN214" s="133"/>
      <c r="AO214" s="133"/>
      <c r="AP214" s="133"/>
      <c r="AQ214" s="133"/>
      <c r="AR214" s="133"/>
      <c r="AS214" s="133"/>
      <c r="AT214" s="133"/>
      <c r="AU214" s="133"/>
      <c r="AV214" s="133"/>
      <c r="AW214" s="133"/>
      <c r="AX214" s="133"/>
      <c r="AY214" s="110">
        <f t="shared" ref="AY214:AY222" si="42">ROUND(AD213/AZ213*(AC214)+AF213/AZ213*AE214,4)</f>
        <v>2.8815</v>
      </c>
      <c r="AZ214" s="111">
        <f t="shared" si="33"/>
        <v>231149845.69999999</v>
      </c>
      <c r="BC214" s="61"/>
      <c r="BD214" s="16"/>
    </row>
    <row r="215" spans="1:56" x14ac:dyDescent="0.25">
      <c r="A215" s="21">
        <v>42582</v>
      </c>
      <c r="B215" s="24">
        <f t="shared" si="36"/>
        <v>199</v>
      </c>
      <c r="C215" s="97" t="s">
        <v>92</v>
      </c>
      <c r="D215" s="84">
        <f t="shared" si="34"/>
        <v>1.5397000000000001</v>
      </c>
      <c r="E215" s="47">
        <f t="shared" si="29"/>
        <v>6742314.4680383559</v>
      </c>
      <c r="F215" s="104"/>
      <c r="G215" s="139"/>
      <c r="H215" s="49"/>
      <c r="I215" s="39"/>
      <c r="J215" s="20">
        <f t="shared" si="39"/>
        <v>42582</v>
      </c>
      <c r="K215" s="27">
        <f>'LC (Gross)'!K215</f>
        <v>3.6864546457923151</v>
      </c>
      <c r="L215" s="46">
        <f t="shared" si="37"/>
        <v>2034874.4597583781</v>
      </c>
      <c r="M215" s="104"/>
      <c r="N215" s="139"/>
      <c r="O215" s="39"/>
      <c r="P215" s="20">
        <f t="shared" si="40"/>
        <v>42582</v>
      </c>
      <c r="Q215" s="27">
        <f>'LC (Gross)'!Q215</f>
        <v>2.1649436813601994</v>
      </c>
      <c r="R215" s="46">
        <f t="shared" si="38"/>
        <v>1986458.6567015555</v>
      </c>
      <c r="S215" s="104"/>
      <c r="T215" s="104"/>
      <c r="U215" s="49"/>
      <c r="V215" s="39"/>
      <c r="W215" s="20">
        <f t="shared" si="41"/>
        <v>42582</v>
      </c>
      <c r="X215" s="36">
        <f>'LC (Gross)'!X215</f>
        <v>0.334812858042418</v>
      </c>
      <c r="Y215" s="46">
        <f t="shared" si="32"/>
        <v>4943221.6936071198</v>
      </c>
      <c r="AB215" s="36">
        <f t="shared" si="35"/>
        <v>0.11597118644067228</v>
      </c>
      <c r="AC215" s="107">
        <f>'LC (Gross)'!AC215</f>
        <v>1.4237288135593278</v>
      </c>
      <c r="AD215" s="108">
        <f>'LC (Gross)'!AD215</f>
        <v>127356437</v>
      </c>
      <c r="AE215" s="107">
        <v>1.6754000000000002</v>
      </c>
      <c r="AF215" s="108">
        <f>'LC (Gross)'!AF215</f>
        <v>108258997.25999999</v>
      </c>
      <c r="AG215" s="107"/>
      <c r="AH215" s="133"/>
      <c r="AI215" s="133"/>
      <c r="AJ215" s="133"/>
      <c r="AK215" s="133"/>
      <c r="AL215" s="133"/>
      <c r="AM215" s="133"/>
      <c r="AN215" s="133"/>
      <c r="AO215" s="133"/>
      <c r="AP215" s="133"/>
      <c r="AQ215" s="133"/>
      <c r="AR215" s="133"/>
      <c r="AS215" s="133"/>
      <c r="AT215" s="133"/>
      <c r="AU215" s="133"/>
      <c r="AV215" s="133"/>
      <c r="AW215" s="133"/>
      <c r="AX215" s="133"/>
      <c r="AY215" s="110">
        <f t="shared" si="42"/>
        <v>1.5397000000000001</v>
      </c>
      <c r="AZ215" s="111">
        <f t="shared" si="33"/>
        <v>235615434.25999999</v>
      </c>
    </row>
    <row r="216" spans="1:56" x14ac:dyDescent="0.25">
      <c r="A216" s="21">
        <v>42613</v>
      </c>
      <c r="B216" s="24">
        <f t="shared" si="36"/>
        <v>200</v>
      </c>
      <c r="C216" s="97" t="s">
        <v>92</v>
      </c>
      <c r="D216" s="84">
        <f t="shared" si="34"/>
        <v>-1.7051000000000001</v>
      </c>
      <c r="E216" s="47">
        <f t="shared" si="29"/>
        <v>6627351.2640438341</v>
      </c>
      <c r="F216" s="104"/>
      <c r="G216" s="139"/>
      <c r="H216" s="49"/>
      <c r="I216" s="39"/>
      <c r="J216" s="20">
        <f t="shared" si="39"/>
        <v>42613</v>
      </c>
      <c r="K216" s="27">
        <f>'LC (Gross)'!K216</f>
        <v>0.1407212996798694</v>
      </c>
      <c r="L216" s="46">
        <f t="shared" si="37"/>
        <v>2037737.9615450038</v>
      </c>
      <c r="M216" s="104"/>
      <c r="N216" s="139"/>
      <c r="O216" s="39"/>
      <c r="P216" s="20">
        <f t="shared" si="40"/>
        <v>42613</v>
      </c>
      <c r="Q216" s="27">
        <f>'LC (Gross)'!Q216</f>
        <v>-0.765176620538074</v>
      </c>
      <c r="R216" s="46">
        <f t="shared" si="38"/>
        <v>1971258.7394838205</v>
      </c>
      <c r="S216" s="104"/>
      <c r="T216" s="104"/>
      <c r="U216" s="49"/>
      <c r="V216" s="39"/>
      <c r="W216" s="20">
        <f t="shared" si="41"/>
        <v>42613</v>
      </c>
      <c r="X216" s="36">
        <f>'LC (Gross)'!X216</f>
        <v>-1.8827779393531134</v>
      </c>
      <c r="Y216" s="46">
        <f t="shared" si="32"/>
        <v>4850151.806066568</v>
      </c>
      <c r="AB216" s="36">
        <f t="shared" si="35"/>
        <v>9.971283422460786E-2</v>
      </c>
      <c r="AC216" s="107">
        <f>'LC (Gross)'!AC216</f>
        <v>-1.8048128342246079</v>
      </c>
      <c r="AD216" s="108">
        <f>'LC (Gross)'!AD216</f>
        <v>125670700</v>
      </c>
      <c r="AE216" s="107">
        <v>-1.5876999999999999</v>
      </c>
      <c r="AF216" s="108">
        <f>'LC (Gross)'!AF216</f>
        <v>106540191.05</v>
      </c>
      <c r="AG216" s="107"/>
      <c r="AH216" s="133"/>
      <c r="AI216" s="133"/>
      <c r="AJ216" s="133"/>
      <c r="AK216" s="133"/>
      <c r="AL216" s="133"/>
      <c r="AM216" s="133"/>
      <c r="AN216" s="133"/>
      <c r="AO216" s="133"/>
      <c r="AP216" s="133"/>
      <c r="AQ216" s="133"/>
      <c r="AR216" s="133"/>
      <c r="AS216" s="133"/>
      <c r="AT216" s="133"/>
      <c r="AU216" s="133"/>
      <c r="AV216" s="133"/>
      <c r="AW216" s="133"/>
      <c r="AX216" s="133"/>
      <c r="AY216" s="110">
        <f t="shared" si="42"/>
        <v>-1.7051000000000001</v>
      </c>
      <c r="AZ216" s="111">
        <f t="shared" si="33"/>
        <v>232210891.05000001</v>
      </c>
    </row>
    <row r="217" spans="1:56" x14ac:dyDescent="0.25">
      <c r="A217" s="21">
        <v>42643</v>
      </c>
      <c r="B217" s="24">
        <f t="shared" si="28"/>
        <v>201</v>
      </c>
      <c r="C217" s="97" t="s">
        <v>92</v>
      </c>
      <c r="D217" s="84">
        <f t="shared" si="34"/>
        <v>-1.2599</v>
      </c>
      <c r="E217" s="47">
        <f t="shared" si="29"/>
        <v>6543853.2654681457</v>
      </c>
      <c r="F217" s="104"/>
      <c r="G217" s="106">
        <f>(E217/E$214-1)*100</f>
        <v>-1.4491387832022085</v>
      </c>
      <c r="H217" s="49"/>
      <c r="I217" s="39"/>
      <c r="J217" s="20">
        <f t="shared" si="39"/>
        <v>42643</v>
      </c>
      <c r="K217" s="27">
        <f>'LC (Gross)'!K217</f>
        <v>1.867100831628743E-2</v>
      </c>
      <c r="L217" s="46">
        <f t="shared" si="37"/>
        <v>2038118.4277692679</v>
      </c>
      <c r="M217" s="104"/>
      <c r="N217" s="106">
        <f>(L217/L$214-1)*100</f>
        <v>3.8517501215994399</v>
      </c>
      <c r="O217" s="39"/>
      <c r="P217" s="20">
        <f t="shared" si="40"/>
        <v>42643</v>
      </c>
      <c r="Q217" s="27">
        <f>'LC (Gross)'!Q217</f>
        <v>-0.77393908858398386</v>
      </c>
      <c r="R217" s="46">
        <f t="shared" si="38"/>
        <v>1956002.3975618272</v>
      </c>
      <c r="S217" s="104"/>
      <c r="T217" s="106">
        <f>(R217/R$214-1)*100</f>
        <v>0.59855719289338971</v>
      </c>
      <c r="U217" s="49"/>
      <c r="V217" s="39"/>
      <c r="W217" s="20">
        <f t="shared" si="41"/>
        <v>42643</v>
      </c>
      <c r="X217" s="36">
        <f>'LC (Gross)'!X217</f>
        <v>-0.9729740973598151</v>
      </c>
      <c r="Y217" s="46">
        <f t="shared" si="32"/>
        <v>4802961.0853109108</v>
      </c>
      <c r="AB217" s="36">
        <f t="shared" si="35"/>
        <v>0.10157038801905571</v>
      </c>
      <c r="AC217" s="107">
        <f>'LC (Gross)'!AC217</f>
        <v>-1.3614703880190557</v>
      </c>
      <c r="AD217" s="108">
        <f>'LC (Gross)'!AD217</f>
        <v>118171781</v>
      </c>
      <c r="AE217" s="107">
        <v>-1.1400999999999999</v>
      </c>
      <c r="AF217" s="108">
        <f>'LC (Gross)'!AF217</f>
        <v>105325567.60000001</v>
      </c>
      <c r="AG217" s="107"/>
      <c r="AH217" s="133"/>
      <c r="AI217" s="133"/>
      <c r="AJ217" s="133"/>
      <c r="AK217" s="133"/>
      <c r="AL217" s="133"/>
      <c r="AM217" s="133"/>
      <c r="AN217" s="133"/>
      <c r="AO217" s="133"/>
      <c r="AP217" s="133"/>
      <c r="AQ217" s="133"/>
      <c r="AR217" s="133"/>
      <c r="AS217" s="133"/>
      <c r="AT217" s="133"/>
      <c r="AU217" s="133"/>
      <c r="AV217" s="133"/>
      <c r="AW217" s="133"/>
      <c r="AX217" s="133"/>
      <c r="AY217" s="110">
        <f t="shared" si="42"/>
        <v>-1.2599</v>
      </c>
      <c r="AZ217" s="111">
        <f t="shared" si="33"/>
        <v>223497348.60000002</v>
      </c>
    </row>
    <row r="218" spans="1:56" x14ac:dyDescent="0.25">
      <c r="A218" s="21">
        <v>42674</v>
      </c>
      <c r="B218" s="24">
        <f t="shared" si="28"/>
        <v>202</v>
      </c>
      <c r="C218" s="97" t="s">
        <v>92</v>
      </c>
      <c r="D218" s="84">
        <f t="shared" si="34"/>
        <v>-2.4657</v>
      </c>
      <c r="E218" s="47">
        <f t="shared" si="29"/>
        <v>6382501.4755014973</v>
      </c>
      <c r="F218" s="104"/>
      <c r="H218" s="49"/>
      <c r="I218" s="39"/>
      <c r="J218" s="20">
        <f t="shared" si="39"/>
        <v>42674</v>
      </c>
      <c r="K218" s="27">
        <f>'LC (Gross)'!K218</f>
        <v>-1.8241743085794966</v>
      </c>
      <c r="L218" s="46">
        <f t="shared" si="37"/>
        <v>2000939.5950314766</v>
      </c>
      <c r="O218" s="39"/>
      <c r="P218" s="20">
        <f t="shared" si="40"/>
        <v>42674</v>
      </c>
      <c r="Q218" s="27">
        <f>'LC (Gross)'!Q218</f>
        <v>-2.3478273455116114</v>
      </c>
      <c r="R218" s="46">
        <f t="shared" si="38"/>
        <v>1910078.8383930079</v>
      </c>
      <c r="U218" s="49"/>
      <c r="V218" s="39"/>
      <c r="W218" s="20">
        <f t="shared" si="41"/>
        <v>42674</v>
      </c>
      <c r="X218" s="36">
        <f>'LC (Gross)'!X218</f>
        <v>-2.2460824677302473</v>
      </c>
      <c r="Y218" s="46">
        <f t="shared" si="32"/>
        <v>4695082.618441836</v>
      </c>
      <c r="AB218" s="36">
        <f t="shared" si="35"/>
        <v>-0.18826728778467849</v>
      </c>
      <c r="AC218" s="107">
        <f>'LC (Gross)'!AC218</f>
        <v>-2.2774327122153215</v>
      </c>
      <c r="AD218" s="108">
        <f>'LC (Gross)'!AD218</f>
        <v>110000276.52</v>
      </c>
      <c r="AE218" s="107">
        <v>-2.6769000000000003</v>
      </c>
      <c r="AF218" s="108">
        <f>'LC (Gross)'!AF218</f>
        <v>102506111.655</v>
      </c>
      <c r="AG218" s="107"/>
      <c r="AH218" s="133"/>
      <c r="AI218" s="133"/>
      <c r="AJ218" s="133"/>
      <c r="AK218" s="133"/>
      <c r="AL218" s="133"/>
      <c r="AM218" s="133"/>
      <c r="AN218" s="133"/>
      <c r="AO218" s="133"/>
      <c r="AP218" s="133"/>
      <c r="AQ218" s="133"/>
      <c r="AR218" s="133"/>
      <c r="AS218" s="133"/>
      <c r="AT218" s="133"/>
      <c r="AU218" s="133"/>
      <c r="AV218" s="133"/>
      <c r="AW218" s="133"/>
      <c r="AX218" s="133"/>
      <c r="AY218" s="110">
        <f t="shared" si="42"/>
        <v>-2.4657</v>
      </c>
      <c r="AZ218" s="111">
        <f t="shared" si="33"/>
        <v>212506388.17500001</v>
      </c>
    </row>
    <row r="219" spans="1:56" x14ac:dyDescent="0.25">
      <c r="A219" s="21">
        <v>42704</v>
      </c>
      <c r="B219" s="24">
        <f t="shared" si="28"/>
        <v>203</v>
      </c>
      <c r="C219" s="97" t="s">
        <v>92</v>
      </c>
      <c r="D219" s="84">
        <f t="shared" si="34"/>
        <v>2.403</v>
      </c>
      <c r="E219" s="47">
        <f t="shared" si="29"/>
        <v>6535872.9859577985</v>
      </c>
      <c r="F219" s="104"/>
      <c r="G219" s="139"/>
      <c r="H219" s="49"/>
      <c r="I219" s="39"/>
      <c r="J219" s="20">
        <f t="shared" si="39"/>
        <v>42704</v>
      </c>
      <c r="K219" s="27">
        <f>'LC (Gross)'!K219</f>
        <v>3.7036267290456193</v>
      </c>
      <c r="L219" s="46">
        <f t="shared" si="37"/>
        <v>2075046.9287051195</v>
      </c>
      <c r="M219" s="104"/>
      <c r="N219" s="139"/>
      <c r="O219" s="39"/>
      <c r="P219" s="20">
        <f t="shared" si="40"/>
        <v>42704</v>
      </c>
      <c r="Q219" s="27">
        <f>'LC (Gross)'!Q219</f>
        <v>2.2919296500405264</v>
      </c>
      <c r="R219" s="46">
        <f t="shared" si="38"/>
        <v>1953856.5016292869</v>
      </c>
      <c r="S219" s="104"/>
      <c r="T219" s="104"/>
      <c r="U219" s="49"/>
      <c r="V219" s="39"/>
      <c r="W219" s="20">
        <f t="shared" si="41"/>
        <v>42704</v>
      </c>
      <c r="X219" s="36">
        <f>'LC (Gross)'!X219</f>
        <v>0.53532421294514498</v>
      </c>
      <c r="Y219" s="46">
        <f t="shared" si="32"/>
        <v>4720216.532516134</v>
      </c>
      <c r="AB219" s="36">
        <f t="shared" si="35"/>
        <v>-0.42185875706214926</v>
      </c>
      <c r="AC219" s="107">
        <f>'LC (Gross)'!AC219</f>
        <v>2.8248587570621493</v>
      </c>
      <c r="AD219" s="108">
        <f>'LC (Gross)'!AD219</f>
        <v>113274501</v>
      </c>
      <c r="AE219" s="107">
        <v>1.9501999999999999</v>
      </c>
      <c r="AF219" s="108">
        <f>'LC (Gross)'!AF219</f>
        <v>104505210.90000001</v>
      </c>
      <c r="AG219" s="107"/>
      <c r="AH219" s="133"/>
      <c r="AI219" s="133"/>
      <c r="AJ219" s="133"/>
      <c r="AK219" s="133"/>
      <c r="AL219" s="133"/>
      <c r="AM219" s="133"/>
      <c r="AN219" s="133"/>
      <c r="AO219" s="133"/>
      <c r="AP219" s="133"/>
      <c r="AQ219" s="133"/>
      <c r="AR219" s="133"/>
      <c r="AS219" s="133"/>
      <c r="AT219" s="133"/>
      <c r="AU219" s="133"/>
      <c r="AV219" s="133"/>
      <c r="AW219" s="133"/>
      <c r="AX219" s="133"/>
      <c r="AY219" s="110">
        <f t="shared" si="42"/>
        <v>2.403</v>
      </c>
      <c r="AZ219" s="111">
        <f t="shared" si="33"/>
        <v>217779711.90000001</v>
      </c>
    </row>
    <row r="220" spans="1:56" x14ac:dyDescent="0.25">
      <c r="A220" s="21">
        <v>42735</v>
      </c>
      <c r="B220" s="24">
        <f t="shared" si="28"/>
        <v>204</v>
      </c>
      <c r="C220" s="97" t="s">
        <v>92</v>
      </c>
      <c r="D220" s="84">
        <f t="shared" si="34"/>
        <v>1.6361000000000001</v>
      </c>
      <c r="E220" s="47">
        <f t="shared" si="29"/>
        <v>6642806.4038810544</v>
      </c>
      <c r="F220" s="112">
        <f>(E220/E$208-1)*100</f>
        <v>9.3216695191242529</v>
      </c>
      <c r="G220" s="106">
        <v>1.68</v>
      </c>
      <c r="H220" s="49"/>
      <c r="I220" s="39"/>
      <c r="J220" s="20">
        <f t="shared" si="39"/>
        <v>42735</v>
      </c>
      <c r="K220" s="27">
        <f>'LC (Gross)'!K220</f>
        <v>1.969910613246475</v>
      </c>
      <c r="L220" s="46">
        <f t="shared" si="37"/>
        <v>2115923.4983835267</v>
      </c>
      <c r="M220" s="112">
        <f>(L220/L$208-1)*100</f>
        <v>11.952370430250326</v>
      </c>
      <c r="N220" s="106">
        <f>(L220/L$217-1)*100</f>
        <v>3.8174950755642145</v>
      </c>
      <c r="O220" s="39"/>
      <c r="P220" s="20">
        <f t="shared" si="40"/>
        <v>42735</v>
      </c>
      <c r="Q220" s="27">
        <f>'LC (Gross)'!Q220</f>
        <v>2.257299823860325</v>
      </c>
      <c r="R220" s="46">
        <f t="shared" si="38"/>
        <v>1997960.9009990483</v>
      </c>
      <c r="S220" s="112">
        <f>(R220/R$208-1)*100</f>
        <v>10.031453698935856</v>
      </c>
      <c r="T220" s="106">
        <f>(R220/R$217-1)*100</f>
        <v>2.1451151332699148</v>
      </c>
      <c r="U220" s="49"/>
      <c r="V220" s="39"/>
      <c r="W220" s="20">
        <f t="shared" si="41"/>
        <v>42735</v>
      </c>
      <c r="X220" s="36">
        <f>'LC (Gross)'!X220</f>
        <v>2.5687917748434885</v>
      </c>
      <c r="Y220" s="46">
        <f t="shared" si="32"/>
        <v>4841469.0665582111</v>
      </c>
      <c r="Z220" s="143">
        <f>(Y220/Y$208-1)*100</f>
        <v>10.372224202766866</v>
      </c>
      <c r="AB220" s="36">
        <f t="shared" si="35"/>
        <v>0.19873200000000013</v>
      </c>
      <c r="AC220" s="107">
        <f>'LC (Gross)'!AC220</f>
        <v>1.437368</v>
      </c>
      <c r="AD220" s="108">
        <f>'LC (Gross)'!AD220</f>
        <v>115831369</v>
      </c>
      <c r="AE220" s="107">
        <v>1.8514999999999999</v>
      </c>
      <c r="AF220" s="108">
        <f>'LC (Gross)'!AF220</f>
        <v>106440166.52</v>
      </c>
      <c r="AG220" s="107"/>
      <c r="AH220" s="133"/>
      <c r="AI220" s="133"/>
      <c r="AJ220" s="133"/>
      <c r="AK220" s="133"/>
      <c r="AL220" s="133"/>
      <c r="AM220" s="133"/>
      <c r="AN220" s="133"/>
      <c r="AO220" s="133"/>
      <c r="AP220" s="133"/>
      <c r="AQ220" s="133"/>
      <c r="AR220" s="133"/>
      <c r="AS220" s="133"/>
      <c r="AT220" s="133"/>
      <c r="AU220" s="133"/>
      <c r="AV220" s="133"/>
      <c r="AW220" s="133"/>
      <c r="AX220" s="133"/>
      <c r="AY220" s="110">
        <f t="shared" si="42"/>
        <v>1.6361000000000001</v>
      </c>
      <c r="AZ220" s="111">
        <f t="shared" si="33"/>
        <v>222271535.51999998</v>
      </c>
    </row>
    <row r="221" spans="1:56" ht="16.5" thickBot="1" x14ac:dyDescent="0.3">
      <c r="A221" s="21">
        <v>42766</v>
      </c>
      <c r="B221" s="24">
        <f t="shared" si="28"/>
        <v>205</v>
      </c>
      <c r="C221" s="97" t="s">
        <v>92</v>
      </c>
      <c r="D221" s="84">
        <f t="shared" si="34"/>
        <v>0.1144</v>
      </c>
      <c r="E221" s="47">
        <f t="shared" si="29"/>
        <v>6650405.7744070943</v>
      </c>
      <c r="H221" s="49"/>
      <c r="I221" s="39"/>
      <c r="J221" s="20">
        <f t="shared" si="39"/>
        <v>42766</v>
      </c>
      <c r="K221" s="27">
        <f>'LC (Gross)'!K221</f>
        <v>1.8966324399677483</v>
      </c>
      <c r="L221" s="46">
        <f t="shared" si="37"/>
        <v>2156054.7898587692</v>
      </c>
      <c r="O221" s="39"/>
      <c r="P221" s="20">
        <f t="shared" si="40"/>
        <v>42766</v>
      </c>
      <c r="Q221" s="27">
        <f>'LC (Gross)'!Q221</f>
        <v>1.29064965969908</v>
      </c>
      <c r="R221" s="46">
        <f t="shared" si="38"/>
        <v>2023747.5765687132</v>
      </c>
      <c r="U221" s="49"/>
      <c r="V221" s="39"/>
      <c r="W221" s="20">
        <f t="shared" si="41"/>
        <v>42766</v>
      </c>
      <c r="X221" s="36">
        <f>'LC (Gross)'!X221</f>
        <v>0.73983050516338389</v>
      </c>
      <c r="Y221" s="46">
        <f t="shared" si="32"/>
        <v>4877287.7316106576</v>
      </c>
      <c r="AB221" s="36">
        <f t="shared" si="35"/>
        <v>-2.4488888888885924E-2</v>
      </c>
      <c r="AC221" s="107">
        <f>'LC (Gross)'!AC221</f>
        <v>0.13888888888888593</v>
      </c>
      <c r="AD221" s="108">
        <f>'LC (Gross)'!AD221</f>
        <v>116458384.22</v>
      </c>
      <c r="AE221" s="107">
        <v>8.77E-2</v>
      </c>
      <c r="AF221" s="108">
        <f>'LC (Gross)'!AF221</f>
        <v>106533540.48</v>
      </c>
      <c r="AG221" s="107"/>
      <c r="AH221" s="133"/>
      <c r="AI221" s="133"/>
      <c r="AJ221" s="133"/>
      <c r="AK221" s="133"/>
      <c r="AL221" s="133"/>
      <c r="AM221" s="133"/>
      <c r="AN221" s="133"/>
      <c r="AO221" s="133"/>
      <c r="AP221" s="133"/>
      <c r="AQ221" s="133"/>
      <c r="AR221" s="133"/>
      <c r="AS221" s="133"/>
      <c r="AT221" s="133"/>
      <c r="AU221" s="133"/>
      <c r="AV221" s="133"/>
      <c r="AW221" s="133"/>
      <c r="AX221" s="133"/>
      <c r="AY221" s="110">
        <f t="shared" si="42"/>
        <v>0.1144</v>
      </c>
      <c r="AZ221" s="111">
        <f t="shared" si="33"/>
        <v>222991924.69999999</v>
      </c>
    </row>
    <row r="222" spans="1:56" ht="16.5" thickBot="1" x14ac:dyDescent="0.3">
      <c r="A222" s="21">
        <v>42794</v>
      </c>
      <c r="B222" s="24">
        <f t="shared" si="28"/>
        <v>206</v>
      </c>
      <c r="C222" s="97" t="s">
        <v>92</v>
      </c>
      <c r="D222" s="84">
        <f t="shared" si="34"/>
        <v>3.9277000000000002</v>
      </c>
      <c r="E222" s="47">
        <f t="shared" si="29"/>
        <v>6911613.7620084817</v>
      </c>
      <c r="H222" s="49"/>
      <c r="I222" s="39"/>
      <c r="J222" s="20">
        <f t="shared" si="39"/>
        <v>42794</v>
      </c>
      <c r="K222" s="27">
        <f>'LC (Gross)'!K222</f>
        <v>3.9705270262314358</v>
      </c>
      <c r="L222" s="46">
        <f t="shared" si="37"/>
        <v>2241661.5279904688</v>
      </c>
      <c r="M222" s="112"/>
      <c r="O222" s="39"/>
      <c r="P222" s="20">
        <f t="shared" si="40"/>
        <v>42794</v>
      </c>
      <c r="Q222" s="27">
        <f>'LC (Gross)'!Q222</f>
        <v>4.3478130837947813</v>
      </c>
      <c r="R222" s="46">
        <f t="shared" si="38"/>
        <v>2111736.3384857476</v>
      </c>
      <c r="U222" s="49"/>
      <c r="V222" s="39"/>
      <c r="W222" s="20">
        <f t="shared" si="41"/>
        <v>42794</v>
      </c>
      <c r="X222" s="36">
        <f>'LC (Gross)'!X222</f>
        <v>4.495007378878765</v>
      </c>
      <c r="Y222" s="46">
        <f t="shared" si="32"/>
        <v>5096522.1750357058</v>
      </c>
      <c r="Z222" s="143"/>
      <c r="AB222" s="36">
        <f t="shared" si="35"/>
        <v>0.11355298196948205</v>
      </c>
      <c r="AC222" s="107">
        <f>'LC (Gross)'!AC222</f>
        <v>3.8141470180305181</v>
      </c>
      <c r="AD222" s="108">
        <f>'LC (Gross)'!AD222</f>
        <v>113204259.98</v>
      </c>
      <c r="AE222" s="107">
        <v>4.0518999999999998</v>
      </c>
      <c r="AF222" s="108">
        <f>'LC (Gross)'!AF222</f>
        <v>110850120.33</v>
      </c>
      <c r="AG222" s="324" t="s">
        <v>83</v>
      </c>
      <c r="AH222" s="325"/>
      <c r="AI222" s="230"/>
      <c r="AJ222" s="230"/>
      <c r="AK222" s="230"/>
      <c r="AL222" s="230"/>
      <c r="AM222" s="230"/>
      <c r="AN222" s="230"/>
      <c r="AO222" s="230"/>
      <c r="AP222" s="230"/>
      <c r="AQ222" s="230"/>
      <c r="AR222" s="230"/>
      <c r="AS222" s="230"/>
      <c r="AT222" s="230"/>
      <c r="AU222" s="230"/>
      <c r="AV222" s="230"/>
      <c r="AW222" s="230"/>
      <c r="AX222" s="230"/>
      <c r="AY222" s="110">
        <f t="shared" si="42"/>
        <v>3.9277000000000002</v>
      </c>
      <c r="AZ222" s="111">
        <f t="shared" si="33"/>
        <v>224054380.31</v>
      </c>
    </row>
    <row r="223" spans="1:56" ht="16.5" thickBot="1" x14ac:dyDescent="0.3">
      <c r="A223" s="21">
        <v>42825</v>
      </c>
      <c r="B223" s="24">
        <f t="shared" si="28"/>
        <v>207</v>
      </c>
      <c r="C223" s="97" t="s">
        <v>92</v>
      </c>
      <c r="D223" s="84">
        <f t="shared" si="34"/>
        <v>-0.37209999999999999</v>
      </c>
      <c r="E223" s="47">
        <f t="shared" si="29"/>
        <v>6885895.647200048</v>
      </c>
      <c r="G223" s="106">
        <f>(E223/E$220-1)*100</f>
        <v>3.659435915172371</v>
      </c>
      <c r="H223" s="49"/>
      <c r="I223" s="39"/>
      <c r="J223" s="20">
        <f t="shared" si="39"/>
        <v>42825</v>
      </c>
      <c r="K223" s="27">
        <f>'LC (Gross)'!K223</f>
        <v>0.11664881162675513</v>
      </c>
      <c r="L223" s="46">
        <f t="shared" si="37"/>
        <v>2244276.3995235637</v>
      </c>
      <c r="N223" s="106">
        <f>(L223/L$220-1)*100</f>
        <v>6.0660463971449419</v>
      </c>
      <c r="O223" s="39"/>
      <c r="P223" s="20">
        <f t="shared" si="40"/>
        <v>42825</v>
      </c>
      <c r="Q223" s="27">
        <f>'LC (Gross)'!Q223</f>
        <v>-0.1369077903657748</v>
      </c>
      <c r="R223" s="46">
        <f t="shared" si="38"/>
        <v>2108845.2069263756</v>
      </c>
      <c r="S223" s="112"/>
      <c r="T223" s="106">
        <f>(R223/R$220-1)*100</f>
        <v>5.5498736672915605</v>
      </c>
      <c r="U223" s="49"/>
      <c r="V223" s="39"/>
      <c r="W223" s="20">
        <f t="shared" si="41"/>
        <v>42825</v>
      </c>
      <c r="X223" s="36">
        <f>'LC (Gross)'!X223</f>
        <v>-5.084997401826865E-2</v>
      </c>
      <c r="Y223" s="46">
        <f t="shared" si="32"/>
        <v>5093930.5948338648</v>
      </c>
      <c r="AB223" s="36">
        <f t="shared" si="35"/>
        <v>9.5501870407483536E-2</v>
      </c>
      <c r="AC223" s="107">
        <f>'LC (Gross)'!AC223</f>
        <v>-0.46760187040748352</v>
      </c>
      <c r="AD223" s="108">
        <f>'LC (Gross)'!AD223</f>
        <v>112381511.09</v>
      </c>
      <c r="AE223" s="107">
        <v>-0.27450000000000002</v>
      </c>
      <c r="AF223" s="108">
        <f>'LC (Gross)'!AF223</f>
        <v>110545879.28</v>
      </c>
      <c r="AG223" s="107"/>
      <c r="AH223" s="133">
        <v>20146171.039999999</v>
      </c>
      <c r="AI223" s="133"/>
      <c r="AJ223" s="133"/>
      <c r="AK223" s="133"/>
      <c r="AL223" s="133"/>
      <c r="AM223" s="133"/>
      <c r="AN223" s="133"/>
      <c r="AO223" s="133"/>
      <c r="AP223" s="133"/>
      <c r="AQ223" s="133"/>
      <c r="AR223" s="133"/>
      <c r="AS223" s="133"/>
      <c r="AT223" s="133"/>
      <c r="AU223" s="133"/>
      <c r="AV223" s="133"/>
      <c r="AW223" s="133"/>
      <c r="AX223" s="133"/>
      <c r="AY223" s="110">
        <f>ROUND(AD222/AZ222*(AC223)+AF222/AZ222*AE223,4)</f>
        <v>-0.37209999999999999</v>
      </c>
      <c r="AZ223" s="111">
        <f>AD223+AF223</f>
        <v>222927390.37</v>
      </c>
      <c r="BA223" s="149">
        <f>AD223+AF223+AH223</f>
        <v>243073561.41</v>
      </c>
    </row>
    <row r="224" spans="1:56" x14ac:dyDescent="0.25">
      <c r="A224" s="21">
        <v>42855</v>
      </c>
      <c r="B224" s="24">
        <f t="shared" si="28"/>
        <v>208</v>
      </c>
      <c r="C224" s="97" t="s">
        <v>92</v>
      </c>
      <c r="D224" s="84">
        <f t="shared" si="34"/>
        <v>0.83989999999999998</v>
      </c>
      <c r="E224" s="47">
        <f t="shared" si="29"/>
        <v>6943730.2847408811</v>
      </c>
      <c r="F224" s="106"/>
      <c r="H224" s="49"/>
      <c r="I224" s="39"/>
      <c r="J224" s="20">
        <f t="shared" si="39"/>
        <v>42855</v>
      </c>
      <c r="K224" s="27">
        <f>'LC (Gross)'!K224</f>
        <v>1.0271052392714737</v>
      </c>
      <c r="L224" s="46">
        <f t="shared" si="37"/>
        <v>2267327.4800068033</v>
      </c>
      <c r="M224" s="106"/>
      <c r="O224" s="39"/>
      <c r="P224" s="20">
        <f t="shared" si="40"/>
        <v>42855</v>
      </c>
      <c r="Q224" s="27">
        <f>'LC (Gross)'!Q224</f>
        <v>1.0957501047797271</v>
      </c>
      <c r="R224" s="46">
        <f t="shared" si="38"/>
        <v>2131952.8804909135</v>
      </c>
      <c r="U224" s="49"/>
      <c r="V224" s="39"/>
      <c r="W224" s="20">
        <f t="shared" si="41"/>
        <v>42855</v>
      </c>
      <c r="X224" s="36">
        <f>'LC (Gross)'!X224</f>
        <v>1.0873319147513971</v>
      </c>
      <c r="Y224" s="46">
        <f t="shared" si="32"/>
        <v>5149318.5279067792</v>
      </c>
      <c r="AC224" s="107">
        <f>'LC (Gross)'!AC224</f>
        <v>0.67114093959731302</v>
      </c>
      <c r="AD224" s="108">
        <f>'LC (Gross)'!AD224</f>
        <v>111972789.14</v>
      </c>
      <c r="AE224" s="107">
        <v>0.92390000000000005</v>
      </c>
      <c r="AF224" s="108">
        <f>'LC (Gross)'!AF224</f>
        <v>111567262</v>
      </c>
      <c r="AG224" s="107">
        <v>1.32</v>
      </c>
      <c r="AH224" s="133">
        <v>25106767.140000001</v>
      </c>
      <c r="AI224" s="133"/>
      <c r="AJ224" s="133"/>
      <c r="AK224" s="133"/>
      <c r="AL224" s="133"/>
      <c r="AM224" s="133"/>
      <c r="AN224" s="133"/>
      <c r="AO224" s="133"/>
      <c r="AP224" s="133"/>
      <c r="AQ224" s="133"/>
      <c r="AR224" s="133"/>
      <c r="AS224" s="133"/>
      <c r="AT224" s="133"/>
      <c r="AU224" s="133"/>
      <c r="AV224" s="133"/>
      <c r="AW224" s="133"/>
      <c r="AX224" s="133"/>
      <c r="AY224" s="110">
        <f>ROUND(AD223/BA223*(AC224)+AF223/BA223*AE224+AH223/BA223*AG224,4)</f>
        <v>0.83989999999999998</v>
      </c>
      <c r="AZ224" s="111">
        <f t="shared" ref="AZ224:AZ225" si="43">AD224+AF224+AH224</f>
        <v>248646818.27999997</v>
      </c>
      <c r="BA224" s="61"/>
    </row>
    <row r="225" spans="1:54" x14ac:dyDescent="0.25">
      <c r="A225" s="21">
        <v>42886</v>
      </c>
      <c r="B225" s="24">
        <f t="shared" si="28"/>
        <v>209</v>
      </c>
      <c r="C225" s="97" t="s">
        <v>92</v>
      </c>
      <c r="D225" s="84">
        <f t="shared" si="34"/>
        <v>1.2131000000000001</v>
      </c>
      <c r="E225" s="47">
        <f t="shared" si="29"/>
        <v>7027964.6768250726</v>
      </c>
      <c r="H225" s="49"/>
      <c r="I225" s="39"/>
      <c r="J225" s="20">
        <f t="shared" si="39"/>
        <v>42886</v>
      </c>
      <c r="K225" s="27">
        <f>'LC (Gross)'!K225</f>
        <v>1.4072016778941636</v>
      </c>
      <c r="L225" s="46">
        <f t="shared" si="37"/>
        <v>2299233.3503488144</v>
      </c>
      <c r="M225" s="106"/>
      <c r="O225" s="39"/>
      <c r="P225" s="20">
        <f t="shared" si="40"/>
        <v>42886</v>
      </c>
      <c r="Q225" s="27">
        <f>'LC (Gross)'!Q225</f>
        <v>1.7902098939561422</v>
      </c>
      <c r="R225" s="46">
        <f t="shared" si="38"/>
        <v>2170119.3118919446</v>
      </c>
      <c r="U225" s="49"/>
      <c r="V225" s="39"/>
      <c r="W225" s="20">
        <f t="shared" si="41"/>
        <v>42886</v>
      </c>
      <c r="X225" s="36">
        <f>'LC (Gross)'!X225</f>
        <v>2.6960703277971878</v>
      </c>
      <c r="Y225" s="46">
        <f t="shared" si="32"/>
        <v>5288147.7768214364</v>
      </c>
      <c r="AC225" s="107">
        <f>'LC (Gross)'!AC225</f>
        <v>1.3333333333333286</v>
      </c>
      <c r="AD225" s="108">
        <f>'LC (Gross)'!AD225</f>
        <v>113575928.79000001</v>
      </c>
      <c r="AE225" s="107">
        <v>1.0706</v>
      </c>
      <c r="AF225" s="108">
        <f>'LC (Gross)'!AF225</f>
        <v>112761744.16</v>
      </c>
      <c r="AG225" s="107">
        <v>1.31</v>
      </c>
      <c r="AH225" s="133">
        <v>25441297.940000001</v>
      </c>
      <c r="AI225" s="133"/>
      <c r="AJ225" s="133"/>
      <c r="AK225" s="133"/>
      <c r="AL225" s="133"/>
      <c r="AM225" s="133"/>
      <c r="AN225" s="133"/>
      <c r="AO225" s="133"/>
      <c r="AP225" s="133"/>
      <c r="AQ225" s="133"/>
      <c r="AR225" s="133"/>
      <c r="AS225" s="133"/>
      <c r="AT225" s="133"/>
      <c r="AU225" s="133"/>
      <c r="AV225" s="133"/>
      <c r="AW225" s="133"/>
      <c r="AX225" s="133"/>
      <c r="AY225" s="110">
        <f>ROUND(AD224/AZ224*(AC225)+AF224/AZ224*AE225+AH224/AZ224*AG225,4)</f>
        <v>1.2131000000000001</v>
      </c>
      <c r="AZ225" s="111">
        <f t="shared" si="43"/>
        <v>251778970.88999999</v>
      </c>
      <c r="BA225" s="61"/>
    </row>
    <row r="226" spans="1:54" x14ac:dyDescent="0.25">
      <c r="A226" s="21">
        <v>42916</v>
      </c>
      <c r="B226" s="24">
        <f t="shared" si="28"/>
        <v>210</v>
      </c>
      <c r="C226" s="97" t="s">
        <v>92</v>
      </c>
      <c r="D226" s="84">
        <f t="shared" si="34"/>
        <v>0.13800000000000001</v>
      </c>
      <c r="E226" s="47">
        <f t="shared" si="29"/>
        <v>7037663.2680790909</v>
      </c>
      <c r="F226" s="112"/>
      <c r="G226" s="106">
        <f>(E226/E$223-1)*100</f>
        <v>2.2040360274811155</v>
      </c>
      <c r="H226" s="49"/>
      <c r="I226" s="39"/>
      <c r="J226" s="20">
        <f t="shared" si="39"/>
        <v>42916</v>
      </c>
      <c r="K226" s="27">
        <f>'LC (Gross)'!K226</f>
        <v>0.62408740693053544</v>
      </c>
      <c r="L226" s="46">
        <f t="shared" si="37"/>
        <v>2313582.5761442883</v>
      </c>
      <c r="M226" s="112"/>
      <c r="N226" s="106">
        <f>(L226/L$223-1)*100</f>
        <v>3.088130171285397</v>
      </c>
      <c r="O226" s="39"/>
      <c r="P226" s="20">
        <f t="shared" si="40"/>
        <v>42916</v>
      </c>
      <c r="Q226" s="27">
        <f>'LC (Gross)'!Q226</f>
        <v>-0.21335450099320977</v>
      </c>
      <c r="R226" s="46">
        <f t="shared" si="38"/>
        <v>2165489.2646631002</v>
      </c>
      <c r="S226" s="112"/>
      <c r="T226" s="106">
        <f>(R226/R$223-1)*100</f>
        <v>2.6860225468744892</v>
      </c>
      <c r="U226" s="49"/>
      <c r="V226" s="39"/>
      <c r="W226" s="20">
        <f t="shared" si="41"/>
        <v>42916</v>
      </c>
      <c r="X226" s="36">
        <f>'LC (Gross)'!X226</f>
        <v>-0.32260180051273224</v>
      </c>
      <c r="Y226" s="46">
        <f t="shared" si="32"/>
        <v>5271088.1168796364</v>
      </c>
      <c r="AC226" s="107">
        <f>'LC (Gross)'!AC226</f>
        <v>6.578947368422082E-2</v>
      </c>
      <c r="AD226" s="108">
        <f>'LC (Gross)'!AD226</f>
        <v>114281134.66</v>
      </c>
      <c r="AE226" s="107">
        <v>0.19889999999999999</v>
      </c>
      <c r="AF226" s="108">
        <f>'LC (Gross)'!AF226</f>
        <v>112986047.25999999</v>
      </c>
      <c r="AG226" s="107">
        <v>0.19</v>
      </c>
      <c r="AH226" s="133">
        <v>25490896.539999999</v>
      </c>
      <c r="AI226" s="133"/>
      <c r="AJ226" s="133"/>
      <c r="AK226" s="133"/>
      <c r="AL226" s="133"/>
      <c r="AM226" s="133"/>
      <c r="AN226" s="133"/>
      <c r="AO226" s="133"/>
      <c r="AP226" s="133"/>
      <c r="AQ226" s="133"/>
      <c r="AR226" s="133"/>
      <c r="AS226" s="133"/>
      <c r="AT226" s="133"/>
      <c r="AU226" s="133"/>
      <c r="AV226" s="133"/>
      <c r="AW226" s="133"/>
      <c r="AX226" s="133"/>
      <c r="AY226" s="110">
        <f>ROUND(AD225/AZ225*(AC226)+AF225/AZ225*AE226+AH225/AZ225*AG226,4)</f>
        <v>0.13800000000000001</v>
      </c>
      <c r="AZ226" s="111">
        <f>AD226+AF226+AH226</f>
        <v>252758078.45999998</v>
      </c>
      <c r="BA226" s="61"/>
      <c r="BB226" s="61"/>
    </row>
    <row r="227" spans="1:54" ht="16.5" thickBot="1" x14ac:dyDescent="0.3">
      <c r="A227" s="21">
        <v>42947</v>
      </c>
      <c r="B227" s="24">
        <f t="shared" si="28"/>
        <v>211</v>
      </c>
      <c r="C227" s="97" t="s">
        <v>92</v>
      </c>
      <c r="D227" s="84">
        <f t="shared" si="34"/>
        <v>1.5096000000000001</v>
      </c>
      <c r="E227" s="47">
        <f t="shared" si="29"/>
        <v>7143903.8327740133</v>
      </c>
      <c r="F227" s="112"/>
      <c r="G227" s="106"/>
      <c r="H227" s="49"/>
      <c r="I227" s="39"/>
      <c r="J227" s="20">
        <f t="shared" si="39"/>
        <v>42947</v>
      </c>
      <c r="K227" s="27">
        <f>'LC (Gross)'!K227</f>
        <v>2.0562208301688933</v>
      </c>
      <c r="L227" s="46">
        <f t="shared" si="37"/>
        <v>2361154.9429981252</v>
      </c>
      <c r="M227" s="112"/>
      <c r="O227" s="39"/>
      <c r="P227" s="20">
        <f t="shared" si="40"/>
        <v>42947</v>
      </c>
      <c r="Q227" s="27">
        <f>'LC (Gross)'!Q227</f>
        <v>1.6477022711698481</v>
      </c>
      <c r="R227" s="46">
        <f t="shared" si="38"/>
        <v>2201170.0804588934</v>
      </c>
      <c r="S227" s="112"/>
      <c r="U227" s="49"/>
      <c r="V227" s="39"/>
      <c r="W227" s="20">
        <f t="shared" si="41"/>
        <v>42947</v>
      </c>
      <c r="X227" s="36">
        <f>'LC (Gross)'!X227</f>
        <v>1.37873985653355</v>
      </c>
      <c r="Y227" s="46">
        <f t="shared" si="32"/>
        <v>5343762.7096200595</v>
      </c>
      <c r="Z227" s="143"/>
      <c r="AC227" s="107">
        <f>'LC (Gross)'!AC227</f>
        <v>1.4464168310322081</v>
      </c>
      <c r="AD227" s="108">
        <f>'LC (Gross)'!AD227</f>
        <v>115932688.12</v>
      </c>
      <c r="AE227" s="107">
        <v>1.5621</v>
      </c>
      <c r="AF227" s="108">
        <f>'LC (Gross)'!AF227</f>
        <v>114751046.27000001</v>
      </c>
      <c r="AG227" s="107">
        <v>1.56</v>
      </c>
      <c r="AH227" s="133">
        <v>25893793.800000001</v>
      </c>
      <c r="AI227" s="133"/>
      <c r="AJ227" s="133"/>
      <c r="AK227" s="133"/>
      <c r="AL227" s="133"/>
      <c r="AM227" s="133"/>
      <c r="AN227" s="133"/>
      <c r="AO227" s="133"/>
      <c r="AP227" s="133"/>
      <c r="AQ227" s="133"/>
      <c r="AR227" s="133"/>
      <c r="AS227" s="133"/>
      <c r="AT227" s="133"/>
      <c r="AU227" s="133"/>
      <c r="AV227" s="133"/>
      <c r="AW227" s="133"/>
      <c r="AX227" s="133"/>
      <c r="AY227" s="110">
        <f>ROUND(AD226/AZ226*(AC227)+AF226/AZ226*AE227+AH226/AZ226*AG227,4)</f>
        <v>1.5096000000000001</v>
      </c>
      <c r="AZ227" s="111">
        <f>AD227+AF227+AH227</f>
        <v>256577528.19000003</v>
      </c>
      <c r="BA227" s="61"/>
    </row>
    <row r="228" spans="1:54" ht="16.5" thickBot="1" x14ac:dyDescent="0.3">
      <c r="A228" s="21">
        <v>42978</v>
      </c>
      <c r="B228" s="24">
        <f t="shared" si="28"/>
        <v>212</v>
      </c>
      <c r="C228" s="97" t="s">
        <v>92</v>
      </c>
      <c r="D228" s="84">
        <f t="shared" si="34"/>
        <v>4.1599999999999998E-2</v>
      </c>
      <c r="E228" s="47">
        <f t="shared" si="29"/>
        <v>7146875.6967684468</v>
      </c>
      <c r="F228" s="112"/>
      <c r="G228" s="106"/>
      <c r="H228" s="49"/>
      <c r="I228" s="39"/>
      <c r="J228" s="20">
        <f t="shared" si="39"/>
        <v>42978</v>
      </c>
      <c r="K228" s="27">
        <f>'LC (Gross)'!K228</f>
        <v>0.30611160404652787</v>
      </c>
      <c r="L228" s="46">
        <f t="shared" si="37"/>
        <v>2368382.7122681607</v>
      </c>
      <c r="M228" s="112"/>
      <c r="O228" s="39"/>
      <c r="P228" s="20">
        <f t="shared" si="40"/>
        <v>42978</v>
      </c>
      <c r="Q228" s="27">
        <f>'LC (Gross)'!Q228</f>
        <v>0.73788105789665526</v>
      </c>
      <c r="R228" s="46">
        <f t="shared" si="38"/>
        <v>2217412.0975346882</v>
      </c>
      <c r="S228" s="112"/>
      <c r="U228" s="49"/>
      <c r="V228" s="39"/>
      <c r="W228" s="20">
        <f t="shared" si="41"/>
        <v>42978</v>
      </c>
      <c r="X228" s="36">
        <f>'LC (Gross)'!X228</f>
        <v>0.85165256587252958</v>
      </c>
      <c r="Y228" s="46">
        <f t="shared" si="32"/>
        <v>5389273.0018506777</v>
      </c>
      <c r="Z228" s="143"/>
      <c r="AC228" s="107">
        <f>'LC (Gross)'!AC228</f>
        <v>0</v>
      </c>
      <c r="AD228" s="108">
        <f>'LC (Gross)'!AD228</f>
        <v>115352709.26000001</v>
      </c>
      <c r="AE228" s="107">
        <v>7.0500000000000007E-2</v>
      </c>
      <c r="AF228" s="108">
        <f>'LC (Gross)'!AF228</f>
        <v>114831910.61</v>
      </c>
      <c r="AG228" s="225">
        <v>0.1</v>
      </c>
      <c r="AH228" s="226">
        <v>25893794.800000001</v>
      </c>
      <c r="AI228" s="133"/>
      <c r="AJ228" s="133"/>
      <c r="AK228" s="133"/>
      <c r="AL228" s="133"/>
      <c r="AM228" s="133"/>
      <c r="AN228" s="133"/>
      <c r="AO228" s="133"/>
      <c r="AP228" s="133"/>
      <c r="AQ228" s="133"/>
      <c r="AR228" s="133"/>
      <c r="AS228" s="133"/>
      <c r="AT228" s="133"/>
      <c r="AU228" s="133"/>
      <c r="AV228" s="133"/>
      <c r="AW228" s="133"/>
      <c r="AX228" s="133"/>
      <c r="AY228" s="110">
        <f>ROUND(AD227/AZ227*(AC228)+AF227/AZ227*AE228+AH227/AZ227*AG228,4)</f>
        <v>4.1599999999999998E-2</v>
      </c>
      <c r="AZ228" s="111">
        <f>AD228+AF228+AH228</f>
        <v>256078414.67000002</v>
      </c>
      <c r="BA228" s="149">
        <f>AD228+AF228</f>
        <v>230184619.87</v>
      </c>
    </row>
    <row r="229" spans="1:54" x14ac:dyDescent="0.25">
      <c r="A229" s="21">
        <v>43008</v>
      </c>
      <c r="B229" s="24">
        <f t="shared" si="28"/>
        <v>213</v>
      </c>
      <c r="C229" s="97" t="s">
        <v>92</v>
      </c>
      <c r="D229" s="84">
        <f t="shared" si="34"/>
        <v>1.3157000000000001</v>
      </c>
      <c r="E229" s="47">
        <f t="shared" si="29"/>
        <v>7240907.1403108295</v>
      </c>
      <c r="F229" s="112"/>
      <c r="G229" s="106">
        <f>(E229/E$226-1)*100</f>
        <v>2.8879453945118039</v>
      </c>
      <c r="H229" s="49"/>
      <c r="I229" s="39"/>
      <c r="J229" s="20">
        <f t="shared" si="39"/>
        <v>43008</v>
      </c>
      <c r="K229" s="27">
        <f>'LC (Gross)'!K229</f>
        <v>2.062837167180839</v>
      </c>
      <c r="L229" s="46">
        <f t="shared" si="37"/>
        <v>2417238.5911179138</v>
      </c>
      <c r="M229" s="112"/>
      <c r="N229" s="106">
        <f>(L229/L$226-1)*100</f>
        <v>4.4803248452179201</v>
      </c>
      <c r="O229" s="39"/>
      <c r="P229" s="20">
        <f t="shared" si="40"/>
        <v>43008</v>
      </c>
      <c r="Q229" s="27">
        <f>'LC (Gross)'!Q229</f>
        <v>1.4641776764391163</v>
      </c>
      <c r="R229" s="46">
        <f t="shared" si="38"/>
        <v>2249878.9504614514</v>
      </c>
      <c r="S229" s="112"/>
      <c r="T229" s="106">
        <f>(R229/R$226-1)*100</f>
        <v>3.8970262829485902</v>
      </c>
      <c r="U229" s="49"/>
      <c r="V229" s="39"/>
      <c r="W229" s="20">
        <f t="shared" si="41"/>
        <v>43008</v>
      </c>
      <c r="X229" s="36">
        <f>'LC (Gross)'!X229</f>
        <v>0.78794881170017517</v>
      </c>
      <c r="Y229" s="46">
        <f t="shared" si="32"/>
        <v>5431737.7144280383</v>
      </c>
      <c r="AC229" s="107">
        <f>'LC (Gross)'!AC229</f>
        <v>1.2961762799740835</v>
      </c>
      <c r="AD229" s="108">
        <f>'LC (Gross)'!AD229</f>
        <v>116745083.69</v>
      </c>
      <c r="AE229" s="107">
        <v>1.3353999999999999</v>
      </c>
      <c r="AF229" s="108">
        <f>'LC (Gross)'!AF229</f>
        <v>116365386.78999999</v>
      </c>
      <c r="AG229" s="107"/>
      <c r="AH229" s="133"/>
      <c r="AI229" s="133"/>
      <c r="AJ229" s="133"/>
      <c r="AK229" s="133"/>
      <c r="AL229" s="133"/>
      <c r="AM229" s="133"/>
      <c r="AN229" s="133"/>
      <c r="AO229" s="133"/>
      <c r="AP229" s="133"/>
      <c r="AQ229" s="133"/>
      <c r="AR229" s="133"/>
      <c r="AS229" s="133"/>
      <c r="AT229" s="133"/>
      <c r="AU229" s="133"/>
      <c r="AV229" s="133"/>
      <c r="AW229" s="133"/>
      <c r="AX229" s="133"/>
      <c r="AY229" s="110">
        <f>ROUND(AD228/BA228*(AC229)+AF228/BA228*AE229,4)</f>
        <v>1.3157000000000001</v>
      </c>
      <c r="AZ229" s="111">
        <f t="shared" ref="AZ229:AZ235" si="44">AD229+AF229</f>
        <v>233110470.47999999</v>
      </c>
    </row>
    <row r="230" spans="1:54" x14ac:dyDescent="0.25">
      <c r="A230" s="21">
        <v>43039</v>
      </c>
      <c r="B230" s="24">
        <f t="shared" si="28"/>
        <v>214</v>
      </c>
      <c r="C230" s="97" t="s">
        <v>92</v>
      </c>
      <c r="D230" s="84">
        <f t="shared" si="34"/>
        <v>0.67159999999999997</v>
      </c>
      <c r="E230" s="47">
        <f t="shared" si="29"/>
        <v>7289537.0726651568</v>
      </c>
      <c r="F230" s="142"/>
      <c r="H230" s="49"/>
      <c r="I230" s="39"/>
      <c r="J230" s="20">
        <f t="shared" si="39"/>
        <v>43039</v>
      </c>
      <c r="K230" s="27">
        <f>'LC (Gross)'!K230</f>
        <v>2.333376075501929</v>
      </c>
      <c r="L230" s="46">
        <f t="shared" si="37"/>
        <v>2473641.8580908589</v>
      </c>
      <c r="O230" s="39"/>
      <c r="P230" s="20">
        <f t="shared" si="40"/>
        <v>43039</v>
      </c>
      <c r="Q230" s="27">
        <f>'LC (Gross)'!Q230</f>
        <v>2.6030348621902504</v>
      </c>
      <c r="R230" s="46">
        <f t="shared" si="38"/>
        <v>2308444.083899043</v>
      </c>
      <c r="U230" s="49"/>
      <c r="V230" s="39"/>
      <c r="W230" s="20">
        <f t="shared" si="41"/>
        <v>43039</v>
      </c>
      <c r="X230" s="36">
        <f>'LC (Gross)'!X230</f>
        <v>1.9045253081532783</v>
      </c>
      <c r="Y230" s="46">
        <f t="shared" si="32"/>
        <v>5535186.5338718267</v>
      </c>
      <c r="AC230" s="107">
        <f>'LC (Gross)'!AC230</f>
        <v>0.70377479206653504</v>
      </c>
      <c r="AD230" s="108">
        <f>'LC (Gross)'!AD230</f>
        <v>116441793.28</v>
      </c>
      <c r="AE230" s="107">
        <v>0.63940000000000008</v>
      </c>
      <c r="AF230" s="108">
        <f>'LC (Gross)'!AF230</f>
        <v>117109454.2</v>
      </c>
      <c r="AG230" s="107"/>
      <c r="AH230" s="133"/>
      <c r="AI230" s="133"/>
      <c r="AJ230" s="133"/>
      <c r="AK230" s="133"/>
      <c r="AL230" s="133"/>
      <c r="AM230" s="133"/>
      <c r="AN230" s="133"/>
      <c r="AO230" s="133"/>
      <c r="AP230" s="133"/>
      <c r="AQ230" s="133"/>
      <c r="AR230" s="133"/>
      <c r="AS230" s="133"/>
      <c r="AT230" s="133"/>
      <c r="AU230" s="133"/>
      <c r="AV230" s="133"/>
      <c r="AW230" s="133"/>
      <c r="AX230" s="133"/>
      <c r="AY230" s="110">
        <f t="shared" ref="AY230:AY235" si="45">ROUND(AD229/AZ229*(AC230)+AF229/AZ229*AE230,4)</f>
        <v>0.67159999999999997</v>
      </c>
      <c r="AZ230" s="111">
        <f t="shared" si="44"/>
        <v>233551247.48000002</v>
      </c>
    </row>
    <row r="231" spans="1:54" x14ac:dyDescent="0.25">
      <c r="A231" s="21">
        <v>43069</v>
      </c>
      <c r="B231" s="24">
        <f t="shared" si="28"/>
        <v>215</v>
      </c>
      <c r="C231" s="97" t="s">
        <v>92</v>
      </c>
      <c r="D231" s="84">
        <f t="shared" si="34"/>
        <v>4.9181999999999997</v>
      </c>
      <c r="E231" s="47">
        <f t="shared" si="29"/>
        <v>7648051.0849729748</v>
      </c>
      <c r="F231" s="112"/>
      <c r="H231" s="49"/>
      <c r="I231" s="39"/>
      <c r="J231" s="20">
        <f t="shared" si="39"/>
        <v>43069</v>
      </c>
      <c r="K231" s="27">
        <f>'LC (Gross)'!K231</f>
        <v>3.0671349367514291</v>
      </c>
      <c r="L231" s="46">
        <f t="shared" si="37"/>
        <v>2549511.791730471</v>
      </c>
      <c r="M231" s="112"/>
      <c r="O231" s="39"/>
      <c r="P231" s="20">
        <f t="shared" si="40"/>
        <v>43069</v>
      </c>
      <c r="Q231" s="27">
        <f>'LC (Gross)'!Q231</f>
        <v>3.5121979645623385</v>
      </c>
      <c r="R231" s="46">
        <f t="shared" si="38"/>
        <v>2389521.2100268048</v>
      </c>
      <c r="U231" s="49"/>
      <c r="V231" s="39"/>
      <c r="W231" s="20">
        <f t="shared" si="41"/>
        <v>43069</v>
      </c>
      <c r="X231" s="36">
        <f>'LC (Gross)'!X231</f>
        <v>3.8567919911417667</v>
      </c>
      <c r="Y231" s="46">
        <f t="shared" si="32"/>
        <v>5748667.1648049532</v>
      </c>
      <c r="AC231" s="107">
        <f>'LC (Gross)'!AC231</f>
        <v>4.9555273189326519</v>
      </c>
      <c r="AD231" s="108">
        <f>'LC (Gross)'!AD231</f>
        <v>104830068.44</v>
      </c>
      <c r="AE231" s="107">
        <v>4.8811</v>
      </c>
      <c r="AF231" s="108">
        <f>'LC (Gross)'!AF231</f>
        <v>112353883.31999999</v>
      </c>
      <c r="AG231" s="107"/>
      <c r="AH231" s="133"/>
      <c r="AI231" s="133"/>
      <c r="AJ231" s="133"/>
      <c r="AK231" s="133"/>
      <c r="AL231" s="133"/>
      <c r="AM231" s="133"/>
      <c r="AN231" s="133"/>
      <c r="AO231" s="133"/>
      <c r="AP231" s="133"/>
      <c r="AQ231" s="133"/>
      <c r="AR231" s="133"/>
      <c r="AS231" s="133"/>
      <c r="AT231" s="133"/>
      <c r="AU231" s="133"/>
      <c r="AV231" s="133"/>
      <c r="AW231" s="133"/>
      <c r="AX231" s="133"/>
      <c r="AY231" s="110">
        <f t="shared" si="45"/>
        <v>4.9181999999999997</v>
      </c>
      <c r="AZ231" s="111">
        <f t="shared" si="44"/>
        <v>217183951.75999999</v>
      </c>
    </row>
    <row r="232" spans="1:54" x14ac:dyDescent="0.25">
      <c r="A232" s="21">
        <v>43100</v>
      </c>
      <c r="B232" s="24">
        <f t="shared" si="28"/>
        <v>216</v>
      </c>
      <c r="C232" s="97" t="s">
        <v>92</v>
      </c>
      <c r="D232" s="84">
        <f t="shared" si="34"/>
        <v>1.5506</v>
      </c>
      <c r="E232" s="47">
        <f t="shared" si="29"/>
        <v>7766641.7650965657</v>
      </c>
      <c r="F232" s="112">
        <f t="shared" ref="F232" si="46">(E232/E$220-1)*100</f>
        <v>16.918080896635956</v>
      </c>
      <c r="G232" s="106">
        <f>(E232/E$229-1)*100</f>
        <v>7.260618242967376</v>
      </c>
      <c r="H232" s="49"/>
      <c r="I232" s="39"/>
      <c r="J232" s="20">
        <f t="shared" si="39"/>
        <v>43100</v>
      </c>
      <c r="K232" s="27">
        <f>'LC (Gross)'!K232</f>
        <v>1.1047152674964622</v>
      </c>
      <c r="L232" s="46">
        <f t="shared" si="37"/>
        <v>2577676.6377403401</v>
      </c>
      <c r="M232" s="112">
        <f>(L232/L$220-1)*100</f>
        <v>21.822770989101102</v>
      </c>
      <c r="N232" s="106">
        <f>(L232/L$229-1)*100</f>
        <v>6.637244962576383</v>
      </c>
      <c r="O232" s="39"/>
      <c r="P232" s="20">
        <f t="shared" si="40"/>
        <v>43100</v>
      </c>
      <c r="Q232" s="27">
        <f>'LC (Gross)'!Q232</f>
        <v>0.85414301071745957</v>
      </c>
      <c r="R232" s="46">
        <f t="shared" si="38"/>
        <v>2409931.1384318601</v>
      </c>
      <c r="S232" s="112">
        <f>(R232/R$220-1)*100</f>
        <v>20.619534507748007</v>
      </c>
      <c r="T232" s="106">
        <f>(R232/R$229-1)*100</f>
        <v>7.1138132981590774</v>
      </c>
      <c r="U232" s="49"/>
      <c r="V232" s="39"/>
      <c r="W232" s="20">
        <f t="shared" si="41"/>
        <v>43100</v>
      </c>
      <c r="X232" s="36">
        <f>'LC (Gross)'!X232</f>
        <v>-1.1197410506272014</v>
      </c>
      <c r="Y232" s="46">
        <f t="shared" si="32"/>
        <v>5684296.9786967048</v>
      </c>
      <c r="AC232" s="107">
        <f>'LC (Gross)'!AC232</f>
        <v>1.4690719999999999</v>
      </c>
      <c r="AD232" s="108">
        <f>'LC (Gross)'!AD232</f>
        <v>103468358.20999999</v>
      </c>
      <c r="AE232" s="107">
        <v>1.6265999999999998</v>
      </c>
      <c r="AF232" s="108">
        <f>'LC (Gross)'!AF232</f>
        <v>114181473.84</v>
      </c>
      <c r="AG232" s="107"/>
      <c r="AH232" s="133"/>
      <c r="AI232" s="133"/>
      <c r="AJ232" s="133"/>
      <c r="AK232" s="133"/>
      <c r="AL232" s="133"/>
      <c r="AM232" s="133"/>
      <c r="AN232" s="133"/>
      <c r="AO232" s="133"/>
      <c r="AP232" s="133"/>
      <c r="AQ232" s="133"/>
      <c r="AR232" s="133"/>
      <c r="AS232" s="133"/>
      <c r="AT232" s="133"/>
      <c r="AU232" s="133"/>
      <c r="AV232" s="133"/>
      <c r="AW232" s="133"/>
      <c r="AX232" s="133"/>
      <c r="AY232" s="110">
        <f t="shared" si="45"/>
        <v>1.5506</v>
      </c>
      <c r="AZ232" s="111">
        <f t="shared" si="44"/>
        <v>217649832.05000001</v>
      </c>
    </row>
    <row r="233" spans="1:54" x14ac:dyDescent="0.25">
      <c r="A233" s="21">
        <v>43131</v>
      </c>
      <c r="B233" s="24">
        <f t="shared" si="28"/>
        <v>217</v>
      </c>
      <c r="C233" s="97" t="s">
        <v>92</v>
      </c>
      <c r="D233" s="84">
        <f t="shared" si="34"/>
        <v>4.8006000000000002</v>
      </c>
      <c r="E233" s="47">
        <f t="shared" si="29"/>
        <v>8139487.1696717916</v>
      </c>
      <c r="H233" s="49"/>
      <c r="I233" s="39"/>
      <c r="J233" s="20">
        <f t="shared" si="39"/>
        <v>43131</v>
      </c>
      <c r="K233" s="27">
        <f>'LC (Gross)'!K233</f>
        <v>5.7232165786512033</v>
      </c>
      <c r="L233" s="46">
        <f t="shared" si="37"/>
        <v>2725202.6544155143</v>
      </c>
      <c r="O233" s="39"/>
      <c r="P233" s="20">
        <f t="shared" si="40"/>
        <v>43131</v>
      </c>
      <c r="Q233" s="27">
        <f>'LC (Gross)'!Q233</f>
        <v>4.7205038436068492</v>
      </c>
      <c r="R233" s="46">
        <f t="shared" si="38"/>
        <v>2523692.0304498142</v>
      </c>
      <c r="U233" s="49"/>
      <c r="V233" s="39"/>
      <c r="W233" s="20">
        <f t="shared" si="41"/>
        <v>43131</v>
      </c>
      <c r="X233" s="36">
        <f>'LC (Gross)'!X233</f>
        <v>2.6513754394878313</v>
      </c>
      <c r="Y233" s="46">
        <f t="shared" si="32"/>
        <v>5835009.0326974178</v>
      </c>
      <c r="AC233" s="107">
        <f>'LC (Gross)'!AC233</f>
        <v>4.865556978233033</v>
      </c>
      <c r="AD233" s="108">
        <f>'LC (Gross)'!AD233</f>
        <v>106632569.67</v>
      </c>
      <c r="AE233" s="107">
        <v>4.7418000000000005</v>
      </c>
      <c r="AF233" s="108">
        <f>'LC (Gross)'!AF233</f>
        <v>119595749.08</v>
      </c>
      <c r="AG233" s="107"/>
      <c r="AH233" s="133"/>
      <c r="AI233" s="133"/>
      <c r="AJ233" s="133"/>
      <c r="AK233" s="133"/>
      <c r="AL233" s="133"/>
      <c r="AM233" s="133"/>
      <c r="AN233" s="133"/>
      <c r="AO233" s="133"/>
      <c r="AP233" s="133"/>
      <c r="AQ233" s="133"/>
      <c r="AR233" s="133"/>
      <c r="AS233" s="133"/>
      <c r="AT233" s="133"/>
      <c r="AU233" s="133"/>
      <c r="AV233" s="133"/>
      <c r="AW233" s="133"/>
      <c r="AX233" s="133"/>
      <c r="AY233" s="110">
        <f t="shared" si="45"/>
        <v>4.8006000000000002</v>
      </c>
      <c r="AZ233" s="111">
        <f t="shared" si="44"/>
        <v>226228318.75</v>
      </c>
    </row>
    <row r="234" spans="1:54" x14ac:dyDescent="0.25">
      <c r="A234" s="21">
        <v>43159</v>
      </c>
      <c r="B234" s="24">
        <f t="shared" si="28"/>
        <v>218</v>
      </c>
      <c r="C234" s="97" t="s">
        <v>92</v>
      </c>
      <c r="D234" s="84">
        <f t="shared" si="34"/>
        <v>-3.0344000000000002</v>
      </c>
      <c r="E234" s="47">
        <f t="shared" si="29"/>
        <v>7892502.5709952712</v>
      </c>
      <c r="G234" s="106"/>
      <c r="H234" s="49"/>
      <c r="I234" s="39"/>
      <c r="J234" s="20">
        <f t="shared" si="39"/>
        <v>43159</v>
      </c>
      <c r="K234" s="27">
        <f>'LC (Gross)'!K234</f>
        <v>-3.6859753386859775</v>
      </c>
      <c r="L234" s="46">
        <f t="shared" si="37"/>
        <v>2624752.3566445429</v>
      </c>
      <c r="O234" s="39"/>
      <c r="P234" s="20">
        <f t="shared" si="40"/>
        <v>43159</v>
      </c>
      <c r="Q234" s="27">
        <f>'LC (Gross)'!Q234</f>
        <v>-4.2955557287634223</v>
      </c>
      <c r="R234" s="46">
        <f t="shared" si="38"/>
        <v>2415285.4328594813</v>
      </c>
      <c r="U234" s="49"/>
      <c r="V234" s="39"/>
      <c r="W234" s="20">
        <f t="shared" si="41"/>
        <v>43159</v>
      </c>
      <c r="X234" s="36">
        <f>'LC (Gross)'!X234</f>
        <v>-4.2397855144443843</v>
      </c>
      <c r="Y234" s="46">
        <f t="shared" si="32"/>
        <v>5587617.1649625916</v>
      </c>
      <c r="AC234" s="107">
        <f>'LC (Gross)'!AC234</f>
        <v>-2.9914529914529822</v>
      </c>
      <c r="AD234" s="108">
        <f>'LC (Gross)'!AD234</f>
        <v>101563360.99000001</v>
      </c>
      <c r="AE234" s="107">
        <v>-3.0727000000000002</v>
      </c>
      <c r="AF234" s="108">
        <f>'LC (Gross)'!AF234</f>
        <v>115920962.68000001</v>
      </c>
      <c r="AG234" s="107"/>
      <c r="AH234" s="133"/>
      <c r="AI234" s="133"/>
      <c r="AJ234" s="133"/>
      <c r="AK234" s="133"/>
      <c r="AL234" s="133"/>
      <c r="AM234" s="133"/>
      <c r="AN234" s="133"/>
      <c r="AO234" s="133"/>
      <c r="AP234" s="133"/>
      <c r="AQ234" s="133"/>
      <c r="AR234" s="133"/>
      <c r="AS234" s="133"/>
      <c r="AT234" s="133"/>
      <c r="AU234" s="133"/>
      <c r="AV234" s="133"/>
      <c r="AW234" s="133"/>
      <c r="AX234" s="133"/>
      <c r="AY234" s="110">
        <f t="shared" si="45"/>
        <v>-3.0344000000000002</v>
      </c>
      <c r="AZ234" s="111">
        <f t="shared" si="44"/>
        <v>217484323.67000002</v>
      </c>
    </row>
    <row r="235" spans="1:54" x14ac:dyDescent="0.25">
      <c r="A235" s="21">
        <v>43190</v>
      </c>
      <c r="B235" s="24">
        <f t="shared" si="28"/>
        <v>219</v>
      </c>
      <c r="C235" s="97" t="s">
        <v>92</v>
      </c>
      <c r="D235" s="84">
        <f t="shared" si="34"/>
        <v>-0.86450000000000005</v>
      </c>
      <c r="E235" s="47">
        <f t="shared" si="29"/>
        <v>7824271.8862690171</v>
      </c>
      <c r="F235" s="112"/>
      <c r="G235" s="106">
        <f>(E235/E$232-1)*100</f>
        <v>0.7420211066183402</v>
      </c>
      <c r="H235" s="49"/>
      <c r="I235" s="39"/>
      <c r="J235" s="20">
        <f t="shared" si="39"/>
        <v>43190</v>
      </c>
      <c r="K235" s="27">
        <f>'LC (Gross)'!K235</f>
        <v>-2.5411590560710544</v>
      </c>
      <c r="L235" s="46">
        <f t="shared" si="37"/>
        <v>2558053.2244342319</v>
      </c>
      <c r="M235" s="112"/>
      <c r="N235" s="106">
        <f>(L235/L$232-1)*100</f>
        <v>-0.76128297160308334</v>
      </c>
      <c r="O235" s="39"/>
      <c r="P235" s="20">
        <f t="shared" si="40"/>
        <v>43190</v>
      </c>
      <c r="Q235" s="27">
        <f>'LC (Gross)'!Q235</f>
        <v>-1.7878867440673445</v>
      </c>
      <c r="R235" s="46">
        <f t="shared" si="38"/>
        <v>2372102.8647739971</v>
      </c>
      <c r="S235" s="112"/>
      <c r="T235" s="106">
        <f>(R235/R$232-1)*100</f>
        <v>-1.5696827620758413</v>
      </c>
      <c r="U235" s="49"/>
      <c r="V235" s="39"/>
      <c r="W235" s="20">
        <f t="shared" si="41"/>
        <v>43190</v>
      </c>
      <c r="X235" s="36">
        <f>'LC (Gross)'!X235</f>
        <v>0.85099131855693555</v>
      </c>
      <c r="Y235" s="46">
        <f t="shared" si="32"/>
        <v>5635167.3019506205</v>
      </c>
      <c r="AC235" s="107">
        <f>'LC (Gross)'!AC235</f>
        <v>-0.88105726872247048</v>
      </c>
      <c r="AD235" s="108">
        <f>'LC (Gross)'!AD235</f>
        <v>135316535.74000001</v>
      </c>
      <c r="AE235" s="107">
        <v>-0.85</v>
      </c>
      <c r="AF235" s="108">
        <f>'LC (Gross)'!AF235</f>
        <v>114933616.52</v>
      </c>
      <c r="AG235" s="107"/>
      <c r="AH235" s="133"/>
      <c r="AI235" s="133"/>
      <c r="AJ235" s="133"/>
      <c r="AK235" s="133"/>
      <c r="AL235" s="133"/>
      <c r="AM235" s="133"/>
      <c r="AN235" s="133"/>
      <c r="AO235" s="133"/>
      <c r="AP235" s="133"/>
      <c r="AQ235" s="133"/>
      <c r="AR235" s="133"/>
      <c r="AS235" s="133"/>
      <c r="AT235" s="133"/>
      <c r="AU235" s="133"/>
      <c r="AV235" s="133"/>
      <c r="AW235" s="133"/>
      <c r="AX235" s="133"/>
      <c r="AY235" s="110">
        <f t="shared" si="45"/>
        <v>-0.86450000000000005</v>
      </c>
      <c r="AZ235" s="111">
        <f t="shared" si="44"/>
        <v>250250152.25999999</v>
      </c>
    </row>
    <row r="236" spans="1:54" x14ac:dyDescent="0.25">
      <c r="A236" s="21">
        <v>43220</v>
      </c>
      <c r="B236" s="24">
        <f t="shared" si="28"/>
        <v>220</v>
      </c>
      <c r="C236" s="97" t="s">
        <v>92</v>
      </c>
      <c r="D236" s="84">
        <f t="shared" si="34"/>
        <v>1.4954000000000001</v>
      </c>
      <c r="E236" s="47">
        <f t="shared" ref="E236" si="47">E235*D236/100+E235</f>
        <v>7941276.048056284</v>
      </c>
      <c r="F236" s="112"/>
      <c r="H236" s="49"/>
      <c r="I236" s="39"/>
      <c r="J236" s="20">
        <f t="shared" si="39"/>
        <v>43220</v>
      </c>
      <c r="K236" s="27">
        <f>'LC (Gross)'!K236</f>
        <v>0.38357610779871304</v>
      </c>
      <c r="L236" s="46">
        <f t="shared" si="37"/>
        <v>2567865.3054279364</v>
      </c>
      <c r="M236" s="112"/>
      <c r="O236" s="39"/>
      <c r="P236" s="20">
        <f t="shared" si="40"/>
        <v>43220</v>
      </c>
      <c r="Q236" s="27">
        <f>'LC (Gross)'!Q236</f>
        <v>-3.5721333269972942E-3</v>
      </c>
      <c r="R236" s="46">
        <f t="shared" si="38"/>
        <v>2372018.1300970139</v>
      </c>
      <c r="U236" s="49"/>
      <c r="V236" s="39"/>
      <c r="W236" s="20">
        <f t="shared" si="41"/>
        <v>43220</v>
      </c>
      <c r="X236" s="36">
        <f>'LC (Gross)'!X236</f>
        <v>-0.5668110875880138</v>
      </c>
      <c r="Y236" s="46">
        <f t="shared" si="32"/>
        <v>5603226.5488790302</v>
      </c>
      <c r="AC236" s="107">
        <f>'LC (Gross)'!AC236</f>
        <v>1.3333333333333388</v>
      </c>
      <c r="AD236" s="108">
        <f>'LC (Gross)'!AD236</f>
        <v>243968624.47</v>
      </c>
      <c r="AE236" s="107">
        <v>1.68611</v>
      </c>
      <c r="AF236" s="108">
        <f>'LC (Gross)'!AF236</f>
        <v>117311987.22</v>
      </c>
      <c r="AG236" s="107"/>
      <c r="AH236" s="133"/>
      <c r="AI236" s="133"/>
      <c r="AJ236" s="133"/>
      <c r="AK236" s="133"/>
      <c r="AL236" s="133"/>
      <c r="AM236" s="133"/>
      <c r="AN236" s="133"/>
      <c r="AO236" s="133"/>
      <c r="AP236" s="133"/>
      <c r="AQ236" s="133"/>
      <c r="AR236" s="133"/>
      <c r="AS236" s="133"/>
      <c r="AT236" s="133"/>
      <c r="AU236" s="133"/>
      <c r="AV236" s="133"/>
      <c r="AW236" s="133"/>
      <c r="AX236" s="133"/>
      <c r="AY236" s="110">
        <f t="shared" ref="AY236" si="48">ROUND(AD235/AZ235*(AC236)+AF235/AZ235*AE236,4)</f>
        <v>1.4954000000000001</v>
      </c>
      <c r="AZ236" s="111">
        <f t="shared" ref="AZ236" si="49">AD236+AF236</f>
        <v>361280611.69</v>
      </c>
    </row>
    <row r="237" spans="1:54" x14ac:dyDescent="0.25">
      <c r="A237" s="21">
        <v>43251</v>
      </c>
      <c r="B237" s="24">
        <f t="shared" si="28"/>
        <v>221</v>
      </c>
      <c r="C237" s="97" t="s">
        <v>92</v>
      </c>
      <c r="D237" s="84">
        <f t="shared" si="34"/>
        <v>2.2810000000000001</v>
      </c>
      <c r="E237" s="47">
        <f t="shared" ref="E237" si="50">E236*D237/100+E236</f>
        <v>8122416.5547124483</v>
      </c>
      <c r="F237" s="112"/>
      <c r="H237" s="49"/>
      <c r="I237" s="39"/>
      <c r="J237" s="20">
        <f t="shared" si="39"/>
        <v>43251</v>
      </c>
      <c r="K237" s="27">
        <f>'LC (Gross)'!K237</f>
        <v>2.407992226325443</v>
      </c>
      <c r="L237" s="46">
        <f t="shared" si="37"/>
        <v>2629699.3023651494</v>
      </c>
      <c r="M237" s="112"/>
      <c r="O237" s="39"/>
      <c r="P237" s="20">
        <f t="shared" si="40"/>
        <v>43251</v>
      </c>
      <c r="Q237" s="27">
        <f>'LC (Gross)'!Q237</f>
        <v>2.0633798930354788</v>
      </c>
      <c r="R237" s="46">
        <f t="shared" si="38"/>
        <v>2420961.8752525919</v>
      </c>
      <c r="S237" s="112"/>
      <c r="U237" s="49"/>
      <c r="V237" s="39"/>
      <c r="W237" s="20">
        <f t="shared" si="41"/>
        <v>43251</v>
      </c>
      <c r="X237" s="36">
        <f>'LC (Gross)'!X237</f>
        <v>0.72798394361585439</v>
      </c>
      <c r="Y237" s="46">
        <f t="shared" si="32"/>
        <v>5644017.1384792905</v>
      </c>
      <c r="AC237" s="107">
        <f>'LC (Gross)'!AC237</f>
        <v>2.255639097744357</v>
      </c>
      <c r="AD237" s="108">
        <f>'LC (Gross)'!AD237</f>
        <v>385388924.14999998</v>
      </c>
      <c r="AE237" s="107">
        <v>2.3336000000000001</v>
      </c>
      <c r="AF237" s="108">
        <f>'LC (Gross)'!AF237</f>
        <v>119598839.23</v>
      </c>
      <c r="AG237" s="107"/>
      <c r="AH237" s="133"/>
      <c r="AI237" s="133"/>
      <c r="AJ237" s="133"/>
      <c r="AK237" s="133"/>
      <c r="AL237" s="133"/>
      <c r="AM237" s="133"/>
      <c r="AN237" s="133"/>
      <c r="AO237" s="133"/>
      <c r="AP237" s="133"/>
      <c r="AQ237" s="133"/>
      <c r="AR237" s="133"/>
      <c r="AS237" s="133"/>
      <c r="AT237" s="133"/>
      <c r="AU237" s="133"/>
      <c r="AV237" s="133"/>
      <c r="AW237" s="133"/>
      <c r="AX237" s="133"/>
      <c r="AY237" s="110">
        <f t="shared" ref="AY237:AY239" si="51">ROUND(AD236/AZ236*(AC237)+AF236/AZ236*AE237,4)</f>
        <v>2.2810000000000001</v>
      </c>
      <c r="AZ237" s="111">
        <f t="shared" ref="AZ237:AZ239" si="52">AD237+AF237</f>
        <v>504987763.38</v>
      </c>
    </row>
    <row r="238" spans="1:54" x14ac:dyDescent="0.25">
      <c r="A238" s="21">
        <v>43281</v>
      </c>
      <c r="B238" s="24">
        <f t="shared" si="28"/>
        <v>222</v>
      </c>
      <c r="C238" s="97" t="s">
        <v>92</v>
      </c>
      <c r="D238" s="84">
        <f t="shared" si="34"/>
        <v>1.9641999999999999</v>
      </c>
      <c r="E238" s="47">
        <f t="shared" ref="E238" si="53">E237*D238/100+E237</f>
        <v>8281957.06068011</v>
      </c>
      <c r="F238" s="112"/>
      <c r="G238" s="106">
        <f>(E238/E$235-1)*100</f>
        <v>5.8495561128735218</v>
      </c>
      <c r="H238" s="49"/>
      <c r="I238" s="39"/>
      <c r="J238" s="20">
        <f t="shared" si="39"/>
        <v>43281</v>
      </c>
      <c r="K238" s="27">
        <f>'LC (Gross)'!K238</f>
        <v>0.61554178695228756</v>
      </c>
      <c r="L238" s="46">
        <f t="shared" si="37"/>
        <v>2645886.2004423998</v>
      </c>
      <c r="M238" s="112"/>
      <c r="N238" s="106">
        <f>(L238/L$235-1)*100</f>
        <v>3.4335867279537968</v>
      </c>
      <c r="O238" s="39"/>
      <c r="P238" s="20">
        <f t="shared" si="40"/>
        <v>43281</v>
      </c>
      <c r="Q238" s="27">
        <f>'LC (Gross)'!Q238</f>
        <v>0.7753116730748062</v>
      </c>
      <c r="R238" s="46">
        <f t="shared" ref="R238" si="54">R237*Q238/100+R237</f>
        <v>2439731.8752721162</v>
      </c>
      <c r="S238" s="112"/>
      <c r="T238" s="106">
        <f>(R238/R$235-1)*100</f>
        <v>2.8510150846498883</v>
      </c>
      <c r="U238" s="49"/>
      <c r="V238" s="39"/>
      <c r="W238" s="20">
        <f t="shared" si="41"/>
        <v>43281</v>
      </c>
      <c r="X238" s="36">
        <f>'LC (Gross)'!X238</f>
        <v>1.4332118368315931</v>
      </c>
      <c r="Y238" s="46">
        <f t="shared" si="32"/>
        <v>5724907.8601807794</v>
      </c>
      <c r="AC238" s="107">
        <f>'LC (Gross)'!AC238</f>
        <v>1.8995098039215608</v>
      </c>
      <c r="AD238" s="108">
        <f>'LC (Gross)'!AD238</f>
        <v>398042809.69</v>
      </c>
      <c r="AE238" s="107">
        <v>2.1728580000000002</v>
      </c>
      <c r="AF238" s="108">
        <f>'LC (Gross)'!AF238</f>
        <v>122197551.74000001</v>
      </c>
      <c r="AG238" s="107"/>
      <c r="AH238" s="133"/>
      <c r="AI238" s="133"/>
      <c r="AJ238" s="133"/>
      <c r="AK238" s="133"/>
      <c r="AL238" s="133"/>
      <c r="AM238" s="133"/>
      <c r="AN238" s="133"/>
      <c r="AO238" s="133"/>
      <c r="AP238" s="133"/>
      <c r="AQ238" s="133"/>
      <c r="AR238" s="133"/>
      <c r="AS238" s="133"/>
      <c r="AT238" s="133"/>
      <c r="AU238" s="133"/>
      <c r="AV238" s="133"/>
      <c r="AW238" s="133"/>
      <c r="AX238" s="133"/>
      <c r="AY238" s="110">
        <f t="shared" si="51"/>
        <v>1.9641999999999999</v>
      </c>
      <c r="AZ238" s="111">
        <f t="shared" si="52"/>
        <v>520240361.43000001</v>
      </c>
    </row>
    <row r="239" spans="1:54" x14ac:dyDescent="0.25">
      <c r="A239" s="21">
        <v>43312</v>
      </c>
      <c r="B239" s="24">
        <f t="shared" ref="B239" si="55">IF(A239&gt;A238,1+B238,"-")</f>
        <v>223</v>
      </c>
      <c r="C239" s="97" t="s">
        <v>92</v>
      </c>
      <c r="D239" s="84">
        <f t="shared" si="34"/>
        <v>3.6092</v>
      </c>
      <c r="E239" s="47">
        <f t="shared" ref="E239" si="56">E238*D239/100+E238</f>
        <v>8580869.4549141768</v>
      </c>
      <c r="F239" s="112"/>
      <c r="I239" s="39"/>
      <c r="J239" s="20">
        <f t="shared" si="39"/>
        <v>43312</v>
      </c>
      <c r="K239" s="27">
        <f>'LC (Gross)'!K239</f>
        <v>3.7219699000503734</v>
      </c>
      <c r="L239" s="46">
        <f t="shared" ref="L239" si="57">L238*K239/100+L238</f>
        <v>2744365.2884124522</v>
      </c>
      <c r="M239" s="112"/>
      <c r="O239" s="39"/>
      <c r="P239" s="20">
        <f t="shared" si="40"/>
        <v>43312</v>
      </c>
      <c r="Q239" s="27">
        <f>'LC (Gross)'!Q239</f>
        <v>4.5301134415966011</v>
      </c>
      <c r="R239" s="46">
        <f t="shared" ref="R239" si="58">R238*Q239/100+R238</f>
        <v>2550254.4968927349</v>
      </c>
      <c r="S239" s="112"/>
      <c r="V239" s="39"/>
      <c r="W239" s="20">
        <f t="shared" si="41"/>
        <v>43312</v>
      </c>
      <c r="X239" s="36">
        <f>'LC (Gross)'!X239</f>
        <v>3.5258768432322021</v>
      </c>
      <c r="Y239" s="46">
        <f t="shared" si="32"/>
        <v>5926761.060719274</v>
      </c>
      <c r="AC239" s="107">
        <f>'LC (Gross)'!AC239</f>
        <v>3.6079374624173268</v>
      </c>
      <c r="AD239" s="108">
        <f>'LC (Gross)'!AD239</f>
        <v>414175875.44999999</v>
      </c>
      <c r="AE239" s="107">
        <v>3.6132759999999999</v>
      </c>
      <c r="AF239" s="108">
        <f>'LC (Gross)'!AF239</f>
        <v>126612886.84</v>
      </c>
      <c r="AG239" s="107"/>
      <c r="AH239" s="133"/>
      <c r="AI239" s="133"/>
      <c r="AJ239" s="133"/>
      <c r="AK239" s="133"/>
      <c r="AL239" s="133"/>
      <c r="AM239" s="133"/>
      <c r="AN239" s="133"/>
      <c r="AO239" s="133"/>
      <c r="AP239" s="133"/>
      <c r="AQ239" s="133"/>
      <c r="AR239" s="133"/>
      <c r="AS239" s="133"/>
      <c r="AT239" s="133"/>
      <c r="AU239" s="133"/>
      <c r="AV239" s="133"/>
      <c r="AW239" s="133"/>
      <c r="AX239" s="133"/>
      <c r="AY239" s="110">
        <f t="shared" si="51"/>
        <v>3.6092</v>
      </c>
      <c r="AZ239" s="111">
        <f t="shared" si="52"/>
        <v>540788762.28999996</v>
      </c>
    </row>
    <row r="240" spans="1:54" x14ac:dyDescent="0.25">
      <c r="A240" s="21">
        <v>43343</v>
      </c>
      <c r="B240" s="24">
        <f t="shared" si="28"/>
        <v>224</v>
      </c>
      <c r="C240" s="97" t="s">
        <v>92</v>
      </c>
      <c r="D240" s="84">
        <f t="shared" ref="D240" si="59">AY240</f>
        <v>4.2912999999999997</v>
      </c>
      <c r="E240" s="47">
        <f t="shared" ref="E240" si="60">E239*D240/100+E239</f>
        <v>8949100.3058329094</v>
      </c>
      <c r="F240" s="112"/>
      <c r="I240" s="39"/>
      <c r="J240" s="20">
        <f t="shared" si="39"/>
        <v>43343</v>
      </c>
      <c r="K240" s="27">
        <f>'LC (Gross)'!K240</f>
        <v>3.2583139999999999</v>
      </c>
      <c r="L240" s="46">
        <f t="shared" ref="L240:L241" si="61">L239*K240/100+L239</f>
        <v>2833785.3268159353</v>
      </c>
      <c r="M240" s="112"/>
      <c r="O240" s="39"/>
      <c r="P240" s="20">
        <f t="shared" si="40"/>
        <v>43343</v>
      </c>
      <c r="Q240" s="27">
        <f>'LC (Gross)'!Q240</f>
        <v>2.6510159999999998</v>
      </c>
      <c r="R240" s="46">
        <f t="shared" ref="R240" si="62">R239*Q240/100+R239</f>
        <v>2617862.1516460809</v>
      </c>
      <c r="S240" s="112"/>
      <c r="V240" s="39"/>
      <c r="W240" s="20">
        <f t="shared" si="41"/>
        <v>43343</v>
      </c>
      <c r="X240" s="36">
        <f>'LC (Gross)'!X240</f>
        <v>1.8217884774152782</v>
      </c>
      <c r="Y240" s="46">
        <f t="shared" si="32"/>
        <v>6034734.1108073937</v>
      </c>
      <c r="AC240" s="107">
        <f>'LC (Gross)'!AC240</f>
        <v>4.294835</v>
      </c>
      <c r="AD240" s="108">
        <f>'LC (Gross)'!AD240</f>
        <v>447383472.28999996</v>
      </c>
      <c r="AE240" s="107">
        <v>4.2798790000000002</v>
      </c>
      <c r="AF240" s="108">
        <f>'LC (Gross)'!AF240</f>
        <v>132031765.26000001</v>
      </c>
      <c r="AG240" s="107"/>
      <c r="AH240" s="133"/>
      <c r="AI240" s="133"/>
      <c r="AJ240" s="133"/>
      <c r="AK240" s="133"/>
      <c r="AL240" s="133"/>
      <c r="AM240" s="133"/>
      <c r="AN240" s="133"/>
      <c r="AO240" s="133"/>
      <c r="AP240" s="133"/>
      <c r="AQ240" s="133"/>
      <c r="AR240" s="133"/>
      <c r="AS240" s="133"/>
      <c r="AT240" s="133"/>
      <c r="AU240" s="133"/>
      <c r="AV240" s="133"/>
      <c r="AW240" s="133"/>
      <c r="AX240" s="133"/>
      <c r="AY240" s="110">
        <f t="shared" ref="AY240" si="63">ROUND(AD239/AZ239*(AC240)+AF239/AZ239*AE240,4)</f>
        <v>4.2912999999999997</v>
      </c>
      <c r="AZ240" s="111">
        <f t="shared" ref="AZ240" si="64">AD240+AF240</f>
        <v>579415237.54999995</v>
      </c>
    </row>
    <row r="241" spans="1:52" x14ac:dyDescent="0.25">
      <c r="A241" s="21">
        <v>43373</v>
      </c>
      <c r="B241" s="24">
        <f t="shared" si="28"/>
        <v>225</v>
      </c>
      <c r="C241" s="97" t="s">
        <v>92</v>
      </c>
      <c r="D241" s="84">
        <f t="shared" ref="D241:D242" si="65">AY241</f>
        <v>0.24979999999999999</v>
      </c>
      <c r="E241" s="47">
        <f t="shared" ref="E241" si="66">E240*D241/100+E240</f>
        <v>8971455.1583968792</v>
      </c>
      <c r="F241" s="112"/>
      <c r="G241" s="106">
        <f>(E241/E$238-1)*100</f>
        <v>8.3253039428357933</v>
      </c>
      <c r="I241" s="39"/>
      <c r="J241" s="20">
        <f t="shared" si="39"/>
        <v>43373</v>
      </c>
      <c r="K241" s="27">
        <f>'LC (Gross)'!K241</f>
        <v>0.56832280000000002</v>
      </c>
      <c r="L241" s="46">
        <f t="shared" si="61"/>
        <v>2849890.3749312847</v>
      </c>
      <c r="M241" s="112"/>
      <c r="N241" s="106">
        <f>(L241/L$238-1)*100</f>
        <v>7.7102399360476914</v>
      </c>
      <c r="O241" s="39"/>
      <c r="P241" s="20">
        <f t="shared" si="40"/>
        <v>43373</v>
      </c>
      <c r="Q241" s="27">
        <f>'LC (Gross)'!Q241</f>
        <v>1.2760629999999999</v>
      </c>
      <c r="R241" s="46">
        <f t="shared" ref="R241" si="67">R240*Q241/100+R240</f>
        <v>2651267.7219542405</v>
      </c>
      <c r="S241" s="112"/>
      <c r="T241" s="106">
        <f>(R241/R$238-1)*100</f>
        <v>8.670454685047325</v>
      </c>
      <c r="V241" s="39"/>
      <c r="W241" s="20">
        <f t="shared" si="41"/>
        <v>43373</v>
      </c>
      <c r="X241" s="36">
        <f>'LC (Gross)'!X241</f>
        <v>-0.3545263760623153</v>
      </c>
      <c r="Y241" s="46">
        <f t="shared" si="32"/>
        <v>6013339.3866593521</v>
      </c>
      <c r="AC241" s="107">
        <f>'LC (Gross)'!AC241</f>
        <v>0.22259321000000001</v>
      </c>
      <c r="AD241" s="108">
        <f>'LC (Gross)'!AD241</f>
        <v>458700911.37</v>
      </c>
      <c r="AE241" s="107">
        <v>0.34210699999999999</v>
      </c>
      <c r="AF241" s="108">
        <f>'LC (Gross)'!AF241</f>
        <v>132483455.72</v>
      </c>
      <c r="AY241" s="110">
        <f t="shared" ref="AY241" si="68">ROUND(AD240/AZ240*(AC241)+AF240/AZ240*AE241,4)</f>
        <v>0.24979999999999999</v>
      </c>
      <c r="AZ241" s="111">
        <f t="shared" ref="AZ241" si="69">AD241+AF241</f>
        <v>591184367.09000003</v>
      </c>
    </row>
    <row r="242" spans="1:52" x14ac:dyDescent="0.25">
      <c r="A242" s="21">
        <v>43404</v>
      </c>
      <c r="B242" s="24">
        <f t="shared" si="28"/>
        <v>226</v>
      </c>
      <c r="C242" s="97" t="s">
        <v>92</v>
      </c>
      <c r="D242" s="84">
        <f t="shared" si="65"/>
        <v>-7.3865999999999996</v>
      </c>
      <c r="E242" s="47">
        <f t="shared" ref="E242" si="70">E241*D242/100+E241</f>
        <v>8308769.6516667353</v>
      </c>
      <c r="F242" s="112"/>
      <c r="I242" s="39"/>
      <c r="J242" s="20">
        <f t="shared" si="39"/>
        <v>43404</v>
      </c>
      <c r="K242" s="27">
        <f>'LC (Gross)'!K242</f>
        <v>-6.8352242584879388</v>
      </c>
      <c r="L242" s="46">
        <f t="shared" ref="L242" si="71">L241*K242/100+L241</f>
        <v>2655093.9766836688</v>
      </c>
      <c r="M242" s="112"/>
      <c r="O242" s="39"/>
      <c r="P242" s="20">
        <f t="shared" si="40"/>
        <v>43404</v>
      </c>
      <c r="Q242" s="27">
        <f>'LC (Gross)'!Q242</f>
        <v>-5.0448982984295547</v>
      </c>
      <c r="R242" s="46">
        <f t="shared" ref="R242" si="72">R241*Q242/100+R241</f>
        <v>2517513.9617625591</v>
      </c>
      <c r="S242" s="112"/>
      <c r="V242" s="39"/>
      <c r="W242" s="20">
        <f t="shared" si="41"/>
        <v>43404</v>
      </c>
      <c r="X242" s="36">
        <f>'LC (Gross)'!X242</f>
        <v>-2.8728837419264712</v>
      </c>
      <c r="Y242" s="46">
        <f t="shared" ref="Y242" si="73">Y241*X242/100+Y241</f>
        <v>5840583.1370731546</v>
      </c>
      <c r="AC242" s="107">
        <f>'LC (Gross)'!AC242</f>
        <v>-7.3847862298723035</v>
      </c>
      <c r="AD242" s="108">
        <f>'LC (Gross)'!AD242</f>
        <v>427270466.11000001</v>
      </c>
      <c r="AE242" s="107">
        <v>-7.392759667063431</v>
      </c>
      <c r="AF242" s="108">
        <f>'LC (Gross)'!AF242</f>
        <v>122689272.23999999</v>
      </c>
      <c r="AY242" s="110">
        <f t="shared" ref="AY242:AY244" si="74">ROUND(AD241/AZ241*(AC242)+AF241/AZ241*AE242,4)</f>
        <v>-7.3865999999999996</v>
      </c>
      <c r="AZ242" s="111">
        <f t="shared" ref="AZ242:AZ244" si="75">AD242+AF242</f>
        <v>549959738.35000002</v>
      </c>
    </row>
    <row r="243" spans="1:52" ht="16.5" thickBot="1" x14ac:dyDescent="0.3">
      <c r="A243" s="21">
        <v>43434</v>
      </c>
      <c r="B243" s="24">
        <f t="shared" si="28"/>
        <v>227</v>
      </c>
      <c r="C243" s="97" t="s">
        <v>92</v>
      </c>
      <c r="D243" s="84">
        <f t="shared" ref="D243:D247" si="76">AY243</f>
        <v>1.6066</v>
      </c>
      <c r="E243" s="47">
        <f t="shared" ref="E243:E247" si="77">E242*D243/100+E242</f>
        <v>8442258.3448904138</v>
      </c>
      <c r="F243" s="112"/>
      <c r="I243" s="39"/>
      <c r="J243" s="20">
        <f t="shared" si="39"/>
        <v>43434</v>
      </c>
      <c r="K243" s="27">
        <f>'LC (Gross)'!K243</f>
        <v>2.0375371622214709</v>
      </c>
      <c r="L243" s="46">
        <f t="shared" ref="L243" si="78">L242*K243/100+L242</f>
        <v>2709192.5031505022</v>
      </c>
      <c r="M243" s="112"/>
      <c r="O243" s="39"/>
      <c r="P243" s="20">
        <f t="shared" si="40"/>
        <v>43434</v>
      </c>
      <c r="Q243" s="27">
        <f>'LC (Gross)'!Q243</f>
        <v>4.1323177421448545</v>
      </c>
      <c r="R243" s="46">
        <f t="shared" ref="R243" si="79">R242*Q243/100+R242</f>
        <v>2621545.637865447</v>
      </c>
      <c r="S243" s="112"/>
      <c r="V243" s="39"/>
      <c r="W243" s="20">
        <f t="shared" si="41"/>
        <v>43434</v>
      </c>
      <c r="X243" s="36">
        <f>'LC (Gross)'!X243</f>
        <v>4.8495510444680248</v>
      </c>
      <c r="Y243" s="46">
        <f t="shared" ref="Y243" si="80">Y242*X243/100+Y242</f>
        <v>6123825.1976001095</v>
      </c>
      <c r="AC243" s="107">
        <f>'LC (Gross)'!AC243</f>
        <v>1.5587529976019279</v>
      </c>
      <c r="AD243" s="108">
        <f>'LC (Gross)'!AD243</f>
        <v>447459570.04999995</v>
      </c>
      <c r="AE243" s="107">
        <v>1.7731935484500472</v>
      </c>
      <c r="AF243" s="108">
        <f>'LC (Gross)'!AF243</f>
        <v>124864790.5</v>
      </c>
      <c r="AY243" s="110">
        <f t="shared" si="74"/>
        <v>1.6066</v>
      </c>
      <c r="AZ243" s="111">
        <f t="shared" si="75"/>
        <v>572324360.54999995</v>
      </c>
    </row>
    <row r="244" spans="1:52" x14ac:dyDescent="0.25">
      <c r="A244" s="21">
        <v>43465</v>
      </c>
      <c r="B244" s="24">
        <f t="shared" ref="B244" si="81">IF(A244&gt;A243,1+B243,"-")</f>
        <v>228</v>
      </c>
      <c r="C244" s="97" t="s">
        <v>92</v>
      </c>
      <c r="D244" s="84">
        <f t="shared" si="76"/>
        <v>-7.6698000000000004</v>
      </c>
      <c r="E244" s="47">
        <f t="shared" si="77"/>
        <v>7794754.0143540092</v>
      </c>
      <c r="F244" s="112">
        <f>(E244/E$232-1)*100</f>
        <v>0.3619614513930669</v>
      </c>
      <c r="G244" s="106">
        <f>(E244/E$241-1)*100</f>
        <v>-13.116056684979704</v>
      </c>
      <c r="I244" s="39"/>
      <c r="J244" s="20">
        <f t="shared" si="39"/>
        <v>43465</v>
      </c>
      <c r="K244" s="27">
        <f>'LC (Gross)'!K244</f>
        <v>-9.0331682593467146</v>
      </c>
      <c r="L244" s="46">
        <f t="shared" ref="L244:L245" si="82">L243*K244/100+L243</f>
        <v>2464466.5858713104</v>
      </c>
      <c r="M244" s="112">
        <f>(L244/L$232-1)*100</f>
        <v>-4.3919415729458011</v>
      </c>
      <c r="N244" s="106">
        <f>(L244/L$241-1)*100</f>
        <v>-13.524161927430889</v>
      </c>
      <c r="O244" s="39"/>
      <c r="P244" s="20">
        <f t="shared" si="40"/>
        <v>43465</v>
      </c>
      <c r="Q244" s="27">
        <f>'LC (Gross)'!Q244</f>
        <v>-8.1153348034735213</v>
      </c>
      <c r="R244" s="46">
        <f t="shared" ref="R244:R247" si="83">R243*Q244/100+R243</f>
        <v>2408798.4323268104</v>
      </c>
      <c r="S244" s="112">
        <f>(R244/R$232-1)*100</f>
        <v>-4.7001596310625171E-2</v>
      </c>
      <c r="T244" s="106">
        <f>(R244/R$241-1)*100</f>
        <v>-9.1454094816462614</v>
      </c>
      <c r="V244" s="39"/>
      <c r="W244" s="20">
        <f t="shared" si="41"/>
        <v>43465</v>
      </c>
      <c r="X244" s="36">
        <f>'LC (Gross)'!X244</f>
        <v>-6.9267247437525858</v>
      </c>
      <c r="Y244" s="46">
        <f t="shared" ref="Y244:Y246" si="84">Y243*X244/100+Y243</f>
        <v>5699644.6823737873</v>
      </c>
      <c r="AC244" s="107">
        <f>'LC (Gross)'!AC244</f>
        <v>-7.6165800000000008</v>
      </c>
      <c r="AD244" s="108">
        <f>'LC (Gross)'!AD244</f>
        <v>400236828.50999999</v>
      </c>
      <c r="AE244" s="107">
        <v>-7.8604755677702425</v>
      </c>
      <c r="AF244" s="108">
        <f>'LC (Gross)'!AF244</f>
        <v>115049824.15000001</v>
      </c>
      <c r="AG244" s="324" t="s">
        <v>59</v>
      </c>
      <c r="AH244" s="325"/>
      <c r="AI244" s="230"/>
      <c r="AJ244" s="230"/>
      <c r="AK244" s="230"/>
      <c r="AL244" s="230"/>
      <c r="AM244" s="230"/>
      <c r="AN244" s="230"/>
      <c r="AO244" s="230"/>
      <c r="AP244" s="230"/>
      <c r="AQ244" s="230"/>
      <c r="AR244" s="230"/>
      <c r="AS244" s="230"/>
      <c r="AT244" s="230"/>
      <c r="AU244" s="230"/>
      <c r="AV244" s="230"/>
      <c r="AW244" s="230"/>
      <c r="AX244" s="230"/>
      <c r="AY244" s="110">
        <f t="shared" si="74"/>
        <v>-7.6698000000000004</v>
      </c>
      <c r="AZ244" s="111">
        <f t="shared" si="75"/>
        <v>515286652.65999997</v>
      </c>
    </row>
    <row r="245" spans="1:52" x14ac:dyDescent="0.25">
      <c r="A245" s="21">
        <v>43496</v>
      </c>
      <c r="B245" s="24">
        <f t="shared" si="28"/>
        <v>229</v>
      </c>
      <c r="C245" s="97" t="s">
        <v>92</v>
      </c>
      <c r="D245" s="84">
        <f t="shared" si="76"/>
        <v>7.1585000000000001</v>
      </c>
      <c r="E245" s="47">
        <f t="shared" si="77"/>
        <v>8352741.4804715412</v>
      </c>
      <c r="I245" s="39"/>
      <c r="J245" s="20">
        <f t="shared" si="39"/>
        <v>43496</v>
      </c>
      <c r="K245" s="27">
        <f>'LC (Gross)'!K245</f>
        <v>8.0134375796410833</v>
      </c>
      <c r="L245" s="46">
        <f t="shared" si="82"/>
        <v>2661955.0774012199</v>
      </c>
      <c r="O245" s="39"/>
      <c r="P245" s="20">
        <f t="shared" si="40"/>
        <v>43496</v>
      </c>
      <c r="Q245" s="27">
        <f>'LC (Gross)'!Q245</f>
        <v>6.1557762447490285</v>
      </c>
      <c r="R245" s="46">
        <f t="shared" si="83"/>
        <v>2557078.6740078712</v>
      </c>
      <c r="V245" s="39"/>
      <c r="W245" s="20">
        <f t="shared" si="41"/>
        <v>43496</v>
      </c>
      <c r="X245" s="36">
        <f>'LC (Gross)'!X245</f>
        <v>6.6371135605943001</v>
      </c>
      <c r="Y245" s="46">
        <f t="shared" si="84"/>
        <v>6077936.5724933101</v>
      </c>
      <c r="AC245" s="107">
        <f>'LC (Gross)'!AC245</f>
        <v>7.1285809460359655</v>
      </c>
      <c r="AD245" s="108">
        <f>'LC (Gross)'!AD245</f>
        <v>428581970.38999999</v>
      </c>
      <c r="AE245" s="107">
        <v>7.2624759852794485</v>
      </c>
      <c r="AF245" s="108">
        <f>'LC (Gross)'!AF245</f>
        <v>123422215.68000001</v>
      </c>
      <c r="AG245" s="213"/>
      <c r="AH245" s="108">
        <f>'LC (Gross)'!AH245</f>
        <v>11216717.369999999</v>
      </c>
      <c r="AI245" s="133"/>
      <c r="AJ245" s="133"/>
      <c r="AK245" s="133"/>
      <c r="AL245" s="133"/>
      <c r="AM245" s="133"/>
      <c r="AN245" s="133"/>
      <c r="AO245" s="133"/>
      <c r="AP245" s="133"/>
      <c r="AQ245" s="133"/>
      <c r="AR245" s="133"/>
      <c r="AS245" s="133"/>
      <c r="AT245" s="133"/>
      <c r="AU245" s="133"/>
      <c r="AV245" s="133"/>
      <c r="AW245" s="133"/>
      <c r="AX245" s="133"/>
      <c r="AY245" s="110">
        <f t="shared" ref="AY245:AY247" si="85">ROUND(AD244/AZ244*(AC245)+(AF244/AZ244*AE245)+(AH244/AZ244*AG245)+(AJ244/AZ244*AI245)+(AL244/AZ244*AK245)+(AN244/AZ244*AM245)+(AP244/AZ244*AO245)+(AR244/AZ244*AQ245)+(AT244/AZ244*AS245)+(AV244/AZ244*AU245)+(AX244/AZ244*AW245),4)</f>
        <v>7.1585000000000001</v>
      </c>
      <c r="AZ245" s="111">
        <f>AD245+AF245+AH245</f>
        <v>563220903.43999994</v>
      </c>
    </row>
    <row r="246" spans="1:52" x14ac:dyDescent="0.25">
      <c r="A246" s="21">
        <v>43524</v>
      </c>
      <c r="B246" s="24">
        <f t="shared" si="28"/>
        <v>230</v>
      </c>
      <c r="C246" s="97" t="s">
        <v>93</v>
      </c>
      <c r="D246" s="84">
        <f t="shared" si="76"/>
        <v>4.2697000000000003</v>
      </c>
      <c r="E246" s="47">
        <f t="shared" si="77"/>
        <v>8709378.4834632352</v>
      </c>
      <c r="I246" s="39"/>
      <c r="J246" s="20">
        <f t="shared" si="39"/>
        <v>43524</v>
      </c>
      <c r="K246" s="27">
        <f>'LC (Gross)'!K246</f>
        <v>3.2105470754573098</v>
      </c>
      <c r="L246" s="46">
        <f t="shared" ref="L246" si="86">L245*K246/100+L245</f>
        <v>2747418.3982887119</v>
      </c>
      <c r="M246" s="112"/>
      <c r="O246" s="39"/>
      <c r="P246" s="20">
        <f t="shared" si="40"/>
        <v>43524</v>
      </c>
      <c r="Q246" s="27">
        <f>'LC (Gross)'!Q246</f>
        <v>4.1878904097621978</v>
      </c>
      <c r="R246" s="46">
        <f t="shared" si="83"/>
        <v>2664166.3265667213</v>
      </c>
      <c r="S246" s="112"/>
      <c r="V246" s="39"/>
      <c r="W246" s="20">
        <f t="shared" si="41"/>
        <v>43524</v>
      </c>
      <c r="X246" s="36">
        <f>'LC (Gross)'!X246</f>
        <v>4.1204872274492272</v>
      </c>
      <c r="Y246" s="46">
        <f t="shared" si="84"/>
        <v>6328377.1726553626</v>
      </c>
      <c r="AC246" s="107">
        <f>'LC (Gross)'!AC246</f>
        <v>4.2910447761194108</v>
      </c>
      <c r="AD246" s="108">
        <f>'LC (Gross)'!AD246</f>
        <v>448867305.49000001</v>
      </c>
      <c r="AE246" s="107">
        <v>4.1991862747537079</v>
      </c>
      <c r="AF246" s="108">
        <f>'LC (Gross)'!AF246</f>
        <v>128586034.03</v>
      </c>
      <c r="AG246" s="213">
        <v>4.228237847743558</v>
      </c>
      <c r="AH246" s="108">
        <f>'LC (Gross)'!AH246</f>
        <v>11615647.09</v>
      </c>
      <c r="AI246" s="133"/>
      <c r="AJ246" s="133"/>
      <c r="AK246" s="133"/>
      <c r="AL246" s="133"/>
      <c r="AM246" s="133"/>
      <c r="AN246" s="133"/>
      <c r="AO246" s="133"/>
      <c r="AP246" s="133"/>
      <c r="AQ246" s="133"/>
      <c r="AR246" s="133"/>
      <c r="AS246" s="133"/>
      <c r="AT246" s="133"/>
      <c r="AU246" s="133"/>
      <c r="AV246" s="133"/>
      <c r="AW246" s="133"/>
      <c r="AX246" s="133"/>
      <c r="AY246" s="110">
        <f t="shared" si="85"/>
        <v>4.2697000000000003</v>
      </c>
      <c r="AZ246" s="111">
        <f>AD246+AF246+AH246</f>
        <v>589068986.61000001</v>
      </c>
    </row>
    <row r="247" spans="1:52" ht="16.5" thickBot="1" x14ac:dyDescent="0.3">
      <c r="A247" s="21">
        <v>43555</v>
      </c>
      <c r="B247" s="24">
        <f t="shared" si="28"/>
        <v>231</v>
      </c>
      <c r="C247" s="97" t="s">
        <v>93</v>
      </c>
      <c r="D247" s="84">
        <f t="shared" si="76"/>
        <v>1.5852999999999999</v>
      </c>
      <c r="E247" s="47">
        <f t="shared" si="77"/>
        <v>8847448.260561578</v>
      </c>
      <c r="F247" s="112"/>
      <c r="G247" s="106">
        <f>(E247/E$244-1)*100</f>
        <v>13.505163142660258</v>
      </c>
      <c r="I247" s="39"/>
      <c r="J247" s="20">
        <f t="shared" si="39"/>
        <v>43555</v>
      </c>
      <c r="K247" s="27">
        <f>'LC (Gross)'!K247</f>
        <v>1.9411095029969694</v>
      </c>
      <c r="L247" s="46">
        <f t="shared" ref="L247" si="87">L246*K247/100+L246</f>
        <v>2800748.7979049813</v>
      </c>
      <c r="M247" s="112"/>
      <c r="N247" s="106">
        <f>(L247/L$244-1)*100</f>
        <v>13.645233169788696</v>
      </c>
      <c r="O247" s="39"/>
      <c r="P247" s="20">
        <f t="shared" si="40"/>
        <v>43555</v>
      </c>
      <c r="Q247" s="27">
        <f>'LC (Gross)'!Q247</f>
        <v>2.3970205750409357</v>
      </c>
      <c r="R247" s="46">
        <f t="shared" si="83"/>
        <v>2728026.9415678377</v>
      </c>
      <c r="S247" s="112"/>
      <c r="T247" s="106">
        <f>(R247/R$244-1)*100</f>
        <v>13.252603661513685</v>
      </c>
      <c r="V247" s="39"/>
      <c r="W247" s="20">
        <f t="shared" si="41"/>
        <v>43555</v>
      </c>
      <c r="X247" s="36">
        <f>'LC (Gross)'!X247</f>
        <v>2.3280213985266385</v>
      </c>
      <c r="Y247" s="46">
        <f t="shared" ref="Y247" si="88">Y246*X247/100+Y246</f>
        <v>6475703.147414255</v>
      </c>
      <c r="AC247" s="107">
        <f>'LC (Gross)'!AC247</f>
        <v>1.5503875968992342</v>
      </c>
      <c r="AD247" s="108">
        <f>'LC (Gross)'!AD247</f>
        <v>460121760.48000002</v>
      </c>
      <c r="AE247" s="213">
        <v>1.7013179999999999</v>
      </c>
      <c r="AF247" s="108">
        <f>'LC (Gross)'!AF247</f>
        <v>130779172.3</v>
      </c>
      <c r="AG247" s="213">
        <v>1.6491996397109923</v>
      </c>
      <c r="AH247" s="108">
        <f>'LC (Gross)'!AH247</f>
        <v>11777952.539999999</v>
      </c>
      <c r="AI247" s="133"/>
      <c r="AJ247" s="133"/>
      <c r="AK247" s="133"/>
      <c r="AL247" s="133"/>
      <c r="AM247" s="133"/>
      <c r="AN247" s="133"/>
      <c r="AO247" s="133"/>
      <c r="AP247" s="133"/>
      <c r="AQ247" s="133"/>
      <c r="AR247" s="133"/>
      <c r="AS247" s="133"/>
      <c r="AT247" s="133"/>
      <c r="AU247" s="133"/>
      <c r="AV247" s="133"/>
      <c r="AW247" s="133"/>
      <c r="AX247" s="133"/>
      <c r="AY247" s="110">
        <f t="shared" si="85"/>
        <v>1.5852999999999999</v>
      </c>
      <c r="AZ247" s="111">
        <f>AD247+AF247+AH247</f>
        <v>602678885.31999993</v>
      </c>
    </row>
    <row r="248" spans="1:52" x14ac:dyDescent="0.25">
      <c r="A248" s="21">
        <v>43585</v>
      </c>
      <c r="B248" s="24">
        <f t="shared" si="28"/>
        <v>232</v>
      </c>
      <c r="C248" s="97" t="s">
        <v>93</v>
      </c>
      <c r="D248" s="84">
        <f t="shared" ref="D248:D249" si="89">AY248</f>
        <v>3.5436999999999999</v>
      </c>
      <c r="E248" s="47">
        <f t="shared" ref="E248" si="90">E247*D248/100+E247</f>
        <v>9160975.2845710982</v>
      </c>
      <c r="F248" s="112"/>
      <c r="I248" s="39"/>
      <c r="J248" s="20">
        <f t="shared" si="39"/>
        <v>43585</v>
      </c>
      <c r="K248" s="27">
        <f>'LC (Gross)'!K248</f>
        <v>4.0489294581786028</v>
      </c>
      <c r="L248" s="46">
        <f t="shared" ref="L248" si="91">L247*K248/100+L247</f>
        <v>2914149.1410329393</v>
      </c>
      <c r="M248" s="112"/>
      <c r="O248" s="39"/>
      <c r="P248" s="20">
        <f t="shared" si="40"/>
        <v>43585</v>
      </c>
      <c r="Q248" s="27">
        <f>'LC (Gross)'!Q248</f>
        <v>3.628180711246217</v>
      </c>
      <c r="R248" s="46">
        <f t="shared" ref="R248" si="92">R247*Q248/100+R247</f>
        <v>2827004.6888594022</v>
      </c>
      <c r="S248" s="112"/>
      <c r="V248" s="39"/>
      <c r="W248" s="20">
        <f t="shared" si="41"/>
        <v>43585</v>
      </c>
      <c r="X248" s="36">
        <f>'LC (Gross)'!X248</f>
        <v>2.3496935203532621</v>
      </c>
      <c r="Y248" s="46">
        <f t="shared" ref="Y248" si="93">Y247*X248/100+Y247</f>
        <v>6627862.3246663604</v>
      </c>
      <c r="AC248" s="107">
        <f>'LC (Gross)'!AC248</f>
        <v>3.5231943628890066</v>
      </c>
      <c r="AD248" s="108">
        <f>'LC (Gross)'!AD248</f>
        <v>482513457.73000002</v>
      </c>
      <c r="AE248" s="107">
        <v>3.6161754693961434</v>
      </c>
      <c r="AF248" s="108">
        <f>'LC (Gross)'!AF248</f>
        <v>135504430.34</v>
      </c>
      <c r="AG248" s="213">
        <v>3.5415261952196797</v>
      </c>
      <c r="AH248" s="108">
        <f>'LC (Gross)'!AH248</f>
        <v>12157306.199999999</v>
      </c>
      <c r="AI248" s="324" t="s">
        <v>60</v>
      </c>
      <c r="AJ248" s="325"/>
      <c r="AK248" s="324" t="s">
        <v>61</v>
      </c>
      <c r="AL248" s="325"/>
      <c r="AM248" s="324" t="s">
        <v>62</v>
      </c>
      <c r="AN248" s="325"/>
      <c r="AO248" s="324" t="s">
        <v>63</v>
      </c>
      <c r="AP248" s="325"/>
      <c r="AQ248" s="324" t="s">
        <v>64</v>
      </c>
      <c r="AR248" s="325"/>
      <c r="AS248" s="324" t="s">
        <v>65</v>
      </c>
      <c r="AT248" s="325"/>
      <c r="AU248" s="324" t="s">
        <v>66</v>
      </c>
      <c r="AV248" s="325"/>
      <c r="AW248" s="324" t="s">
        <v>67</v>
      </c>
      <c r="AX248" s="325"/>
      <c r="AY248" s="110">
        <f>ROUND(AD247/AZ247*(AC248)+(AF247/AZ247*AE248)+(AH247/AZ247*AG248),4)</f>
        <v>3.5436999999999999</v>
      </c>
      <c r="AZ248" s="111">
        <f>AD248+AF248+AH248</f>
        <v>630175194.2700001</v>
      </c>
    </row>
    <row r="249" spans="1:52" x14ac:dyDescent="0.25">
      <c r="A249" s="21">
        <v>43616</v>
      </c>
      <c r="B249" s="24">
        <f t="shared" si="28"/>
        <v>233</v>
      </c>
      <c r="C249" s="97" t="s">
        <v>93</v>
      </c>
      <c r="D249" s="84">
        <f t="shared" si="89"/>
        <v>-4.9218999999999999</v>
      </c>
      <c r="E249" s="47">
        <f t="shared" ref="E249" si="94">E248*D249/100+E248</f>
        <v>8710081.2420397941</v>
      </c>
      <c r="F249" s="112"/>
      <c r="G249" s="106"/>
      <c r="I249" s="39"/>
      <c r="J249" s="20">
        <f t="shared" si="39"/>
        <v>43616</v>
      </c>
      <c r="K249" s="27">
        <f>'LC (Gross)'!K249</f>
        <v>-6.3548857349396446</v>
      </c>
      <c r="L249" s="46">
        <f t="shared" ref="L249" si="95">L248*K249/100+L248</f>
        <v>2728958.2929745708</v>
      </c>
      <c r="M249" s="112"/>
      <c r="N249" s="106"/>
      <c r="O249" s="39"/>
      <c r="P249" s="20">
        <f t="shared" si="40"/>
        <v>43616</v>
      </c>
      <c r="Q249" s="27">
        <f>'LC (Gross)'!Q249</f>
        <v>-4.270123932578918</v>
      </c>
      <c r="R249" s="46">
        <f t="shared" ref="R249" si="96">R248*Q249/100+R248</f>
        <v>2706288.0850652885</v>
      </c>
      <c r="S249" s="112"/>
      <c r="T249" s="106"/>
      <c r="V249" s="39"/>
      <c r="W249" s="20">
        <f t="shared" si="41"/>
        <v>43616</v>
      </c>
      <c r="X249" s="36">
        <f>'LC (Gross)'!X249</f>
        <v>-0.93319861937217341</v>
      </c>
      <c r="Y249" s="46">
        <f t="shared" ref="Y249" si="97">Y248*X249/100+Y248</f>
        <v>6566011.2049586857</v>
      </c>
      <c r="AC249" s="107">
        <f>'LC (Gross)'!AC249</f>
        <v>-4.9347702779353231</v>
      </c>
      <c r="AD249" s="108">
        <f>'LC (Gross)'!AD249</f>
        <v>461099844.62</v>
      </c>
      <c r="AE249" s="213">
        <v>-4.877856778292367</v>
      </c>
      <c r="AF249" s="108">
        <f>'LC (Gross)'!AF249</f>
        <v>128894347.47999999</v>
      </c>
      <c r="AG249" s="213">
        <v>-4.9023617562354769</v>
      </c>
      <c r="AH249" s="108">
        <f>'LC (Gross)'!AH249</f>
        <v>11487378.52</v>
      </c>
      <c r="AI249" s="133"/>
      <c r="AJ249" s="108">
        <f>'LC (Gross)'!AJ249</f>
        <v>1905192.4</v>
      </c>
      <c r="AK249" s="133"/>
      <c r="AL249" s="108">
        <f>'LC (Gross)'!AL249</f>
        <v>513624.23999999987</v>
      </c>
      <c r="AM249" s="133"/>
      <c r="AN249" s="108">
        <f>'LC (Gross)'!AN249</f>
        <v>339605.25999999995</v>
      </c>
      <c r="AO249" s="133"/>
      <c r="AP249" s="108">
        <f>'LC (Gross)'!AP249</f>
        <v>456552.8799999996</v>
      </c>
      <c r="AQ249" s="133"/>
      <c r="AR249" s="108">
        <f>'LC (Gross)'!AR249</f>
        <v>373136.03999999986</v>
      </c>
      <c r="AS249" s="133"/>
      <c r="AT249" s="108">
        <f>'LC (Gross)'!AT249</f>
        <v>646313.95999999973</v>
      </c>
      <c r="AU249" s="133"/>
      <c r="AV249" s="108">
        <f>'LC (Gross)'!AV249</f>
        <v>2502802.4899999998</v>
      </c>
      <c r="AW249" s="133"/>
      <c r="AX249" s="108">
        <f>'LC (Gross)'!AX249</f>
        <v>663763.65999999992</v>
      </c>
      <c r="AY249" s="110">
        <f>ROUND(AD248/AZ248*(AC249)+(AF248/AZ248*AE249)+(AH248/AZ248*AG249),4)</f>
        <v>-4.9218999999999999</v>
      </c>
      <c r="AZ249" s="111">
        <f t="shared" ref="AZ249:AZ256" si="98">AD249+AF249+AH249+AJ249+AL249+AN249+AP249+AR249+AT249+AV249+AX249</f>
        <v>608882561.54999995</v>
      </c>
    </row>
    <row r="250" spans="1:52" x14ac:dyDescent="0.25">
      <c r="A250" s="21">
        <v>43646</v>
      </c>
      <c r="B250" s="24">
        <f t="shared" si="28"/>
        <v>234</v>
      </c>
      <c r="C250" s="97" t="s">
        <v>93</v>
      </c>
      <c r="D250" s="84">
        <f t="shared" ref="D250:D251" si="99">AY250</f>
        <v>5.74</v>
      </c>
      <c r="E250" s="47">
        <f t="shared" ref="E250" si="100">E249*D250/100+E249</f>
        <v>9210039.9053328782</v>
      </c>
      <c r="F250" s="112"/>
      <c r="G250" s="106">
        <f>(E250/E247-1)*100</f>
        <v>4.0982623926447914</v>
      </c>
      <c r="I250" s="39"/>
      <c r="J250" s="20">
        <f t="shared" si="39"/>
        <v>43646</v>
      </c>
      <c r="K250" s="27">
        <f>'LC (Gross)'!K250</f>
        <v>7.0477169999999996</v>
      </c>
      <c r="L250" s="46">
        <f t="shared" ref="L250" si="101">L249*K250/100+L249</f>
        <v>2921287.5505114496</v>
      </c>
      <c r="M250" s="112"/>
      <c r="N250" s="106">
        <f>(L250/L$247-1)*100</f>
        <v>4.3038044931638986</v>
      </c>
      <c r="O250" s="39"/>
      <c r="P250" s="20">
        <f t="shared" si="40"/>
        <v>43646</v>
      </c>
      <c r="Q250" s="27">
        <f>'LC (Gross)'!Q250</f>
        <v>6.0331000000000001</v>
      </c>
      <c r="R250" s="46">
        <f t="shared" ref="R250" si="102">R249*Q250/100+R249</f>
        <v>2869561.1515253624</v>
      </c>
      <c r="S250" s="112"/>
      <c r="T250" s="106">
        <f>(R250/R$247-1)*100</f>
        <v>5.1881529394347758</v>
      </c>
      <c r="V250" s="39"/>
      <c r="W250" s="20">
        <f t="shared" si="41"/>
        <v>43646</v>
      </c>
      <c r="X250" s="36">
        <f>'LC (Gross)'!X250</f>
        <v>3.7568651704060372</v>
      </c>
      <c r="Y250" s="46">
        <f t="shared" ref="Y250" si="103">Y249*X250/100+Y249</f>
        <v>6812687.3930027364</v>
      </c>
      <c r="AC250" s="107">
        <f>'LC (Gross)'!AC250</f>
        <v>5.7279236276849481</v>
      </c>
      <c r="AD250" s="108">
        <f>'LC (Gross)'!AD250</f>
        <v>486318750.49000001</v>
      </c>
      <c r="AE250" s="213">
        <v>5.7676687713853036</v>
      </c>
      <c r="AF250" s="108">
        <f>'LC (Gross)'!AF250</f>
        <v>136357412.25</v>
      </c>
      <c r="AG250" s="107">
        <v>5.8564157141198327</v>
      </c>
      <c r="AH250" s="108">
        <f>'LC (Gross)'!AH250</f>
        <v>12134834.34</v>
      </c>
      <c r="AI250" s="107">
        <v>5.8156478054394576</v>
      </c>
      <c r="AJ250" s="108">
        <f>'LC (Gross)'!AJ250</f>
        <v>2015991.6799999992</v>
      </c>
      <c r="AK250" s="107">
        <v>5.8480067062255543</v>
      </c>
      <c r="AL250" s="108">
        <f>'LC (Gross)'!AL250</f>
        <v>543661.0199999999</v>
      </c>
      <c r="AM250" s="107">
        <v>5.8229987368276159</v>
      </c>
      <c r="AN250" s="108">
        <f>'LC (Gross)'!AN250</f>
        <v>359380.47000000009</v>
      </c>
      <c r="AO250" s="107">
        <v>5.8461727368800434</v>
      </c>
      <c r="AP250" s="108">
        <f>'LC (Gross)'!AP250</f>
        <v>483243.75000000023</v>
      </c>
      <c r="AQ250" s="107">
        <v>5.8289545014199895</v>
      </c>
      <c r="AR250" s="108">
        <f>'LC (Gross)'!AR250</f>
        <v>394885.97000000015</v>
      </c>
      <c r="AS250" s="107">
        <v>5.7991011055989548</v>
      </c>
      <c r="AT250" s="108">
        <f>'LC (Gross)'!AT250</f>
        <v>683794.3600000001</v>
      </c>
      <c r="AU250" s="107">
        <v>5.8352182064544049</v>
      </c>
      <c r="AV250" s="108">
        <f>'LC (Gross)'!AV250</f>
        <v>2644962.73</v>
      </c>
      <c r="AW250" s="107">
        <v>5.8631923296313202</v>
      </c>
      <c r="AX250" s="108">
        <f>'LC (Gross)'!AX250</f>
        <v>702681.4</v>
      </c>
      <c r="AY250" s="110">
        <f t="shared" ref="AY250:AY256" si="104">ROUND(AD249/AZ249*(AC250)+(AF249/AZ249*AE250)+(AH249/AZ249*AG250)+(AJ249/AZ249*AI250)+(AL249/AZ249*AK250)+(AN249/AZ249*AM250)+(AP249/AZ249*AO250)+(AR249/AZ249*AQ250)+(AT249/AZ249*AS250)+(AV249/AZ249*AU250)+(AX249/AZ249*AW250),4)</f>
        <v>5.74</v>
      </c>
      <c r="AZ250" s="111">
        <f t="shared" si="98"/>
        <v>642639598.46000004</v>
      </c>
    </row>
    <row r="251" spans="1:52" x14ac:dyDescent="0.25">
      <c r="A251" s="21">
        <v>43677</v>
      </c>
      <c r="B251" s="24">
        <f t="shared" ref="B251" si="105">IF(A251&gt;A250,1+B250,"-")</f>
        <v>235</v>
      </c>
      <c r="C251" s="97" t="s">
        <v>93</v>
      </c>
      <c r="D251" s="84">
        <f t="shared" si="99"/>
        <v>2.0897999999999999</v>
      </c>
      <c r="E251" s="47">
        <f t="shared" ref="E251" si="106">E250*D251/100+E250</f>
        <v>9402511.3192745242</v>
      </c>
      <c r="F251" s="112"/>
      <c r="G251" s="106"/>
      <c r="I251" s="39"/>
      <c r="J251" s="20">
        <f t="shared" si="39"/>
        <v>43677</v>
      </c>
      <c r="K251" s="27">
        <f>'LC (Gross)'!K251</f>
        <v>1.4372720000000001</v>
      </c>
      <c r="L251" s="46">
        <f t="shared" ref="L251" si="107">L250*K251/100+L250</f>
        <v>2963274.3985144366</v>
      </c>
      <c r="M251" s="112"/>
      <c r="N251" s="106"/>
      <c r="O251" s="39"/>
      <c r="P251" s="20">
        <f t="shared" si="40"/>
        <v>43677</v>
      </c>
      <c r="Q251" s="27">
        <f>'LC (Gross)'!Q251</f>
        <v>1.538629</v>
      </c>
      <c r="R251" s="46">
        <f t="shared" ref="R251" si="108">R250*Q251/100+R250</f>
        <v>2913713.0515754656</v>
      </c>
      <c r="S251" s="112"/>
      <c r="T251" s="106"/>
      <c r="V251" s="39"/>
      <c r="W251" s="20">
        <f t="shared" si="41"/>
        <v>43677</v>
      </c>
      <c r="X251" s="36">
        <f>'LC (Gross)'!X251</f>
        <v>1.0579608534584717</v>
      </c>
      <c r="Y251" s="46">
        <f t="shared" ref="Y251" si="109">Y250*X251/100+Y250</f>
        <v>6884762.9586892063</v>
      </c>
      <c r="AC251" s="107">
        <f>'LC (Gross)'!AC251</f>
        <v>2.0880359999999998</v>
      </c>
      <c r="AD251" s="108">
        <f>'LC (Gross)'!AD251</f>
        <v>500175244.32999998</v>
      </c>
      <c r="AE251" s="213">
        <v>2.0919089095250865</v>
      </c>
      <c r="AF251" s="108">
        <f>'LC (Gross)'!AF251</f>
        <v>139180415.34</v>
      </c>
      <c r="AG251" s="107">
        <v>2.1936473837765718</v>
      </c>
      <c r="AH251" s="108">
        <f>'LC (Gross)'!AH251</f>
        <v>12359127.279999999</v>
      </c>
      <c r="AI251" s="107">
        <v>2.0516151138084027</v>
      </c>
      <c r="AJ251" s="108">
        <f>'LC (Gross)'!AJ251</f>
        <v>2057352.0700000003</v>
      </c>
      <c r="AK251" s="107">
        <v>1.99410470884962</v>
      </c>
      <c r="AL251" s="108">
        <f>'LC (Gross)'!AL251</f>
        <v>554502.19000000006</v>
      </c>
      <c r="AM251" s="107">
        <v>1.8115925998983817</v>
      </c>
      <c r="AN251" s="108">
        <f>'LC (Gross)'!AN251</f>
        <v>365890.98</v>
      </c>
      <c r="AO251" s="107">
        <v>1.894021391895917</v>
      </c>
      <c r="AP251" s="108">
        <f>'LC (Gross)'!AP251</f>
        <v>492396.48999999993</v>
      </c>
      <c r="AQ251" s="107">
        <v>1.9500840517908236</v>
      </c>
      <c r="AR251" s="108">
        <f>'LC (Gross)'!AR251</f>
        <v>402586.3</v>
      </c>
      <c r="AS251" s="107">
        <v>2.174924344213669</v>
      </c>
      <c r="AT251" s="108">
        <f>'LC (Gross)'!AT251</f>
        <v>698666.37000000023</v>
      </c>
      <c r="AU251" s="107">
        <v>1.9778411017534525</v>
      </c>
      <c r="AV251" s="108">
        <f>'LC (Gross)'!AV251</f>
        <v>2691569.2400000007</v>
      </c>
      <c r="AW251" s="107">
        <v>1.9554879352150278</v>
      </c>
      <c r="AX251" s="108">
        <f>'LC (Gross)'!AX251</f>
        <v>716422.24999999988</v>
      </c>
      <c r="AY251" s="110">
        <f t="shared" si="104"/>
        <v>2.0897999999999999</v>
      </c>
      <c r="AZ251" s="111">
        <f t="shared" si="98"/>
        <v>659694172.84000003</v>
      </c>
    </row>
    <row r="252" spans="1:52" x14ac:dyDescent="0.25">
      <c r="A252" s="21">
        <v>43708</v>
      </c>
      <c r="B252" s="24">
        <f t="shared" si="28"/>
        <v>236</v>
      </c>
      <c r="C252" s="97" t="s">
        <v>93</v>
      </c>
      <c r="D252" s="84">
        <f t="shared" ref="D252:D254" si="110">AY252</f>
        <v>0.8458</v>
      </c>
      <c r="E252" s="47">
        <f t="shared" ref="E252" si="111">E251*D252/100+E251</f>
        <v>9482037.7600129489</v>
      </c>
      <c r="F252" s="112"/>
      <c r="I252" s="39"/>
      <c r="J252" s="20">
        <f t="shared" si="39"/>
        <v>43708</v>
      </c>
      <c r="K252" s="27">
        <f>'LC (Gross)'!K252</f>
        <v>-1.5840069999999999</v>
      </c>
      <c r="L252" s="46">
        <f t="shared" ref="L252" si="112">L251*K252/100+L251</f>
        <v>2916335.9246127601</v>
      </c>
      <c r="M252" s="112"/>
      <c r="O252" s="39"/>
      <c r="P252" s="20">
        <f t="shared" si="40"/>
        <v>43708</v>
      </c>
      <c r="Q252" s="27">
        <f>'LC (Gross)'!Q252</f>
        <v>0.24035680000000001</v>
      </c>
      <c r="R252" s="46">
        <f t="shared" ref="R252" si="113">R251*Q252/100+R251</f>
        <v>2920716.3590274146</v>
      </c>
      <c r="S252" s="112"/>
      <c r="V252" s="39"/>
      <c r="W252" s="20">
        <f t="shared" si="41"/>
        <v>43708</v>
      </c>
      <c r="X252" s="36">
        <f>'LC (Gross)'!X252</f>
        <v>2.4347946344671132</v>
      </c>
      <c r="Y252" s="46">
        <f t="shared" ref="Y252" si="114">Y251*X252/100+Y251</f>
        <v>7052392.7978031505</v>
      </c>
      <c r="AC252" s="107">
        <f>'LC (Gross)'!AC252</f>
        <v>0.82918740000000002</v>
      </c>
      <c r="AD252" s="108">
        <f>'LC (Gross)'!AD252</f>
        <v>511795106.71000004</v>
      </c>
      <c r="AE252" s="213">
        <v>0.90234628198229139</v>
      </c>
      <c r="AF252" s="108">
        <f>'LC (Gross)'!AF252</f>
        <v>140436604.28999999</v>
      </c>
      <c r="AG252" s="107">
        <v>0.91221713562142337</v>
      </c>
      <c r="AH252" s="108">
        <f>'LC (Gross)'!AH252</f>
        <v>12442616.870000001</v>
      </c>
      <c r="AI252" s="107">
        <v>0.82649927778282173</v>
      </c>
      <c r="AJ252" s="108">
        <f>'LC (Gross)'!AJ252</f>
        <v>2074356.0700000003</v>
      </c>
      <c r="AK252" s="107">
        <v>0.7595551606387696</v>
      </c>
      <c r="AL252" s="108">
        <f>'LC (Gross)'!AL252</f>
        <v>558713.93999999994</v>
      </c>
      <c r="AM252" s="107">
        <v>0.75581803082438448</v>
      </c>
      <c r="AN252" s="108">
        <f>'LC (Gross)'!AN252</f>
        <v>368656.45</v>
      </c>
      <c r="AO252" s="107">
        <v>0.79742648043652498</v>
      </c>
      <c r="AP252" s="108">
        <f>'LC (Gross)'!AP252</f>
        <v>496322.99000000005</v>
      </c>
      <c r="AQ252" s="107">
        <v>0.78725480723014218</v>
      </c>
      <c r="AR252" s="108">
        <f>'LC (Gross)'!AR252</f>
        <v>405755.68</v>
      </c>
      <c r="AS252" s="107">
        <v>0.81990779089595733</v>
      </c>
      <c r="AT252" s="108">
        <f>'LC (Gross)'!AT252</f>
        <v>704394.79000000027</v>
      </c>
      <c r="AU252" s="107">
        <v>0.8</v>
      </c>
      <c r="AV252" s="108">
        <f>'LC (Gross)'!AV252</f>
        <v>2709279.6000000006</v>
      </c>
      <c r="AW252" s="107">
        <v>0.76251540205514168</v>
      </c>
      <c r="AX252" s="108">
        <f>'LC (Gross)'!AX252</f>
        <v>721885.08</v>
      </c>
      <c r="AY252" s="110">
        <f t="shared" si="104"/>
        <v>0.8458</v>
      </c>
      <c r="AZ252" s="111">
        <f t="shared" si="98"/>
        <v>672713692.47000015</v>
      </c>
    </row>
    <row r="253" spans="1:52" x14ac:dyDescent="0.25">
      <c r="A253" s="21">
        <v>43738</v>
      </c>
      <c r="B253" s="24">
        <f t="shared" si="28"/>
        <v>237</v>
      </c>
      <c r="C253" s="97" t="s">
        <v>93</v>
      </c>
      <c r="D253" s="84">
        <f t="shared" si="110"/>
        <v>0.96699999999999997</v>
      </c>
      <c r="E253" s="47">
        <f t="shared" ref="E253" si="115">E252*D253/100+E252</f>
        <v>9573729.0651522744</v>
      </c>
      <c r="F253" s="112"/>
      <c r="G253" s="106">
        <f>(E253/E250-1)*100</f>
        <v>3.9488337027596243</v>
      </c>
      <c r="I253" s="39"/>
      <c r="J253" s="20">
        <f t="shared" si="39"/>
        <v>43738</v>
      </c>
      <c r="K253" s="27">
        <f>'LC (Gross)'!K253</f>
        <v>1.8710720000000001</v>
      </c>
      <c r="L253" s="46">
        <f t="shared" ref="L253" si="116">L252*K253/100+L252</f>
        <v>2970902.6695241304</v>
      </c>
      <c r="M253" s="112"/>
      <c r="N253" s="106">
        <f>(L253/L250-1)*100</f>
        <v>1.6983990160090334</v>
      </c>
      <c r="O253" s="39"/>
      <c r="P253" s="20">
        <f t="shared" si="40"/>
        <v>43738</v>
      </c>
      <c r="Q253" s="27">
        <f>'LC (Gross)'!Q253</f>
        <v>1.24827</v>
      </c>
      <c r="R253" s="46">
        <f t="shared" ref="R253" si="117">R252*Q253/100+R252</f>
        <v>2957174.785122246</v>
      </c>
      <c r="S253" s="112"/>
      <c r="T253" s="106">
        <f>(R253/R250-1)*100</f>
        <v>3.0532067089879211</v>
      </c>
      <c r="V253" s="39"/>
      <c r="W253" s="20">
        <f t="shared" si="41"/>
        <v>43738</v>
      </c>
      <c r="X253" s="36">
        <f>'LC (Gross)'!X253</f>
        <v>2.2043600810949164</v>
      </c>
      <c r="Y253" s="46">
        <f t="shared" ref="Y253" si="118">Y252*X253/100+Y252</f>
        <v>7207852.9293999365</v>
      </c>
      <c r="AC253" s="107">
        <f>'LC (Gross)'!AC253</f>
        <v>0.9320176</v>
      </c>
      <c r="AD253" s="108">
        <f>'LC (Gross)'!AD253</f>
        <v>526109049.99000001</v>
      </c>
      <c r="AE253" s="227">
        <v>1.0739129796368374</v>
      </c>
      <c r="AF253" s="108">
        <f>'LC (Gross)'!AF253</f>
        <v>141944468.33999997</v>
      </c>
      <c r="AG253" s="107">
        <v>1.1270608055920368</v>
      </c>
      <c r="AH253" s="108">
        <f>'LC (Gross)'!AH253</f>
        <v>12515935.609999999</v>
      </c>
      <c r="AI253" s="107">
        <v>1.0652298474485011</v>
      </c>
      <c r="AJ253" s="108">
        <f>'LC (Gross)'!AJ253</f>
        <v>2096452.7300000009</v>
      </c>
      <c r="AK253" s="107">
        <v>1.0356766827761765</v>
      </c>
      <c r="AL253" s="108">
        <f>'LC (Gross)'!AL253</f>
        <v>564500.4099999998</v>
      </c>
      <c r="AM253" s="107">
        <v>1.1478030562058539</v>
      </c>
      <c r="AN253" s="108">
        <f>'LC (Gross)'!AN253</f>
        <v>372887.9</v>
      </c>
      <c r="AO253" s="107">
        <v>1.0806833670952809</v>
      </c>
      <c r="AP253" s="108">
        <f>'LC (Gross)'!AP253</f>
        <v>501686.67000000027</v>
      </c>
      <c r="AQ253" s="107">
        <v>1.1043640843179325</v>
      </c>
      <c r="AR253" s="108">
        <f>'LC (Gross)'!AR253</f>
        <v>410236.70000000013</v>
      </c>
      <c r="AS253" s="107">
        <v>1.1110275247776968</v>
      </c>
      <c r="AT253" s="108">
        <f>'LC (Gross)'!AT253</f>
        <v>712220.81000000017</v>
      </c>
      <c r="AU253" s="107">
        <v>1.08</v>
      </c>
      <c r="AV253" s="108">
        <f>'LC (Gross)'!AV253</f>
        <v>2734661.76</v>
      </c>
      <c r="AW253" s="107">
        <v>1.0613365218741011</v>
      </c>
      <c r="AX253" s="108">
        <f>'LC (Gross)'!AX253</f>
        <v>729546.70499999996</v>
      </c>
      <c r="AY253" s="110">
        <f t="shared" si="104"/>
        <v>0.96699999999999997</v>
      </c>
      <c r="AZ253" s="111">
        <f t="shared" si="98"/>
        <v>688691647.62499988</v>
      </c>
    </row>
    <row r="254" spans="1:52" x14ac:dyDescent="0.25">
      <c r="A254" s="21">
        <v>43769</v>
      </c>
      <c r="B254" s="24">
        <f t="shared" si="28"/>
        <v>238</v>
      </c>
      <c r="C254" s="97" t="s">
        <v>93</v>
      </c>
      <c r="D254" s="84">
        <f t="shared" si="110"/>
        <v>-0.37</v>
      </c>
      <c r="E254" s="47">
        <f t="shared" ref="E254" si="119">E253*D254/100+E253</f>
        <v>9538306.2676112112</v>
      </c>
      <c r="F254" s="112"/>
      <c r="I254" s="39"/>
      <c r="J254" s="20">
        <f t="shared" si="39"/>
        <v>43769</v>
      </c>
      <c r="K254" s="27">
        <f>'LC (Gross)'!K254</f>
        <v>2.1657299999999999</v>
      </c>
      <c r="L254" s="46">
        <f t="shared" ref="L254" si="120">L253*K254/100+L253</f>
        <v>3035244.3999088155</v>
      </c>
      <c r="M254" s="112"/>
      <c r="N254" s="106"/>
      <c r="O254" s="39"/>
      <c r="P254" s="20">
        <f t="shared" si="40"/>
        <v>43769</v>
      </c>
      <c r="Q254" s="27">
        <f>'LC (Gross)'!Q254</f>
        <v>1.0525469999999999</v>
      </c>
      <c r="R254" s="46">
        <f t="shared" ref="R254" si="121">R253*Q254/100+R253</f>
        <v>2988300.4396078065</v>
      </c>
      <c r="S254" s="112"/>
      <c r="T254" s="106"/>
      <c r="V254" s="39"/>
      <c r="W254" s="20">
        <f t="shared" si="41"/>
        <v>43769</v>
      </c>
      <c r="X254" s="36">
        <f>'LC (Gross)'!X254</f>
        <v>-0.37818312881583599</v>
      </c>
      <c r="Y254" s="46">
        <f t="shared" ref="Y254" si="122">Y253*X254/100+Y253</f>
        <v>7180594.0456710877</v>
      </c>
      <c r="AC254" s="107">
        <f>'LC (Gross)'!AC254</f>
        <v>-0.38022810000000001</v>
      </c>
      <c r="AD254" s="108">
        <f>'LC (Gross)'!AD254</f>
        <v>535107171.31999999</v>
      </c>
      <c r="AE254" s="227">
        <v>-0.32449802834162433</v>
      </c>
      <c r="AF254" s="108">
        <f>'LC (Gross)'!AF254</f>
        <v>141483860.78</v>
      </c>
      <c r="AG254" s="107">
        <v>-0.34553046090654016</v>
      </c>
      <c r="AH254" s="108">
        <f>'LC (Gross)'!AH254</f>
        <v>12472689.24</v>
      </c>
      <c r="AI254" s="107">
        <v>-0.61415408111776815</v>
      </c>
      <c r="AJ254" s="108">
        <f>'LC (Gross)'!AJ254</f>
        <v>2083577.2800000007</v>
      </c>
      <c r="AK254" s="107">
        <v>-0.60199956276383304</v>
      </c>
      <c r="AL254" s="108">
        <f>'LC (Gross)'!AL254</f>
        <v>561102.12</v>
      </c>
      <c r="AM254" s="107">
        <v>-0.45999999999999996</v>
      </c>
      <c r="AN254" s="108">
        <f>'LC (Gross)'!AN254</f>
        <v>420950.65999999992</v>
      </c>
      <c r="AO254" s="107">
        <v>-0.59144884196344893</v>
      </c>
      <c r="AP254" s="108">
        <f>'LC (Gross)'!AP254</f>
        <v>498719.45</v>
      </c>
      <c r="AQ254" s="107">
        <v>-0.47000000000000003</v>
      </c>
      <c r="AR254" s="108">
        <f>'LC (Gross)'!AR254</f>
        <v>458083.7099999999</v>
      </c>
      <c r="AS254" s="107">
        <v>-0.3368000437954044</v>
      </c>
      <c r="AT254" s="108">
        <f>'LC (Gross)'!AT254</f>
        <v>709822.04999999993</v>
      </c>
      <c r="AU254" s="107">
        <v>-0.54</v>
      </c>
      <c r="AV254" s="108">
        <f>'LC (Gross)'!AV254</f>
        <v>2714159.2800000007</v>
      </c>
      <c r="AW254" s="107">
        <v>-0.50168137966107862</v>
      </c>
      <c r="AX254" s="108">
        <f>'LC (Gross)'!AX254</f>
        <v>725886.7099999995</v>
      </c>
      <c r="AY254" s="110">
        <f t="shared" si="104"/>
        <v>-0.37</v>
      </c>
      <c r="AZ254" s="111">
        <f t="shared" si="98"/>
        <v>697236022.60000002</v>
      </c>
    </row>
    <row r="255" spans="1:52" x14ac:dyDescent="0.25">
      <c r="A255" s="21">
        <v>43799</v>
      </c>
      <c r="B255" s="24">
        <f t="shared" si="28"/>
        <v>239</v>
      </c>
      <c r="C255" s="97" t="s">
        <v>93</v>
      </c>
      <c r="D255" s="84">
        <f t="shared" ref="D255" si="123">AY255</f>
        <v>1.9437</v>
      </c>
      <c r="E255" s="47">
        <f t="shared" ref="E255" si="124">E254*D255/100+E254</f>
        <v>9723702.3265347704</v>
      </c>
      <c r="F255" s="112"/>
      <c r="I255" s="39"/>
      <c r="J255" s="20">
        <f t="shared" si="39"/>
        <v>43799</v>
      </c>
      <c r="K255" s="27">
        <f>'LC (Gross)'!K255</f>
        <v>3.6299899999999998</v>
      </c>
      <c r="L255" s="46">
        <f t="shared" ref="L255" si="125">L254*K255/100+L254</f>
        <v>3145423.4681010656</v>
      </c>
      <c r="M255" s="112"/>
      <c r="N255" s="106"/>
      <c r="O255" s="39"/>
      <c r="P255" s="20">
        <f t="shared" si="40"/>
        <v>43799</v>
      </c>
      <c r="Q255" s="27">
        <f>'LC (Gross)'!Q255</f>
        <v>2.7353850588991264</v>
      </c>
      <c r="R255" s="46">
        <f t="shared" ref="R255" si="126">R254*Q255/100+R254</f>
        <v>3070041.9633478555</v>
      </c>
      <c r="S255" s="112"/>
      <c r="T255" s="106"/>
      <c r="V255" s="39"/>
      <c r="W255" s="20">
        <f t="shared" si="41"/>
        <v>43799</v>
      </c>
      <c r="X255" s="36">
        <f>'LC (Gross)'!X255</f>
        <v>4.548751552108049E-2</v>
      </c>
      <c r="Y255" s="46">
        <f t="shared" ref="Y255" si="127">Y254*X255/100+Y254</f>
        <v>7183860.319502118</v>
      </c>
      <c r="AC255" s="107">
        <f>'LC (Gross)'!AC255</f>
        <v>1.9629225736095934</v>
      </c>
      <c r="AD255" s="108">
        <f>'LC (Gross)'!AD255</f>
        <v>554270173.31000006</v>
      </c>
      <c r="AE255" s="213">
        <v>1.8655626029318029</v>
      </c>
      <c r="AF255" s="108">
        <f>'LC (Gross)'!AF255</f>
        <v>144123331</v>
      </c>
      <c r="AG255" s="107">
        <v>1.9753763003742753</v>
      </c>
      <c r="AH255" s="108">
        <f>'LC (Gross)'!AH255</f>
        <v>12647818.719999999</v>
      </c>
      <c r="AI255" s="107">
        <v>1.9886936951049927</v>
      </c>
      <c r="AJ255" s="108">
        <f>'LC (Gross)'!AJ255</f>
        <v>2125013.2500000005</v>
      </c>
      <c r="AK255" s="107">
        <v>1.9575937442546154</v>
      </c>
      <c r="AL255" s="108">
        <f>'LC (Gross)'!AL255</f>
        <v>572086.22</v>
      </c>
      <c r="AM255" s="107">
        <v>2.0019662161831597</v>
      </c>
      <c r="AN255" s="108">
        <f>'LC (Gross)'!AN255</f>
        <v>429377.9499999999</v>
      </c>
      <c r="AO255" s="107">
        <v>1.9603927619024963</v>
      </c>
      <c r="AP255" s="108">
        <f>'LC (Gross)'!AP255</f>
        <v>508496.31000000011</v>
      </c>
      <c r="AQ255" s="107">
        <v>2.0770374043643791</v>
      </c>
      <c r="AR255" s="108">
        <f>'LC (Gross)'!AR255</f>
        <v>467598.28</v>
      </c>
      <c r="AS255" s="107">
        <v>2</v>
      </c>
      <c r="AT255" s="108">
        <f>'LC (Gross)'!AT255</f>
        <v>723616.17999999993</v>
      </c>
      <c r="AU255" s="107">
        <v>1.9800000000000002</v>
      </c>
      <c r="AV255" s="108">
        <f>'LC (Gross)'!AV255</f>
        <v>2764035.9600000004</v>
      </c>
      <c r="AW255" s="107">
        <v>1.9844033237638392</v>
      </c>
      <c r="AX255" s="108">
        <f>'LC (Gross)'!AX255</f>
        <v>740291.22999999975</v>
      </c>
      <c r="AY255" s="110">
        <f t="shared" si="104"/>
        <v>1.9437</v>
      </c>
      <c r="AZ255" s="111">
        <f t="shared" si="98"/>
        <v>719371838.41000009</v>
      </c>
    </row>
    <row r="256" spans="1:52" x14ac:dyDescent="0.25">
      <c r="A256" s="21">
        <v>43830</v>
      </c>
      <c r="B256" s="24">
        <f t="shared" si="28"/>
        <v>240</v>
      </c>
      <c r="C256" s="97" t="s">
        <v>93</v>
      </c>
      <c r="D256" s="84">
        <f t="shared" ref="D256" si="128">AY256</f>
        <v>1.9690000000000001</v>
      </c>
      <c r="E256" s="47">
        <f t="shared" ref="E256" si="129">E255*D256/100+E255</f>
        <v>9915162.0253442395</v>
      </c>
      <c r="F256" s="112">
        <f>(E256/E$244-1)*100</f>
        <v>27.203013810128041</v>
      </c>
      <c r="G256" s="106">
        <f>(E256/E253-1)*100</f>
        <v>3.5663528586239002</v>
      </c>
      <c r="I256" s="39"/>
      <c r="J256" s="20">
        <f t="shared" si="39"/>
        <v>43830</v>
      </c>
      <c r="K256" s="27">
        <f>'LC (Gross)'!K256</f>
        <v>3.011504</v>
      </c>
      <c r="L256" s="46">
        <f t="shared" ref="L256" si="130">L255*K256/100+L255</f>
        <v>3240148.0216598678</v>
      </c>
      <c r="M256" s="112">
        <f>(L256/L$244-1)*100</f>
        <v>31.474617681388285</v>
      </c>
      <c r="N256" s="106">
        <f>(L256/L253-1)*100</f>
        <v>9.0627456394882344</v>
      </c>
      <c r="O256" s="39"/>
      <c r="P256" s="20">
        <f t="shared" si="40"/>
        <v>43830</v>
      </c>
      <c r="Q256" s="27">
        <f>'LC (Gross)'!Q256</f>
        <v>2.354498</v>
      </c>
      <c r="R256" s="46">
        <f t="shared" ref="R256" si="131">R255*Q256/100+R255</f>
        <v>3142326.0399740413</v>
      </c>
      <c r="S256" s="112">
        <f>(R256/R$244-1)*100</f>
        <v>30.452012829428419</v>
      </c>
      <c r="T256" s="106">
        <f>(R256/R253-1)*100</f>
        <v>6.2610859453862577</v>
      </c>
      <c r="V256" s="39"/>
      <c r="W256" s="20">
        <f t="shared" si="41"/>
        <v>43830</v>
      </c>
      <c r="X256" s="36">
        <f>'LC (Gross)'!X256</f>
        <v>1.7599526723614334</v>
      </c>
      <c r="Y256" s="46">
        <f t="shared" ref="Y256" si="132">Y255*X256/100+Y255</f>
        <v>7310292.8611739082</v>
      </c>
      <c r="AC256" s="107">
        <f>'LC (Gross)'!AC256</f>
        <v>1.9501409999999999</v>
      </c>
      <c r="AD256" s="108">
        <f>'LC (Gross)'!AD256</f>
        <v>567811423.56999993</v>
      </c>
      <c r="AE256" s="227">
        <v>2.0307031343870241</v>
      </c>
      <c r="AF256" s="108">
        <f>'LC (Gross)'!AF256</f>
        <v>147040048.00999999</v>
      </c>
      <c r="AG256" s="107">
        <v>2.0517449947210116</v>
      </c>
      <c r="AH256" s="108">
        <f>'LC (Gross)'!AH256</f>
        <v>12739439.65</v>
      </c>
      <c r="AI256" s="227">
        <v>2.0379604691876718</v>
      </c>
      <c r="AJ256" s="108">
        <f>'LC (Gross)'!AJ256</f>
        <v>2168320.1800000006</v>
      </c>
      <c r="AK256" s="227">
        <v>2.0261753551763517</v>
      </c>
      <c r="AL256" s="108">
        <f>'LC (Gross)'!AL256</f>
        <v>583677.68999999994</v>
      </c>
      <c r="AM256" s="227">
        <v>2.0325310137607078</v>
      </c>
      <c r="AN256" s="108">
        <f>'LC (Gross)'!AN256</f>
        <v>438105.19000000012</v>
      </c>
      <c r="AO256" s="227">
        <v>2.0314247708110189</v>
      </c>
      <c r="AP256" s="108">
        <f>'LC (Gross)'!AP256</f>
        <v>518826.0300000002</v>
      </c>
      <c r="AQ256" s="227">
        <v>2.0395990335978054</v>
      </c>
      <c r="AR256" s="108">
        <f>'LC (Gross)'!AR256</f>
        <v>477135.41000000015</v>
      </c>
      <c r="AS256" s="227">
        <v>2.0500000000000003</v>
      </c>
      <c r="AT256" s="108">
        <f>'LC (Gross)'!AT256</f>
        <v>736989.04</v>
      </c>
      <c r="AU256" s="227">
        <v>2.0299999999999998</v>
      </c>
      <c r="AV256" s="108">
        <f>'LC (Gross)'!AV256</f>
        <v>2811350.94</v>
      </c>
      <c r="AW256" s="227">
        <v>2.0203670385234629</v>
      </c>
      <c r="AX256" s="108">
        <f>'LC (Gross)'!AX256</f>
        <v>755247.83</v>
      </c>
      <c r="AY256" s="110">
        <f t="shared" si="104"/>
        <v>1.9690000000000001</v>
      </c>
      <c r="AZ256" s="111">
        <f t="shared" si="98"/>
        <v>736080563.53999996</v>
      </c>
    </row>
    <row r="257" spans="1:52" x14ac:dyDescent="0.25">
      <c r="A257" s="21">
        <v>43861</v>
      </c>
      <c r="B257" s="24">
        <f t="shared" si="28"/>
        <v>241</v>
      </c>
      <c r="C257" s="97" t="s">
        <v>93</v>
      </c>
      <c r="D257" s="84">
        <f t="shared" ref="D257:D259" si="133">AY257</f>
        <v>1.7004999999999999</v>
      </c>
      <c r="E257" s="47">
        <f t="shared" ref="E257:E259" si="134">E256*D257/100+E256</f>
        <v>10083769.355585217</v>
      </c>
      <c r="I257" s="39"/>
      <c r="J257" s="20">
        <f t="shared" si="39"/>
        <v>43861</v>
      </c>
      <c r="K257" s="27">
        <f>'LC (Gross)'!K257</f>
        <v>-4.393706E-2</v>
      </c>
      <c r="L257" s="46">
        <f t="shared" ref="L257:L258" si="135">L256*K257/100+L256</f>
        <v>3238724.3958795024</v>
      </c>
      <c r="M257" s="112"/>
      <c r="N257" s="106"/>
      <c r="O257" s="39"/>
      <c r="P257" s="20">
        <f t="shared" si="40"/>
        <v>43861</v>
      </c>
      <c r="Q257" s="27">
        <f>'LC (Gross)'!Q257</f>
        <v>1.1138840000000001</v>
      </c>
      <c r="R257" s="46">
        <f t="shared" ref="R257:R258" si="136">R256*Q257/100+R256</f>
        <v>3177327.9069611458</v>
      </c>
      <c r="S257" s="112"/>
      <c r="T257" s="106"/>
      <c r="V257" s="39"/>
      <c r="W257" s="20">
        <f t="shared" si="41"/>
        <v>43861</v>
      </c>
      <c r="X257" s="36">
        <f>'LC (Gross)'!X257</f>
        <v>3.069928399101904</v>
      </c>
      <c r="Y257" s="46">
        <f t="shared" ref="Y257:Y258" si="137">Y256*X257/100+Y256</f>
        <v>7534713.6177766053</v>
      </c>
      <c r="AC257" s="107">
        <f>'LC (Gross)'!AC257</f>
        <v>1.6702589999999999</v>
      </c>
      <c r="AD257" s="108">
        <f>'LC (Gross)'!AD257</f>
        <v>603829325.88</v>
      </c>
      <c r="AE257" s="213">
        <v>1.8</v>
      </c>
      <c r="AF257" s="108">
        <f>'LC (Gross)'!AF257</f>
        <v>149683309.78999999</v>
      </c>
      <c r="AG257" s="240">
        <v>1.83</v>
      </c>
      <c r="AH257" s="108">
        <f>'LC (Gross)'!AH257</f>
        <v>12972225.199999999</v>
      </c>
      <c r="AI257" s="241">
        <v>1.75</v>
      </c>
      <c r="AJ257" s="108">
        <f>'LC (Gross)'!AJ257</f>
        <v>2206684.48</v>
      </c>
      <c r="AK257" s="241">
        <v>1.75</v>
      </c>
      <c r="AL257" s="108">
        <f>'LC (Gross)'!AL257</f>
        <v>593912.6</v>
      </c>
      <c r="AM257" s="227">
        <v>1.81</v>
      </c>
      <c r="AN257" s="108">
        <f>'LC (Gross)'!AN257</f>
        <v>446044.89000000007</v>
      </c>
      <c r="AO257" s="241">
        <v>1.74</v>
      </c>
      <c r="AP257" s="108">
        <f>'LC (Gross)'!AP257</f>
        <v>527860.03999999992</v>
      </c>
      <c r="AQ257" s="241">
        <v>1.82</v>
      </c>
      <c r="AR257" s="108">
        <f>'LC (Gross)'!AR257</f>
        <v>485827.72999999992</v>
      </c>
      <c r="AS257" s="241">
        <v>2.0299999999999998</v>
      </c>
      <c r="AT257" s="108">
        <f>'LC (Gross)'!AT257</f>
        <v>750572.46000000008</v>
      </c>
      <c r="AU257" s="241">
        <v>1.82</v>
      </c>
      <c r="AV257" s="108">
        <f>'LC (Gross)'!AV257</f>
        <v>2862572.73</v>
      </c>
      <c r="AW257" s="241">
        <v>1.81</v>
      </c>
      <c r="AX257" s="108">
        <f>'LC (Gross)'!AX257</f>
        <v>769138.69</v>
      </c>
      <c r="AY257" s="110">
        <f>ROUND(AD256/AZ256*(AC257)+(AF256/AZ256*AE257)+(AH256/AZ256*AG257)+(AJ256/AZ256*AI257)+(AL256/AZ256*AK257)+(AN256/AZ256*AM257)+(AP256/AZ256*AO257)+(AR256/AZ256*AQ257)+(AT256/AZ256*AS257)+(AV256/AZ256*AU257)+(AX256/AZ256*AW257),4)</f>
        <v>1.7004999999999999</v>
      </c>
      <c r="AZ257" s="111">
        <f>AD257+AF257+AH257+AJ257+AL257+AP257+AR257+AT257+AV257+AX257</f>
        <v>774681429.60000014</v>
      </c>
    </row>
    <row r="258" spans="1:52" x14ac:dyDescent="0.25">
      <c r="A258" s="21">
        <v>43890</v>
      </c>
      <c r="B258" s="24">
        <f t="shared" si="28"/>
        <v>242</v>
      </c>
      <c r="C258" s="97" t="s">
        <v>93</v>
      </c>
      <c r="D258" s="84">
        <f t="shared" si="133"/>
        <v>-7.7355</v>
      </c>
      <c r="E258" s="47">
        <f t="shared" si="134"/>
        <v>9303739.3770839237</v>
      </c>
      <c r="I258" s="39"/>
      <c r="J258" s="20">
        <f t="shared" si="39"/>
        <v>43890</v>
      </c>
      <c r="K258" s="27">
        <f>'LC (Gross)'!K258</f>
        <v>-8.2321380000000008</v>
      </c>
      <c r="L258" s="46">
        <f t="shared" si="135"/>
        <v>2972108.1341710356</v>
      </c>
      <c r="M258" s="112"/>
      <c r="O258" s="39"/>
      <c r="P258" s="20">
        <f t="shared" si="40"/>
        <v>43890</v>
      </c>
      <c r="Q258" s="27">
        <f>'LC (Gross)'!Q258</f>
        <v>-8.1751509999999996</v>
      </c>
      <c r="R258" s="46">
        <f t="shared" si="136"/>
        <v>2917576.5528019327</v>
      </c>
      <c r="S258" s="112"/>
      <c r="V258" s="39"/>
      <c r="W258" s="20">
        <f t="shared" si="41"/>
        <v>43890</v>
      </c>
      <c r="X258" s="36">
        <f>'LC (Gross)'!X258</f>
        <v>-9.528476049723249</v>
      </c>
      <c r="Y258" s="46">
        <f t="shared" si="137"/>
        <v>6816770.2352915257</v>
      </c>
      <c r="AC258" s="107">
        <f>'LC (Gross)'!AC258</f>
        <v>-7.6841549999999996</v>
      </c>
      <c r="AD258" s="108">
        <f>'LC (Gross)'!AD258</f>
        <v>566325233.85000002</v>
      </c>
      <c r="AE258" s="213">
        <v>-7.93</v>
      </c>
      <c r="AF258" s="108">
        <f>'LC (Gross)'!AF258</f>
        <v>137903675.37</v>
      </c>
      <c r="AG258" s="240">
        <v>-7.85</v>
      </c>
      <c r="AH258" s="108">
        <f>'LC (Gross)'!AH258</f>
        <v>11959009.48</v>
      </c>
      <c r="AI258" s="241">
        <v>-7.88</v>
      </c>
      <c r="AJ258" s="108">
        <f>'LC (Gross)'!AJ258</f>
        <v>2032871.9999999995</v>
      </c>
      <c r="AK258" s="241">
        <v>-7.9</v>
      </c>
      <c r="AL258" s="108">
        <f>'LC (Gross)'!AL258</f>
        <v>546979.24999999977</v>
      </c>
      <c r="AN258" s="108">
        <f>'LC (Gross)'!AN258</f>
        <v>706116.83</v>
      </c>
      <c r="AO258" s="241">
        <v>-6.51</v>
      </c>
      <c r="AP258" s="108">
        <f>'LC (Gross)'!AP258</f>
        <v>373814.66</v>
      </c>
      <c r="AQ258" s="241">
        <v>-7.88</v>
      </c>
      <c r="AR258" s="108">
        <f>'LC (Gross)'!AR258</f>
        <v>447539.78999999992</v>
      </c>
      <c r="AS258" s="241">
        <v>-7.9</v>
      </c>
      <c r="AT258" s="108">
        <f>'LC (Gross)'!AT258</f>
        <v>690587.87000000011</v>
      </c>
      <c r="AU258" s="241">
        <v>-7.9</v>
      </c>
      <c r="AV258" s="108">
        <f>'LC (Gross)'!AV258</f>
        <v>2632314.6200000006</v>
      </c>
      <c r="AW258" s="241">
        <v>-7.72</v>
      </c>
      <c r="AX258" s="108">
        <f>'LC (Gross)'!AX258</f>
        <v>663195.16000000015</v>
      </c>
      <c r="AY258" s="110">
        <f>ROUND(AD257/AZ257*(AC258)+(AF257/AZ257*AE258)+(AH257/AZ257*AG258)+(AJ257/AZ257*AI258)+(AL257/AZ257*AK258)+(AP257/AZ257*AO258)+(AR257/AZ257*AQ258)+(AT257/AZ257*AS258)+(AV257/AZ257*AU258)+(AX257/AZ257*AW258),4)</f>
        <v>-7.7355</v>
      </c>
      <c r="AZ258" s="111">
        <f t="shared" ref="AZ258" si="138">AD258+AF258+AH258+AJ258+AL258+AN258+AP258+AR258+AT258+AV258+AX258</f>
        <v>724281338.88</v>
      </c>
    </row>
    <row r="259" spans="1:52" x14ac:dyDescent="0.25">
      <c r="A259" s="21">
        <v>43921</v>
      </c>
      <c r="B259" s="24">
        <f t="shared" ref="B259:B260" si="139">IF(A259&gt;A258,1+B258,"-")</f>
        <v>243</v>
      </c>
      <c r="C259" s="97" t="s">
        <v>93</v>
      </c>
      <c r="D259" s="84">
        <f t="shared" si="133"/>
        <v>-12.012600000000001</v>
      </c>
      <c r="E259" s="47">
        <f t="shared" si="134"/>
        <v>8186118.3806723403</v>
      </c>
      <c r="F259" s="112"/>
      <c r="G259" s="106">
        <f>(E259/E256-1)*100</f>
        <v>-17.438380131885634</v>
      </c>
      <c r="I259" s="39"/>
      <c r="J259" s="20">
        <f t="shared" si="39"/>
        <v>43921</v>
      </c>
      <c r="K259" s="27">
        <f>'LC (Gross)'!K259</f>
        <v>-12.3512</v>
      </c>
      <c r="L259" s="46">
        <f t="shared" ref="L259" si="140">L258*K259/100+L258</f>
        <v>2605017.1143033025</v>
      </c>
      <c r="M259" s="112"/>
      <c r="N259" s="106">
        <f>(L259/L256-1)*100</f>
        <v>-19.601910255667875</v>
      </c>
      <c r="O259" s="39"/>
      <c r="P259" s="20">
        <f t="shared" si="40"/>
        <v>43921</v>
      </c>
      <c r="Q259" s="27">
        <f>'LC (Gross)'!Q259</f>
        <v>-10.648540000000001</v>
      </c>
      <c r="R259" s="46">
        <f t="shared" ref="R259" si="141">R258*Q259/100+R258</f>
        <v>2606897.2465461977</v>
      </c>
      <c r="S259" s="112"/>
      <c r="T259" s="106">
        <f>(R259/R256-1)*100</f>
        <v>-17.039250116524084</v>
      </c>
      <c r="V259" s="39"/>
      <c r="W259" s="20">
        <f t="shared" si="41"/>
        <v>43921</v>
      </c>
      <c r="X259" s="36">
        <f>'LC (Gross)'!X259</f>
        <v>-13.104456212566202</v>
      </c>
      <c r="Y259" s="46">
        <f t="shared" ref="Y259" si="142">Y258*X259/100+Y258</f>
        <v>5923469.5646965019</v>
      </c>
      <c r="AC259" s="107">
        <f>'LC (Gross)'!AC259</f>
        <v>-12.11251</v>
      </c>
      <c r="AD259" s="108">
        <f>'LC (Gross)'!AD259</f>
        <v>465667124.37</v>
      </c>
      <c r="AE259" s="213">
        <v>-11.69</v>
      </c>
      <c r="AF259" s="108">
        <f>'LC (Gross)'!AF259</f>
        <v>121142644.56999999</v>
      </c>
      <c r="AG259" s="240">
        <v>-11.45</v>
      </c>
      <c r="AH259" s="108">
        <f>'LC (Gross)'!AH259</f>
        <v>10585270.74</v>
      </c>
      <c r="AI259" s="241">
        <v>-11.4</v>
      </c>
      <c r="AJ259" s="108">
        <f>'LC (Gross)'!AJ259</f>
        <v>1801140.7200000002</v>
      </c>
      <c r="AK259" s="241">
        <v>-11.38</v>
      </c>
      <c r="AL259" s="108">
        <f>'LC (Gross)'!AL259</f>
        <v>484711.34000000008</v>
      </c>
      <c r="AM259" s="241">
        <v>-11.91</v>
      </c>
      <c r="AN259" s="108">
        <f>'LC (Gross)'!AN259</f>
        <v>621999.49</v>
      </c>
      <c r="AO259" s="241">
        <v>-11.34</v>
      </c>
      <c r="AP259" s="108">
        <f>'LC (Gross)'!AP259</f>
        <v>331412.77000000008</v>
      </c>
      <c r="AQ259" s="241">
        <v>-11.32</v>
      </c>
      <c r="AR259" s="108">
        <f>'LC (Gross)'!AR259</f>
        <v>396895.26</v>
      </c>
      <c r="AS259" s="241">
        <v>-11.36</v>
      </c>
      <c r="AT259" s="108">
        <f>'LC (Gross)'!AT259</f>
        <v>611069.72999999986</v>
      </c>
      <c r="AU259" s="241">
        <v>-11.2</v>
      </c>
      <c r="AV259" s="108">
        <f>'LC (Gross)'!AV259</f>
        <v>2309484.54</v>
      </c>
      <c r="AW259" s="241">
        <v>-11.22</v>
      </c>
      <c r="AX259" s="108">
        <f>'LC (Gross)'!AX259</f>
        <v>588052.96</v>
      </c>
      <c r="AY259" s="110">
        <f t="shared" ref="AY259:AY265" si="143">ROUND(AD258/AZ258*(AC259)+(AF258/AZ258*AE259)+(AH258/AZ258*AG259)+(AJ258/AZ258*AI259)+(AL258/AZ258*AK259)+(AN258/AZ258*AM259)+(AP258/AZ258*AO259)+(AR258/AZ258*AQ259)+(AT258/AZ258*AS259)+(AV258/AZ258*AU259)+(AX258/AZ258*AW259),4)</f>
        <v>-12.012600000000001</v>
      </c>
      <c r="AZ259" s="111">
        <f>AD259+AF259+AH259+AJ259+AL259+AN259+AP259+AR259+AT259+AV259+AX259</f>
        <v>604539806.49000013</v>
      </c>
    </row>
    <row r="260" spans="1:52" x14ac:dyDescent="0.25">
      <c r="A260" s="21">
        <v>43951</v>
      </c>
      <c r="B260" s="24">
        <f t="shared" si="139"/>
        <v>244</v>
      </c>
      <c r="C260" s="97" t="s">
        <v>93</v>
      </c>
      <c r="D260" s="84">
        <f t="shared" ref="D260:D262" si="144">AY260</f>
        <v>8.3940000000000001</v>
      </c>
      <c r="E260" s="47">
        <f t="shared" ref="E260:E262" si="145">E259*D260/100+E259</f>
        <v>8873261.1575459763</v>
      </c>
      <c r="I260" s="39"/>
      <c r="J260" s="20">
        <f t="shared" si="39"/>
        <v>43951</v>
      </c>
      <c r="K260" s="27">
        <f>'LC (Gross)'!K260</f>
        <v>12.81939</v>
      </c>
      <c r="L260" s="46">
        <f t="shared" ref="L260" si="146">L259*K260/100+L259</f>
        <v>2938964.4177525886</v>
      </c>
      <c r="M260" s="112"/>
      <c r="N260" s="106"/>
      <c r="O260" s="39"/>
      <c r="P260" s="20">
        <f t="shared" si="40"/>
        <v>43951</v>
      </c>
      <c r="Q260" s="27">
        <f>'LC (Gross)'!Q260</f>
        <v>11.144690000000001</v>
      </c>
      <c r="R260" s="46">
        <f t="shared" ref="R260" si="147">R259*Q260/100+R259</f>
        <v>2897427.8632923071</v>
      </c>
      <c r="S260" s="112"/>
      <c r="T260" s="106"/>
      <c r="V260" s="39"/>
      <c r="W260" s="20">
        <f t="shared" si="41"/>
        <v>43951</v>
      </c>
      <c r="X260" s="36">
        <f>'LC (Gross)'!X260</f>
        <v>6.7019478266053332</v>
      </c>
      <c r="Y260" s="46">
        <f t="shared" ref="Y260" si="148">Y259*X260/100+Y259</f>
        <v>6320457.4044473078</v>
      </c>
      <c r="AC260" s="107">
        <f>'LC (Gross)'!AC260</f>
        <v>8.4258649999999999</v>
      </c>
      <c r="AD260" s="108">
        <f>'LC (Gross)'!AD260</f>
        <v>499339406.74000001</v>
      </c>
      <c r="AE260" s="213">
        <v>8.26</v>
      </c>
      <c r="AF260" s="108">
        <f>'LC (Gross)'!AF260</f>
        <v>131781467.56999999</v>
      </c>
      <c r="AG260" s="240">
        <v>8.5500000000000007</v>
      </c>
      <c r="AH260" s="108">
        <f>'LC (Gross)'!AH260</f>
        <v>11490508.449999999</v>
      </c>
      <c r="AI260" s="241">
        <v>8.3634137148373533</v>
      </c>
      <c r="AJ260" s="108">
        <f>'LC (Gross)'!AJ260</f>
        <v>1951777.57</v>
      </c>
      <c r="AK260" s="241">
        <v>8.5676559578738107</v>
      </c>
      <c r="AL260" s="108">
        <f>'LC (Gross)'!AL260</f>
        <v>526239.74000000011</v>
      </c>
      <c r="AM260" s="241">
        <v>8.3978043133122284</v>
      </c>
      <c r="AN260" s="108">
        <f>'LC (Gross)'!AN260</f>
        <v>674233.78999999992</v>
      </c>
      <c r="AO260" s="241">
        <v>8.5057253527074383</v>
      </c>
      <c r="AP260" s="108">
        <f>'LC (Gross)'!AP260</f>
        <v>359601.82999999996</v>
      </c>
      <c r="AQ260" s="241">
        <v>8.5535790979212045</v>
      </c>
      <c r="AR260" s="108">
        <f>'LC (Gross)'!AR260</f>
        <v>430844.01000000018</v>
      </c>
      <c r="AS260" s="241">
        <v>8.4699999999999989</v>
      </c>
      <c r="AT260" s="108">
        <f>'LC (Gross)'!AT260</f>
        <v>1914003.5999999996</v>
      </c>
      <c r="AU260" s="241">
        <v>8.2600000000000016</v>
      </c>
      <c r="AV260" s="108">
        <f>'LC (Gross)'!AV260</f>
        <v>2497734.7999999998</v>
      </c>
      <c r="AW260" s="241">
        <v>8.2115673931119062</v>
      </c>
      <c r="AX260" s="108">
        <f>'LC (Gross)'!AX260</f>
        <v>636965.00000000035</v>
      </c>
      <c r="AY260" s="110">
        <f t="shared" si="143"/>
        <v>8.3940000000000001</v>
      </c>
      <c r="AZ260" s="111">
        <f t="shared" ref="AZ260:AZ268" si="149">AD260+AF260+AH260+AJ260+AL260+AN260+AP260+AR260+AT260+AV260+AX260</f>
        <v>651602783.10000002</v>
      </c>
    </row>
    <row r="261" spans="1:52" x14ac:dyDescent="0.25">
      <c r="A261" s="21">
        <v>43982</v>
      </c>
      <c r="B261" s="24">
        <f t="shared" si="28"/>
        <v>245</v>
      </c>
      <c r="C261" s="97" t="s">
        <v>93</v>
      </c>
      <c r="D261" s="84">
        <f t="shared" si="144"/>
        <v>5.5545999999999998</v>
      </c>
      <c r="E261" s="47">
        <f t="shared" si="145"/>
        <v>9366135.3218030259</v>
      </c>
      <c r="I261" s="39"/>
      <c r="J261" s="20">
        <f t="shared" si="39"/>
        <v>43982</v>
      </c>
      <c r="K261" s="27">
        <f>'LC (Gross)'!K261</f>
        <v>4.7629910000000004</v>
      </c>
      <c r="L261" s="46">
        <f t="shared" ref="L261" si="150">L260*K261/100+L260</f>
        <v>3078947.0284633469</v>
      </c>
      <c r="M261" s="112"/>
      <c r="N261" s="106"/>
      <c r="O261" s="39"/>
      <c r="P261" s="20">
        <f t="shared" si="40"/>
        <v>43982</v>
      </c>
      <c r="Q261" s="27">
        <f>'LC (Gross)'!Q261</f>
        <v>4.2933810000000001</v>
      </c>
      <c r="R261" s="46">
        <f t="shared" ref="R261" si="151">R260*Q261/100+R260</f>
        <v>3021825.480663605</v>
      </c>
      <c r="S261" s="112"/>
      <c r="T261" s="106"/>
      <c r="V261" s="39"/>
      <c r="W261" s="20">
        <f t="shared" si="41"/>
        <v>43982</v>
      </c>
      <c r="X261" s="36">
        <f>'LC (Gross)'!X261</f>
        <v>0.3919731794172584</v>
      </c>
      <c r="Y261" s="46">
        <f t="shared" ref="Y261" si="152">Y260*X261/100+Y260</f>
        <v>6345231.9022892332</v>
      </c>
      <c r="AC261" s="107">
        <f>'LC (Gross)'!AC261</f>
        <v>5.5421690000000003</v>
      </c>
      <c r="AD261" s="108">
        <f>'LC (Gross)'!AD261</f>
        <v>538100076.78999996</v>
      </c>
      <c r="AE261" s="213">
        <v>5.6</v>
      </c>
      <c r="AF261" s="108">
        <f>'LC (Gross)'!AF261</f>
        <v>139176717.51999998</v>
      </c>
      <c r="AG261" s="240">
        <v>5.52</v>
      </c>
      <c r="AH261" s="108">
        <f>'LC (Gross)'!AH261</f>
        <v>11108334.780000001</v>
      </c>
      <c r="AI261" s="241">
        <v>5.6345098791149573</v>
      </c>
      <c r="AJ261" s="108">
        <f>'LC (Gross)'!AJ261</f>
        <v>2061750.6699999995</v>
      </c>
      <c r="AK261" s="241">
        <v>5.5289591014163975</v>
      </c>
      <c r="AL261" s="108">
        <f>'LC (Gross)'!AL261</f>
        <v>555335.32000000007</v>
      </c>
      <c r="AM261" s="241">
        <v>5.652503710916057</v>
      </c>
      <c r="AN261" s="108">
        <f>'LC (Gross)'!AN261</f>
        <v>712344.88</v>
      </c>
      <c r="AO261" s="241">
        <v>5.5502164713677971</v>
      </c>
      <c r="AP261" s="108">
        <f>'LC (Gross)'!AP261</f>
        <v>379560.50999999995</v>
      </c>
      <c r="AQ261" s="241">
        <v>5.546058305417767</v>
      </c>
      <c r="AR261" s="108">
        <f>'LC (Gross)'!AR261</f>
        <v>454738.87000000017</v>
      </c>
      <c r="AS261" s="241">
        <v>5.6099999999999994</v>
      </c>
      <c r="AT261" s="108">
        <f>'LC (Gross)'!AT261</f>
        <v>2020452.7000000002</v>
      </c>
      <c r="AU261" s="241">
        <v>5.64</v>
      </c>
      <c r="AV261" s="108">
        <f>'LC (Gross)'!AV261</f>
        <v>2622416.64</v>
      </c>
      <c r="AW261" s="241">
        <v>5.6790698999041656</v>
      </c>
      <c r="AX261" s="108">
        <f>'LC (Gross)'!AX261</f>
        <v>673124.59</v>
      </c>
      <c r="AY261" s="110">
        <f t="shared" si="143"/>
        <v>5.5545999999999998</v>
      </c>
      <c r="AZ261" s="111">
        <f t="shared" si="149"/>
        <v>697864853.26999998</v>
      </c>
    </row>
    <row r="262" spans="1:52" x14ac:dyDescent="0.25">
      <c r="A262" s="21">
        <v>44012</v>
      </c>
      <c r="B262" s="24">
        <f t="shared" si="28"/>
        <v>246</v>
      </c>
      <c r="C262" s="97" t="s">
        <v>93</v>
      </c>
      <c r="D262" s="84">
        <f t="shared" si="144"/>
        <v>0.53820000000000001</v>
      </c>
      <c r="E262" s="47">
        <f t="shared" si="145"/>
        <v>9416543.8621049691</v>
      </c>
      <c r="F262" s="112"/>
      <c r="G262" s="106">
        <f>(E262/E259-1)*100</f>
        <v>15.030633863513376</v>
      </c>
      <c r="I262" s="39"/>
      <c r="J262" s="20">
        <f t="shared" si="39"/>
        <v>44012</v>
      </c>
      <c r="K262" s="27">
        <f>'LC (Gross)'!K262</f>
        <v>1.988718</v>
      </c>
      <c r="L262" s="46">
        <f t="shared" ref="L262" si="153">L261*K262/100+L261</f>
        <v>3140178.6022288627</v>
      </c>
      <c r="M262" s="112"/>
      <c r="N262" s="106">
        <f>(L262/L259-1)*100</f>
        <v>20.543492209212854</v>
      </c>
      <c r="O262" s="39"/>
      <c r="P262" s="20">
        <f t="shared" si="40"/>
        <v>44012</v>
      </c>
      <c r="Q262" s="27">
        <f>'LC (Gross)'!Q262</f>
        <v>9.4176969999999999E-2</v>
      </c>
      <c r="R262" s="46">
        <f t="shared" ref="R262" si="154">R261*Q262/100+R261</f>
        <v>3024671.3443399821</v>
      </c>
      <c r="S262" s="112"/>
      <c r="T262" s="106">
        <f>(R262/R259-1)*100</f>
        <v>16.025721702199093</v>
      </c>
      <c r="V262" s="39"/>
      <c r="W262" s="20">
        <f t="shared" si="41"/>
        <v>44012</v>
      </c>
      <c r="X262" s="36">
        <f>'LC (Gross)'!X262</f>
        <v>-0.38408277505518656</v>
      </c>
      <c r="Y262" s="46">
        <f t="shared" ref="Y262" si="155">Y261*X262/100+Y261</f>
        <v>6320860.9595152335</v>
      </c>
      <c r="AC262" s="107">
        <f>'LC (Gross)'!AC262</f>
        <v>0.51369860000000001</v>
      </c>
      <c r="AD262" s="108">
        <f>'LC (Gross)'!AD262</f>
        <v>540563085.80999994</v>
      </c>
      <c r="AE262" s="213">
        <v>0.62</v>
      </c>
      <c r="AF262" s="108">
        <f>'LC (Gross)'!AF262</f>
        <v>140030770.25</v>
      </c>
      <c r="AG262" s="240">
        <v>0.64296207680552953</v>
      </c>
      <c r="AH262" s="108">
        <f>'LC (Gross)'!AH262</f>
        <v>11179757.16</v>
      </c>
      <c r="AI262" s="240">
        <v>0.61519514384345064</v>
      </c>
      <c r="AJ262" s="108">
        <f>'LC (Gross)'!AJ262</f>
        <v>2074434.4599999993</v>
      </c>
      <c r="AK262" s="241">
        <v>0.62636210497110678</v>
      </c>
      <c r="AL262" s="108">
        <f>'LC (Gross)'!AL262</f>
        <v>558813.7300000001</v>
      </c>
      <c r="AM262" s="240">
        <v>0.59822708348797904</v>
      </c>
      <c r="AN262" s="108">
        <f>'LC (Gross)'!AN262</f>
        <v>716606.32</v>
      </c>
      <c r="AO262" s="240">
        <v>0.63770332693460985</v>
      </c>
      <c r="AP262" s="108">
        <f>'LC (Gross)'!AP262</f>
        <v>381980.97999999992</v>
      </c>
      <c r="AQ262" s="240">
        <v>0.59333172904265763</v>
      </c>
      <c r="AR262" s="108">
        <f>'LC (Gross)'!AR262</f>
        <v>457436.98000000021</v>
      </c>
      <c r="AS262" s="240">
        <v>0.6</v>
      </c>
      <c r="AT262" s="108">
        <f>'LC (Gross)'!AT262</f>
        <v>2029919.4199999997</v>
      </c>
      <c r="AU262" s="240">
        <v>0.6</v>
      </c>
      <c r="AV262" s="108">
        <f>'LC (Gross)'!AV262</f>
        <v>2636001.5779999997</v>
      </c>
      <c r="AW262" s="240">
        <v>0.63</v>
      </c>
      <c r="AX262" s="108">
        <f>'LC (Gross)'!AX262</f>
        <v>677314.40200000035</v>
      </c>
      <c r="AY262" s="110">
        <f t="shared" si="143"/>
        <v>0.53820000000000001</v>
      </c>
      <c r="AZ262" s="111">
        <f t="shared" si="149"/>
        <v>701306121.08999991</v>
      </c>
    </row>
    <row r="263" spans="1:52" x14ac:dyDescent="0.25">
      <c r="A263" s="21">
        <v>44043</v>
      </c>
      <c r="B263" s="24">
        <f t="shared" ref="B263:B266" si="156">IF(A263&gt;A262,1+B262,"-")</f>
        <v>247</v>
      </c>
      <c r="C263" s="97" t="s">
        <v>93</v>
      </c>
      <c r="D263" s="84">
        <f t="shared" ref="D263:D264" si="157">AY263</f>
        <v>6.1462000000000003</v>
      </c>
      <c r="E263" s="47">
        <f t="shared" ref="E263:E264" si="158">E262*D263/100+E262</f>
        <v>9995303.4809576645</v>
      </c>
      <c r="I263" s="39"/>
      <c r="J263" s="20">
        <f t="shared" si="39"/>
        <v>44043</v>
      </c>
      <c r="K263" s="27">
        <f>'LC (Gross)'!K263</f>
        <v>5.6381899999999998</v>
      </c>
      <c r="L263" s="46">
        <f t="shared" ref="L263" si="159">L262*K263/100+L262</f>
        <v>3317227.8381618704</v>
      </c>
      <c r="M263" s="112"/>
      <c r="N263" s="106"/>
      <c r="O263" s="39"/>
      <c r="P263" s="20">
        <f t="shared" si="40"/>
        <v>44043</v>
      </c>
      <c r="Q263" s="27">
        <f>'LC (Gross)'!Q263</f>
        <v>5.476966</v>
      </c>
      <c r="R263" s="46">
        <f t="shared" ref="R263" si="160">R262*Q263/100+R262</f>
        <v>3190331.565481226</v>
      </c>
      <c r="S263" s="112"/>
      <c r="T263" s="106"/>
      <c r="V263" s="39"/>
      <c r="W263" s="20">
        <f t="shared" si="41"/>
        <v>44043</v>
      </c>
      <c r="X263" s="36">
        <f>'LC (Gross)'!X263</f>
        <v>7.4400817614423431</v>
      </c>
      <c r="Y263" s="46">
        <f t="shared" ref="Y263" si="161">Y262*X263/100+Y262</f>
        <v>6791138.1829302562</v>
      </c>
      <c r="AC263" s="107">
        <f>'LC (Gross)'!AC263</f>
        <v>6.132879</v>
      </c>
      <c r="AD263" s="108">
        <f>'LC (Gross)'!AD263</f>
        <v>570181637.35000002</v>
      </c>
      <c r="AE263" s="213">
        <v>6.21</v>
      </c>
      <c r="AF263" s="108">
        <f>'LC (Gross)'!AF263</f>
        <v>148767444.25999999</v>
      </c>
      <c r="AG263" s="240">
        <v>6.06</v>
      </c>
      <c r="AH263" s="108">
        <f>'LC (Gross)'!AH263</f>
        <v>11857112.84</v>
      </c>
      <c r="AI263" s="240">
        <v>5.9720006772352008</v>
      </c>
      <c r="AJ263" s="108">
        <f>'LC (Gross)'!AJ263</f>
        <v>2198319.7000000002</v>
      </c>
      <c r="AK263" s="241">
        <v>6.0401253920514986</v>
      </c>
      <c r="AL263" s="108">
        <f>'LC (Gross)'!AL263</f>
        <v>592566.78</v>
      </c>
      <c r="AM263" s="240">
        <v>5.9886075244215187</v>
      </c>
      <c r="AN263" s="108">
        <f>'LC (Gross)'!AN263</f>
        <v>759521.06000000017</v>
      </c>
      <c r="AO263" s="240">
        <v>5.96382573812968</v>
      </c>
      <c r="AP263" s="108">
        <f>'LC (Gross)'!AP263</f>
        <v>404761.66000000009</v>
      </c>
      <c r="AQ263" s="240">
        <v>6.0015720635441472</v>
      </c>
      <c r="AR263" s="108">
        <f>'LC (Gross)'!AR263</f>
        <v>484890.3899999999</v>
      </c>
      <c r="AS263" s="240">
        <v>6.25</v>
      </c>
      <c r="AT263" s="108">
        <f>'LC (Gross)'!AT263</f>
        <v>2154625.86</v>
      </c>
      <c r="AU263" s="240">
        <v>6.0541999999999998</v>
      </c>
      <c r="AV263" s="108">
        <f>'LC (Gross)'!AV263</f>
        <v>2791365.5300000012</v>
      </c>
      <c r="AW263" s="240">
        <v>6.0178448885775948</v>
      </c>
      <c r="AX263" s="108">
        <f>'LC (Gross)'!AX263</f>
        <v>718074.13000000024</v>
      </c>
      <c r="AY263" s="110">
        <f t="shared" si="143"/>
        <v>6.1462000000000003</v>
      </c>
      <c r="AZ263" s="111">
        <f t="shared" si="149"/>
        <v>740910319.55999994</v>
      </c>
    </row>
    <row r="264" spans="1:52" x14ac:dyDescent="0.25">
      <c r="A264" s="21">
        <v>44074</v>
      </c>
      <c r="B264" s="24">
        <f t="shared" si="156"/>
        <v>248</v>
      </c>
      <c r="C264" s="97" t="s">
        <v>93</v>
      </c>
      <c r="D264" s="84">
        <f t="shared" si="157"/>
        <v>4.5824999999999996</v>
      </c>
      <c r="E264" s="47">
        <f t="shared" si="158"/>
        <v>10453338.262972549</v>
      </c>
      <c r="F264" s="112"/>
      <c r="I264" s="39"/>
      <c r="J264" s="20">
        <f t="shared" si="39"/>
        <v>44074</v>
      </c>
      <c r="K264" s="27">
        <f>'LC (Gross)'!K264</f>
        <v>7.1882580000000003</v>
      </c>
      <c r="L264" s="46">
        <f t="shared" ref="L264" si="162">L263*K264/100+L263</f>
        <v>3555678.7336167679</v>
      </c>
      <c r="M264" s="112"/>
      <c r="O264" s="39"/>
      <c r="P264" s="20">
        <f t="shared" si="40"/>
        <v>44074</v>
      </c>
      <c r="Q264" s="27">
        <f>'LC (Gross)'!Q264</f>
        <v>7.5465799999999996</v>
      </c>
      <c r="R264" s="46">
        <f t="shared" ref="R264" si="163">R263*Q264/100+R263</f>
        <v>3431092.4893355193</v>
      </c>
      <c r="S264" s="112"/>
      <c r="T264" s="106"/>
      <c r="V264" s="39"/>
      <c r="W264" s="20">
        <f t="shared" si="41"/>
        <v>44074</v>
      </c>
      <c r="X264" s="36">
        <f>'LC (Gross)'!X264</f>
        <v>2.8808460459977199</v>
      </c>
      <c r="Y264" s="46">
        <f t="shared" ref="Y264" si="164">Y263*X264/100+Y263</f>
        <v>6986780.4187514437</v>
      </c>
      <c r="AC264" s="107">
        <f>'LC (Gross)'!AC264</f>
        <v>4.6013909999999996</v>
      </c>
      <c r="AD264" s="108">
        <f>'LC (Gross)'!AD264</f>
        <v>583232235.99000001</v>
      </c>
      <c r="AE264" s="213">
        <v>4.5199999999999996</v>
      </c>
      <c r="AF264" s="108">
        <f>'LC (Gross)'!AF264</f>
        <v>155562619.90000001</v>
      </c>
      <c r="AG264" s="240">
        <v>4.49</v>
      </c>
      <c r="AH264" s="108">
        <f>'LC (Gross)'!AH264</f>
        <v>12389329.26</v>
      </c>
      <c r="AI264" s="240">
        <v>4.5500861407919633</v>
      </c>
      <c r="AJ264" s="108">
        <f>'LC (Gross)'!AJ264</f>
        <v>2298345.1399999997</v>
      </c>
      <c r="AK264" s="241">
        <v>4.5513739396595634</v>
      </c>
      <c r="AL264" s="108">
        <f>'LC (Gross)'!AL264</f>
        <v>619536.70999999985</v>
      </c>
      <c r="AM264" s="240">
        <v>4.5634942630820312</v>
      </c>
      <c r="AN264" s="108">
        <f>'LC (Gross)'!AN264</f>
        <v>794181.76</v>
      </c>
      <c r="AO264" s="240">
        <v>4.5580935210118261</v>
      </c>
      <c r="AP264" s="108">
        <f>'LC (Gross)'!AP264</f>
        <v>423211.07500000001</v>
      </c>
      <c r="AQ264" s="240">
        <v>4.528233690092331</v>
      </c>
      <c r="AR264" s="108">
        <f>'LC (Gross)'!AR264</f>
        <v>506847.36</v>
      </c>
      <c r="AS264" s="107">
        <v>4.5335253703860987</v>
      </c>
      <c r="AT264" s="108">
        <f>'LC (Gross)'!AT264</f>
        <v>2250737.7499999995</v>
      </c>
      <c r="AU264" s="240">
        <v>4.55</v>
      </c>
      <c r="AV264" s="108">
        <f>'LC (Gross)'!AV264</f>
        <v>2901618.4400000018</v>
      </c>
      <c r="AW264" s="240">
        <v>4.51</v>
      </c>
      <c r="AX264" s="108">
        <f>'LC (Gross)'!AX264</f>
        <v>673213.73499999987</v>
      </c>
      <c r="AY264" s="110">
        <f t="shared" si="143"/>
        <v>4.5824999999999996</v>
      </c>
      <c r="AZ264" s="111">
        <f t="shared" si="149"/>
        <v>761651877.12000012</v>
      </c>
    </row>
    <row r="265" spans="1:52" x14ac:dyDescent="0.25">
      <c r="A265" s="21">
        <v>44104</v>
      </c>
      <c r="B265" s="24">
        <f t="shared" si="156"/>
        <v>249</v>
      </c>
      <c r="C265" s="97" t="s">
        <v>93</v>
      </c>
      <c r="D265" s="84">
        <f t="shared" ref="D265" si="165">AY265</f>
        <v>-2.6884999999999999</v>
      </c>
      <c r="E265" s="47">
        <f t="shared" ref="E265" si="166">E264*D265/100+E264</f>
        <v>10172300.263772532</v>
      </c>
      <c r="F265" s="112"/>
      <c r="G265" s="106">
        <f>(E265/E262-1)*100</f>
        <v>8.0258363656007248</v>
      </c>
      <c r="I265" s="39"/>
      <c r="J265" s="20">
        <f t="shared" si="39"/>
        <v>44104</v>
      </c>
      <c r="K265" s="27">
        <f>'LC (Gross)'!K265</f>
        <v>-3.7996780000000001</v>
      </c>
      <c r="L265" s="46">
        <f t="shared" ref="L265" si="167">L264*K265/100+L264</f>
        <v>3420574.3910248531</v>
      </c>
      <c r="M265" s="112"/>
      <c r="N265" s="106">
        <f>(L265/L262-1)*100</f>
        <v>8.9292942954572361</v>
      </c>
      <c r="O265" s="39"/>
      <c r="P265" s="20">
        <f t="shared" si="40"/>
        <v>44104</v>
      </c>
      <c r="Q265" s="27">
        <f>'LC (Gross)'!Q265</f>
        <v>-3.6609910000000001</v>
      </c>
      <c r="R265" s="46">
        <f t="shared" ref="R265" si="168">R264*Q265/100+R264</f>
        <v>3305480.50209927</v>
      </c>
      <c r="S265" s="112"/>
      <c r="T265" s="106">
        <f>(R265/R262-1)*100</f>
        <v>9.2839560332649498</v>
      </c>
      <c r="V265" s="39"/>
      <c r="W265" s="20">
        <f t="shared" si="41"/>
        <v>44104</v>
      </c>
      <c r="X265" s="36">
        <f>'LC (Gross)'!X265</f>
        <v>-1.7453839537849405</v>
      </c>
      <c r="Y265" s="46">
        <f t="shared" ref="Y265" si="169">Y264*X265/100+Y264</f>
        <v>6864834.2744363677</v>
      </c>
      <c r="AC265" s="107">
        <f>'LC (Gross)'!AC265</f>
        <v>-2.7109969999999999</v>
      </c>
      <c r="AD265" s="108">
        <f>'LC (Gross)'!AD265</f>
        <v>558911311.24000001</v>
      </c>
      <c r="AE265" s="213">
        <v>-2.6235358549653829</v>
      </c>
      <c r="AF265" s="108">
        <f>'LC (Gross)'!AF265</f>
        <v>151481378.78999999</v>
      </c>
      <c r="AG265" s="240">
        <v>-2.5846268452469854</v>
      </c>
      <c r="AH265" s="108">
        <f>'LC (Gross)'!AH265</f>
        <v>12069111.33</v>
      </c>
      <c r="AI265" s="107">
        <v>-2.5227690563480998</v>
      </c>
      <c r="AJ265" s="108">
        <f>'LC (Gross)'!AJ265</f>
        <v>2240363.1999999993</v>
      </c>
      <c r="AK265" s="241">
        <v>-2.5314932508196186</v>
      </c>
      <c r="AL265" s="108">
        <f>'LC (Gross)'!AL265</f>
        <v>603853.17999999993</v>
      </c>
      <c r="AM265" s="107">
        <v>-2.5142179039720323</v>
      </c>
      <c r="AN265" s="108">
        <f>'LC (Gross)'!AN265</f>
        <v>774214.29999999981</v>
      </c>
      <c r="AO265" s="107">
        <v>-2.4809594125106638</v>
      </c>
      <c r="AP265" s="108">
        <f>'LC (Gross)'!AP265</f>
        <v>412711.37999999995</v>
      </c>
      <c r="AQ265" s="107">
        <v>-2.5646616764463568</v>
      </c>
      <c r="AR265" s="108">
        <f>'LC (Gross)'!AR265</f>
        <v>493848.43999999989</v>
      </c>
      <c r="AS265" s="107">
        <v>-2.5139</v>
      </c>
      <c r="AT265" s="108">
        <f>'LC (Gross)'!AT265</f>
        <v>2192112.8599999989</v>
      </c>
      <c r="AU265" s="107">
        <v>-2.5253000000000001</v>
      </c>
      <c r="AV265" s="108">
        <f>'LC (Gross)'!AV265</f>
        <v>2826392.7899999996</v>
      </c>
      <c r="AW265" s="107">
        <v>-2.57</v>
      </c>
      <c r="AX265" s="108">
        <f>'LC (Gross)'!AX265</f>
        <v>655989.58000000019</v>
      </c>
      <c r="AY265" s="110">
        <f t="shared" si="143"/>
        <v>-2.6884999999999999</v>
      </c>
      <c r="AZ265" s="111">
        <f>AD265+AF265+AH265+AJ265+AL265+AN265+AR265+AT265+AV265+AX265</f>
        <v>732248575.71000004</v>
      </c>
    </row>
    <row r="266" spans="1:52" x14ac:dyDescent="0.25">
      <c r="A266" s="21">
        <v>44135</v>
      </c>
      <c r="B266" s="24">
        <f t="shared" si="156"/>
        <v>250</v>
      </c>
      <c r="C266" s="97" t="s">
        <v>93</v>
      </c>
      <c r="D266" s="84">
        <f t="shared" ref="D266:D271" si="170">AY266</f>
        <v>-2.0543999999999998</v>
      </c>
      <c r="E266" s="47">
        <f t="shared" ref="E266:E273" si="171">E265*D266/100+E265</f>
        <v>9963320.5271535888</v>
      </c>
      <c r="I266" s="39"/>
      <c r="J266" s="20">
        <f t="shared" si="39"/>
        <v>44135</v>
      </c>
      <c r="K266" s="27">
        <f>'LC (Gross)'!K266</f>
        <v>-2.6593810000000002</v>
      </c>
      <c r="L266" s="46">
        <f t="shared" ref="L266" si="172">L265*K266/100+L265</f>
        <v>3329608.2855790723</v>
      </c>
      <c r="M266" s="112"/>
      <c r="O266" s="39"/>
      <c r="P266" s="20">
        <f t="shared" si="40"/>
        <v>44135</v>
      </c>
      <c r="Q266" s="27">
        <f>'LC (Gross)'!Q266</f>
        <v>-3.327563</v>
      </c>
      <c r="R266" s="46">
        <f t="shared" ref="R266" si="173">R265*Q266/100+R265</f>
        <v>3195488.5559392003</v>
      </c>
      <c r="S266" s="112"/>
      <c r="V266" s="39"/>
      <c r="W266" s="20">
        <f t="shared" si="41"/>
        <v>44135</v>
      </c>
      <c r="X266" s="36">
        <f>'LC (Gross)'!X266</f>
        <v>-2.8737091800063892</v>
      </c>
      <c r="Y266" s="46">
        <f t="shared" ref="Y266" si="174">Y265*X266/100+Y265</f>
        <v>6667558.901699665</v>
      </c>
      <c r="AC266" s="107">
        <f>'LC (Gross)'!AC266</f>
        <v>-2.0504730000000002</v>
      </c>
      <c r="AD266" s="108">
        <f>'LC (Gross)'!AD266</f>
        <v>528917827.24000001</v>
      </c>
      <c r="AE266" s="107">
        <v>-2.06</v>
      </c>
      <c r="AF266" s="108">
        <f>'LC (Gross)'!AF266</f>
        <v>148385256.91</v>
      </c>
      <c r="AG266" s="107">
        <v>-2.074947882678944</v>
      </c>
      <c r="AH266" s="108">
        <f>'LC (Gross)'!AH266</f>
        <v>11818683.560000001</v>
      </c>
      <c r="AI266" s="107">
        <v>-2.2575375278437231</v>
      </c>
      <c r="AJ266" s="108">
        <f>'LC (Gross)'!AJ266</f>
        <v>2189786.1599999988</v>
      </c>
      <c r="AK266" s="241">
        <v>-2.2476920631601232</v>
      </c>
      <c r="AL266" s="108">
        <f>'LC (Gross)'!AL266</f>
        <v>590280.41999999993</v>
      </c>
      <c r="AM266" s="107">
        <v>-2.1745310051751563</v>
      </c>
      <c r="AN266" s="108">
        <f>'LC (Gross)'!AN266</f>
        <v>757378.77</v>
      </c>
      <c r="AO266" s="107"/>
      <c r="AP266" s="108">
        <f>'LC (Gross)'!AP266</f>
        <v>259816.08999999994</v>
      </c>
      <c r="AQ266" s="107">
        <v>-2.1538713375301333</v>
      </c>
      <c r="AR266" s="108">
        <f>'LC (Gross)'!AR266</f>
        <v>483211.58000000019</v>
      </c>
      <c r="AS266" s="107">
        <v>-2</v>
      </c>
      <c r="AT266" s="108">
        <f>'LC (Gross)'!AT266</f>
        <v>2146702.7399999998</v>
      </c>
      <c r="AU266" s="107">
        <v>-2.19</v>
      </c>
      <c r="AV266" s="108">
        <f>'LC (Gross)'!AV266</f>
        <v>2761669.1599999997</v>
      </c>
      <c r="AW266" s="107">
        <v>-2.1969784946888864</v>
      </c>
      <c r="AX266" s="108">
        <f>'LC (Gross)'!AX266</f>
        <v>641577.63000000024</v>
      </c>
      <c r="AY266" s="110">
        <f>ROUND(AD265/AZ265*(AC266)+(AF265/AZ265*AE266)+(AH265/AZ265*AG266)+(AJ265/AZ265*AI266)+(AL265/AZ265*AK266)+(AN265/AZ265*AM266)+(AR265/AZ265*AQ266)+(AT265/AZ265*AS266)+(AV265/AZ265*AU266)+(AX265/AZ265*AW266),4)</f>
        <v>-2.0543999999999998</v>
      </c>
      <c r="AZ266" s="111">
        <f t="shared" si="149"/>
        <v>698952190.25999987</v>
      </c>
    </row>
    <row r="267" spans="1:52" x14ac:dyDescent="0.25">
      <c r="A267" s="21">
        <v>44165</v>
      </c>
      <c r="B267" s="24">
        <f t="shared" ref="B267:B270" si="175">IF(A267&gt;A266,1+B266,"-")</f>
        <v>251</v>
      </c>
      <c r="C267" s="97" t="s">
        <v>93</v>
      </c>
      <c r="D267" s="84">
        <f t="shared" si="170"/>
        <v>7.0179999999999998</v>
      </c>
      <c r="E267" s="47">
        <f t="shared" si="171"/>
        <v>10662546.361749228</v>
      </c>
      <c r="I267" s="39"/>
      <c r="J267" s="20">
        <f t="shared" si="39"/>
        <v>44165</v>
      </c>
      <c r="K267" s="27">
        <f>'LC (Gross)'!K267</f>
        <v>10.94619</v>
      </c>
      <c r="L267" s="46">
        <f t="shared" ref="L267" si="176">L266*K267/100+L266</f>
        <v>3694073.5347743002</v>
      </c>
      <c r="M267" s="112"/>
      <c r="O267" s="39"/>
      <c r="P267" s="20">
        <f t="shared" si="40"/>
        <v>44165</v>
      </c>
      <c r="Q267" s="27">
        <f>'LC (Gross)'!Q267</f>
        <v>8.7171679999999991</v>
      </c>
      <c r="R267" s="46">
        <f t="shared" ref="R267" si="177">R266*Q267/100+R266</f>
        <v>3474044.6617811946</v>
      </c>
      <c r="S267" s="112"/>
      <c r="V267" s="39"/>
      <c r="W267" s="20">
        <f t="shared" si="41"/>
        <v>44165</v>
      </c>
      <c r="X267" s="36">
        <f>'LC (Gross)'!X267</f>
        <v>6.1642038128013503</v>
      </c>
      <c r="Y267" s="46">
        <f t="shared" ref="Y267" si="178">Y266*X267/100+Y266</f>
        <v>7078560.8217390114</v>
      </c>
      <c r="AC267" s="107">
        <f>'LC (Gross)'!AC267</f>
        <v>7.0316689999999999</v>
      </c>
      <c r="AD267" s="108">
        <f>'LC (Gross)'!AD267</f>
        <v>526077932.93000001</v>
      </c>
      <c r="AE267" s="213">
        <v>6.9654162239871376</v>
      </c>
      <c r="AF267" s="108">
        <f>'LC (Gross)'!AF267</f>
        <v>158752624.56</v>
      </c>
      <c r="AG267" s="107">
        <v>7.0536658822262233</v>
      </c>
      <c r="AH267" s="108">
        <f>'LC (Gross)'!AH267</f>
        <v>12652334.01</v>
      </c>
      <c r="AI267" s="107">
        <v>7.0257161548597322</v>
      </c>
      <c r="AJ267" s="108">
        <f>'LC (Gross)'!AJ267</f>
        <v>2343634.3200000012</v>
      </c>
      <c r="AK267" s="241">
        <v>7.042191912786179</v>
      </c>
      <c r="AL267" s="108">
        <f>'LC (Gross)'!AL267</f>
        <v>631849.10000000021</v>
      </c>
      <c r="AM267" s="107">
        <v>7.0345040170587403</v>
      </c>
      <c r="AN267" s="108">
        <f>'LC (Gross)'!AN267</f>
        <v>810656.6100000001</v>
      </c>
      <c r="AO267" s="107">
        <v>7.107223420997542</v>
      </c>
      <c r="AP267" s="108">
        <f>'LC (Gross)'!AP267</f>
        <v>278281.8</v>
      </c>
      <c r="AQ267" s="107">
        <v>7.0537175454279444</v>
      </c>
      <c r="AR267" s="108">
        <f>'LC (Gross)'!AR267</f>
        <v>517295.95999999979</v>
      </c>
      <c r="AS267" s="107">
        <v>7.0289999999999999</v>
      </c>
      <c r="AT267" s="108">
        <f>'LC (Gross)'!AT267</f>
        <v>2296390.9499999997</v>
      </c>
      <c r="AU267" s="107">
        <v>7.0278999999999998</v>
      </c>
      <c r="AV267" s="108">
        <f>'LC (Gross)'!AV267</f>
        <v>2953970.7</v>
      </c>
      <c r="AW267" s="107">
        <v>7.0230955527548318</v>
      </c>
      <c r="AX267" s="108">
        <f>'LC (Gross)'!AX267</f>
        <v>686636.24000000011</v>
      </c>
      <c r="AY267" s="110">
        <f>ROUND(AD266/AZ266*(AC267)+(AF266/AZ266*AE267)+(AH266/AZ266*AG267)+(AJ266/AZ266*AI267)+(AL266/AZ266*AK267)+(AN266/AZ266*AM267)+(AP266/AZ266*AO267)+(AR266/AZ266*AQ267)+(AT266/AZ266*AS267)+(AV266/AZ266*AU267)+(AX266/AZ266*AW267),4)</f>
        <v>7.0179999999999998</v>
      </c>
      <c r="AZ267" s="111">
        <f t="shared" si="149"/>
        <v>708001607.18000019</v>
      </c>
    </row>
    <row r="268" spans="1:52" x14ac:dyDescent="0.25">
      <c r="A268" s="21">
        <v>44196</v>
      </c>
      <c r="B268" s="24">
        <f t="shared" si="175"/>
        <v>252</v>
      </c>
      <c r="C268" s="97" t="s">
        <v>93</v>
      </c>
      <c r="D268" s="84">
        <f t="shared" si="170"/>
        <v>3.7768000000000002</v>
      </c>
      <c r="E268" s="47">
        <f t="shared" si="171"/>
        <v>11065249.412739772</v>
      </c>
      <c r="F268" s="112">
        <f>(E268/E$256-1)*100</f>
        <v>11.599279814649366</v>
      </c>
      <c r="G268" s="106">
        <f>(E268/E265-1)*100</f>
        <v>8.7782421459517312</v>
      </c>
      <c r="I268" s="39"/>
      <c r="J268" s="20">
        <f t="shared" si="39"/>
        <v>44196</v>
      </c>
      <c r="K268" s="27">
        <f>'LC (Gross)'!K268</f>
        <v>3.8413089999999999</v>
      </c>
      <c r="L268" s="46">
        <f t="shared" ref="L268:L270" si="179">L267*K268/100+L267</f>
        <v>3835974.3139322037</v>
      </c>
      <c r="M268" s="112">
        <f>(L268/L$256-1)*100</f>
        <v>18.388860270868278</v>
      </c>
      <c r="N268" s="106">
        <f>(L268/L265-1)*100</f>
        <v>12.144156957887153</v>
      </c>
      <c r="O268" s="39"/>
      <c r="P268" s="20">
        <f t="shared" si="40"/>
        <v>44196</v>
      </c>
      <c r="Q268" s="27">
        <f>'LC (Gross)'!Q268</f>
        <v>3.0400489999999998</v>
      </c>
      <c r="R268" s="46">
        <f t="shared" ref="R268" si="180">R267*Q268/100+R267</f>
        <v>3579657.3217812274</v>
      </c>
      <c r="S268" s="112">
        <f>(R268/R$256-1)*100</f>
        <v>13.91743810934396</v>
      </c>
      <c r="T268" s="106">
        <f>(R268/R265-1)*100</f>
        <v>8.2946131283434088</v>
      </c>
      <c r="V268" s="39"/>
      <c r="W268" s="20">
        <f t="shared" si="41"/>
        <v>44196</v>
      </c>
      <c r="X268" s="36">
        <f>'LC (Gross)'!X268</f>
        <v>2.1268625970688406</v>
      </c>
      <c r="Y268" s="46">
        <f t="shared" ref="Y268" si="181">Y267*X268/100+Y267</f>
        <v>7229112.0842673471</v>
      </c>
      <c r="AC268" s="107">
        <f>'LC (Gross)'!AC268</f>
        <v>3.7550859999999999</v>
      </c>
      <c r="AD268" s="108">
        <f>'LC (Gross)'!AD268</f>
        <v>540531045.76999998</v>
      </c>
      <c r="AE268" s="107">
        <v>3.8455705150998165</v>
      </c>
      <c r="AF268" s="108">
        <f>'LC (Gross)'!AF268</f>
        <v>164824298.63</v>
      </c>
      <c r="AG268" s="107">
        <v>3.7824535743504306</v>
      </c>
      <c r="AH268" s="108">
        <f>'LC (Gross)'!AH268</f>
        <v>13130902.67</v>
      </c>
      <c r="AI268" s="107">
        <v>3.814322876104574</v>
      </c>
      <c r="AJ268" s="108">
        <f>'LC (Gross)'!AJ268</f>
        <v>2433028.0999999992</v>
      </c>
      <c r="AK268" s="241">
        <v>3.8212557397010944</v>
      </c>
      <c r="AL268" s="108">
        <f>'LC (Gross)'!AL268</f>
        <v>655993.66999999993</v>
      </c>
      <c r="AM268" s="107">
        <v>3.8167677433728548</v>
      </c>
      <c r="AN268" s="108">
        <f>'LC (Gross)'!AN268</f>
        <v>841597.49</v>
      </c>
      <c r="AO268" s="107">
        <v>3.8340955103783383</v>
      </c>
      <c r="AP268" s="108"/>
      <c r="AQ268" s="107">
        <v>3.8589243960073141</v>
      </c>
      <c r="AR268" s="108">
        <f>'LC (Gross)'!AR268</f>
        <v>537258.02</v>
      </c>
      <c r="AS268" s="107">
        <v>3.8132999999999999</v>
      </c>
      <c r="AT268" s="108">
        <f>'LC (Gross)'!AT268</f>
        <v>2380760.4099999992</v>
      </c>
      <c r="AU268" s="107">
        <v>3.8140000000000001</v>
      </c>
      <c r="AV268" s="108">
        <f>'LC (Gross)'!AV268</f>
        <v>3065065.34</v>
      </c>
      <c r="AW268" s="107">
        <v>3.8231771745691638</v>
      </c>
      <c r="AX268" s="108">
        <f>'LC (Gross)'!AX268</f>
        <v>712887.56</v>
      </c>
      <c r="AY268" s="110">
        <f>ROUND(AD267/AZ267*(AC268)+(AF267/AZ267*AE268)+(AH267/AZ267*AG268)+(AJ267/AZ267*AI268)+(AL267/AZ267*AK268)+(AN267/AZ267*AM268)+(AP267/AZ267*AO268)+(AR267/AZ267*AQ268)+(AT267/AZ267*AS268)+(AV267/AZ267*AU268)+(AX267/AZ267*AW268),4)</f>
        <v>3.7768000000000002</v>
      </c>
      <c r="AZ268" s="111">
        <f t="shared" si="149"/>
        <v>729112837.65999985</v>
      </c>
    </row>
    <row r="269" spans="1:52" x14ac:dyDescent="0.25">
      <c r="A269" s="21">
        <v>44227</v>
      </c>
      <c r="B269" s="24">
        <f t="shared" si="175"/>
        <v>253</v>
      </c>
      <c r="C269" s="97" t="s">
        <v>93</v>
      </c>
      <c r="D269" s="84">
        <f t="shared" si="170"/>
        <v>-3.0828000000000002</v>
      </c>
      <c r="E269" s="47">
        <f t="shared" si="171"/>
        <v>10724129.903843831</v>
      </c>
      <c r="I269" s="39"/>
      <c r="J269" s="20">
        <f t="shared" si="39"/>
        <v>44227</v>
      </c>
      <c r="K269" s="27">
        <f>'LC (Gross)'!K269</f>
        <v>-1.0177430000000001</v>
      </c>
      <c r="L269" s="46">
        <f t="shared" si="179"/>
        <v>3796933.9538703607</v>
      </c>
      <c r="O269" s="39"/>
      <c r="P269" s="20">
        <f t="shared" si="40"/>
        <v>44227</v>
      </c>
      <c r="Q269" s="27">
        <f>'LC (Gross)'!Q269</f>
        <v>-1.565421</v>
      </c>
      <c r="R269" s="46">
        <f t="shared" ref="R269:R271" si="182">R268*Q269/100+R268</f>
        <v>3523620.6143380264</v>
      </c>
      <c r="V269" s="39"/>
      <c r="W269" s="20">
        <f t="shared" si="41"/>
        <v>44227</v>
      </c>
      <c r="X269" s="36">
        <f>'LC (Gross)'!X269</f>
        <v>-1.7796389521386662</v>
      </c>
      <c r="Y269" s="46">
        <f t="shared" ref="Y269" si="183">Y268*X269/100+Y268</f>
        <v>7100459.9897219623</v>
      </c>
      <c r="AC269" s="107">
        <f>'LC (Gross)'!AC269</f>
        <v>-3.1128399999999998</v>
      </c>
      <c r="AD269" s="108">
        <f>'LC (Gross)'!AD269</f>
        <v>515123063.17000002</v>
      </c>
      <c r="AE269" s="107">
        <v>-2.98</v>
      </c>
      <c r="AF269" s="108">
        <f>'LC (Gross)'!AF269</f>
        <v>159916551.59999999</v>
      </c>
      <c r="AG269" s="240">
        <v>-2.9780780490000001</v>
      </c>
      <c r="AH269" s="108">
        <f>'LC (Gross)'!AH269</f>
        <v>12739854.140000001</v>
      </c>
      <c r="AI269" s="107">
        <v>-3.3595996430000001</v>
      </c>
      <c r="AJ269" s="108">
        <f>'LC (Gross)'!AJ269</f>
        <v>2351288.3599999994</v>
      </c>
      <c r="AK269" s="107">
        <v>-3.392913837</v>
      </c>
      <c r="AL269" s="108">
        <f>'LC (Gross)'!AL269</f>
        <v>633736.36999999988</v>
      </c>
      <c r="AM269" s="107">
        <v>-3.3005195870000001</v>
      </c>
      <c r="AN269" s="108">
        <f>'LC (Gross)'!AN269</f>
        <v>813820.4</v>
      </c>
      <c r="AO269" s="107"/>
      <c r="AQ269" s="107">
        <v>-3.3423419160000001</v>
      </c>
      <c r="AR269" s="108">
        <f>'LC (Gross)'!AR269</f>
        <v>519301.02</v>
      </c>
      <c r="AS269" s="107">
        <v>-3.113282398</v>
      </c>
      <c r="AT269" s="108">
        <f>'LC (Gross)'!AT269</f>
        <v>2304074.4000000008</v>
      </c>
      <c r="AU269" s="107">
        <v>-3.2937354559999998</v>
      </c>
      <c r="AV269" s="108">
        <f>'LC (Gross)'!AV269</f>
        <v>2960126.2699999991</v>
      </c>
      <c r="AW269" s="107">
        <v>-3.2926174220000002</v>
      </c>
      <c r="AX269" s="108">
        <f>'LC (Gross)'!AX269</f>
        <v>689414.90000000026</v>
      </c>
      <c r="AY269" s="110">
        <f>ROUND(AD268/AZ268*(AC269)+(AF268/AZ268*AE269)+(AH268/AZ268*AG269)+(AJ268/AZ268*AI269)+(AL268/AZ268*AK269)+(AN268/AZ268*AM269)+(AR268/AZ268*AQ269)+(AT268/AZ268*AS269)+(AV268/AZ268*AU269)+(AX268/AZ268*AW269),4)</f>
        <v>-3.0828000000000002</v>
      </c>
      <c r="AZ269" s="111">
        <f>AD269+AF269+AH269+AJ269+AL269+AN269+AR269+AT269+AV269+AX269</f>
        <v>698051230.62999988</v>
      </c>
    </row>
    <row r="270" spans="1:52" x14ac:dyDescent="0.25">
      <c r="A270" s="21">
        <v>44255</v>
      </c>
      <c r="B270" s="24">
        <f t="shared" si="175"/>
        <v>254</v>
      </c>
      <c r="C270" s="97" t="s">
        <v>93</v>
      </c>
      <c r="D270" s="84">
        <f t="shared" si="170"/>
        <v>0.13930000000000001</v>
      </c>
      <c r="E270" s="47">
        <f t="shared" si="171"/>
        <v>10739068.616799885</v>
      </c>
      <c r="I270" s="39"/>
      <c r="J270" s="20">
        <f t="shared" si="39"/>
        <v>44255</v>
      </c>
      <c r="K270" s="27">
        <f>'LC (Gross)'!K270</f>
        <v>2.7575729999999998</v>
      </c>
      <c r="L270" s="46">
        <f t="shared" si="179"/>
        <v>3901637.1794101223</v>
      </c>
      <c r="M270" s="112"/>
      <c r="O270" s="39"/>
      <c r="P270" s="20">
        <f t="shared" si="40"/>
        <v>44255</v>
      </c>
      <c r="Q270" s="27">
        <f>'LC (Gross)'!Q270</f>
        <v>0.75077130000000003</v>
      </c>
      <c r="R270" s="46">
        <f t="shared" si="182"/>
        <v>3550074.9466313599</v>
      </c>
      <c r="S270" s="112"/>
      <c r="V270" s="39"/>
      <c r="W270" s="20">
        <f t="shared" si="41"/>
        <v>44255</v>
      </c>
      <c r="X270" s="36">
        <f>'LC (Gross)'!X270</f>
        <v>-1.102733</v>
      </c>
      <c r="Y270" s="46">
        <f t="shared" ref="Y270" si="184">Y269*X270/100+Y269</f>
        <v>7022160.8742635017</v>
      </c>
      <c r="AC270" s="107">
        <f>'LC (Gross)'!AC270</f>
        <v>0.1506024</v>
      </c>
      <c r="AD270" s="108">
        <f>'LC (Gross)'!AD270</f>
        <v>487255663.67000002</v>
      </c>
      <c r="AE270" s="240">
        <v>0.10120964927892601</v>
      </c>
      <c r="AF270" s="108">
        <f>'LC (Gross)'!AF270</f>
        <v>160087476.15000001</v>
      </c>
      <c r="AG270" s="107">
        <v>0.13266760999999999</v>
      </c>
      <c r="AH270" s="108">
        <f>'LC (Gross)'!AH270</f>
        <v>12756755.800000001</v>
      </c>
      <c r="AI270" s="107">
        <v>0.18816917890000001</v>
      </c>
      <c r="AJ270" s="108">
        <f>'LC (Gross)'!AJ270</f>
        <v>2355712.7599999993</v>
      </c>
      <c r="AK270" s="107">
        <v>0.20136922230000001</v>
      </c>
      <c r="AL270" s="108">
        <f>'LC (Gross)'!AL270</f>
        <v>635012.5199999999</v>
      </c>
      <c r="AM270" s="107">
        <v>0.19220088360000001</v>
      </c>
      <c r="AN270" s="108">
        <f>'LC (Gross)'!AN270</f>
        <v>815384.57000000041</v>
      </c>
      <c r="AO270" s="107"/>
      <c r="AQ270" s="107">
        <v>0.13376182540000001</v>
      </c>
      <c r="AR270" s="108">
        <f>'LC (Gross)'!AR270</f>
        <v>570041.03000000026</v>
      </c>
      <c r="AS270" s="107">
        <v>0.1560520839</v>
      </c>
      <c r="AT270" s="108">
        <f>'LC (Gross)'!AT270</f>
        <v>2306388.17</v>
      </c>
      <c r="AU270" s="107">
        <v>0.18231000729999999</v>
      </c>
      <c r="AV270" s="108">
        <f>'LC (Gross)'!AV270</f>
        <v>2962188.3199999994</v>
      </c>
      <c r="AW270" s="107">
        <v>0.17410850850000001</v>
      </c>
      <c r="AX270" s="108">
        <f>'LC (Gross)'!AX270</f>
        <v>690615.22499999998</v>
      </c>
      <c r="AY270" s="110">
        <f>ROUND(AD269/AZ269*(AC270)+(AF269/AZ269*AE270)+(AH269/AZ269*AG270)+(AJ269/AZ269*AI270)+(AL269/AZ269*AK270)+(AN269/AZ269*AM270)+(AR269/AZ269*AQ270)+(AT269/AZ269*AS270)+(AV269/AZ269*AU270)+(AX269/AZ269*AW270),4)</f>
        <v>0.13930000000000001</v>
      </c>
      <c r="AZ270" s="111">
        <f>AD270+AF270+AH270+AJ270+AL270+AN270+AR270+AT270+AV270+AX270</f>
        <v>670435238.21500003</v>
      </c>
    </row>
    <row r="271" spans="1:52" x14ac:dyDescent="0.25">
      <c r="A271" s="21">
        <v>44286</v>
      </c>
      <c r="B271" s="24">
        <f t="shared" ref="B271" si="185">IF(A271&gt;A270,1+B270,"-")</f>
        <v>255</v>
      </c>
      <c r="C271" s="97" t="s">
        <v>93</v>
      </c>
      <c r="D271" s="84">
        <f t="shared" si="170"/>
        <v>2.3746999999999998</v>
      </c>
      <c r="E271" s="47">
        <f t="shared" si="171"/>
        <v>10994089.279243032</v>
      </c>
      <c r="F271" s="112"/>
      <c r="G271" s="106">
        <f>(E271/E268-1)*100</f>
        <v>-0.64309561260148529</v>
      </c>
      <c r="I271" s="39"/>
      <c r="J271" s="20">
        <f t="shared" si="39"/>
        <v>44286</v>
      </c>
      <c r="K271" s="27">
        <f>'LC (Gross)'!K271</f>
        <v>4.3791500000000001</v>
      </c>
      <c r="L271" s="46">
        <f t="shared" ref="L271" si="186">L270*K271/100+L270</f>
        <v>4072495.7239522608</v>
      </c>
      <c r="M271" s="112"/>
      <c r="N271" s="106">
        <f>(L271/L268-1)*100</f>
        <v>6.1658757505496098</v>
      </c>
      <c r="O271" s="39"/>
      <c r="P271" s="20">
        <f t="shared" si="40"/>
        <v>44286</v>
      </c>
      <c r="Q271" s="27">
        <f>'LC (Gross)'!Q271</f>
        <v>4.8105640000000003</v>
      </c>
      <c r="R271" s="46">
        <f t="shared" si="182"/>
        <v>3720853.5739870272</v>
      </c>
      <c r="S271" s="112"/>
      <c r="T271" s="106">
        <f>(R271/R268-1)*100</f>
        <v>3.944406950538526</v>
      </c>
      <c r="V271" s="39"/>
      <c r="W271" s="20">
        <f t="shared" si="41"/>
        <v>44286</v>
      </c>
      <c r="X271" s="36">
        <f>'LC (Gross)'!X271</f>
        <v>6.8093779999999997</v>
      </c>
      <c r="Y271" s="46">
        <f t="shared" ref="Y271:Y272" si="187">Y270*X271/100+Y270</f>
        <v>7500326.3519602083</v>
      </c>
      <c r="AC271" s="107">
        <f>'LC (Gross)'!AC271</f>
        <v>2.35589</v>
      </c>
      <c r="AD271" s="108">
        <f>'LC (Gross)'!AD271</f>
        <v>494625680.19999999</v>
      </c>
      <c r="AE271" s="107">
        <v>2.4252151720000001</v>
      </c>
      <c r="AF271" s="108">
        <f>'LC (Gross)'!AF271</f>
        <v>163969941.91</v>
      </c>
      <c r="AG271" s="107">
        <v>2.4347101640000002</v>
      </c>
      <c r="AH271" s="108">
        <f>'LC (Gross)'!AH271</f>
        <v>13067345.83</v>
      </c>
      <c r="AI271" s="107">
        <v>2.395935572</v>
      </c>
      <c r="AJ271" s="108">
        <f>'LC (Gross)'!AJ271</f>
        <v>2412154.1199999992</v>
      </c>
      <c r="AK271" s="107">
        <v>2.406314761</v>
      </c>
      <c r="AL271" s="108">
        <f>'LC (Gross)'!AL271</f>
        <v>650292.92000000004</v>
      </c>
      <c r="AM271" s="107">
        <v>2.4063209830000001</v>
      </c>
      <c r="AN271" s="108">
        <f>'LC (Gross)'!AN271</f>
        <v>835005.33999999973</v>
      </c>
      <c r="AO271" s="107"/>
      <c r="AQ271" s="107">
        <v>2.4268954819999999</v>
      </c>
      <c r="AR271" s="108">
        <f>'LC (Gross)'!AR271</f>
        <v>583875.33000000007</v>
      </c>
      <c r="AS271" s="107">
        <v>2.4130933689999998</v>
      </c>
      <c r="AT271" s="108">
        <f>'LC (Gross)'!AT271</f>
        <v>2360000.1600000006</v>
      </c>
      <c r="AU271" s="107">
        <v>2.4036651619999998</v>
      </c>
      <c r="AV271" s="108">
        <f>'LC (Gross)'!AV271</f>
        <v>3031720.4899999993</v>
      </c>
      <c r="AW271" s="107">
        <v>2.4063992910000001</v>
      </c>
      <c r="AX271" s="108">
        <f>'LC (Gross)'!AX271</f>
        <v>707234.19000000006</v>
      </c>
      <c r="AY271" s="110">
        <f t="shared" ref="AY271" si="188">ROUND(AD270/AZ270*(AC271)+(AF270/AZ270*AE271)+(AH270/AZ270*AG271)+(AJ270/AZ270*AI271)+(AL270/AZ270*AK271)+(AN270/AZ270*AM271)+(AR270/AZ270*AQ271)+(AT270/AZ270*AS271)+(AV270/AZ270*AU271)+(AX270/AZ270*AW271),4)</f>
        <v>2.3746999999999998</v>
      </c>
      <c r="AZ271" s="111">
        <f>AD271+AF271+AH271+AJ271+AL271+AN271+AR271+AT271+AV271+AX271</f>
        <v>682243250.49000013</v>
      </c>
    </row>
    <row r="272" spans="1:52" x14ac:dyDescent="0.25">
      <c r="A272" s="21">
        <v>44316</v>
      </c>
      <c r="B272" s="24">
        <f t="shared" ref="B272:B305" si="189">IF(A272&gt;A271,1+B271,"-")</f>
        <v>256</v>
      </c>
      <c r="C272" s="97" t="s">
        <v>93</v>
      </c>
      <c r="D272" s="84">
        <f t="shared" ref="D272:D273" si="190">AY272</f>
        <v>4.7775999999999996</v>
      </c>
      <c r="E272" s="47">
        <f t="shared" si="171"/>
        <v>11519342.888648147</v>
      </c>
      <c r="I272" s="39"/>
      <c r="J272" s="20">
        <f t="shared" si="39"/>
        <v>44316</v>
      </c>
      <c r="K272" s="27">
        <f>'LC (Gross)'!K272</f>
        <v>5.3368120000000001</v>
      </c>
      <c r="L272" s="46">
        <f t="shared" ref="L272" si="191">L271*K272/100+L271</f>
        <v>4289837.1644476317</v>
      </c>
      <c r="M272" s="112"/>
      <c r="O272" s="39"/>
      <c r="P272" s="20">
        <f t="shared" si="40"/>
        <v>44316</v>
      </c>
      <c r="Q272" s="27">
        <f>'LC (Gross)'!Q272</f>
        <v>5.673959</v>
      </c>
      <c r="R272" s="46">
        <f t="shared" ref="R272:R273" si="192">R271*Q272/100+R271</f>
        <v>3931973.2802250856</v>
      </c>
      <c r="S272" s="112"/>
      <c r="V272" s="39"/>
      <c r="W272" s="20">
        <f t="shared" si="41"/>
        <v>44316</v>
      </c>
      <c r="X272" s="36">
        <f>'LC (Gross)'!X272</f>
        <v>4.1895179999999996</v>
      </c>
      <c r="Y272" s="46">
        <f t="shared" si="187"/>
        <v>7814553.8745343247</v>
      </c>
      <c r="AC272" s="107">
        <f>'LC (Gross)'!AC272</f>
        <v>4.7502449999999996</v>
      </c>
      <c r="AD272" s="108">
        <f>'LC (Gross)'!AD272</f>
        <v>515321546.69999999</v>
      </c>
      <c r="AE272" s="107">
        <v>4.8500000000000005</v>
      </c>
      <c r="AF272" s="108">
        <f>'LC (Gross)'!AF272</f>
        <v>171924909.57999998</v>
      </c>
      <c r="AG272" s="107">
        <v>4.9399999999999995</v>
      </c>
      <c r="AH272" s="108">
        <f>'LC (Gross)'!AH272</f>
        <v>13712342.310000001</v>
      </c>
      <c r="AI272" s="107">
        <v>4.75</v>
      </c>
      <c r="AJ272" s="108">
        <f>'LC (Gross)'!AJ272</f>
        <v>2526624.2000000011</v>
      </c>
      <c r="AK272" s="107">
        <v>4.74</v>
      </c>
      <c r="AL272" s="108">
        <f>'LC (Gross)'!AL272</f>
        <v>681134.04000000039</v>
      </c>
      <c r="AM272" s="107">
        <v>4.82</v>
      </c>
      <c r="AN272" s="108">
        <f>'LC (Gross)'!AN272</f>
        <v>875271.72</v>
      </c>
      <c r="AO272" s="107"/>
      <c r="AQ272" s="107">
        <v>4.8099999999999996</v>
      </c>
      <c r="AR272" s="108">
        <f>'LC (Gross)'!AR272</f>
        <v>611954.75000000012</v>
      </c>
      <c r="AS272" s="107">
        <v>4.83</v>
      </c>
      <c r="AT272" s="108">
        <f>'LC (Gross)'!AT272</f>
        <v>2472256.86</v>
      </c>
      <c r="AU272" s="107">
        <v>4.63</v>
      </c>
      <c r="AV272" s="108">
        <f>'LC (Gross)'!AV272</f>
        <v>3169251.1800000006</v>
      </c>
      <c r="AW272" s="107">
        <v>4.6399999999999997</v>
      </c>
      <c r="AX272" s="108">
        <f>'LC (Gross)'!AX272</f>
        <v>740051.85000000056</v>
      </c>
      <c r="AY272" s="110">
        <f>ROUND(AD271/AZ271*(AC272)+(AF271/AZ271*AE272)+(AH271/AZ271*AG272)+(AJ271/AZ271*AI272)+(AL271/AZ271*AK272)+(AN271/AZ271*AM272)+(AR271/AZ271*AQ272)+(AT271/AZ271*AS272)+(AV271/AZ271*AU272)+(AX271/AZ271*AW272),4)</f>
        <v>4.7775999999999996</v>
      </c>
      <c r="AZ272" s="111">
        <f>AD272+AF272+AH272+AJ272+AN272+AT272+AV272+AX272</f>
        <v>710742254.39999998</v>
      </c>
    </row>
    <row r="273" spans="1:52" x14ac:dyDescent="0.25">
      <c r="A273" s="21">
        <v>44347</v>
      </c>
      <c r="B273" s="24">
        <f t="shared" si="189"/>
        <v>257</v>
      </c>
      <c r="C273" s="97" t="s">
        <v>93</v>
      </c>
      <c r="D273" s="84">
        <f t="shared" si="190"/>
        <v>4.8300000000000003E-2</v>
      </c>
      <c r="E273" s="47">
        <f t="shared" si="171"/>
        <v>11524906.731263364</v>
      </c>
      <c r="F273" s="112"/>
      <c r="I273" s="39"/>
      <c r="J273" s="20">
        <f t="shared" si="39"/>
        <v>44347</v>
      </c>
      <c r="K273" s="27">
        <f>'LC (Gross)'!K273</f>
        <v>0.69815649999999996</v>
      </c>
      <c r="L273" s="46">
        <f t="shared" ref="L273" si="193">L272*K273/100+L272</f>
        <v>4319786.9414506387</v>
      </c>
      <c r="M273" s="112"/>
      <c r="O273" s="39"/>
      <c r="P273" s="20">
        <f t="shared" si="40"/>
        <v>44347</v>
      </c>
      <c r="Q273" s="27">
        <f>'LC (Gross)'!Q273</f>
        <v>0.35815259999999999</v>
      </c>
      <c r="R273" s="46">
        <f t="shared" si="192"/>
        <v>3946055.7447595168</v>
      </c>
      <c r="S273" s="112"/>
      <c r="V273" s="39"/>
      <c r="W273" s="20">
        <f t="shared" si="41"/>
        <v>44347</v>
      </c>
      <c r="X273" s="36">
        <f>'LC (Gross)'!X273</f>
        <v>1.1587460000000001</v>
      </c>
      <c r="Y273" s="46">
        <f t="shared" ref="Y273" si="194">Y272*X273/100+Y272</f>
        <v>7905104.7049733363</v>
      </c>
      <c r="AC273" s="107">
        <f>'LC (Gross)'!AC273</f>
        <v>4.6750819999999998E-2</v>
      </c>
      <c r="AD273" s="108">
        <f>'LC (Gross)'!AD273</f>
        <v>509044278.69999999</v>
      </c>
      <c r="AE273" s="107">
        <v>0.05</v>
      </c>
      <c r="AF273" s="108">
        <f>'LC (Gross)'!AF273</f>
        <v>172014864.27000001</v>
      </c>
      <c r="AG273" s="240">
        <v>-2.1099999999999999E-3</v>
      </c>
      <c r="AH273" s="108">
        <f>'LC (Gross)'!AH273</f>
        <v>13712052.83</v>
      </c>
      <c r="AI273" s="107">
        <v>0.18</v>
      </c>
      <c r="AJ273" s="108">
        <f>'LC (Gross)'!AJ273</f>
        <v>2531052.6599999997</v>
      </c>
      <c r="AK273" s="107"/>
      <c r="AL273" s="108"/>
      <c r="AM273" s="107">
        <v>0.13999999999999999</v>
      </c>
      <c r="AN273" s="108">
        <f>'LC (Gross)'!AN273</f>
        <v>876515.69000000053</v>
      </c>
      <c r="AO273" s="107"/>
      <c r="AQ273" s="107"/>
      <c r="AR273" s="108">
        <f>'LC (Gross)'!AR273</f>
        <v>308245.96000000002</v>
      </c>
      <c r="AS273" s="107">
        <v>0.16999999999999998</v>
      </c>
      <c r="AT273" s="108">
        <f>'LC (Gross)'!AT273</f>
        <v>2474849.14</v>
      </c>
      <c r="AU273" s="107">
        <v>0.16999999999999998</v>
      </c>
      <c r="AV273" s="108">
        <f>'LC (Gross)'!AV273</f>
        <v>3172277.44</v>
      </c>
      <c r="AW273" s="107">
        <v>0.16999999999999998</v>
      </c>
      <c r="AX273" s="108">
        <f>'LC (Gross)'!AX273</f>
        <v>741341.4099999998</v>
      </c>
      <c r="AY273" s="110">
        <f>ROUND(AD272/AZ272*(AC273)+(AF272/AZ272*AE273)+(AH272/AZ272*AG273)+(AJ272/AZ272*AI273)+(AN272/AZ272*AM273)+(AT272/AZ272*AS273)+(AV272/AZ272*AU273)+(AX272/AZ272*AW273),4)</f>
        <v>4.8300000000000003E-2</v>
      </c>
      <c r="AZ273" s="111">
        <f>AD273+AF273+AH273+AJ273+AL273+AN273+AP273+AR273+AT273+AV273+AX273</f>
        <v>704875478.10000014</v>
      </c>
    </row>
    <row r="274" spans="1:52" x14ac:dyDescent="0.25">
      <c r="A274" s="21">
        <v>44377</v>
      </c>
      <c r="B274" s="24">
        <f t="shared" si="189"/>
        <v>258</v>
      </c>
      <c r="C274" s="97" t="s">
        <v>93</v>
      </c>
      <c r="D274" s="84">
        <f t="shared" ref="D274" si="195">AY274</f>
        <v>3.2517</v>
      </c>
      <c r="E274" s="47">
        <f t="shared" ref="E274" si="196">E273*D274/100+E273</f>
        <v>11899662.123443855</v>
      </c>
      <c r="F274" s="112"/>
      <c r="G274" s="106">
        <f>(E274/E271-1)*100</f>
        <v>8.2369064067048683</v>
      </c>
      <c r="I274" s="39"/>
      <c r="J274" s="20">
        <f t="shared" si="39"/>
        <v>44377</v>
      </c>
      <c r="K274" s="27">
        <f>'LC (Gross)'!K274</f>
        <v>2.3341850000000002</v>
      </c>
      <c r="L274" s="46">
        <f t="shared" ref="L274" si="197">L273*K274/100+L273</f>
        <v>4420618.760269938</v>
      </c>
      <c r="M274" s="112"/>
      <c r="N274" s="106">
        <f>(L274/L271-1)*100</f>
        <v>8.5481498303411776</v>
      </c>
      <c r="O274" s="39"/>
      <c r="P274" s="20">
        <f t="shared" si="40"/>
        <v>44377</v>
      </c>
      <c r="Q274" s="27">
        <f>'LC (Gross)'!Q274</f>
        <v>2.7318410000000002</v>
      </c>
      <c r="R274" s="46">
        <f t="shared" ref="R274" si="198">R273*Q274/100+R273</f>
        <v>4053855.7134777126</v>
      </c>
      <c r="S274" s="112"/>
      <c r="T274" s="106">
        <f>(R274/R271-1)*100</f>
        <v>8.949616878738432</v>
      </c>
      <c r="V274" s="39"/>
      <c r="W274" s="20">
        <f t="shared" si="41"/>
        <v>44377</v>
      </c>
      <c r="X274" s="36">
        <f>'LC (Gross)'!X274</f>
        <v>2.8556060000000001E-2</v>
      </c>
      <c r="Y274" s="46">
        <f t="shared" ref="Y274" si="199">Y273*X274/100+Y273</f>
        <v>7907362.091415951</v>
      </c>
      <c r="AC274" s="107">
        <f>'LC (Gross)'!AC274</f>
        <v>3.2242989999999998</v>
      </c>
      <c r="AD274" s="108">
        <f>'LC (Gross)'!AD274</f>
        <v>516736366.89999998</v>
      </c>
      <c r="AE274" s="107">
        <v>3.32</v>
      </c>
      <c r="AF274" s="108">
        <f>'LC (Gross)'!AF274</f>
        <v>177725201.11000001</v>
      </c>
      <c r="AG274" s="240">
        <v>3.3432859811990583</v>
      </c>
      <c r="AH274" s="108">
        <f>'LC (Gross)'!AH274</f>
        <v>14170485.969999999</v>
      </c>
      <c r="AI274" s="107">
        <v>3.3489571884293206</v>
      </c>
      <c r="AJ274" s="108">
        <f>'LC (Gross)'!AJ274</f>
        <v>2615816.5300000012</v>
      </c>
      <c r="AM274" s="107">
        <v>3.3406544040300372</v>
      </c>
      <c r="AN274" s="108">
        <f>'LC (Gross)'!AN274</f>
        <v>905797.04999999981</v>
      </c>
      <c r="AQ274" s="107">
        <v>3.365935436753146</v>
      </c>
      <c r="AR274" s="108">
        <f>'LC (Gross)'!AR274</f>
        <v>318621.31999999995</v>
      </c>
      <c r="AS274" s="240">
        <v>3.3492660000000001</v>
      </c>
      <c r="AT274" s="108">
        <f>'LC (Gross)'!AT274</f>
        <v>2554967.5199999982</v>
      </c>
      <c r="AU274" s="240">
        <v>3.3314270000000001</v>
      </c>
      <c r="AV274" s="108">
        <f>'LC (Gross)'!AV274</f>
        <v>3276139.7800000003</v>
      </c>
      <c r="AW274" s="107">
        <v>3.3545229999999999</v>
      </c>
      <c r="AX274" s="108">
        <f>'LC (Gross)'!AX274</f>
        <v>766209.87999999977</v>
      </c>
      <c r="AY274" s="110">
        <f>ROUND(AD273/AZ273*(AC274)+(AF273/AZ273*AE274)+(AH273/AZ273*AG274)+(AJ273/AZ273*AI274)+(AN273/AZ273*AM274)+(AR273/AZ273*AQ274)+(AT273/AZ273*AS274)+(AV273/AZ273*AU274)+(AX273/AZ273*AW274),4)</f>
        <v>3.2517</v>
      </c>
      <c r="AZ274" s="111">
        <f t="shared" ref="AZ274:AZ280" si="200">AD274+AF274+AH274+AJ274+AL274+AN274+AP274+AR274+AT274+AV274+AX274</f>
        <v>719069606.05999994</v>
      </c>
    </row>
    <row r="275" spans="1:52" x14ac:dyDescent="0.25">
      <c r="A275" s="21">
        <v>44408</v>
      </c>
      <c r="B275" s="24">
        <f t="shared" si="189"/>
        <v>259</v>
      </c>
      <c r="C275" s="97" t="s">
        <v>93</v>
      </c>
      <c r="D275" s="84">
        <f t="shared" ref="D275:D276" si="201">AY275</f>
        <v>2.8003999999999998</v>
      </c>
      <c r="E275" s="47">
        <f t="shared" ref="E275" si="202">E274*D275/100+E274</f>
        <v>12232900.261548776</v>
      </c>
      <c r="F275" s="112"/>
      <c r="G275" s="106"/>
      <c r="I275" s="39"/>
      <c r="J275" s="20">
        <f t="shared" si="39"/>
        <v>44408</v>
      </c>
      <c r="K275" s="27">
        <f>'LC (Gross)'!K275</f>
        <v>2.3753169999999999</v>
      </c>
      <c r="L275" s="46">
        <f t="shared" ref="L275" si="203">L274*K275/100+L274</f>
        <v>4525622.4691878194</v>
      </c>
      <c r="M275" s="112"/>
      <c r="N275" s="106"/>
      <c r="O275" s="39"/>
      <c r="P275" s="20">
        <f t="shared" si="40"/>
        <v>44408</v>
      </c>
      <c r="Q275" s="27">
        <f>'LC (Gross)'!Q275</f>
        <v>3.966485</v>
      </c>
      <c r="R275" s="46">
        <f t="shared" ref="R275" si="204">R274*Q275/100+R274</f>
        <v>4214651.292274449</v>
      </c>
      <c r="S275" s="112"/>
      <c r="T275" s="106"/>
      <c r="V275" s="39"/>
      <c r="W275" s="20">
        <f t="shared" si="41"/>
        <v>44408</v>
      </c>
      <c r="X275" s="36">
        <f>'LC (Gross)'!X275</f>
        <v>3.7171284999999998</v>
      </c>
      <c r="Y275" s="46">
        <f t="shared" ref="Y275" si="205">Y274*X275/100+Y274</f>
        <v>8201288.9013141692</v>
      </c>
      <c r="AC275" s="107">
        <f>'LC (Gross)'!AC275</f>
        <v>2.8066998600000002</v>
      </c>
      <c r="AD275" s="108">
        <f>'LC (Gross)'!AD275</f>
        <v>528451248.62</v>
      </c>
      <c r="AE275" s="107">
        <v>2.7836614719999999</v>
      </c>
      <c r="AF275" s="108">
        <f>'LC (Gross)'!AF275</f>
        <v>182672469.06</v>
      </c>
      <c r="AG275" s="240">
        <v>2.7924416339999998</v>
      </c>
      <c r="AH275" s="108">
        <f>'LC (Gross)'!AH275</f>
        <v>14566188.52</v>
      </c>
      <c r="AI275" s="107">
        <v>2.7298699910000002</v>
      </c>
      <c r="AJ275" s="108">
        <f>'LC (Gross)'!AJ275</f>
        <v>2681001.4299999997</v>
      </c>
      <c r="AM275" s="107">
        <v>2.761154506</v>
      </c>
      <c r="AN275" s="108">
        <f>'LC (Gross)'!AN275</f>
        <v>929230.71000000008</v>
      </c>
      <c r="AQ275" s="107">
        <v>2.7395969440000001</v>
      </c>
      <c r="AR275" s="108">
        <f>'LC (Gross)'!AR275</f>
        <v>326247.75000000017</v>
      </c>
      <c r="AS275" s="240">
        <v>2.9269897829999998</v>
      </c>
      <c r="AT275" s="108">
        <f>'LC (Gross)'!AT275</f>
        <v>2628184.0300000003</v>
      </c>
      <c r="AU275" s="240">
        <v>2.7418834080000001</v>
      </c>
      <c r="AV275" s="108">
        <f>'LC (Gross)'!AV275</f>
        <v>3362093.48</v>
      </c>
      <c r="AW275" s="107">
        <v>2.744270277</v>
      </c>
      <c r="AX275" s="108">
        <f>'LC (Gross)'!AX275</f>
        <v>787236.74999999965</v>
      </c>
      <c r="AY275" s="110">
        <f>ROUND(AD274/AZ274*(AC275)+(AF274/AZ274*AE275)+(AH274/AZ274*AG275)+(AJ274/AZ274*AI275)+(AN274/AZ274*AM275)+(AR274/AZ274*AQ275)+(AT274/AZ274*AS275)+(AV274/AZ274*AU275)+(AX274/AZ274*AW275),4)</f>
        <v>2.8003999999999998</v>
      </c>
      <c r="AZ275" s="111">
        <f t="shared" si="200"/>
        <v>736403900.35000002</v>
      </c>
    </row>
    <row r="276" spans="1:52" x14ac:dyDescent="0.25">
      <c r="A276" s="21">
        <v>44439</v>
      </c>
      <c r="B276" s="24">
        <f t="shared" ref="B276:B278" si="206">IF(A276&gt;A275,1+B275,"-")</f>
        <v>260</v>
      </c>
      <c r="C276" s="97" t="s">
        <v>93</v>
      </c>
      <c r="D276" s="84">
        <f t="shared" si="201"/>
        <v>2.1901000000000002</v>
      </c>
      <c r="E276" s="47">
        <f t="shared" ref="E276:E277" si="207">E275*D276/100+E275</f>
        <v>12500813.010176957</v>
      </c>
      <c r="F276" s="112"/>
      <c r="I276" s="39"/>
      <c r="J276" s="20">
        <f t="shared" si="39"/>
        <v>44439</v>
      </c>
      <c r="K276" s="27">
        <f>'LC (Gross)'!K276</f>
        <v>3.0406559999999998</v>
      </c>
      <c r="L276" s="46">
        <f t="shared" ref="L276" si="208">L275*K276/100+L275</f>
        <v>4663231.0803345274</v>
      </c>
      <c r="M276" s="112"/>
      <c r="O276" s="39"/>
      <c r="P276" s="20">
        <f t="shared" si="40"/>
        <v>44439</v>
      </c>
      <c r="Q276" s="27">
        <f>'LC (Gross)'!Q276</f>
        <v>2.7887219999999999</v>
      </c>
      <c r="R276" s="46">
        <f t="shared" ref="R276" si="209">R275*Q276/100+R275</f>
        <v>4332186.2000853913</v>
      </c>
      <c r="S276" s="112"/>
      <c r="T276" s="106"/>
      <c r="V276" s="39"/>
      <c r="W276" s="20">
        <f t="shared" si="41"/>
        <v>44439</v>
      </c>
      <c r="X276" s="36">
        <f>'LC (Gross)'!X276</f>
        <v>1.7447090000000001</v>
      </c>
      <c r="Y276" s="46">
        <f t="shared" ref="Y276" si="210">Y275*X276/100+Y275</f>
        <v>8344377.5268913982</v>
      </c>
      <c r="AC276" s="107">
        <f>'LC (Gross)'!AC276</f>
        <v>2.201673</v>
      </c>
      <c r="AD276" s="108">
        <f>'LC (Gross)'!AD276</f>
        <v>538233300.79999995</v>
      </c>
      <c r="AE276" s="107">
        <v>2.1489077255044204</v>
      </c>
      <c r="AF276" s="108">
        <f>'LC (Gross)'!AF276</f>
        <v>186597931.86000001</v>
      </c>
      <c r="AG276" s="240">
        <v>2.2982653254854357</v>
      </c>
      <c r="AH276" s="108">
        <f>'LC (Gross)'!AH276</f>
        <v>14900958.18</v>
      </c>
      <c r="AI276" s="107">
        <v>2.167534464910744</v>
      </c>
      <c r="AJ276" s="108">
        <f>'LC (Gross)'!AJ276</f>
        <v>2739113.0599999996</v>
      </c>
      <c r="AM276" s="107">
        <v>2.1691609826369178</v>
      </c>
      <c r="AN276" s="108">
        <f>'LC (Gross)'!AN276</f>
        <v>949387.22000000009</v>
      </c>
      <c r="AQ276" s="107">
        <v>2.1638494058579374</v>
      </c>
      <c r="AR276" s="108">
        <f>'LC (Gross)'!AR276</f>
        <v>333307.26000000007</v>
      </c>
      <c r="AS276" s="240">
        <v>2.1788739549999998</v>
      </c>
      <c r="AT276" s="108">
        <f>'LC (Gross)'!AT276</f>
        <v>2684193.1400000011</v>
      </c>
      <c r="AU276" s="240">
        <v>2.1758970469999999</v>
      </c>
      <c r="AV276" s="108">
        <f>'LC (Gross)'!AV276</f>
        <v>3433400.3300000024</v>
      </c>
      <c r="AW276" s="240">
        <v>2.2236944604021742</v>
      </c>
      <c r="AX276" s="108">
        <f>'LC (Gross)'!AX276</f>
        <v>804742.48999999976</v>
      </c>
      <c r="AY276" s="110">
        <f>ROUND(AD275/AZ275*(AC276)+(AF275/AZ275*AE276)+(AH275/AZ275*AG276)+(AJ275/AZ275*AI276)+(AN275/AZ275*AM276)+(AR275/AZ275*AQ276)+(AT275/AZ275*AS276)+(AV275/AZ275*AU276)+(AX275/AZ275*AW276),4)</f>
        <v>2.1901000000000002</v>
      </c>
      <c r="AZ276" s="111">
        <f t="shared" si="200"/>
        <v>750676334.33999991</v>
      </c>
    </row>
    <row r="277" spans="1:52" x14ac:dyDescent="0.25">
      <c r="A277" s="21">
        <v>44469</v>
      </c>
      <c r="B277" s="24">
        <f t="shared" si="206"/>
        <v>261</v>
      </c>
      <c r="C277" s="97" t="s">
        <v>93</v>
      </c>
      <c r="D277" s="84">
        <f>AY277</f>
        <v>-5.8513000000000002</v>
      </c>
      <c r="E277" s="47">
        <f t="shared" si="207"/>
        <v>11769352.938512472</v>
      </c>
      <c r="F277" s="112"/>
      <c r="G277" s="106">
        <f>(E277/E274-1)*100</f>
        <v>-1.0950662596936778</v>
      </c>
      <c r="I277" s="39"/>
      <c r="J277" s="20">
        <f t="shared" si="39"/>
        <v>44469</v>
      </c>
      <c r="K277" s="27">
        <f>'LC (Gross)'!K277</f>
        <v>-4.6523870000000001</v>
      </c>
      <c r="L277" s="46">
        <f t="shared" ref="L277" si="211">L276*K277/100+L276</f>
        <v>4446279.5237730844</v>
      </c>
      <c r="M277" s="112"/>
      <c r="N277" s="106">
        <f>(L277/L274-1)*100</f>
        <v>0.58047899841016104</v>
      </c>
      <c r="O277" s="39"/>
      <c r="P277" s="20">
        <f t="shared" si="40"/>
        <v>44469</v>
      </c>
      <c r="Q277" s="27">
        <f>'LC (Gross)'!Q277</f>
        <v>-5.73163</v>
      </c>
      <c r="R277" s="46">
        <f t="shared" ref="R277" si="212">R276*Q277/100+R276</f>
        <v>4083881.3161854371</v>
      </c>
      <c r="S277" s="112"/>
      <c r="T277" s="106">
        <f>(R277/R274-1)*100</f>
        <v>0.74066776989372141</v>
      </c>
      <c r="V277" s="39"/>
      <c r="W277" s="20">
        <f t="shared" si="41"/>
        <v>44469</v>
      </c>
      <c r="X277" s="36">
        <f>'LC (Gross)'!X277</f>
        <v>-4.876906</v>
      </c>
      <c r="Y277" s="46">
        <f t="shared" ref="Y277" si="213">Y276*X277/100+Y276</f>
        <v>7937430.07861978</v>
      </c>
      <c r="AC277" s="107">
        <f>'LC (Gross)'!AC277</f>
        <v>-5.902628</v>
      </c>
      <c r="AD277" s="108">
        <f>'LC (Gross)'!AD277</f>
        <v>506793726.31</v>
      </c>
      <c r="AE277" s="107">
        <v>-5.7279064797026091</v>
      </c>
      <c r="AF277" s="108">
        <f>'LC (Gross)'!AF277</f>
        <v>175909776.83000001</v>
      </c>
      <c r="AG277" s="240">
        <v>-5.6719689710000001</v>
      </c>
      <c r="AH277" s="108">
        <f>'LC (Gross)'!AH277</f>
        <v>12161657.039999999</v>
      </c>
      <c r="AI277" s="107">
        <v>-5.6769832640643436</v>
      </c>
      <c r="AJ277" s="108">
        <f>'LC (Gross)'!AJ277</f>
        <v>2583614.0699999989</v>
      </c>
      <c r="AM277" s="107">
        <v>-5.6885893197509247</v>
      </c>
      <c r="AN277" s="108">
        <f>'LC (Gross)'!AN277</f>
        <v>895380.47999999986</v>
      </c>
      <c r="AQ277" s="107">
        <v>-5.6153622336339408</v>
      </c>
      <c r="AR277" s="108">
        <f>'LC (Gross)'!AR277</f>
        <v>314590.84999999998</v>
      </c>
      <c r="AS277" s="240">
        <v>-5.686042026</v>
      </c>
      <c r="AT277" s="108">
        <f>'LC (Gross)'!AT277</f>
        <v>2527728.5699999989</v>
      </c>
      <c r="AU277" s="240">
        <v>-5.6708599580000003</v>
      </c>
      <c r="AV277" s="108">
        <f>'LC (Gross)'!AV277</f>
        <v>3237212.04</v>
      </c>
      <c r="AW277" s="240">
        <v>-5.6681908271054198</v>
      </c>
      <c r="AX277" s="108">
        <f>'LC (Gross)'!AX277</f>
        <v>759128.15</v>
      </c>
      <c r="AY277" s="110">
        <f>ROUND(AD276/AZ276*(AC277)+(AF276/AZ276*AE277)+(AH276/AZ276*AG277)+(AJ276/AZ276*AI277)+(AN276/AZ276*AM277)+(AR276/AZ276*AQ277)+(AT276/AZ276*AS277)+(AV276/AZ276*AU277)+(AX276/AZ276*AW277),4)</f>
        <v>-5.8513000000000002</v>
      </c>
      <c r="AZ277" s="111">
        <f t="shared" si="200"/>
        <v>705182814.34000003</v>
      </c>
    </row>
    <row r="278" spans="1:52" x14ac:dyDescent="0.25">
      <c r="A278" s="21">
        <v>44500</v>
      </c>
      <c r="B278" s="24">
        <f t="shared" si="206"/>
        <v>262</v>
      </c>
      <c r="C278" s="97" t="s">
        <v>93</v>
      </c>
      <c r="D278" s="84">
        <f>AY278</f>
        <v>8.1766000000000005</v>
      </c>
      <c r="E278" s="47">
        <f t="shared" ref="E278" si="214">E277*D278/100+E277</f>
        <v>12731685.850882884</v>
      </c>
      <c r="F278" s="112"/>
      <c r="I278" s="39"/>
      <c r="J278" s="20">
        <f t="shared" si="39"/>
        <v>44500</v>
      </c>
      <c r="K278" s="27">
        <f>'LC (Gross)'!K278</f>
        <v>7.0051259999999997</v>
      </c>
      <c r="L278" s="46">
        <f t="shared" ref="L278" si="215">L277*K278/100+L277</f>
        <v>4757747.0067255888</v>
      </c>
      <c r="M278" s="112"/>
      <c r="O278" s="39"/>
      <c r="P278" s="20">
        <f t="shared" si="40"/>
        <v>44500</v>
      </c>
      <c r="Q278" s="27">
        <f>'LC (Gross)'!Q278</f>
        <v>6.9131869999999997</v>
      </c>
      <c r="R278" s="46">
        <f t="shared" ref="R278" si="216">R277*Q278/100+R277</f>
        <v>4366207.6684313975</v>
      </c>
      <c r="S278" s="112"/>
      <c r="V278" s="39"/>
      <c r="W278" s="20">
        <f t="shared" si="41"/>
        <v>44500</v>
      </c>
      <c r="X278" s="36">
        <f>'LC (Gross)'!X278</f>
        <v>4.722391</v>
      </c>
      <c r="Y278" s="46">
        <f t="shared" ref="Y278" si="217">Y277*X278/100+Y277</f>
        <v>8312266.562283813</v>
      </c>
      <c r="AC278" s="107">
        <f>'LC (Gross)'!AC278</f>
        <v>8.1959710000000001</v>
      </c>
      <c r="AD278" s="108">
        <f>'LC (Gross)'!AD278</f>
        <v>546017089.99000001</v>
      </c>
      <c r="AE278" s="107">
        <v>8.1222367999999996</v>
      </c>
      <c r="AF278" s="108">
        <f>'LC (Gross)'!AF278</f>
        <v>190211378.42000002</v>
      </c>
      <c r="AG278" s="240">
        <v>8.2273525450443259</v>
      </c>
      <c r="AH278" s="108">
        <f>'LC (Gross)'!AH278</f>
        <v>13162239.440000001</v>
      </c>
      <c r="AI278" s="107">
        <v>8.0495169999999998</v>
      </c>
      <c r="AJ278" s="108">
        <f>'LC (Gross)'!AJ278</f>
        <v>2789860.8500000006</v>
      </c>
      <c r="AM278" s="107">
        <v>8.0468886000000008</v>
      </c>
      <c r="AN278" s="108">
        <f>'LC (Gross)'!AN278</f>
        <v>967430.75000000012</v>
      </c>
      <c r="AQ278" s="107">
        <v>8.0384568999999999</v>
      </c>
      <c r="AR278" s="108">
        <f>'LC (Gross)'!AR278</f>
        <v>339879.10000000009</v>
      </c>
      <c r="AS278" s="240">
        <v>8.2394511000000001</v>
      </c>
      <c r="AT278" s="108">
        <f>'LC (Gross)'!AT278</f>
        <v>2734210.370000001</v>
      </c>
      <c r="AU278" s="240">
        <v>8.0447450000000007</v>
      </c>
      <c r="AV278" s="108">
        <f>'LC (Gross)'!AV278</f>
        <v>3491982.5199999996</v>
      </c>
      <c r="AW278" s="240">
        <v>8.0562774546036451</v>
      </c>
      <c r="AX278" s="108">
        <f>'LC (Gross)'!AX278</f>
        <v>820285.61999999976</v>
      </c>
      <c r="AY278" s="110">
        <f>ROUND(AD277/AZ277*(AC278)+(AF277/AZ277*AE278)+(AH277/AZ277*AG278)+(AJ277/AZ277*AI278)+(AN277/AZ277*AM278)+(AR277/AZ277*AQ278)+(AT277/AZ277*AS278)+(AV277/AZ277*AU278)+(AX277/AZ277*AW278),4)</f>
        <v>8.1766000000000005</v>
      </c>
      <c r="AZ278" s="111">
        <f t="shared" si="200"/>
        <v>760534357.06000018</v>
      </c>
    </row>
    <row r="279" spans="1:52" x14ac:dyDescent="0.25">
      <c r="A279" s="21">
        <v>44530</v>
      </c>
      <c r="B279" s="24">
        <f t="shared" ref="B279:B284" si="218">IF(A279&gt;A278,1+B278,"-")</f>
        <v>263</v>
      </c>
      <c r="C279" s="97" t="s">
        <v>93</v>
      </c>
      <c r="D279" s="84">
        <f t="shared" ref="D279:D281" si="219">AY279</f>
        <v>-1.7231000000000001</v>
      </c>
      <c r="E279" s="47">
        <f t="shared" ref="E279:E281" si="220">E278*D279/100+E278</f>
        <v>12512306.171986321</v>
      </c>
      <c r="F279" s="112"/>
      <c r="I279" s="39"/>
      <c r="J279" s="20">
        <f t="shared" si="39"/>
        <v>44530</v>
      </c>
      <c r="K279" s="27">
        <f>'LC (Gross)'!K279</f>
        <v>-0.69502620000000004</v>
      </c>
      <c r="L279" s="46">
        <f t="shared" ref="L279" si="221">L278*K279/100+L278</f>
        <v>4724679.4184991298</v>
      </c>
      <c r="M279" s="112"/>
      <c r="O279" s="39"/>
      <c r="P279" s="20">
        <f t="shared" si="40"/>
        <v>44530</v>
      </c>
      <c r="Q279" s="27">
        <f>'LC (Gross)'!Q279</f>
        <v>-1.3342000000000001</v>
      </c>
      <c r="R279" s="46">
        <f t="shared" ref="R279" si="222">R278*Q279/100+R278</f>
        <v>4307953.7257191855</v>
      </c>
      <c r="S279" s="112"/>
      <c r="V279" s="39"/>
      <c r="W279" s="20">
        <f t="shared" si="41"/>
        <v>44530</v>
      </c>
      <c r="X279" s="36">
        <f>'LC (Gross)'!X279</f>
        <v>-1.3369279999999999</v>
      </c>
      <c r="Y279" s="46">
        <f t="shared" ref="Y279" si="223">Y278*X279/100+Y278</f>
        <v>8201137.5431780033</v>
      </c>
      <c r="AC279" s="107">
        <f>'LC (Gross)'!AC279</f>
        <v>-1.7350829999999999</v>
      </c>
      <c r="AD279" s="108">
        <f>'LC (Gross)'!AD279</f>
        <v>533352474.44</v>
      </c>
      <c r="AE279" s="107">
        <v>-1.6983882335718035</v>
      </c>
      <c r="AF279" s="108">
        <f>'LC (Gross)'!AF279</f>
        <v>186980850.75</v>
      </c>
      <c r="AG279" s="107">
        <v>-1.6148879601296917</v>
      </c>
      <c r="AH279" s="108">
        <f>'LC (Gross)'!AH279</f>
        <v>12949684.02</v>
      </c>
      <c r="AI279" s="107">
        <v>-1.6916087409879166</v>
      </c>
      <c r="AJ279" s="108">
        <f>'LC (Gross)'!AJ279</f>
        <v>2742667.3200000008</v>
      </c>
      <c r="AK279" s="107"/>
      <c r="AL279" s="133"/>
      <c r="AM279" s="107">
        <v>-1.6936829845443799</v>
      </c>
      <c r="AN279" s="108">
        <f>'LC (Gross)'!AN279</f>
        <v>951045.54</v>
      </c>
      <c r="AO279" s="107"/>
      <c r="AP279" s="133"/>
      <c r="AQ279" s="107">
        <v>-1.7255694745573376</v>
      </c>
      <c r="AR279" s="108">
        <f>'LC (Gross)'!AR279</f>
        <v>334014.24999999988</v>
      </c>
      <c r="AS279" s="107">
        <v>-1.7384156143040785</v>
      </c>
      <c r="AT279" s="108">
        <f>'LC (Gross)'!AT279</f>
        <v>2686678.4299999997</v>
      </c>
      <c r="AU279" s="107">
        <v>-1.7342615449289347</v>
      </c>
      <c r="AV279" s="108">
        <f>'LC (Gross)'!AV279</f>
        <v>3431422.4099999992</v>
      </c>
      <c r="AW279" s="107">
        <v>-1.222</v>
      </c>
      <c r="AX279" s="108">
        <f>'LC (Gross)'!AX279</f>
        <v>710750.38000000012</v>
      </c>
      <c r="AY279" s="110">
        <f t="shared" ref="AY279:AY286" si="224">ROUND(AD278/AZ278*(AC279)+(AF278/AZ278*AE279)+(AH278/AZ278*AG279)+(AJ278/AZ278*AI279)+(AN278/AZ278*AM279)+(AR278/AZ278*AQ279)+(AT278/AZ278*AS279)+(AV278/AZ278*AU279)+(AX278/AZ278*AW279),4)</f>
        <v>-1.7231000000000001</v>
      </c>
      <c r="AZ279" s="111">
        <f t="shared" si="200"/>
        <v>744139587.53999996</v>
      </c>
    </row>
    <row r="280" spans="1:52" x14ac:dyDescent="0.25">
      <c r="A280" s="21">
        <v>44561</v>
      </c>
      <c r="B280" s="24">
        <f t="shared" si="218"/>
        <v>264</v>
      </c>
      <c r="C280" s="97" t="s">
        <v>93</v>
      </c>
      <c r="D280" s="84">
        <f t="shared" si="219"/>
        <v>4.0130999999999997</v>
      </c>
      <c r="E280" s="47">
        <f t="shared" si="220"/>
        <v>13014437.530974304</v>
      </c>
      <c r="F280" s="112">
        <f t="shared" ref="F280" si="225">(E280/E$268-1)*100</f>
        <v>17.615401565104992</v>
      </c>
      <c r="G280" s="106">
        <f>(E280/E277-1)*100</f>
        <v>10.579040317395716</v>
      </c>
      <c r="I280" s="39"/>
      <c r="J280" s="20">
        <f t="shared" si="39"/>
        <v>44561</v>
      </c>
      <c r="K280" s="27">
        <f>'LC (Gross)'!K280</f>
        <v>4.4741809999999997</v>
      </c>
      <c r="L280" s="46">
        <f t="shared" ref="L280" si="226">L279*K280/100+L279</f>
        <v>4936070.1273525283</v>
      </c>
      <c r="M280" s="112">
        <f>(L280/L$268-1)*100</f>
        <v>28.678393633262679</v>
      </c>
      <c r="N280" s="106">
        <f>(L280/L277-1)*100</f>
        <v>11.015740260158235</v>
      </c>
      <c r="O280" s="39"/>
      <c r="P280" s="20">
        <f t="shared" si="40"/>
        <v>44561</v>
      </c>
      <c r="Q280" s="27">
        <f>'LC (Gross)'!Q280</f>
        <v>5.4437139999999999</v>
      </c>
      <c r="R280" s="46">
        <f t="shared" ref="R280" si="227">R279*Q280/100+R279</f>
        <v>4542466.4057996823</v>
      </c>
      <c r="S280" s="112">
        <f t="shared" ref="S280" si="228">(R280/R$268-1)*100</f>
        <v>26.896683047285762</v>
      </c>
      <c r="T280" s="106">
        <f>(R280/R277-1)*100</f>
        <v>11.229148305479853</v>
      </c>
      <c r="V280" s="39"/>
      <c r="W280" s="20">
        <f t="shared" si="41"/>
        <v>44561</v>
      </c>
      <c r="X280" s="36">
        <f>'LC (Gross)'!X280</f>
        <v>9.6724069999999998</v>
      </c>
      <c r="Y280" s="46">
        <f t="shared" ref="Y280" si="229">Y279*X280/100+Y279</f>
        <v>8994384.9449839797</v>
      </c>
      <c r="AC280" s="107">
        <f>'LC (Gross)'!AC280</f>
        <v>3.999743</v>
      </c>
      <c r="AD280" s="108">
        <f>'LC (Gross)'!AD280</f>
        <v>555170394.62</v>
      </c>
      <c r="AE280" s="107">
        <v>4.0478468461562489</v>
      </c>
      <c r="AF280" s="108">
        <f>'LC (Gross)'!AF280</f>
        <v>194549549.22</v>
      </c>
      <c r="AG280" s="107">
        <v>4.0756375922754087</v>
      </c>
      <c r="AH280" s="108">
        <f>'LC (Gross)'!AH280</f>
        <v>13477466.210000001</v>
      </c>
      <c r="AI280" s="107">
        <v>4.0517506147993023</v>
      </c>
      <c r="AJ280" s="108">
        <f>'LC (Gross)'!AJ280</f>
        <v>2853793.3600000003</v>
      </c>
      <c r="AK280" s="107"/>
      <c r="AL280" s="133"/>
      <c r="AM280" s="107">
        <v>4.037530106076705</v>
      </c>
      <c r="AN280" s="108">
        <f>'LC (Gross)'!AN280</f>
        <v>989444.2899999998</v>
      </c>
      <c r="AO280" s="107"/>
      <c r="AP280" s="133"/>
      <c r="AQ280" s="107">
        <v>4.0161549993750709</v>
      </c>
      <c r="AR280" s="108">
        <f>'LC (Gross)'!AR280</f>
        <v>347428.78</v>
      </c>
      <c r="AS280" s="107">
        <v>3.8754883665032103</v>
      </c>
      <c r="AT280" s="108">
        <f>'LC (Gross)'!AT280</f>
        <v>2790800.3400000008</v>
      </c>
      <c r="AU280" s="107">
        <v>4.0120857635828298</v>
      </c>
      <c r="AV280" s="108">
        <f>'LC (Gross)'!AV280</f>
        <v>3569094.02</v>
      </c>
      <c r="AW280" s="107">
        <v>4.1202594925098586</v>
      </c>
      <c r="AX280" s="108">
        <f>'LC (Gross)'!AX280</f>
        <v>740035.14</v>
      </c>
      <c r="AY280" s="110">
        <f t="shared" si="224"/>
        <v>4.0130999999999997</v>
      </c>
      <c r="AZ280" s="111">
        <f t="shared" si="200"/>
        <v>774488005.98000002</v>
      </c>
    </row>
    <row r="281" spans="1:52" x14ac:dyDescent="0.25">
      <c r="A281" s="21">
        <v>44592</v>
      </c>
      <c r="B281" s="24">
        <f t="shared" si="218"/>
        <v>265</v>
      </c>
      <c r="C281" s="97" t="s">
        <v>93</v>
      </c>
      <c r="D281" s="84">
        <f t="shared" si="219"/>
        <v>-7.1718999999999999</v>
      </c>
      <c r="E281" s="47">
        <f t="shared" si="220"/>
        <v>12081055.085690359</v>
      </c>
      <c r="I281" s="39"/>
      <c r="J281" s="20">
        <f t="shared" si="39"/>
        <v>44592</v>
      </c>
      <c r="K281" s="27">
        <f>'LC (Gross)'!K281</f>
        <v>-5.1748589999999997</v>
      </c>
      <c r="L281" s="46">
        <f t="shared" ref="L281" si="230">L280*K281/100+L280</f>
        <v>4680635.4581209142</v>
      </c>
      <c r="O281" s="39"/>
      <c r="P281" s="20">
        <f t="shared" si="40"/>
        <v>44592</v>
      </c>
      <c r="Q281" s="27">
        <f>'LC (Gross)'!Q281</f>
        <v>-5.9105629999999998</v>
      </c>
      <c r="R281" s="46">
        <f t="shared" ref="R281" si="231">R280*Q281/100+R280</f>
        <v>4273981.0671310565</v>
      </c>
      <c r="V281" s="39"/>
      <c r="W281" s="20">
        <f t="shared" si="41"/>
        <v>44592</v>
      </c>
      <c r="X281" s="36">
        <f>'LC (Gross)'!X281</f>
        <v>-4.5388330000000003</v>
      </c>
      <c r="Y281" s="46">
        <f t="shared" ref="Y281" si="232">Y280*X281/100+Y280</f>
        <v>8586144.8329540156</v>
      </c>
      <c r="AC281" s="107">
        <f>'LC (Gross)'!AC281</f>
        <v>-7.163462</v>
      </c>
      <c r="AD281" s="108">
        <f>'LC (Gross)'!AD281</f>
        <v>513314784.81</v>
      </c>
      <c r="AE281" s="107">
        <v>-7.1931900000000004</v>
      </c>
      <c r="AF281" s="108">
        <f>'LC (Gross)'!AF281</f>
        <v>180555230.53999999</v>
      </c>
      <c r="AG281" s="107">
        <v>-7.1392869999999995</v>
      </c>
      <c r="AH281" s="108">
        <f>'LC (Gross)'!AH281</f>
        <v>12515271.210000001</v>
      </c>
      <c r="AI281" s="107">
        <v>-7.3048999999999999</v>
      </c>
      <c r="AJ281" s="108">
        <f>'LC (Gross)'!AJ281</f>
        <v>2643652.9099999992</v>
      </c>
      <c r="AK281" s="107"/>
      <c r="AL281" s="133"/>
      <c r="AM281" s="107">
        <v>-7.3313309999999996</v>
      </c>
      <c r="AN281" s="108">
        <f>'LC (Gross)'!AN281</f>
        <v>916904.85</v>
      </c>
      <c r="AO281" s="107"/>
      <c r="AP281" s="133"/>
      <c r="AQ281" s="107">
        <v>-7.307849</v>
      </c>
      <c r="AR281" s="108">
        <f>'LC (Gross)'!AR281</f>
        <v>322039.20999999996</v>
      </c>
      <c r="AS281" s="107">
        <v>-7.120565</v>
      </c>
      <c r="AT281" s="108">
        <f>'LC (Gross)'!AT281</f>
        <v>2590174.4400000004</v>
      </c>
      <c r="AU281" s="107">
        <v>-7.2928300000000004</v>
      </c>
      <c r="AV281" s="108">
        <f>'LC (Gross)'!AV281</f>
        <v>3303055.9287999989</v>
      </c>
      <c r="AW281" s="107">
        <v>-7.2866819999999999</v>
      </c>
      <c r="AX281" s="108">
        <f>'LC (Gross)'!AX281</f>
        <v>686110.51749999984</v>
      </c>
      <c r="AY281" s="110">
        <f t="shared" si="224"/>
        <v>-7.1718999999999999</v>
      </c>
      <c r="AZ281" s="111">
        <f t="shared" ref="AZ281:AZ286" si="233">AD281+AF281+AH281+AJ281+AL281+AN281+AP281+AR281+AT281+AV281+AX281</f>
        <v>716847224.41630018</v>
      </c>
    </row>
    <row r="282" spans="1:52" x14ac:dyDescent="0.25">
      <c r="A282" s="21">
        <v>44620</v>
      </c>
      <c r="B282" s="24">
        <f t="shared" si="218"/>
        <v>266</v>
      </c>
      <c r="C282" s="97" t="s">
        <v>93</v>
      </c>
      <c r="D282" s="84">
        <f t="shared" ref="D282:D288" si="234">AY282</f>
        <v>-4.2194000000000003</v>
      </c>
      <c r="E282" s="47">
        <f t="shared" ref="E282" si="235">E281*D282/100+E281</f>
        <v>11571307.04740474</v>
      </c>
      <c r="F282" s="112"/>
      <c r="I282" s="39"/>
      <c r="J282" s="20">
        <f t="shared" si="39"/>
        <v>44620</v>
      </c>
      <c r="K282" s="27">
        <f>'LC (Gross)'!K282</f>
        <v>-2.9970180000000002</v>
      </c>
      <c r="L282" s="46">
        <f t="shared" ref="L282" si="236">L281*K282/100+L281</f>
        <v>4540355.970926648</v>
      </c>
      <c r="M282" s="112"/>
      <c r="O282" s="39"/>
      <c r="P282" s="20">
        <f t="shared" si="40"/>
        <v>44620</v>
      </c>
      <c r="Q282" s="27">
        <f>'LC (Gross)'!Q282</f>
        <v>-3.8279079999999999</v>
      </c>
      <c r="R282" s="46">
        <f t="shared" ref="R282" si="237">R281*Q282/100+R281</f>
        <v>4110377.0039438615</v>
      </c>
      <c r="S282" s="112"/>
      <c r="V282" s="39"/>
      <c r="W282" s="20">
        <f t="shared" si="41"/>
        <v>44620</v>
      </c>
      <c r="X282" s="36">
        <f>'LC (Gross)'!X282</f>
        <v>-2.3047249999999999</v>
      </c>
      <c r="Y282" s="46">
        <f t="shared" ref="Y282" si="238">Y281*X282/100+Y281</f>
        <v>8388257.8064527158</v>
      </c>
      <c r="AC282" s="107">
        <f>'LC (Gross)'!AC282</f>
        <v>-4.1947179999999999</v>
      </c>
      <c r="AD282" s="108">
        <f>'LC (Gross)'!AD282</f>
        <v>479445611.19</v>
      </c>
      <c r="AE282" s="107">
        <v>-4.2723100000000001</v>
      </c>
      <c r="AF282" s="108">
        <f>'LC (Gross)'!AF282</f>
        <v>172851987.71000001</v>
      </c>
      <c r="AG282" s="107">
        <v>-4.2987060000000001</v>
      </c>
      <c r="AH282" s="108">
        <f>'LC (Gross)'!AH282</f>
        <v>11978036.470000001</v>
      </c>
      <c r="AI282" s="107">
        <v>-4.4467289769896317</v>
      </c>
      <c r="AJ282" s="108">
        <f>'LC (Gross)'!AJ282</f>
        <v>2526248.83</v>
      </c>
      <c r="AK282" s="107"/>
      <c r="AL282" s="133"/>
      <c r="AM282" s="107">
        <v>-4.4344764890272188</v>
      </c>
      <c r="AN282" s="108">
        <f>'LC (Gross)'!AN282</f>
        <v>876282.92</v>
      </c>
      <c r="AO282" s="107"/>
      <c r="AP282" s="133"/>
      <c r="AQ282" s="107">
        <v>-4.3275755147951944</v>
      </c>
      <c r="AR282" s="108">
        <f>'LC (Gross)'!AR282</f>
        <v>308102.72000000009</v>
      </c>
      <c r="AS282" s="107">
        <v>-4.4280020000000002</v>
      </c>
      <c r="AT282" s="108">
        <f>'LC (Gross)'!AT282</f>
        <v>2473460.34</v>
      </c>
      <c r="AU282" s="107">
        <v>-4.4030329999999998</v>
      </c>
      <c r="AV282" s="108">
        <f>'LC (Gross)'!AV282</f>
        <v>3155612.6159999999</v>
      </c>
      <c r="AW282" s="107">
        <v>-4.3810361353337006</v>
      </c>
      <c r="AX282" s="108">
        <f>'LC (Gross)'!AX282</f>
        <v>656051.7677999998</v>
      </c>
      <c r="AY282" s="110">
        <f t="shared" si="224"/>
        <v>-4.2194000000000003</v>
      </c>
      <c r="AZ282" s="111">
        <f t="shared" si="233"/>
        <v>674271394.5638001</v>
      </c>
    </row>
    <row r="283" spans="1:52" x14ac:dyDescent="0.25">
      <c r="A283" s="21">
        <v>44651</v>
      </c>
      <c r="B283" s="24">
        <f t="shared" si="218"/>
        <v>267</v>
      </c>
      <c r="C283" s="97" t="s">
        <v>93</v>
      </c>
      <c r="D283" s="84">
        <f t="shared" si="234"/>
        <v>4.9039999999999999</v>
      </c>
      <c r="E283" s="47">
        <f t="shared" ref="E283" si="239">E282*D283/100+E282</f>
        <v>12138763.945009468</v>
      </c>
      <c r="F283" s="112"/>
      <c r="G283" s="106">
        <f>(E283/E280-1)*100</f>
        <v>-6.7284781526726567</v>
      </c>
      <c r="I283" s="39"/>
      <c r="J283" s="20">
        <f t="shared" si="39"/>
        <v>44651</v>
      </c>
      <c r="K283" s="27">
        <f>'LC (Gross)'!K283</f>
        <v>3.7118120000000001</v>
      </c>
      <c r="L283" s="46">
        <f t="shared" ref="L283" si="240">L282*K283/100+L282</f>
        <v>4708885.4486982198</v>
      </c>
      <c r="M283" s="112"/>
      <c r="N283" s="106">
        <f>(L283/L280-1)*100</f>
        <v>-4.602541552142803</v>
      </c>
      <c r="O283" s="39"/>
      <c r="P283" s="20">
        <f t="shared" si="40"/>
        <v>44651</v>
      </c>
      <c r="Q283" s="27">
        <f>'LC (Gross)'!Q283</f>
        <v>3.9586809999999999</v>
      </c>
      <c r="R283" s="46">
        <f t="shared" ref="R283" si="241">R282*Q283/100+R282</f>
        <v>4273093.7174273562</v>
      </c>
      <c r="S283" s="112"/>
      <c r="T283" s="106">
        <f>(R283/R280-1)*100</f>
        <v>-5.9300975353037133</v>
      </c>
      <c r="V283" s="39"/>
      <c r="W283" s="20">
        <f t="shared" si="41"/>
        <v>44651</v>
      </c>
      <c r="X283" s="36">
        <f>'LC (Gross)'!X283</f>
        <v>5.3825909999999997</v>
      </c>
      <c r="Y283" s="46">
        <f t="shared" ref="Y283" si="242">Y282*X283/100+Y282</f>
        <v>8839763.4161996376</v>
      </c>
      <c r="AC283" s="107">
        <f>'LC (Gross)'!AC283</f>
        <v>4.864865</v>
      </c>
      <c r="AD283" s="108">
        <f>'LC (Gross)'!AD283</f>
        <v>499057289.99000001</v>
      </c>
      <c r="AE283" s="107">
        <v>5.0014000000000003</v>
      </c>
      <c r="AF283" s="108">
        <f>'LC (Gross)'!AF283</f>
        <v>181497007.62</v>
      </c>
      <c r="AG283" s="107">
        <v>4.9823839999999997</v>
      </c>
      <c r="AH283" s="108">
        <f>'LC (Gross)'!AH283</f>
        <v>12574828.289999999</v>
      </c>
      <c r="AI283" s="107">
        <v>4.9978369999999996</v>
      </c>
      <c r="AJ283" s="108">
        <f>'LC (Gross)'!AJ283</f>
        <v>2652506.6300000008</v>
      </c>
      <c r="AK283" s="107"/>
      <c r="AL283" s="133"/>
      <c r="AM283" s="107">
        <v>4.9785899999999996</v>
      </c>
      <c r="AN283" s="108">
        <f>'LC (Gross)'!AN283</f>
        <v>919909.50000000012</v>
      </c>
      <c r="AO283" s="107"/>
      <c r="AP283" s="133"/>
      <c r="AQ283" s="107">
        <v>4.9972849999999998</v>
      </c>
      <c r="AR283" s="108">
        <f>'LC (Gross)'!AR283</f>
        <v>323499.49</v>
      </c>
      <c r="AS283" s="107">
        <v>5.0153499999999998</v>
      </c>
      <c r="AT283" s="108">
        <f>'LC (Gross)'!AT283</f>
        <v>2591011.0099999998</v>
      </c>
      <c r="AU283" s="107">
        <v>5.0043220000000002</v>
      </c>
      <c r="AV283" s="108">
        <f>'LC (Gross)'!AV283</f>
        <v>3311105.8542999993</v>
      </c>
      <c r="AW283" s="107">
        <v>5.003647</v>
      </c>
      <c r="AX283" s="108">
        <f>'LC (Gross)'!AX283</f>
        <v>688878.2845000003</v>
      </c>
      <c r="AY283" s="110">
        <f t="shared" si="224"/>
        <v>4.9039999999999999</v>
      </c>
      <c r="AZ283" s="111">
        <f t="shared" si="233"/>
        <v>703616036.6688</v>
      </c>
    </row>
    <row r="284" spans="1:52" x14ac:dyDescent="0.25">
      <c r="A284" s="21">
        <v>44681</v>
      </c>
      <c r="B284" s="24">
        <f t="shared" si="218"/>
        <v>268</v>
      </c>
      <c r="C284" s="97" t="s">
        <v>93</v>
      </c>
      <c r="D284" s="84">
        <f t="shared" si="234"/>
        <v>-3.6573000000000002</v>
      </c>
      <c r="E284" s="47">
        <f t="shared" ref="E284" si="243">E283*D284/100+E283</f>
        <v>11694812.931248637</v>
      </c>
      <c r="F284" s="112"/>
      <c r="G284" s="106"/>
      <c r="I284" s="39"/>
      <c r="J284" s="20">
        <f t="shared" si="39"/>
        <v>44681</v>
      </c>
      <c r="K284" s="27">
        <f>'LC (Gross)'!K284</f>
        <v>-8.7200340000000001</v>
      </c>
      <c r="L284" s="46">
        <f t="shared" ref="L284" si="244">L283*K284/100+L283</f>
        <v>4298269.036550682</v>
      </c>
      <c r="M284" s="112"/>
      <c r="N284" s="106"/>
      <c r="O284" s="39"/>
      <c r="P284" s="20">
        <f t="shared" si="40"/>
        <v>44681</v>
      </c>
      <c r="Q284" s="27">
        <f>'LC (Gross)'!Q284</f>
        <v>-7.1739040000000003</v>
      </c>
      <c r="R284" s="46">
        <f t="shared" ref="R284" si="245">R283*Q284/100+R283</f>
        <v>3966546.0763090863</v>
      </c>
      <c r="S284" s="112"/>
      <c r="T284" s="106"/>
      <c r="V284" s="39"/>
      <c r="W284" s="20">
        <f t="shared" si="41"/>
        <v>44681</v>
      </c>
      <c r="X284" s="36">
        <f>'LC (Gross)'!X284</f>
        <v>-2.303798</v>
      </c>
      <c r="Y284" s="46">
        <f t="shared" ref="Y284" si="246">Y283*X284/100+Y283</f>
        <v>8636113.1234124992</v>
      </c>
      <c r="AC284" s="107">
        <f>'LC (Gross)'!AC284</f>
        <v>-3.6597940000000002</v>
      </c>
      <c r="AD284" s="108">
        <f>'LC (Gross)'!AD284</f>
        <v>474697469.44999999</v>
      </c>
      <c r="AE284" s="107">
        <v>-3.6560475000000001</v>
      </c>
      <c r="AF284" s="108">
        <f>'LC (Gross)'!AF284</f>
        <v>174861390.73000002</v>
      </c>
      <c r="AG284" s="107">
        <v>-3.5601699999999998</v>
      </c>
      <c r="AH284" s="108">
        <f>'LC (Gross)'!AH284</f>
        <v>12127142.93</v>
      </c>
      <c r="AI284" s="107">
        <v>-3.7250239999999999</v>
      </c>
      <c r="AJ284" s="108">
        <f>'LC (Gross)'!AJ284</f>
        <v>2552096.02</v>
      </c>
      <c r="AK284" s="107"/>
      <c r="AL284" s="133"/>
      <c r="AM284" s="107">
        <v>-3.7472099157580234</v>
      </c>
      <c r="AN284" s="108">
        <f>'LC (Gross)'!AN284</f>
        <v>885438.56</v>
      </c>
      <c r="AO284" s="107"/>
      <c r="AP284" s="133"/>
      <c r="AQ284" s="107">
        <v>-3.7673598805364286</v>
      </c>
      <c r="AR284" s="108">
        <f>'LC (Gross)'!AR284</f>
        <v>311312.10000000003</v>
      </c>
      <c r="AS284" s="107">
        <v>-3.5387340000000003</v>
      </c>
      <c r="AT284" s="108">
        <f>'LC (Gross)'!AT284</f>
        <v>2496409.44</v>
      </c>
      <c r="AU284" s="107">
        <v>-3.7164600000000001</v>
      </c>
      <c r="AV284" s="108">
        <f>'LC (Gross)'!AV284</f>
        <v>3186001.9023999996</v>
      </c>
      <c r="AW284" s="107">
        <v>-3.7299797334517582</v>
      </c>
      <c r="AX284" s="108">
        <f>'LC (Gross)'!AX284</f>
        <v>663183.26410000015</v>
      </c>
      <c r="AY284" s="110">
        <f t="shared" si="224"/>
        <v>-3.6573000000000002</v>
      </c>
      <c r="AZ284" s="111">
        <f t="shared" si="233"/>
        <v>671780444.39649999</v>
      </c>
    </row>
    <row r="285" spans="1:52" x14ac:dyDescent="0.25">
      <c r="A285" s="21">
        <v>44712</v>
      </c>
      <c r="B285" s="24">
        <f t="shared" ref="B285:B291" si="247">IF(A285&gt;A284,1+B284,"-")</f>
        <v>269</v>
      </c>
      <c r="C285" s="97" t="s">
        <v>93</v>
      </c>
      <c r="D285" s="84">
        <f t="shared" si="234"/>
        <v>0.44080000000000003</v>
      </c>
      <c r="E285" s="47">
        <f t="shared" ref="E285:E286" si="248">E284*D285/100+E284</f>
        <v>11746363.66664958</v>
      </c>
      <c r="F285" s="112"/>
      <c r="G285" s="106"/>
      <c r="I285" s="39"/>
      <c r="J285" s="20">
        <f t="shared" si="39"/>
        <v>44712</v>
      </c>
      <c r="K285" s="27">
        <f>'LC (Gross)'!K285</f>
        <v>0.18353</v>
      </c>
      <c r="L285" s="46">
        <f t="shared" ref="L285" si="249">L284*K285/100+L284</f>
        <v>4306157.6497134631</v>
      </c>
      <c r="M285" s="112"/>
      <c r="N285" s="106"/>
      <c r="O285" s="39"/>
      <c r="P285" s="20">
        <f t="shared" si="40"/>
        <v>44712</v>
      </c>
      <c r="Q285" s="27">
        <f>'LC (Gross)'!Q285</f>
        <v>-0.47966710000000001</v>
      </c>
      <c r="R285" s="46">
        <f t="shared" ref="R285" si="250">R284*Q285/100+R284</f>
        <v>3947519.8597746906</v>
      </c>
      <c r="S285" s="112"/>
      <c r="T285" s="106"/>
      <c r="V285" s="39"/>
      <c r="W285" s="20">
        <f t="shared" si="41"/>
        <v>44712</v>
      </c>
      <c r="X285" s="36">
        <f>'LC (Gross)'!X285</f>
        <v>-0.54373320000000003</v>
      </c>
      <c r="Y285" s="46">
        <f t="shared" ref="Y285" si="251">Y284*X285/100+Y284</f>
        <v>8589155.7091709487</v>
      </c>
      <c r="AC285" s="107">
        <f>'LC (Gross)'!AC285</f>
        <v>0.48154089999999994</v>
      </c>
      <c r="AD285" s="108">
        <f>'LC (Gross)'!AD285</f>
        <v>459289234.48000002</v>
      </c>
      <c r="AE285" s="107">
        <v>0.34645280000000001</v>
      </c>
      <c r="AF285" s="108">
        <f>'LC (Gross)'!AF285</f>
        <v>175467202.97999999</v>
      </c>
      <c r="AG285" s="107">
        <v>0.29029368</v>
      </c>
      <c r="AH285" s="108">
        <f>'LC (Gross)'!AH285</f>
        <v>12162347.26</v>
      </c>
      <c r="AI285" s="107">
        <v>0.33635599999999999</v>
      </c>
      <c r="AJ285" s="108">
        <f>'LC (Gross)'!AJ285</f>
        <v>2560680.15</v>
      </c>
      <c r="AK285" s="107"/>
      <c r="AL285" s="133"/>
      <c r="AM285" s="107">
        <v>0.34392786999999997</v>
      </c>
      <c r="AN285" s="108">
        <f>'LC (Gross)'!AN285</f>
        <v>888483.83</v>
      </c>
      <c r="AO285" s="107"/>
      <c r="AP285" s="133"/>
      <c r="AQ285" s="107">
        <v>0.34211648</v>
      </c>
      <c r="AR285" s="108">
        <f>'LC (Gross)'!AR285</f>
        <v>312377.15000000002</v>
      </c>
      <c r="AS285" s="107">
        <v>0.34332999999999997</v>
      </c>
      <c r="AT285" s="108">
        <f>'LC (Gross)'!AT285</f>
        <v>2501944.23</v>
      </c>
      <c r="AU285" s="107">
        <v>0.34506900000000001</v>
      </c>
      <c r="AV285" s="108">
        <f>'LC (Gross)'!AV285</f>
        <v>3195930.66</v>
      </c>
      <c r="AW285" s="107">
        <v>0.34417699999999996</v>
      </c>
      <c r="AX285" s="108">
        <f>'LC (Gross)'!AX285</f>
        <v>665465.79</v>
      </c>
      <c r="AY285" s="110">
        <f t="shared" si="224"/>
        <v>0.44080000000000003</v>
      </c>
      <c r="AZ285" s="111">
        <f t="shared" si="233"/>
        <v>657043666.52999997</v>
      </c>
    </row>
    <row r="286" spans="1:52" x14ac:dyDescent="0.25">
      <c r="A286" s="21">
        <v>44742</v>
      </c>
      <c r="B286" s="24">
        <f t="shared" si="247"/>
        <v>270</v>
      </c>
      <c r="C286" s="97" t="s">
        <v>93</v>
      </c>
      <c r="D286" s="84">
        <f t="shared" si="234"/>
        <v>-6.5845000000000002</v>
      </c>
      <c r="E286" s="47">
        <f t="shared" si="248"/>
        <v>10972924.351019038</v>
      </c>
      <c r="F286" s="112"/>
      <c r="G286" s="106">
        <f>(E286/E283-1)*100</f>
        <v>-9.6042694237392645</v>
      </c>
      <c r="I286" s="39"/>
      <c r="J286" s="20">
        <f t="shared" si="39"/>
        <v>44742</v>
      </c>
      <c r="K286" s="27">
        <f>'LC (Gross)'!K286</f>
        <v>-8.2601279999999999</v>
      </c>
      <c r="L286" s="46">
        <f t="shared" ref="L286" si="252">L285*K286/100+L285</f>
        <v>3950463.5159653393</v>
      </c>
      <c r="M286" s="112"/>
      <c r="N286" s="106">
        <f>(L286/L283-1)*100</f>
        <v>-16.106187780434279</v>
      </c>
      <c r="O286" s="39"/>
      <c r="P286" s="20">
        <f t="shared" si="40"/>
        <v>44742</v>
      </c>
      <c r="Q286" s="27">
        <f>'LC (Gross)'!Q286</f>
        <v>-5.6323910000000001</v>
      </c>
      <c r="R286" s="46">
        <f t="shared" ref="R286" si="253">R285*Q286/100+R285</f>
        <v>3725180.1064695283</v>
      </c>
      <c r="S286" s="112"/>
      <c r="T286" s="106">
        <f>(R286/R283-1)*100</f>
        <v>-12.822410346939517</v>
      </c>
      <c r="V286" s="39"/>
      <c r="W286" s="20">
        <f t="shared" si="41"/>
        <v>44742</v>
      </c>
      <c r="X286" s="36">
        <f>'LC (Gross)'!X286</f>
        <v>-4.2718959999999999</v>
      </c>
      <c r="Y286" s="46">
        <f t="shared" ref="Y286" si="254">Y285*X286/100+Y285</f>
        <v>8222235.9099971037</v>
      </c>
      <c r="AC286" s="107">
        <f>'LC (Gross)'!AC286</f>
        <v>-6.6560170000000003</v>
      </c>
      <c r="AD286" s="108">
        <f>'LC (Gross)'!AD286</f>
        <v>422396251.06</v>
      </c>
      <c r="AE286" s="107">
        <v>-6.4216968000000003</v>
      </c>
      <c r="AF286" s="108">
        <f>'LC (Gross)'!AF286</f>
        <v>164199231.21000001</v>
      </c>
      <c r="AG286" s="107">
        <v>-6.3510826000000007</v>
      </c>
      <c r="AH286" s="108">
        <f>'LC (Gross)'!AH286</f>
        <v>11389906.530000001</v>
      </c>
      <c r="AI286" s="107">
        <v>-6.4526543800000002</v>
      </c>
      <c r="AJ286" s="108">
        <f>'LC (Gross)'!AJ286</f>
        <v>2395448.310000001</v>
      </c>
      <c r="AK286" s="107"/>
      <c r="AL286" s="133"/>
      <c r="AM286" s="107">
        <v>-6.424268800000001</v>
      </c>
      <c r="AN286" s="108">
        <f>'LC (Gross)'!AN286</f>
        <v>831405.23999999987</v>
      </c>
      <c r="AO286" s="107"/>
      <c r="AP286" s="133"/>
      <c r="AQ286" s="107">
        <v>-6.4944409999999992</v>
      </c>
      <c r="AR286" s="108">
        <f>'LC (Gross)'!AR286</f>
        <v>292089.99999999994</v>
      </c>
      <c r="AS286" s="107">
        <v>-6.4360619999999997</v>
      </c>
      <c r="AT286" s="108">
        <f>'LC (Gross)'!AT286</f>
        <v>2333412.5700000003</v>
      </c>
      <c r="AU286" s="107">
        <v>-6.447222</v>
      </c>
      <c r="AV286" s="108">
        <f>'LC (Gross)'!AV286</f>
        <v>2989147.4404999986</v>
      </c>
      <c r="AW286" s="107">
        <v>-6.4204159999999995</v>
      </c>
      <c r="AX286" s="108">
        <f>'LC (Gross)'!AX286</f>
        <v>622740.11650000012</v>
      </c>
      <c r="AY286" s="110">
        <f t="shared" si="224"/>
        <v>-6.5845000000000002</v>
      </c>
      <c r="AZ286" s="111">
        <f t="shared" si="233"/>
        <v>607449632.477</v>
      </c>
    </row>
    <row r="287" spans="1:52" x14ac:dyDescent="0.25">
      <c r="A287" s="21">
        <v>44773</v>
      </c>
      <c r="B287" s="24">
        <f t="shared" si="247"/>
        <v>271</v>
      </c>
      <c r="C287" s="97" t="s">
        <v>93</v>
      </c>
      <c r="D287" s="84">
        <f t="shared" si="234"/>
        <v>4.4377000000000004</v>
      </c>
      <c r="E287" s="47">
        <f t="shared" ref="E287:E288" si="255">E286*D287/100+E286</f>
        <v>11459869.81494421</v>
      </c>
      <c r="F287" s="112"/>
      <c r="I287" s="39"/>
      <c r="J287" s="20">
        <f t="shared" si="39"/>
        <v>44773</v>
      </c>
      <c r="K287" s="27">
        <f>'LC (Gross)'!K287</f>
        <v>9.2206969999999995</v>
      </c>
      <c r="L287" s="46">
        <f t="shared" ref="L287" si="256">L286*K287/100+L286</f>
        <v>4314723.7868680498</v>
      </c>
      <c r="M287" s="112"/>
      <c r="O287" s="39"/>
      <c r="P287" s="20">
        <f t="shared" si="40"/>
        <v>44773</v>
      </c>
      <c r="Q287" s="27">
        <f>'LC (Gross)'!Q287</f>
        <v>6.5867680000000002</v>
      </c>
      <c r="R287" s="46">
        <f t="shared" ref="R287" si="257">R286*Q287/100+R286</f>
        <v>3970549.0776648289</v>
      </c>
      <c r="S287" s="112"/>
      <c r="V287" s="39"/>
      <c r="W287" s="20">
        <f t="shared" si="41"/>
        <v>44773</v>
      </c>
      <c r="X287" s="36">
        <f>'LC (Gross)'!X287</f>
        <v>4.2321569999999999</v>
      </c>
      <c r="Y287" s="46">
        <f t="shared" ref="Y287" si="258">Y286*X287/100+Y286</f>
        <v>8570213.8426185604</v>
      </c>
      <c r="AC287" s="107">
        <f>'LC (Gross)'!AC287</f>
        <v>4.5065599999999995</v>
      </c>
      <c r="AD287" s="108">
        <f>'LC (Gross)'!AD287</f>
        <v>438203228.62</v>
      </c>
      <c r="AE287" s="107">
        <v>4.2671770000000002</v>
      </c>
      <c r="AF287" s="108">
        <f>'LC (Gross)'!AF287</f>
        <v>171205903.33000001</v>
      </c>
      <c r="AG287" s="107">
        <v>4.5094200000000004</v>
      </c>
      <c r="AH287" s="108">
        <f>'LC (Gross)'!AH287</f>
        <v>11903525.359999999</v>
      </c>
      <c r="AI287" s="107">
        <v>4.2503479999999998</v>
      </c>
      <c r="AJ287" s="108"/>
      <c r="AK287" s="107"/>
      <c r="AL287" s="133"/>
      <c r="AM287" s="107">
        <v>4.2293599999999998</v>
      </c>
      <c r="AN287" s="108">
        <f>'LC (Gross)'!AN287</f>
        <v>866742.86</v>
      </c>
      <c r="AO287" s="107"/>
      <c r="AP287" s="133"/>
      <c r="AQ287" s="107">
        <v>4.1424099999999999</v>
      </c>
      <c r="AR287" s="108">
        <f>'LC (Gross)'!AR287</f>
        <v>304443.55</v>
      </c>
      <c r="AS287" s="107">
        <v>4.1909580000000002</v>
      </c>
      <c r="AT287" s="108">
        <f>'LC (Gross)'!AT287</f>
        <v>2427754.9900000002</v>
      </c>
      <c r="AU287" s="107">
        <v>4.2645799999999996</v>
      </c>
      <c r="AV287" s="108">
        <f>'LC (Gross)'!AV287</f>
        <v>3115530.1169599998</v>
      </c>
      <c r="AW287" s="107">
        <v>4.2650559999999995</v>
      </c>
      <c r="AX287" s="108">
        <f>'LC (Gross)'!AX287</f>
        <v>649293.151403</v>
      </c>
      <c r="AY287" s="110">
        <f>ROUND(AD286/AZ286*(AC287)+(AF286/AZ286*AE287)+(AH286/AZ286*AG287)+(AJ286/AZ286*AI287)+(AN286/AZ286*AM287)+(AR286/AZ286*AQ287)+(AT286/AZ286*AS287)+(AV286/AZ286*AU287)+(AX286/AZ286*AW287),4)</f>
        <v>4.4377000000000004</v>
      </c>
      <c r="AZ287" s="111">
        <f>AD287+AF287+AH287+AN287+AR287+AT287+AV287+AX287</f>
        <v>628676421.97836304</v>
      </c>
    </row>
    <row r="288" spans="1:52" x14ac:dyDescent="0.25">
      <c r="A288" s="21">
        <v>44804</v>
      </c>
      <c r="B288" s="24">
        <f t="shared" si="247"/>
        <v>272</v>
      </c>
      <c r="C288" s="97" t="s">
        <v>413</v>
      </c>
      <c r="D288" s="84">
        <f t="shared" si="234"/>
        <v>-2.5411999999999999</v>
      </c>
      <c r="E288" s="47">
        <f t="shared" si="255"/>
        <v>11168651.603206847</v>
      </c>
      <c r="F288" s="112"/>
      <c r="I288" s="39"/>
      <c r="J288" s="20">
        <f t="shared" si="39"/>
        <v>44804</v>
      </c>
      <c r="K288" s="27">
        <f>'LC (Gross)'!K288</f>
        <v>-4.0782619999999996</v>
      </c>
      <c r="L288" s="46">
        <f t="shared" ref="L288" si="259">L287*K288/100+L287</f>
        <v>4138758.0462632491</v>
      </c>
      <c r="M288" s="112"/>
      <c r="O288" s="39"/>
      <c r="P288" s="20">
        <f t="shared" si="40"/>
        <v>44804</v>
      </c>
      <c r="Q288" s="27">
        <f>'LC (Gross)'!Q288</f>
        <v>-4.5311560000000002</v>
      </c>
      <c r="R288" s="46">
        <f t="shared" ref="R288" si="260">R287*Q288/100+R287</f>
        <v>3790637.3048992744</v>
      </c>
      <c r="S288" s="112"/>
      <c r="V288" s="39"/>
      <c r="W288" s="20">
        <f t="shared" si="41"/>
        <v>44804</v>
      </c>
      <c r="X288" s="36">
        <f>'LC (Gross)'!X288</f>
        <v>-1.813922</v>
      </c>
      <c r="Y288" s="46">
        <f t="shared" ref="Y288" si="261">Y287*X288/100+Y287</f>
        <v>8414756.8482802566</v>
      </c>
      <c r="AC288" s="107">
        <f>'LC (Gross)'!AC288</f>
        <v>-2.5655019999999999</v>
      </c>
      <c r="AD288" s="108">
        <f>'LC (Gross)'!AD288</f>
        <v>421900900.20999998</v>
      </c>
      <c r="AE288" s="107">
        <v>-2.4844399999999998</v>
      </c>
      <c r="AF288" s="108">
        <f>'LC (Gross)'!AF288</f>
        <v>166952394.06</v>
      </c>
      <c r="AG288" s="107">
        <v>-2.5250047000000002</v>
      </c>
      <c r="AH288" s="108">
        <f>'LC (Gross)'!AH288</f>
        <v>11602960.779999999</v>
      </c>
      <c r="AI288" s="107"/>
      <c r="AJ288" s="108"/>
      <c r="AK288" s="107"/>
      <c r="AL288" s="133"/>
      <c r="AM288" s="107">
        <v>-2.4519367999999999</v>
      </c>
      <c r="AN288" s="108">
        <f>'LC (Gross)'!AN288</f>
        <v>845490.75</v>
      </c>
      <c r="AO288" s="107"/>
      <c r="AP288" s="133"/>
      <c r="AQ288" s="107">
        <v>-2.436248</v>
      </c>
      <c r="AR288" s="108">
        <f>'LC (Gross)'!AR288</f>
        <v>297026.55</v>
      </c>
      <c r="AS288" s="107">
        <v>-2.452007</v>
      </c>
      <c r="AT288" s="108">
        <f>'LC (Gross)'!AT288</f>
        <v>2364322.91</v>
      </c>
      <c r="AU288" s="107">
        <v>-2.4400490000000001</v>
      </c>
      <c r="AV288" s="108">
        <f>'LC (Gross)'!AV288</f>
        <v>3039367.0686929999</v>
      </c>
      <c r="AW288" s="107">
        <v>-2.4319250000000001</v>
      </c>
      <c r="AX288" s="108">
        <f>'LC (Gross)'!AX288</f>
        <v>633505.76449700003</v>
      </c>
      <c r="AY288" s="110">
        <f>ROUND(AD287/AZ287*(AC288)+(AF287/AZ287*AE288)+(AH287/AZ287*AG288)+(AN287/AZ287*AM288)+(AR287/AZ287*AQ288)+(AT287/AZ287*AS288)+(AV287/AZ287*AU288)+(AX287/AZ287*AW288),4)</f>
        <v>-2.5411999999999999</v>
      </c>
      <c r="AZ288" s="111">
        <f>AD288+AF288+AH288+AN288+AR288+AT288+AV288+AX288</f>
        <v>607635968.09318995</v>
      </c>
    </row>
    <row r="289" spans="1:52" x14ac:dyDescent="0.25">
      <c r="A289" s="21">
        <v>44834</v>
      </c>
      <c r="B289" s="24">
        <f t="shared" si="247"/>
        <v>273</v>
      </c>
      <c r="C289" s="97" t="s">
        <v>413</v>
      </c>
      <c r="D289" s="84">
        <f t="shared" ref="D289" si="262">AY289</f>
        <v>-7.7126999999999999</v>
      </c>
      <c r="E289" s="47">
        <f t="shared" ref="E289" si="263">E288*D289/100+E288</f>
        <v>10307247.011006312</v>
      </c>
      <c r="F289" s="112"/>
      <c r="G289" s="106">
        <f>(E289/E286-1)*100</f>
        <v>-6.0665445119094885</v>
      </c>
      <c r="I289" s="39"/>
      <c r="J289" s="20">
        <f t="shared" si="39"/>
        <v>44834</v>
      </c>
      <c r="K289" s="27">
        <f>'LC (Gross)'!K289</f>
        <v>-9.2175670000000007</v>
      </c>
      <c r="L289" s="46">
        <f t="shared" ref="L289" si="264">L288*K289/100+L288</f>
        <v>3757265.2503810432</v>
      </c>
      <c r="M289" s="112"/>
      <c r="N289" s="106">
        <f>(L289/L286-1)*100</f>
        <v>-4.890521449027629</v>
      </c>
      <c r="O289" s="39"/>
      <c r="P289" s="20">
        <f t="shared" si="40"/>
        <v>44834</v>
      </c>
      <c r="Q289" s="27">
        <f>'LC (Gross)'!Q289</f>
        <v>-8.7310350000000003</v>
      </c>
      <c r="R289" s="46">
        <f t="shared" ref="R289" si="265">R288*Q289/100+R288</f>
        <v>3459675.4350854619</v>
      </c>
      <c r="S289" s="112"/>
      <c r="T289" s="106">
        <f>(R289/R286-1)*100</f>
        <v>-7.1272975747659455</v>
      </c>
      <c r="V289" s="39"/>
      <c r="W289" s="20">
        <f t="shared" si="41"/>
        <v>44834</v>
      </c>
      <c r="X289" s="36">
        <f>'LC (Gross)'!X289</f>
        <v>-8.3408359999999995</v>
      </c>
      <c r="Y289" s="46">
        <f t="shared" ref="Y289" si="266">Y288*X289/100+Y288</f>
        <v>7712895.779766432</v>
      </c>
      <c r="AC289" s="107">
        <f>'LC (Gross)'!AC289</f>
        <v>-7.787115</v>
      </c>
      <c r="AD289" s="108">
        <f>'LC (Gross)'!AD289</f>
        <v>385852163.48000002</v>
      </c>
      <c r="AE289" s="107">
        <v>-7.5408558000000001</v>
      </c>
      <c r="AF289" s="108">
        <f>'LC (Gross)'!AF289</f>
        <v>154362754.69999999</v>
      </c>
      <c r="AG289" s="107">
        <v>-7.6008170000000002</v>
      </c>
      <c r="AH289" s="108">
        <f>'LC (Gross)'!AH289</f>
        <v>10721040.939999999</v>
      </c>
      <c r="AI289" s="107"/>
      <c r="AJ289" s="108"/>
      <c r="AK289" s="107"/>
      <c r="AL289" s="133"/>
      <c r="AM289" s="107">
        <v>-7.5003595000000001</v>
      </c>
      <c r="AN289" s="108">
        <f>'LC (Gross)'!AN289</f>
        <v>782075.68</v>
      </c>
      <c r="AO289" s="107"/>
      <c r="AP289" s="133"/>
      <c r="AQ289" s="107">
        <v>-7.5355600000000003</v>
      </c>
      <c r="AR289" s="108">
        <f>'LC (Gross)'!AR289</f>
        <v>274643.93000000005</v>
      </c>
      <c r="AS289" s="107">
        <v>-7.5244597000000004</v>
      </c>
      <c r="AT289" s="108">
        <f>'LC (Gross)'!AT289</f>
        <v>2178604.3900000006</v>
      </c>
      <c r="AU289" s="107">
        <v>-7.5200199999999997</v>
      </c>
      <c r="AV289" s="108">
        <f>'LC (Gross)'!AV289</f>
        <v>2809766.9439980001</v>
      </c>
      <c r="AW289" s="107">
        <v>-7.5085870000000003</v>
      </c>
      <c r="AX289" s="108">
        <f>'LC (Gross)'!AX289</f>
        <v>585938.45917499997</v>
      </c>
      <c r="AY289" s="110">
        <f>ROUND(AD288/AZ288*(AC289)+(AF288/AZ288*AE289)+(AH288/AZ288*AG289)+(AN288/AZ288*AM289)+(AR288/AZ288*AQ289)+(AT288/AZ288*AS289)+(AV288/AZ288*AU289)+(AX288/AZ288*AW289),4)</f>
        <v>-7.7126999999999999</v>
      </c>
      <c r="AZ289" s="111">
        <f>AD289+AF289+AN289+AR289+AT289+AV289+AX289</f>
        <v>546845947.58317292</v>
      </c>
    </row>
    <row r="290" spans="1:52" x14ac:dyDescent="0.25">
      <c r="A290" s="21">
        <v>44865</v>
      </c>
      <c r="B290" s="24">
        <f t="shared" si="247"/>
        <v>274</v>
      </c>
      <c r="C290" s="97" t="s">
        <v>413</v>
      </c>
      <c r="D290" s="84">
        <f t="shared" ref="D290" si="267">AY290</f>
        <v>10.4503</v>
      </c>
      <c r="E290" s="47">
        <f t="shared" ref="E290" si="268">E289*D290/100+E289</f>
        <v>11384385.245397504</v>
      </c>
      <c r="F290" s="112"/>
      <c r="G290" s="106"/>
      <c r="I290" s="39"/>
      <c r="J290" s="20">
        <f t="shared" si="39"/>
        <v>44865</v>
      </c>
      <c r="K290" s="27">
        <f>'LC (Gross)'!K290</f>
        <v>8.0963370000000001</v>
      </c>
      <c r="L290" s="46">
        <f t="shared" ref="L290" si="269">L289*K290/100+L289</f>
        <v>4061466.1070357864</v>
      </c>
      <c r="M290" s="112"/>
      <c r="N290" s="106"/>
      <c r="O290" s="39"/>
      <c r="P290" s="20">
        <f t="shared" si="40"/>
        <v>44865</v>
      </c>
      <c r="Q290" s="27">
        <f>'LC (Gross)'!Q290</f>
        <v>7.1017580000000002</v>
      </c>
      <c r="R290" s="46">
        <f t="shared" ref="R290" si="270">R289*Q290/100+R289</f>
        <v>3705373.2120706784</v>
      </c>
      <c r="S290" s="112"/>
      <c r="T290" s="106"/>
      <c r="V290" s="39"/>
      <c r="W290" s="20">
        <f t="shared" si="41"/>
        <v>44865</v>
      </c>
      <c r="X290" s="36">
        <f>'LC (Gross)'!X290</f>
        <v>6.9835320000000003</v>
      </c>
      <c r="Y290" s="46">
        <f t="shared" ref="Y290" si="271">Y289*X290/100+Y289</f>
        <v>8251528.3246730706</v>
      </c>
      <c r="AC290" s="107">
        <f>'LC (Gross)'!AC290</f>
        <v>10.44957</v>
      </c>
      <c r="AD290" s="108">
        <f>'LC (Gross)'!AD290</f>
        <v>418578267.36000001</v>
      </c>
      <c r="AE290" s="107">
        <v>10.45875</v>
      </c>
      <c r="AF290" s="108">
        <f>'LC (Gross)'!AF290</f>
        <v>170388121.40000001</v>
      </c>
      <c r="AG290" s="107"/>
      <c r="AH290" s="108"/>
      <c r="AI290" s="107"/>
      <c r="AJ290" s="108"/>
      <c r="AK290" s="107"/>
      <c r="AL290" s="133"/>
      <c r="AM290" s="107">
        <v>10.3508844566039</v>
      </c>
      <c r="AN290" s="108">
        <f>'LC (Gross)'!AN290</f>
        <v>862587.18000000028</v>
      </c>
      <c r="AO290" s="107"/>
      <c r="AP290" s="133"/>
      <c r="AQ290" s="107">
        <v>10.3612339074815</v>
      </c>
      <c r="AR290" s="108">
        <f>'LC (Gross)'!AR290</f>
        <v>302945.72999999986</v>
      </c>
      <c r="AS290" s="107">
        <v>10.2508574307977</v>
      </c>
      <c r="AT290" s="108">
        <f>'LC (Gross)'!AT290</f>
        <v>2397383.14</v>
      </c>
      <c r="AU290" s="107">
        <v>10.302880337395599</v>
      </c>
      <c r="AV290" s="108">
        <f>'LC (Gross)'!AV290</f>
        <v>2809766.9441</v>
      </c>
      <c r="AW290" s="107">
        <v>10.301526540091901</v>
      </c>
      <c r="AX290" s="108">
        <f>'LC (Gross)'!AX290</f>
        <v>585938.45910000009</v>
      </c>
      <c r="AY290" s="110">
        <f>ROUND(AD289/AZ289*(AC290)+(AF289/AZ289*AE290)+(AN289/AZ289*AM290)+(AR289/AZ289*AQ290)+(AT289/AZ289*AS290)+(AV289/AZ289*AU290)+(AX289/AZ289*AW290),4)</f>
        <v>10.4503</v>
      </c>
      <c r="AZ290" s="111">
        <f>AD290+AF290+AH290+AJ290+AL290+AN290+AP290+AR290+AT290+AV290+AX290</f>
        <v>595925010.21319997</v>
      </c>
    </row>
    <row r="291" spans="1:52" x14ac:dyDescent="0.25">
      <c r="A291" s="21">
        <v>44895</v>
      </c>
      <c r="B291" s="24">
        <f t="shared" si="247"/>
        <v>275</v>
      </c>
      <c r="C291" s="97" t="s">
        <v>413</v>
      </c>
      <c r="D291" s="84">
        <f t="shared" ref="D291" si="272">AY291</f>
        <v>4.859</v>
      </c>
      <c r="E291" s="47">
        <f t="shared" ref="E291:E297" si="273">E290*D291/100+E290</f>
        <v>11937552.524471369</v>
      </c>
      <c r="F291" s="112"/>
      <c r="G291" s="106"/>
      <c r="I291" s="39"/>
      <c r="J291" s="20">
        <f t="shared" si="39"/>
        <v>44895</v>
      </c>
      <c r="K291" s="27">
        <f>'LC (Gross)'!K291</f>
        <v>5.5884159999999996</v>
      </c>
      <c r="L291" s="46">
        <f t="shared" ref="L291:L297" si="274">L290*K291/100+L290</f>
        <v>4288437.7287959512</v>
      </c>
      <c r="M291" s="112"/>
      <c r="N291" s="106"/>
      <c r="O291" s="39"/>
      <c r="P291" s="20">
        <f t="shared" si="40"/>
        <v>44895</v>
      </c>
      <c r="Q291" s="27">
        <f>'LC (Gross)'!Q291</f>
        <v>6.7976279999999996</v>
      </c>
      <c r="R291" s="46">
        <f t="shared" ref="R291:R297" si="275">R290*Q291/100+R290</f>
        <v>3957250.6990388939</v>
      </c>
      <c r="S291" s="112"/>
      <c r="T291" s="106"/>
      <c r="V291" s="39"/>
      <c r="W291" s="20">
        <f t="shared" si="41"/>
        <v>44895</v>
      </c>
      <c r="X291" s="36">
        <f>'LC (Gross)'!X291</f>
        <v>5.8284180000000001</v>
      </c>
      <c r="Y291" s="46">
        <f t="shared" ref="Y291:Y297" si="276">Y290*X291/100+Y290</f>
        <v>8732461.8868234139</v>
      </c>
      <c r="AC291" s="107">
        <f>'LC (Gross)'!AC291</f>
        <v>4.8954900000000006</v>
      </c>
      <c r="AD291" s="108">
        <f>'LC (Gross)'!AD291</f>
        <v>436525156.44</v>
      </c>
      <c r="AE291" s="107">
        <v>4.7713799999999997</v>
      </c>
      <c r="AF291" s="108">
        <f>'LC (Gross)'!AF291</f>
        <v>178517990.16999999</v>
      </c>
      <c r="AG291" s="107"/>
      <c r="AH291" s="108"/>
      <c r="AI291" s="107"/>
      <c r="AJ291" s="108"/>
      <c r="AK291" s="107"/>
      <c r="AL291" s="133"/>
      <c r="AM291" s="107">
        <v>4.7933699000000001</v>
      </c>
      <c r="AN291" s="108">
        <f>'LC (Gross)'!AN291</f>
        <v>903934.04</v>
      </c>
      <c r="AO291" s="107"/>
      <c r="AP291" s="133"/>
      <c r="AQ291" s="107">
        <v>4.8150867999999996</v>
      </c>
      <c r="AR291" s="108">
        <f>'LC (Gross)'!AR291</f>
        <v>317532.83</v>
      </c>
      <c r="AS291" s="107">
        <v>4.7990500000000003</v>
      </c>
      <c r="AT291" s="108">
        <f>'LC (Gross)'!AT291</f>
        <v>2509993.9300000002</v>
      </c>
      <c r="AU291" s="107">
        <v>4.8195069999999998</v>
      </c>
      <c r="AV291" s="108">
        <f>'LC (Gross)'!AV291</f>
        <v>3241560.5094980001</v>
      </c>
      <c r="AW291" s="107">
        <v>4.823232</v>
      </c>
      <c r="AX291" s="108">
        <f>'LC (Gross)'!AX291</f>
        <v>677507.87807700003</v>
      </c>
      <c r="AY291" s="110">
        <f>ROUND(AD290/AZ290*(AC291)+(AF290/AZ290*AE291)+(AN290/AZ290*AM291)+(AR290/AZ290*AQ291)+(AT290/AZ290*AS291)+(AV290/AZ290*AU291)+(AX290/AZ290*AW291),4)</f>
        <v>4.859</v>
      </c>
      <c r="AZ291" s="111">
        <f>AD291+AF291+AH291+AJ291+AL291+AN291+AP291+AR291+AT291+AV291+AX291</f>
        <v>622693675.797575</v>
      </c>
    </row>
    <row r="292" spans="1:52" x14ac:dyDescent="0.25">
      <c r="A292" s="21">
        <v>44926</v>
      </c>
      <c r="B292" s="24">
        <f t="shared" ref="B292:B297" si="277">IF(A292&gt;A291,1+B291,"-")</f>
        <v>276</v>
      </c>
      <c r="C292" s="97" t="s">
        <v>413</v>
      </c>
      <c r="D292" s="84">
        <v>-3.9309599999999998</v>
      </c>
      <c r="E292" s="47">
        <f t="shared" si="273"/>
        <v>11468292.10975541</v>
      </c>
      <c r="F292" s="112">
        <f>(E292/E$280-1)*100</f>
        <v>-11.880232376843603</v>
      </c>
      <c r="G292" s="106">
        <f>(E292/E289-1)*100</f>
        <v>11.264356986005165</v>
      </c>
      <c r="I292" s="39"/>
      <c r="J292" s="20">
        <f t="shared" si="39"/>
        <v>44926</v>
      </c>
      <c r="K292" s="27">
        <f>'LC (Gross)'!K292</f>
        <v>-5.7714730000000003</v>
      </c>
      <c r="L292" s="46">
        <f t="shared" si="274"/>
        <v>4040931.7031566799</v>
      </c>
      <c r="M292" s="112">
        <f>(L292/L$280-1)*100</f>
        <v>-18.134637497055937</v>
      </c>
      <c r="N292" s="106">
        <f>(L292/L289-1)*100</f>
        <v>7.5498117346617599</v>
      </c>
      <c r="O292" s="39"/>
      <c r="P292" s="20">
        <f t="shared" si="40"/>
        <v>44926</v>
      </c>
      <c r="Q292" s="27">
        <f>'LC (Gross)'!Q292</f>
        <v>-4.0853770000000003</v>
      </c>
      <c r="R292" s="46">
        <f t="shared" si="275"/>
        <v>3795582.0891480199</v>
      </c>
      <c r="S292" s="112">
        <f>(R292/R$280-1)*100</f>
        <v>-16.442263958145364</v>
      </c>
      <c r="T292" s="106">
        <f>(R292/R289-1)*100</f>
        <v>9.7091955695046472</v>
      </c>
      <c r="V292" s="39"/>
      <c r="W292" s="20">
        <f t="shared" si="41"/>
        <v>44926</v>
      </c>
      <c r="X292" s="36">
        <f>'LC (Gross)'!X292</f>
        <v>-1.723247</v>
      </c>
      <c r="Y292" s="46">
        <f t="shared" si="276"/>
        <v>8581979.9993325863</v>
      </c>
      <c r="Z292" s="112">
        <f>(Y292/Y$280-1)*100</f>
        <v>-4.585137818471785</v>
      </c>
      <c r="AA292" s="106">
        <f>(Y292/Y289-1)*100</f>
        <v>11.26793676956015</v>
      </c>
      <c r="AC292" s="107">
        <f>'LC (Gross)'!AC292</f>
        <v>-4.0186900000000003</v>
      </c>
    </row>
    <row r="293" spans="1:52" x14ac:dyDescent="0.25">
      <c r="A293" s="21">
        <v>44957</v>
      </c>
      <c r="B293" s="24">
        <f t="shared" si="277"/>
        <v>277</v>
      </c>
      <c r="C293" s="97" t="s">
        <v>413</v>
      </c>
      <c r="D293" s="84">
        <v>2.7903141978001429</v>
      </c>
      <c r="E293" s="47">
        <f t="shared" si="273"/>
        <v>11788293.492739109</v>
      </c>
      <c r="I293" s="39"/>
      <c r="J293" s="20">
        <f t="shared" ref="J293:J328" si="278">$A293</f>
        <v>44957</v>
      </c>
      <c r="K293" s="27">
        <f>'LC (Gross)'!K293</f>
        <v>6.2828720000000002</v>
      </c>
      <c r="L293" s="46">
        <f t="shared" si="274"/>
        <v>4294818.2696734341</v>
      </c>
      <c r="M293" s="22"/>
      <c r="O293" s="39"/>
      <c r="P293" s="20">
        <f t="shared" ref="P293:P328" si="279">$A293</f>
        <v>44957</v>
      </c>
      <c r="Q293" s="27">
        <f>'LC (Gross)'!Q293</f>
        <v>3.3173029999999999</v>
      </c>
      <c r="R293" s="46">
        <f t="shared" si="275"/>
        <v>3921493.0476587899</v>
      </c>
      <c r="S293" s="22"/>
      <c r="V293" s="39"/>
      <c r="W293" s="20">
        <f t="shared" ref="W293:W328" si="280">$A293</f>
        <v>44957</v>
      </c>
      <c r="X293" s="36">
        <f>'LC (Gross)'!X293</f>
        <v>3.4753329999999999E-2</v>
      </c>
      <c r="Y293" s="46">
        <f t="shared" si="276"/>
        <v>8584962.5231622886</v>
      </c>
      <c r="Z293" s="22"/>
      <c r="AC293" s="107">
        <f>'LC (Gross)'!AC293</f>
        <v>2.7570359999999998</v>
      </c>
    </row>
    <row r="294" spans="1:52" x14ac:dyDescent="0.25">
      <c r="A294" s="21">
        <v>44985</v>
      </c>
      <c r="B294" s="24">
        <f t="shared" si="277"/>
        <v>278</v>
      </c>
      <c r="C294" s="97" t="s">
        <v>413</v>
      </c>
      <c r="D294" s="84">
        <v>-2.8517419938387647</v>
      </c>
      <c r="E294" s="47">
        <f t="shared" si="273"/>
        <v>11452121.776849706</v>
      </c>
      <c r="I294" s="39"/>
      <c r="J294" s="20">
        <f t="shared" si="278"/>
        <v>44985</v>
      </c>
      <c r="K294" s="27">
        <f>'LC (Gross)'!K294</f>
        <v>-2.449071</v>
      </c>
      <c r="L294" s="46">
        <f t="shared" si="274"/>
        <v>4189635.1209281604</v>
      </c>
      <c r="M294" s="22"/>
      <c r="O294" s="39"/>
      <c r="P294" s="20">
        <f t="shared" si="279"/>
        <v>44985</v>
      </c>
      <c r="Q294" s="27">
        <f>'LC (Gross)'!Q294</f>
        <v>-2.9327369999999999</v>
      </c>
      <c r="R294" s="46">
        <f t="shared" si="275"/>
        <v>3806485.9700976731</v>
      </c>
      <c r="S294" s="22"/>
      <c r="V294" s="39"/>
      <c r="W294" s="20">
        <f t="shared" si="280"/>
        <v>44985</v>
      </c>
      <c r="X294" s="36">
        <f>'LC (Gross)'!X294</f>
        <v>-3.28382</v>
      </c>
      <c r="Y294" s="46">
        <f t="shared" si="276"/>
        <v>8303047.8068341808</v>
      </c>
      <c r="Z294" s="22"/>
      <c r="AC294" s="107">
        <f>'LC (Gross)'!AC294</f>
        <v>-2.8507539999999998</v>
      </c>
    </row>
    <row r="295" spans="1:52" x14ac:dyDescent="0.25">
      <c r="A295" s="21">
        <v>45016</v>
      </c>
      <c r="B295" s="24">
        <f t="shared" si="277"/>
        <v>279</v>
      </c>
      <c r="C295" s="97" t="s">
        <v>413</v>
      </c>
      <c r="D295" s="84">
        <v>1.1997793736767013</v>
      </c>
      <c r="E295" s="47">
        <f t="shared" si="273"/>
        <v>11589521.971776687</v>
      </c>
      <c r="G295" s="106">
        <f>(E295/E292-1)*100</f>
        <v>1.0570873226899646</v>
      </c>
      <c r="I295" s="39"/>
      <c r="J295" s="20">
        <f t="shared" si="278"/>
        <v>45016</v>
      </c>
      <c r="K295" s="27">
        <f>'LC (Gross)'!K295</f>
        <v>3.669584</v>
      </c>
      <c r="L295" s="46">
        <f t="shared" si="274"/>
        <v>4343377.3009841209</v>
      </c>
      <c r="M295" s="22"/>
      <c r="N295" s="106">
        <f>(L295/L292-1)*100</f>
        <v>7.4845510898186696</v>
      </c>
      <c r="O295" s="39"/>
      <c r="P295" s="20">
        <f t="shared" si="279"/>
        <v>45016</v>
      </c>
      <c r="Q295" s="27">
        <f>'LC (Gross)'!Q295</f>
        <v>4.939133</v>
      </c>
      <c r="R295" s="46">
        <f t="shared" si="275"/>
        <v>3994493.3747871374</v>
      </c>
      <c r="S295" s="22"/>
      <c r="T295" s="106">
        <f>(R295/R292-1)*100</f>
        <v>5.2406002812539931</v>
      </c>
      <c r="V295" s="39"/>
      <c r="W295" s="20">
        <f t="shared" si="280"/>
        <v>45016</v>
      </c>
      <c r="X295" s="36">
        <f>'LC (Gross)'!X295</f>
        <v>1.5591390000000001</v>
      </c>
      <c r="Y295" s="46">
        <f t="shared" si="276"/>
        <v>8432503.8633791767</v>
      </c>
      <c r="Z295" s="22"/>
      <c r="AA295" s="106">
        <f>(Y295/Y292-1)*100</f>
        <v>-1.7417441658572286</v>
      </c>
      <c r="AC295" s="107">
        <f>'LC (Gross)'!AC295</f>
        <v>1.1507480000000001</v>
      </c>
    </row>
    <row r="296" spans="1:52" x14ac:dyDescent="0.25">
      <c r="A296" s="21">
        <v>45046</v>
      </c>
      <c r="B296" s="24">
        <f t="shared" si="277"/>
        <v>280</v>
      </c>
      <c r="C296" s="97" t="s">
        <v>413</v>
      </c>
      <c r="D296" s="84">
        <v>1.0994800713812951</v>
      </c>
      <c r="E296" s="47">
        <f t="shared" si="273"/>
        <v>11716946.456224728</v>
      </c>
      <c r="I296" s="39"/>
      <c r="J296" s="20">
        <f t="shared" si="278"/>
        <v>45046</v>
      </c>
      <c r="K296" s="27">
        <f>'LC (Gross)'!K296</f>
        <v>1.560872</v>
      </c>
      <c r="L296" s="46">
        <f t="shared" si="274"/>
        <v>4411171.8611295382</v>
      </c>
      <c r="M296" s="22"/>
      <c r="O296" s="39"/>
      <c r="P296" s="20">
        <f t="shared" si="279"/>
        <v>45046</v>
      </c>
      <c r="Q296" s="27">
        <f>'LC (Gross)'!Q296</f>
        <v>2.716574</v>
      </c>
      <c r="R296" s="46">
        <f t="shared" si="275"/>
        <v>4103006.7432383271</v>
      </c>
      <c r="S296" s="22"/>
      <c r="V296" s="39"/>
      <c r="W296" s="20">
        <f t="shared" si="280"/>
        <v>45046</v>
      </c>
      <c r="X296" s="36">
        <f>'LC (Gross)'!X296</f>
        <v>2.6588349999999998</v>
      </c>
      <c r="Y296" s="46">
        <f t="shared" si="276"/>
        <v>8656710.2274750546</v>
      </c>
      <c r="Z296" s="22"/>
      <c r="AC296" s="107">
        <f>'LC (Gross)'!AC296</f>
        <v>1.0807739999999999</v>
      </c>
    </row>
    <row r="297" spans="1:52" x14ac:dyDescent="0.25">
      <c r="A297" s="21">
        <v>45077</v>
      </c>
      <c r="B297" s="24">
        <f t="shared" si="277"/>
        <v>281</v>
      </c>
      <c r="C297" s="97" t="s">
        <v>413</v>
      </c>
      <c r="D297" s="84">
        <v>-2.8450581571394231</v>
      </c>
      <c r="E297" s="47">
        <f t="shared" si="273"/>
        <v>11383592.515304249</v>
      </c>
      <c r="F297" s="112"/>
      <c r="I297" s="39"/>
      <c r="J297" s="20">
        <f t="shared" si="278"/>
        <v>45077</v>
      </c>
      <c r="K297" s="27">
        <f>'LC (Gross)'!K297</f>
        <v>0.43486429999999998</v>
      </c>
      <c r="L297" s="46">
        <f t="shared" si="274"/>
        <v>4430354.4727652362</v>
      </c>
      <c r="M297" s="112"/>
      <c r="O297" s="39"/>
      <c r="P297" s="20">
        <f t="shared" si="279"/>
        <v>45077</v>
      </c>
      <c r="Q297" s="27">
        <f>'LC (Gross)'!Q297</f>
        <v>-0.74511559999999999</v>
      </c>
      <c r="R297" s="46">
        <f t="shared" si="275"/>
        <v>4072434.5999254063</v>
      </c>
      <c r="S297" s="112"/>
      <c r="V297" s="39"/>
      <c r="W297" s="20">
        <f t="shared" si="280"/>
        <v>45077</v>
      </c>
      <c r="X297" s="36">
        <f>'LC (Gross)'!X297</f>
        <v>-5.2391259999999997</v>
      </c>
      <c r="Y297" s="46">
        <f t="shared" si="276"/>
        <v>8203174.2712027496</v>
      </c>
      <c r="Z297" s="112"/>
      <c r="AC297" s="107">
        <f>'LC (Gross)'!AC297</f>
        <v>-2.8700060000000001</v>
      </c>
    </row>
    <row r="298" spans="1:52" x14ac:dyDescent="0.25">
      <c r="A298" s="21">
        <v>45107</v>
      </c>
      <c r="B298" s="24">
        <f t="shared" ref="B298:B299" si="281">IF(A298&gt;A297,1+B297,"-")</f>
        <v>282</v>
      </c>
      <c r="C298" s="97" t="s">
        <v>413</v>
      </c>
      <c r="D298" s="84">
        <v>4.9069800185492829</v>
      </c>
      <c r="E298" s="47">
        <f t="shared" ref="E298" si="282">E297*D298/100+E297</f>
        <v>11942183.125423299</v>
      </c>
      <c r="F298" s="112"/>
      <c r="G298" s="106">
        <f>(E298/E295-1)*100</f>
        <v>3.0429309725235276</v>
      </c>
      <c r="I298" s="39"/>
      <c r="J298" s="20">
        <f t="shared" si="278"/>
        <v>45107</v>
      </c>
      <c r="K298" s="27">
        <f>'LC (Gross)'!K298</f>
        <v>6.60738</v>
      </c>
      <c r="L298" s="46">
        <f t="shared" ref="L298" si="283">L297*K298/100+L297</f>
        <v>4723084.8281278322</v>
      </c>
      <c r="M298" s="112"/>
      <c r="N298" s="106">
        <f>(L298/L295-1)*100</f>
        <v>8.7422183437224632</v>
      </c>
      <c r="O298" s="39"/>
      <c r="P298" s="20">
        <f t="shared" si="279"/>
        <v>45107</v>
      </c>
      <c r="Q298" s="27">
        <f>'LC (Gross)'!Q298</f>
        <v>5.2529089999999998</v>
      </c>
      <c r="R298" s="46">
        <f t="shared" ref="R298" si="284">R297*Q298/100+R297</f>
        <v>4286355.8835440017</v>
      </c>
      <c r="S298" s="112"/>
      <c r="T298" s="106">
        <f>(R298/R295-1)*100</f>
        <v>7.3066214253620476</v>
      </c>
      <c r="V298" s="39"/>
      <c r="W298" s="20">
        <f t="shared" si="280"/>
        <v>45107</v>
      </c>
      <c r="X298" s="36">
        <f>'LC (Gross)'!X298</f>
        <v>4.1423719999999999</v>
      </c>
      <c r="Y298" s="46">
        <f t="shared" ref="Y298" si="285">Y297*X298/100+Y297</f>
        <v>8542980.2653242555</v>
      </c>
      <c r="Z298" s="112"/>
      <c r="AA298" s="106">
        <f>(Y298/Y295-1)*100</f>
        <v>1.3101257198927296</v>
      </c>
      <c r="AC298" s="107">
        <f>'LC (Gross)'!AC298</f>
        <v>4.9246809999999996</v>
      </c>
    </row>
    <row r="299" spans="1:52" x14ac:dyDescent="0.25">
      <c r="A299" s="21">
        <v>45138</v>
      </c>
      <c r="B299" s="24">
        <f t="shared" si="281"/>
        <v>283</v>
      </c>
      <c r="C299" s="97" t="s">
        <v>413</v>
      </c>
      <c r="D299" s="84">
        <v>1.6373723154375863</v>
      </c>
      <c r="E299" s="47">
        <f t="shared" ref="E299" si="286">E298*D299/100+E298</f>
        <v>12137721.125777839</v>
      </c>
      <c r="F299" s="112"/>
      <c r="G299" s="106"/>
      <c r="I299" s="39"/>
      <c r="J299" s="20">
        <f t="shared" si="278"/>
        <v>45138</v>
      </c>
      <c r="K299" s="27">
        <f>'LC (Gross)'!K299</f>
        <v>3.2124999999999999</v>
      </c>
      <c r="L299" s="46">
        <f t="shared" ref="L299" si="287">L298*K299/100+L298</f>
        <v>4874813.9282314386</v>
      </c>
      <c r="M299" s="112"/>
      <c r="N299" s="106"/>
      <c r="O299" s="39"/>
      <c r="P299" s="20">
        <f t="shared" si="279"/>
        <v>45138</v>
      </c>
      <c r="Q299" s="27">
        <f>'LC (Gross)'!Q299</f>
        <v>1.9537089999999999</v>
      </c>
      <c r="R299" s="46">
        <f t="shared" ref="R299" si="288">R298*Q299/100+R298</f>
        <v>4370098.80421283</v>
      </c>
      <c r="S299" s="112"/>
      <c r="T299" s="106"/>
      <c r="V299" s="39"/>
      <c r="W299" s="20">
        <f t="shared" si="280"/>
        <v>45138</v>
      </c>
      <c r="X299" s="36">
        <f>'LC (Gross)'!X299</f>
        <v>0.94963560000000002</v>
      </c>
      <c r="Y299" s="46">
        <f t="shared" ref="Y299" si="289">Y298*X299/100+Y298</f>
        <v>8624107.4472247493</v>
      </c>
      <c r="Z299" s="112"/>
      <c r="AA299" s="106"/>
      <c r="AC299" s="107">
        <f>'LC (Gross)'!AC299</f>
        <v>1.6013250000000001</v>
      </c>
    </row>
    <row r="300" spans="1:52" x14ac:dyDescent="0.25">
      <c r="A300" s="21">
        <v>45169</v>
      </c>
      <c r="B300" s="24">
        <f t="shared" ref="B300" si="290">IF(A300&gt;A299,1+B299,"-")</f>
        <v>284</v>
      </c>
      <c r="C300" s="97" t="s">
        <v>413</v>
      </c>
      <c r="D300" s="84">
        <v>-2.1652389652342072</v>
      </c>
      <c r="E300" s="47">
        <f t="shared" ref="E300" si="291">E299*D300/100+E299</f>
        <v>11874910.458471034</v>
      </c>
      <c r="F300" s="112"/>
      <c r="G300" s="106"/>
      <c r="I300" s="39"/>
      <c r="J300" s="20">
        <f t="shared" si="278"/>
        <v>45169</v>
      </c>
      <c r="K300" s="27">
        <f>'LC (Gross)'!K300</f>
        <v>-1.592168</v>
      </c>
      <c r="L300" s="46">
        <f t="shared" ref="L300" si="292">L299*K300/100+L299</f>
        <v>4797198.7008065945</v>
      </c>
      <c r="M300" s="112"/>
      <c r="N300" s="106"/>
      <c r="O300" s="39"/>
      <c r="P300" s="20">
        <f t="shared" si="279"/>
        <v>45169</v>
      </c>
      <c r="Q300" s="27">
        <f>'LC (Gross)'!Q300</f>
        <v>-0.93424879999999999</v>
      </c>
      <c r="R300" s="46">
        <f t="shared" ref="R300" si="293">R299*Q300/100+R299</f>
        <v>4329271.2085756576</v>
      </c>
      <c r="S300" s="112"/>
      <c r="T300" s="106"/>
      <c r="V300" s="39"/>
      <c r="W300" s="20">
        <f t="shared" si="280"/>
        <v>45169</v>
      </c>
      <c r="X300" s="36">
        <f>'LC (Gross)'!X300</f>
        <v>-2.981535</v>
      </c>
      <c r="Y300" s="46">
        <f t="shared" ref="Y300" si="294">Y299*X300/100+Y299</f>
        <v>8366976.665248137</v>
      </c>
      <c r="Z300" s="112"/>
      <c r="AA300" s="106"/>
      <c r="AC300" s="107">
        <f>'LC (Gross)'!AC300</f>
        <v>-2.1739130000000002</v>
      </c>
    </row>
    <row r="301" spans="1:52" x14ac:dyDescent="0.25">
      <c r="A301" s="21">
        <v>45199</v>
      </c>
      <c r="B301" s="24">
        <f t="shared" si="189"/>
        <v>285</v>
      </c>
      <c r="C301" s="97" t="s">
        <v>413</v>
      </c>
      <c r="D301" s="84">
        <v>-2.3426790229403691</v>
      </c>
      <c r="E301" s="47">
        <f t="shared" ref="E301" si="295">E300*D301/100+E300</f>
        <v>11596719.42216748</v>
      </c>
      <c r="F301" s="112"/>
      <c r="G301" s="106">
        <f>(E301/E298-1)*100</f>
        <v>-2.8928019243012026</v>
      </c>
      <c r="I301" s="39"/>
      <c r="J301" s="20">
        <f t="shared" si="278"/>
        <v>45199</v>
      </c>
      <c r="K301" s="27">
        <f>'LC (Gross)'!K301</f>
        <v>-4.7678450000000003</v>
      </c>
      <c r="L301" s="46">
        <f t="shared" ref="L301" si="296">L300*K301/100+L300</f>
        <v>4568475.7024101224</v>
      </c>
      <c r="M301" s="112"/>
      <c r="N301" s="106">
        <f>(L301/L298-1)*100</f>
        <v>-3.2734776389564568</v>
      </c>
      <c r="O301" s="39"/>
      <c r="P301" s="20">
        <f t="shared" si="279"/>
        <v>45199</v>
      </c>
      <c r="Q301" s="27">
        <f>'LC (Gross)'!Q301</f>
        <v>-4.284243</v>
      </c>
      <c r="R301" s="46">
        <f t="shared" ref="R301" si="297">R300*Q301/100+R300</f>
        <v>4143794.7098712395</v>
      </c>
      <c r="S301" s="112"/>
      <c r="T301" s="106">
        <f>(R301/R298-1)*100</f>
        <v>-3.3259294735669798</v>
      </c>
      <c r="V301" s="39"/>
      <c r="W301" s="20">
        <f t="shared" si="280"/>
        <v>45199</v>
      </c>
      <c r="X301" s="36">
        <f>'LC (Gross)'!X301</f>
        <v>-3.7838289999999999</v>
      </c>
      <c r="Y301" s="46">
        <f t="shared" ref="Y301" si="298">Y300*X301/100+Y300</f>
        <v>8050384.5757652447</v>
      </c>
      <c r="Z301" s="112"/>
      <c r="AA301" s="106">
        <f>(Y301/Y298-1)*100</f>
        <v>-5.7660871763738575</v>
      </c>
      <c r="AC301" s="107">
        <f>'LC (Gross)'!AC301</f>
        <v>-2.3888889999999998</v>
      </c>
    </row>
    <row r="302" spans="1:52" x14ac:dyDescent="0.25">
      <c r="A302" s="21">
        <v>45230</v>
      </c>
      <c r="B302" s="24">
        <f t="shared" si="189"/>
        <v>286</v>
      </c>
      <c r="C302" s="97" t="s">
        <v>413</v>
      </c>
      <c r="D302" s="84">
        <v>-1.0039554517785294</v>
      </c>
      <c r="E302" s="47">
        <f t="shared" ref="E302:E303" si="299">E301*D302/100+E301</f>
        <v>11480293.52530117</v>
      </c>
      <c r="F302" s="112"/>
      <c r="G302" s="106"/>
      <c r="I302" s="39"/>
      <c r="J302" s="20">
        <f t="shared" si="278"/>
        <v>45230</v>
      </c>
      <c r="K302" s="27">
        <f>'LC (Gross)'!K302</f>
        <v>-2.102582</v>
      </c>
      <c r="L302" s="46">
        <f t="shared" ref="L302:L303" si="300">L301*K302/100+L301</f>
        <v>4472419.7546168733</v>
      </c>
      <c r="M302" s="112"/>
      <c r="N302" s="106"/>
      <c r="O302" s="39"/>
      <c r="P302" s="20">
        <f t="shared" si="279"/>
        <v>45230</v>
      </c>
      <c r="Q302" s="27">
        <f>'LC (Gross)'!Q302</f>
        <v>-0.53601980000000005</v>
      </c>
      <c r="R302" s="46">
        <f t="shared" ref="R302:R303" si="301">R301*Q302/100+R301</f>
        <v>4121583.1497549773</v>
      </c>
      <c r="S302" s="112"/>
      <c r="T302" s="106"/>
      <c r="V302" s="39"/>
      <c r="W302" s="20">
        <f t="shared" si="280"/>
        <v>45230</v>
      </c>
      <c r="X302" s="36">
        <f>'LC (Gross)'!X302</f>
        <v>-0.41168169999999998</v>
      </c>
      <c r="Y302" s="46">
        <f t="shared" ref="Y302:Y303" si="302">Y301*X302/100+Y301</f>
        <v>8017242.6156871961</v>
      </c>
      <c r="Z302" s="112"/>
      <c r="AA302" s="106"/>
      <c r="AC302" s="107">
        <f>'LC (Gross)'!AC302</f>
        <v>-1.0813889999999999</v>
      </c>
    </row>
    <row r="303" spans="1:52" x14ac:dyDescent="0.25">
      <c r="A303" s="21">
        <v>45260</v>
      </c>
      <c r="B303" s="24">
        <f t="shared" si="189"/>
        <v>287</v>
      </c>
      <c r="C303" s="97" t="s">
        <v>413</v>
      </c>
      <c r="D303" s="84">
        <v>6.7473040628722156</v>
      </c>
      <c r="E303" s="47">
        <f t="shared" si="299"/>
        <v>12254903.836763471</v>
      </c>
      <c r="F303" s="112"/>
      <c r="G303" s="106"/>
      <c r="I303" s="39"/>
      <c r="J303" s="20">
        <f t="shared" si="278"/>
        <v>45260</v>
      </c>
      <c r="K303" s="27">
        <f>'LC (Gross)'!K303</f>
        <v>9.1325979999999998</v>
      </c>
      <c r="L303" s="46">
        <f t="shared" si="300"/>
        <v>4880867.8716786187</v>
      </c>
      <c r="M303" s="112"/>
      <c r="N303" s="106"/>
      <c r="O303" s="39"/>
      <c r="P303" s="20">
        <f t="shared" si="279"/>
        <v>45260</v>
      </c>
      <c r="Q303" s="27">
        <f>'LC (Gross)'!Q303</f>
        <v>7.6254920000000004</v>
      </c>
      <c r="R303" s="46">
        <f t="shared" si="301"/>
        <v>4435874.1431128914</v>
      </c>
      <c r="S303" s="112"/>
      <c r="T303" s="106"/>
      <c r="V303" s="39"/>
      <c r="W303" s="20">
        <f t="shared" si="280"/>
        <v>45260</v>
      </c>
      <c r="X303" s="36">
        <f>'LC (Gross)'!X303</f>
        <v>5.3373739999999996</v>
      </c>
      <c r="Y303" s="46">
        <f t="shared" si="302"/>
        <v>8445152.8385738041</v>
      </c>
      <c r="Z303" s="112"/>
      <c r="AA303" s="106"/>
      <c r="AC303" s="107">
        <f>'LC (Gross)'!AC303</f>
        <v>6.9044879999999997</v>
      </c>
    </row>
    <row r="304" spans="1:52" x14ac:dyDescent="0.25">
      <c r="A304" s="21">
        <v>45291</v>
      </c>
      <c r="B304" s="24">
        <f t="shared" si="189"/>
        <v>288</v>
      </c>
      <c r="C304" s="97" t="s">
        <v>413</v>
      </c>
      <c r="D304" s="84">
        <v>3.5955201526564111</v>
      </c>
      <c r="E304" s="47">
        <f t="shared" ref="E304" si="303">E303*D304/100+E303</f>
        <v>12695531.373902965</v>
      </c>
      <c r="F304" s="112">
        <f t="shared" ref="F304" si="304">(E304/E$292-1)*100</f>
        <v>10.701151072910097</v>
      </c>
      <c r="G304" s="106">
        <f>(E304/E301-1)*100</f>
        <v>9.4751964907857644</v>
      </c>
      <c r="I304" s="39"/>
      <c r="J304" s="20">
        <f t="shared" si="278"/>
        <v>45291</v>
      </c>
      <c r="K304" s="27">
        <f>'LC (Gross)'!K304</f>
        <v>4.5311300000000001</v>
      </c>
      <c r="L304" s="46">
        <f t="shared" ref="L304" si="305">L303*K304/100+L303</f>
        <v>5102026.3400726104</v>
      </c>
      <c r="M304" s="112">
        <f>(L304/L$292-1)*100</f>
        <v>26.258662973368963</v>
      </c>
      <c r="N304" s="106">
        <f>(L304/L301-1)*100</f>
        <v>11.67896411008622</v>
      </c>
      <c r="O304" s="39"/>
      <c r="P304" s="20">
        <f t="shared" si="279"/>
        <v>45291</v>
      </c>
      <c r="Q304" s="27">
        <f>'LC (Gross)'!Q304</f>
        <v>2.8481589999999999</v>
      </c>
      <c r="R304" s="46">
        <f t="shared" ref="R304" si="306">R303*Q304/100+R303</f>
        <v>4562214.8917486342</v>
      </c>
      <c r="S304" s="112">
        <f t="shared" ref="S304" si="307">(R304/R$292-1)*100</f>
        <v>20.198029830325638</v>
      </c>
      <c r="T304" s="106">
        <f>(R304/R301-1)*100</f>
        <v>10.097512332853874</v>
      </c>
      <c r="V304" s="39"/>
      <c r="W304" s="20">
        <f t="shared" si="280"/>
        <v>45291</v>
      </c>
      <c r="X304" s="36">
        <f>'LC (Gross)'!X304</f>
        <v>2.3474210000000002</v>
      </c>
      <c r="Y304" s="46">
        <f t="shared" ref="Y304" si="308">Y303*X304/100+Y303</f>
        <v>8643396.1297885813</v>
      </c>
      <c r="Z304" s="112">
        <f t="shared" ref="Z304" si="309">(Y304/Y$292-1)*100</f>
        <v>0.7156405685025069</v>
      </c>
      <c r="AA304" s="106">
        <f>(Y304/Y301-1)*100</f>
        <v>7.3662512447980388</v>
      </c>
      <c r="AC304" s="107">
        <f>'LC (Gross)'!AC304</f>
        <v>3.5046249999999999</v>
      </c>
    </row>
    <row r="305" spans="1:29" x14ac:dyDescent="0.25">
      <c r="A305" s="21">
        <v>45322</v>
      </c>
      <c r="B305" s="24">
        <f t="shared" si="189"/>
        <v>289</v>
      </c>
      <c r="C305" s="97" t="s">
        <v>413</v>
      </c>
      <c r="D305" s="84">
        <v>2.5760914411812248</v>
      </c>
      <c r="E305" s="47">
        <f t="shared" ref="E305" si="310">E304*D305/100+E304</f>
        <v>13022579.871038556</v>
      </c>
      <c r="F305" s="112"/>
      <c r="G305" s="106"/>
      <c r="I305" s="39"/>
      <c r="J305" s="20">
        <f t="shared" si="278"/>
        <v>45322</v>
      </c>
      <c r="K305" s="27">
        <f>'LC (Gross)'!K305</f>
        <v>1.6793610000000001</v>
      </c>
      <c r="L305" s="46">
        <f t="shared" ref="L305" si="311">L304*K305/100+L304</f>
        <v>5187707.7806375176</v>
      </c>
      <c r="M305" s="112"/>
      <c r="N305" s="106"/>
      <c r="O305" s="39"/>
      <c r="P305" s="20">
        <f t="shared" si="279"/>
        <v>45322</v>
      </c>
      <c r="Q305" s="27">
        <f>'LC (Gross)'!Q305</f>
        <v>2.0186570000000001</v>
      </c>
      <c r="R305" s="46">
        <f t="shared" ref="R305" si="312">R304*Q305/100+R304</f>
        <v>4654310.3620159607</v>
      </c>
      <c r="S305" s="112"/>
      <c r="T305" s="106"/>
      <c r="V305" s="39"/>
      <c r="W305" s="20">
        <f t="shared" si="280"/>
        <v>45322</v>
      </c>
      <c r="X305" s="36">
        <f>'LC (Gross)'!X305</f>
        <v>0.99222290000000002</v>
      </c>
      <c r="Y305" s="46">
        <f t="shared" ref="Y305" si="313">Y304*X305/100+Y304</f>
        <v>8729157.8855260573</v>
      </c>
      <c r="Z305" s="112"/>
      <c r="AA305" s="106"/>
      <c r="AC305" s="107">
        <f>'LC (Gross)'!AC305</f>
        <v>2.5599129999999999</v>
      </c>
    </row>
    <row r="306" spans="1:29" x14ac:dyDescent="0.25">
      <c r="A306" s="21">
        <v>45351</v>
      </c>
      <c r="B306" s="24">
        <f t="shared" ref="B306:B309" si="314">IF(A306&gt;A305,1+B305,"-")</f>
        <v>290</v>
      </c>
      <c r="C306" s="97" t="s">
        <v>413</v>
      </c>
      <c r="D306" s="84">
        <v>3.3854661954757725</v>
      </c>
      <c r="E306" s="47">
        <f t="shared" ref="E306:E307" si="315">E305*D306/100+E305</f>
        <v>13463454.910351399</v>
      </c>
      <c r="F306" s="112"/>
      <c r="G306" s="106"/>
      <c r="I306" s="39"/>
      <c r="J306" s="20">
        <f t="shared" si="278"/>
        <v>45351</v>
      </c>
      <c r="K306" s="27">
        <f>'LC (Gross)'!K306</f>
        <v>5.3395099999999998</v>
      </c>
      <c r="L306" s="46">
        <f t="shared" ref="L306:L307" si="316">L305*K306/100+L305</f>
        <v>5464705.9563554358</v>
      </c>
      <c r="M306" s="112"/>
      <c r="N306" s="106"/>
      <c r="O306" s="39"/>
      <c r="P306" s="20">
        <f t="shared" si="279"/>
        <v>45351</v>
      </c>
      <c r="Q306" s="27">
        <f>'LC (Gross)'!Q306</f>
        <v>3.0554380000000001</v>
      </c>
      <c r="R306" s="46">
        <f t="shared" ref="R306:R307" si="317">R305*Q306/100+R305</f>
        <v>4796519.9294549339</v>
      </c>
      <c r="S306" s="112"/>
      <c r="T306" s="106"/>
      <c r="V306" s="39"/>
      <c r="W306" s="20">
        <f t="shared" si="280"/>
        <v>45351</v>
      </c>
      <c r="X306" s="36">
        <f>'LC (Gross)'!X306</f>
        <v>1.656612</v>
      </c>
      <c r="Y306" s="46">
        <f t="shared" ref="Y306:Y307" si="318">Y305*X306/100+Y305</f>
        <v>8873766.1625566278</v>
      </c>
      <c r="Z306" s="112"/>
      <c r="AA306" s="106"/>
      <c r="AC306" s="107">
        <f>'LC (Gross)'!AC306</f>
        <v>2.336697</v>
      </c>
    </row>
    <row r="307" spans="1:29" x14ac:dyDescent="0.25">
      <c r="A307" s="21">
        <v>45382</v>
      </c>
      <c r="B307" s="24">
        <f t="shared" si="314"/>
        <v>291</v>
      </c>
      <c r="C307" s="97" t="s">
        <v>413</v>
      </c>
      <c r="D307" s="84">
        <v>3.4274537616093212</v>
      </c>
      <c r="E307" s="47">
        <f t="shared" si="315"/>
        <v>13924908.602118813</v>
      </c>
      <c r="F307" s="112"/>
      <c r="G307" s="106">
        <f>(E307/E304-1)*100</f>
        <v>9.6835429097750456</v>
      </c>
      <c r="I307" s="39"/>
      <c r="J307" s="20">
        <f t="shared" si="278"/>
        <v>45382</v>
      </c>
      <c r="K307" s="27">
        <f>'LC (Gross)'!K307</f>
        <v>3.2173630000000002</v>
      </c>
      <c r="L307" s="46">
        <f t="shared" si="316"/>
        <v>5640525.383854012</v>
      </c>
      <c r="M307" s="112"/>
      <c r="N307" s="106">
        <f>(L307/L304-1)*100</f>
        <v>10.554611205196917</v>
      </c>
      <c r="O307" s="39"/>
      <c r="P307" s="20">
        <f t="shared" si="279"/>
        <v>45382</v>
      </c>
      <c r="Q307" s="27">
        <f>'LC (Gross)'!Q307</f>
        <v>2.3600789999999998</v>
      </c>
      <c r="R307" s="46">
        <f t="shared" si="317"/>
        <v>4909721.5890408149</v>
      </c>
      <c r="S307" s="112"/>
      <c r="T307" s="106">
        <f>(R307/R304-1)*100</f>
        <v>7.6170611323173709</v>
      </c>
      <c r="V307" s="39"/>
      <c r="W307" s="20">
        <f t="shared" si="280"/>
        <v>45382</v>
      </c>
      <c r="X307" s="36">
        <f>'LC (Gross)'!X307</f>
        <v>3.0912850000000001</v>
      </c>
      <c r="Y307" s="46">
        <f t="shared" si="318"/>
        <v>9148079.5648748167</v>
      </c>
      <c r="Z307" s="112"/>
      <c r="AA307" s="106">
        <f>(Y307/Y304-1)*100</f>
        <v>5.8389483428498146</v>
      </c>
      <c r="AC307" s="107">
        <f>'LC (Gross)'!AC307</f>
        <v>3.3212250000000001</v>
      </c>
    </row>
    <row r="308" spans="1:29" x14ac:dyDescent="0.25">
      <c r="A308" s="21">
        <v>45412</v>
      </c>
      <c r="B308" s="24">
        <f t="shared" si="314"/>
        <v>292</v>
      </c>
      <c r="C308" s="97" t="s">
        <v>413</v>
      </c>
      <c r="D308" s="84">
        <v>-4.0443709388205722</v>
      </c>
      <c r="E308" s="47">
        <f t="shared" ref="E308:E310" si="319">E307*D308/100+E307</f>
        <v>13361733.645357393</v>
      </c>
      <c r="F308" s="112"/>
      <c r="G308" s="106"/>
      <c r="I308" s="39"/>
      <c r="J308" s="20">
        <f t="shared" si="278"/>
        <v>45412</v>
      </c>
      <c r="K308" s="27">
        <f>'LC (Gross)'!K308</f>
        <v>-4.0844069999999997</v>
      </c>
      <c r="L308" s="46">
        <f t="shared" ref="L308:L310" si="320">L307*K308/100+L307</f>
        <v>5410143.3702391023</v>
      </c>
      <c r="M308" s="112"/>
      <c r="N308" s="106"/>
      <c r="O308" s="39"/>
      <c r="P308" s="20">
        <f t="shared" si="279"/>
        <v>45412</v>
      </c>
      <c r="Q308" s="27">
        <f>'LC (Gross)'!Q308</f>
        <v>-3.5081310000000001</v>
      </c>
      <c r="R308" s="46">
        <f t="shared" ref="R308:R310" si="321">R307*Q308/100+R307</f>
        <v>4737482.1239619814</v>
      </c>
      <c r="S308" s="112"/>
      <c r="T308" s="106"/>
      <c r="V308" s="39"/>
      <c r="W308" s="20">
        <f t="shared" si="280"/>
        <v>45412</v>
      </c>
      <c r="X308" s="36">
        <f>'LC (Gross)'!X308</f>
        <v>-3.0440480000000001</v>
      </c>
      <c r="Y308" s="46">
        <f t="shared" ref="Y308:Y310" si="322">Y307*X308/100+Y307</f>
        <v>8869607.6318418365</v>
      </c>
      <c r="Z308" s="112"/>
      <c r="AA308" s="106"/>
      <c r="AC308" s="107">
        <f>'LC (Gross)'!AC308</f>
        <v>-4.1185340000000004</v>
      </c>
    </row>
    <row r="309" spans="1:29" x14ac:dyDescent="0.25">
      <c r="A309" s="21">
        <v>45443</v>
      </c>
      <c r="B309" s="24">
        <f t="shared" si="314"/>
        <v>293</v>
      </c>
      <c r="C309" s="97" t="s">
        <v>413</v>
      </c>
      <c r="D309" s="84">
        <v>3.6378928867356413</v>
      </c>
      <c r="E309" s="47">
        <f t="shared" si="319"/>
        <v>13847819.203186411</v>
      </c>
      <c r="F309" s="112"/>
      <c r="G309" s="106"/>
      <c r="I309" s="39"/>
      <c r="J309" s="20">
        <f t="shared" si="278"/>
        <v>45443</v>
      </c>
      <c r="K309" s="27">
        <f>'LC (Gross)'!K309</f>
        <v>4.9585549999999996</v>
      </c>
      <c r="L309" s="46">
        <f t="shared" si="320"/>
        <v>5678408.3048312617</v>
      </c>
      <c r="M309" s="112"/>
      <c r="N309" s="106"/>
      <c r="O309" s="39"/>
      <c r="P309" s="20">
        <f t="shared" si="279"/>
        <v>45443</v>
      </c>
      <c r="Q309" s="27">
        <f>'LC (Gross)'!Q309</f>
        <v>4.0984680000000004</v>
      </c>
      <c r="R309" s="46">
        <f t="shared" si="321"/>
        <v>4931646.3128182832</v>
      </c>
      <c r="S309" s="112"/>
      <c r="T309" s="106"/>
      <c r="V309" s="39"/>
      <c r="W309" s="20">
        <f t="shared" si="280"/>
        <v>45443</v>
      </c>
      <c r="X309" s="36">
        <f>'LC (Gross)'!X309</f>
        <v>2.47797</v>
      </c>
      <c r="Y309" s="46">
        <f t="shared" si="322"/>
        <v>9089393.8480765875</v>
      </c>
      <c r="Z309" s="112"/>
      <c r="AA309" s="106"/>
      <c r="AC309" s="107">
        <f>'LC (Gross)'!AC309</f>
        <v>3.6144579999999999</v>
      </c>
    </row>
    <row r="310" spans="1:29" x14ac:dyDescent="0.25">
      <c r="A310" s="21">
        <v>45473</v>
      </c>
      <c r="B310" s="24">
        <f t="shared" ref="B310:B315" si="323">IF(A310&gt;A309,1+B309,"-")</f>
        <v>294</v>
      </c>
      <c r="C310" s="97" t="s">
        <v>413</v>
      </c>
      <c r="D310" s="84">
        <v>1.9181031885381161</v>
      </c>
      <c r="E310" s="47">
        <f t="shared" si="319"/>
        <v>14113434.664865723</v>
      </c>
      <c r="F310" s="112"/>
      <c r="G310" s="106">
        <f t="shared" ref="G310" si="324">(E310/E307-1)*100</f>
        <v>1.3538764823075589</v>
      </c>
      <c r="I310" s="39"/>
      <c r="J310" s="20">
        <f t="shared" si="278"/>
        <v>45473</v>
      </c>
      <c r="K310" s="27">
        <f>'LC (Gross)'!K310</f>
        <v>3.587879</v>
      </c>
      <c r="L310" s="46">
        <f t="shared" si="320"/>
        <v>5882142.7239345582</v>
      </c>
      <c r="M310" s="112"/>
      <c r="N310" s="106">
        <f t="shared" ref="N310" si="325">(L310/L307-1)*100</f>
        <v>4.2835963609378469</v>
      </c>
      <c r="O310" s="39"/>
      <c r="P310" s="20">
        <f t="shared" si="279"/>
        <v>45473</v>
      </c>
      <c r="Q310" s="27">
        <f>'LC (Gross)'!Q310</f>
        <v>2.8378260000000002</v>
      </c>
      <c r="R310" s="46">
        <f t="shared" si="321"/>
        <v>5071597.8541114815</v>
      </c>
      <c r="S310" s="112"/>
      <c r="T310" s="106">
        <f t="shared" ref="T310" si="326">(R310/R307-1)*100</f>
        <v>3.297055894818901</v>
      </c>
      <c r="V310" s="39"/>
      <c r="W310" s="20">
        <f t="shared" si="280"/>
        <v>45473</v>
      </c>
      <c r="X310" s="36">
        <f>'LC (Gross)'!X310</f>
        <v>-0.16201969999999999</v>
      </c>
      <c r="Y310" s="46">
        <f t="shared" si="322"/>
        <v>9074667.2394321151</v>
      </c>
      <c r="Z310" s="112"/>
      <c r="AA310" s="106">
        <f t="shared" ref="AA310" si="327">(Y310/Y307-1)*100</f>
        <v>-0.80248892592251764</v>
      </c>
      <c r="AC310" s="107">
        <f>'LC (Gross)'!AC310</f>
        <v>1.9211320000000001</v>
      </c>
    </row>
    <row r="311" spans="1:29" x14ac:dyDescent="0.25">
      <c r="A311" s="21">
        <v>45504</v>
      </c>
      <c r="B311" s="24">
        <f t="shared" si="323"/>
        <v>295</v>
      </c>
      <c r="C311" s="97" t="s">
        <v>413</v>
      </c>
      <c r="D311" s="84">
        <v>2.7279068047180388</v>
      </c>
      <c r="E311" s="47">
        <f t="shared" ref="E311:E313" si="328">E310*D311/100+E310</f>
        <v>14498436.00946803</v>
      </c>
      <c r="F311" s="112"/>
      <c r="G311" s="106"/>
      <c r="I311" s="39"/>
      <c r="J311" s="20">
        <f t="shared" si="278"/>
        <v>45504</v>
      </c>
      <c r="K311" s="27">
        <f>'LC (Gross)'!K311</f>
        <v>1.2172529999999999</v>
      </c>
      <c r="L311" s="46">
        <f t="shared" ref="L311:L313" si="329">L310*K311/100+L310</f>
        <v>5953743.2827059338</v>
      </c>
      <c r="M311" s="112"/>
      <c r="N311" s="106"/>
      <c r="O311" s="39"/>
      <c r="P311" s="20">
        <f t="shared" si="279"/>
        <v>45504</v>
      </c>
      <c r="Q311" s="27">
        <f>'LC (Gross)'!Q311</f>
        <v>1.986618</v>
      </c>
      <c r="R311" s="46">
        <f t="shared" ref="R311:R313" si="330">R310*Q311/100+R310</f>
        <v>5172351.1299688742</v>
      </c>
      <c r="S311" s="112"/>
      <c r="T311" s="106"/>
      <c r="V311" s="39"/>
      <c r="W311" s="20">
        <f t="shared" si="280"/>
        <v>45504</v>
      </c>
      <c r="X311" s="36">
        <f>'LC (Gross)'!X311</f>
        <v>4.4021290000000004</v>
      </c>
      <c r="Y311" s="46">
        <f t="shared" ref="Y311:Y313" si="331">Y310*X311/100+Y310</f>
        <v>9474145.7976326551</v>
      </c>
      <c r="Z311" s="112"/>
      <c r="AA311" s="106"/>
      <c r="AC311" s="107">
        <f>'LC (Gross)'!AC311</f>
        <v>2.7281749999999998</v>
      </c>
    </row>
    <row r="312" spans="1:29" x14ac:dyDescent="0.25">
      <c r="A312" s="21">
        <v>45535</v>
      </c>
      <c r="B312" s="24">
        <f t="shared" si="323"/>
        <v>296</v>
      </c>
      <c r="C312" s="97" t="s">
        <v>413</v>
      </c>
      <c r="D312" s="84">
        <v>4.9884144927988245</v>
      </c>
      <c r="E312" s="47">
        <f t="shared" si="328"/>
        <v>15221678.092593497</v>
      </c>
      <c r="F312" s="112"/>
      <c r="G312" s="106"/>
      <c r="I312" s="39"/>
      <c r="J312" s="20">
        <f t="shared" si="278"/>
        <v>45535</v>
      </c>
      <c r="K312" s="27">
        <f>'LC (Gross)'!K312</f>
        <v>2.425754</v>
      </c>
      <c r="L312" s="46">
        <f t="shared" si="329"/>
        <v>6098166.4485359043</v>
      </c>
      <c r="M312" s="112"/>
      <c r="N312" s="106"/>
      <c r="O312" s="39"/>
      <c r="P312" s="20">
        <f t="shared" si="279"/>
        <v>45535</v>
      </c>
      <c r="Q312" s="27">
        <f>'LC (Gross)'!Q312</f>
        <v>3.0906030000000002</v>
      </c>
      <c r="R312" s="46">
        <f t="shared" si="330"/>
        <v>5332207.9691622257</v>
      </c>
      <c r="S312" s="112"/>
      <c r="T312" s="106"/>
      <c r="V312" s="39"/>
      <c r="W312" s="20">
        <f t="shared" si="280"/>
        <v>45535</v>
      </c>
      <c r="X312" s="36">
        <f>'LC (Gross)'!X312</f>
        <v>5.2126460000000003</v>
      </c>
      <c r="Y312" s="46">
        <f t="shared" si="331"/>
        <v>9967999.4795871209</v>
      </c>
      <c r="Z312" s="112"/>
      <c r="AA312" s="106"/>
      <c r="AC312" s="107">
        <f>'LC (Gross)'!AC312</f>
        <v>4.9734429999999996</v>
      </c>
    </row>
    <row r="313" spans="1:29" x14ac:dyDescent="0.25">
      <c r="A313" s="21">
        <v>45565</v>
      </c>
      <c r="B313" s="24">
        <f t="shared" si="323"/>
        <v>297</v>
      </c>
      <c r="C313" s="97" t="s">
        <v>413</v>
      </c>
      <c r="D313" s="84">
        <v>0.36247302426418126</v>
      </c>
      <c r="E313" s="47">
        <f t="shared" si="328"/>
        <v>15276852.569519479</v>
      </c>
      <c r="F313" s="112"/>
      <c r="G313" s="106">
        <f t="shared" ref="G313" si="332">(E313/E310-1)*100</f>
        <v>8.2433364540949849</v>
      </c>
      <c r="I313" s="39"/>
      <c r="J313" s="20">
        <f t="shared" si="278"/>
        <v>45565</v>
      </c>
      <c r="K313" s="27">
        <f>'LC (Gross)'!K313</f>
        <v>2.1354150000000001</v>
      </c>
      <c r="L313" s="46">
        <f t="shared" si="329"/>
        <v>6228387.6096029077</v>
      </c>
      <c r="M313" s="112"/>
      <c r="N313" s="106">
        <f t="shared" ref="N313" si="333">(L313/L310-1)*100</f>
        <v>5.8863734172833304</v>
      </c>
      <c r="O313" s="39"/>
      <c r="P313" s="20">
        <f t="shared" si="279"/>
        <v>45565</v>
      </c>
      <c r="Q313" s="27">
        <f>'LC (Gross)'!Q313</f>
        <v>1.3068109999999999</v>
      </c>
      <c r="R313" s="46">
        <f t="shared" si="330"/>
        <v>5401889.8494461142</v>
      </c>
      <c r="S313" s="112"/>
      <c r="T313" s="106">
        <f t="shared" ref="T313" si="334">(R313/R310-1)*100</f>
        <v>6.5125825200605947</v>
      </c>
      <c r="V313" s="39"/>
      <c r="W313" s="20">
        <f t="shared" si="280"/>
        <v>45565</v>
      </c>
      <c r="X313" s="36">
        <f>'LC (Gross)'!X313</f>
        <v>1.059823</v>
      </c>
      <c r="Y313" s="46">
        <f t="shared" si="331"/>
        <v>10073642.630711665</v>
      </c>
      <c r="Z313" s="112"/>
      <c r="AA313" s="106">
        <f t="shared" ref="AA313" si="335">(Y313/Y310-1)*100</f>
        <v>11.008396946377342</v>
      </c>
      <c r="AC313" s="107">
        <f>'LC (Gross)'!AC313</f>
        <v>0.32198710000000003</v>
      </c>
    </row>
    <row r="314" spans="1:29" x14ac:dyDescent="0.25">
      <c r="A314" s="21">
        <v>45596</v>
      </c>
      <c r="B314" s="24">
        <f t="shared" si="323"/>
        <v>298</v>
      </c>
      <c r="C314" s="97" t="s">
        <v>413</v>
      </c>
      <c r="D314" s="84">
        <v>-2.8920142538052707</v>
      </c>
      <c r="E314" s="47">
        <f t="shared" ref="E314:E318" si="336">E313*D314/100+E313</f>
        <v>14835043.815676158</v>
      </c>
      <c r="F314" s="112"/>
      <c r="G314" s="106"/>
      <c r="I314" s="39"/>
      <c r="J314" s="20">
        <f t="shared" si="278"/>
        <v>45596</v>
      </c>
      <c r="K314" s="27">
        <f>'LC (Gross)'!K314</f>
        <v>-0.91531750000000001</v>
      </c>
      <c r="L314" s="46">
        <f t="shared" ref="L314:L318" si="337">L313*K314/100+L313</f>
        <v>6171378.0878443802</v>
      </c>
      <c r="M314" s="112"/>
      <c r="N314" s="106"/>
      <c r="O314" s="39"/>
      <c r="P314" s="20">
        <f t="shared" si="279"/>
        <v>45596</v>
      </c>
      <c r="Q314" s="27">
        <f>'LC (Gross)'!Q314</f>
        <v>-1.9234249999999999</v>
      </c>
      <c r="R314" s="46">
        <f t="shared" ref="R314:R318" si="338">R313*Q314/100+R313</f>
        <v>5297988.549609405</v>
      </c>
      <c r="S314" s="112"/>
      <c r="T314" s="106"/>
      <c r="V314" s="39"/>
      <c r="W314" s="20">
        <f t="shared" si="280"/>
        <v>45596</v>
      </c>
      <c r="X314" s="36">
        <f>'LC (Gross)'!X314</f>
        <v>-0.87954690000000002</v>
      </c>
      <c r="Y314" s="46">
        <f t="shared" ref="Y314:Y318" si="339">Y313*X314/100+Y313</f>
        <v>9985040.2192361616</v>
      </c>
      <c r="Z314" s="112"/>
      <c r="AA314" s="106"/>
      <c r="AC314" s="107">
        <f>'LC (Gross)'!AC314</f>
        <v>-2.934434</v>
      </c>
    </row>
    <row r="315" spans="1:29" x14ac:dyDescent="0.25">
      <c r="A315" s="21">
        <v>45626</v>
      </c>
      <c r="B315" s="24">
        <f t="shared" si="323"/>
        <v>299</v>
      </c>
      <c r="C315" s="97" t="s">
        <v>413</v>
      </c>
      <c r="D315" s="84">
        <v>7.0755668790189272</v>
      </c>
      <c r="E315" s="47">
        <f t="shared" si="336"/>
        <v>15884707.262386085</v>
      </c>
      <c r="F315" s="112"/>
      <c r="G315" s="106"/>
      <c r="I315" s="39"/>
      <c r="J315" s="20">
        <f t="shared" si="278"/>
        <v>45626</v>
      </c>
      <c r="K315" s="27">
        <f>'LC (Gross)'!K315</f>
        <v>5.8699979999999998</v>
      </c>
      <c r="L315" s="46">
        <f t="shared" si="337"/>
        <v>6533637.8581732837</v>
      </c>
      <c r="M315" s="112"/>
      <c r="N315" s="106"/>
      <c r="O315" s="39"/>
      <c r="P315" s="20">
        <f t="shared" si="279"/>
        <v>45626</v>
      </c>
      <c r="Q315" s="27">
        <f>'LC (Gross)'!Q315</f>
        <v>4.8433780000000004</v>
      </c>
      <c r="R315" s="46">
        <f t="shared" si="338"/>
        <v>5554590.1614637058</v>
      </c>
      <c r="S315" s="112"/>
      <c r="T315" s="106"/>
      <c r="V315" s="39"/>
      <c r="W315" s="20">
        <f t="shared" si="280"/>
        <v>45626</v>
      </c>
      <c r="X315" s="36">
        <f>'LC (Gross)'!X315</f>
        <v>5.530894</v>
      </c>
      <c r="Y315" s="46">
        <f t="shared" si="339"/>
        <v>10537302.209619481</v>
      </c>
      <c r="Z315" s="112"/>
      <c r="AA315" s="106"/>
      <c r="AC315" s="107">
        <f>'LC (Gross)'!AC315</f>
        <v>7.0854980000000003</v>
      </c>
    </row>
    <row r="316" spans="1:29" x14ac:dyDescent="0.25">
      <c r="A316" s="21">
        <v>45657</v>
      </c>
      <c r="B316" s="24">
        <f t="shared" ref="B316:B319" si="340">IF(A316&gt;A315,1+B315,"-")</f>
        <v>300</v>
      </c>
      <c r="C316" s="97" t="s">
        <v>413</v>
      </c>
      <c r="D316" s="84">
        <v>-4.7917593802191494</v>
      </c>
      <c r="E316" s="47">
        <f t="shared" si="336"/>
        <v>15123550.312120348</v>
      </c>
      <c r="F316" s="112">
        <f t="shared" ref="F316" si="341">(E316/E$304-1)*100</f>
        <v>19.124988680729338</v>
      </c>
      <c r="G316" s="106">
        <f t="shared" ref="G316" si="342">(E316/E313-1)*100</f>
        <v>-1.0034937281845679</v>
      </c>
      <c r="I316" s="39"/>
      <c r="J316" s="20">
        <f t="shared" si="278"/>
        <v>45657</v>
      </c>
      <c r="K316" s="27">
        <f>'LC (Gross)'!K316</f>
        <v>-2.3912279999999999</v>
      </c>
      <c r="L316" s="46">
        <f t="shared" si="337"/>
        <v>6377403.6802900443</v>
      </c>
      <c r="M316" s="112">
        <f t="shared" ref="M316" si="343">(L316/L$304-1)*100</f>
        <v>24.997466794718328</v>
      </c>
      <c r="N316" s="106">
        <f t="shared" ref="N316" si="344">(L316/L313-1)*100</f>
        <v>2.3925304593661378</v>
      </c>
      <c r="O316" s="39"/>
      <c r="P316" s="20">
        <f t="shared" si="279"/>
        <v>45657</v>
      </c>
      <c r="Q316" s="27">
        <f>'LC (Gross)'!Q316</f>
        <v>-2.6514169999999999</v>
      </c>
      <c r="R316" s="46">
        <f t="shared" si="338"/>
        <v>5407314.8136423295</v>
      </c>
      <c r="S316" s="112">
        <f t="shared" ref="S316" si="345">(R316/R$304-1)*100</f>
        <v>18.523895562705086</v>
      </c>
      <c r="T316" s="106">
        <f t="shared" ref="T316" si="346">(R316/R313-1)*100</f>
        <v>0.10042715322622353</v>
      </c>
      <c r="V316" s="39"/>
      <c r="W316" s="20">
        <f t="shared" si="280"/>
        <v>45657</v>
      </c>
      <c r="X316" s="36">
        <f>'LC (Gross)'!X316</f>
        <v>-6.2797260000000001</v>
      </c>
      <c r="Y316" s="46">
        <f t="shared" si="339"/>
        <v>9875588.5030634329</v>
      </c>
      <c r="Z316" s="112">
        <f t="shared" ref="Z316" si="347">(Y316/Y$304-1)*100</f>
        <v>14.255882233931484</v>
      </c>
      <c r="AA316" s="106">
        <f t="shared" ref="AA316" si="348">(Y316/Y313-1)*100</f>
        <v>-1.9660626737385112</v>
      </c>
      <c r="AC316" s="107">
        <f>'LC (Gross)'!AC316</f>
        <v>-4.7359710000000002</v>
      </c>
    </row>
    <row r="317" spans="1:29" x14ac:dyDescent="0.25">
      <c r="A317" s="21">
        <v>45688</v>
      </c>
      <c r="B317" s="24">
        <f t="shared" si="340"/>
        <v>301</v>
      </c>
      <c r="C317" s="97" t="s">
        <v>413</v>
      </c>
      <c r="D317" s="84">
        <v>4.3370980910674737</v>
      </c>
      <c r="E317" s="47">
        <f t="shared" si="336"/>
        <v>15779473.524008948</v>
      </c>
      <c r="F317" s="112"/>
      <c r="G317" s="106"/>
      <c r="I317" s="39"/>
      <c r="J317" s="20">
        <f t="shared" si="278"/>
        <v>45688</v>
      </c>
      <c r="K317" s="27">
        <f>'LC (Gross)'!K317</f>
        <v>2.7792780000000001</v>
      </c>
      <c r="L317" s="46">
        <f t="shared" si="337"/>
        <v>6554649.4577475358</v>
      </c>
      <c r="M317" s="112"/>
      <c r="N317" s="106"/>
      <c r="O317" s="39"/>
      <c r="P317" s="20">
        <f t="shared" si="279"/>
        <v>45688</v>
      </c>
      <c r="Q317" s="27">
        <f>'LC (Gross)'!Q317</f>
        <v>2.7494689999999999</v>
      </c>
      <c r="R317" s="46">
        <f t="shared" si="338"/>
        <v>5555987.2581758332</v>
      </c>
      <c r="S317" s="112"/>
      <c r="T317" s="106"/>
      <c r="V317" s="39"/>
      <c r="W317" s="20">
        <f t="shared" si="280"/>
        <v>45688</v>
      </c>
      <c r="X317" s="36">
        <f>'LC (Gross)'!X317</f>
        <v>2.086773</v>
      </c>
      <c r="Y317" s="46">
        <f t="shared" si="339"/>
        <v>10081669.617536465</v>
      </c>
      <c r="Z317" s="112"/>
      <c r="AA317" s="106"/>
      <c r="AC317" s="107">
        <f>'LC (Gross)'!AC317</f>
        <v>4.3304840000000002</v>
      </c>
    </row>
    <row r="318" spans="1:29" x14ac:dyDescent="0.25">
      <c r="A318" s="21">
        <v>45716</v>
      </c>
      <c r="B318" s="24">
        <f t="shared" si="340"/>
        <v>302</v>
      </c>
      <c r="C318" s="97" t="s">
        <v>413</v>
      </c>
      <c r="D318" s="84">
        <v>-1.0010633566326885</v>
      </c>
      <c r="E318" s="47">
        <f t="shared" si="336"/>
        <v>15621510.996690538</v>
      </c>
      <c r="F318" s="112"/>
      <c r="G318" s="106"/>
      <c r="I318" s="39"/>
      <c r="J318" s="20">
        <f t="shared" si="278"/>
        <v>45716</v>
      </c>
      <c r="K318" s="27">
        <f>'LC (Gross)'!K318</f>
        <v>-1.3049580000000001</v>
      </c>
      <c r="L318" s="46">
        <f t="shared" si="337"/>
        <v>6469114.0352767026</v>
      </c>
      <c r="M318" s="112"/>
      <c r="N318" s="106"/>
      <c r="O318" s="39"/>
      <c r="P318" s="20">
        <f t="shared" si="279"/>
        <v>45716</v>
      </c>
      <c r="Q318" s="27">
        <f>'LC (Gross)'!Q318</f>
        <v>-0.1822163</v>
      </c>
      <c r="R318" s="46">
        <f t="shared" si="338"/>
        <v>5545863.343765514</v>
      </c>
      <c r="S318" s="112"/>
      <c r="T318" s="106"/>
      <c r="V318" s="39"/>
      <c r="W318" s="20">
        <f t="shared" si="280"/>
        <v>45716</v>
      </c>
      <c r="X318" s="36">
        <f>'LC (Gross)'!X318</f>
        <v>4.6701800000000002</v>
      </c>
      <c r="Y318" s="46">
        <f t="shared" si="339"/>
        <v>10552501.735680729</v>
      </c>
      <c r="Z318" s="112"/>
      <c r="AA318" s="106"/>
      <c r="AC318" s="107">
        <f>'LC (Gross)'!AC318</f>
        <v>-1.0376840000000001</v>
      </c>
    </row>
    <row r="319" spans="1:29" x14ac:dyDescent="0.25">
      <c r="A319" s="21">
        <v>45747</v>
      </c>
      <c r="B319" s="24">
        <f t="shared" si="340"/>
        <v>303</v>
      </c>
      <c r="C319" s="97" t="s">
        <v>413</v>
      </c>
      <c r="D319" s="84">
        <v>-1.6640538144661043</v>
      </c>
      <c r="E319" s="47">
        <f t="shared" ref="E319:E321" si="349">E318*D319/100+E318</f>
        <v>15361560.647072867</v>
      </c>
      <c r="F319" s="112"/>
      <c r="G319" s="106">
        <f>(E319/E316-1)*100</f>
        <v>1.5737728908917115</v>
      </c>
      <c r="I319" s="39"/>
      <c r="J319" s="20">
        <f t="shared" si="278"/>
        <v>45747</v>
      </c>
      <c r="K319" s="27">
        <f>'LC (Gross)'!K319</f>
        <v>-5.6343949999999996</v>
      </c>
      <c r="L319" s="46">
        <f t="shared" ref="L319:L321" si="350">L318*K319/100+L318</f>
        <v>6104618.5975287743</v>
      </c>
      <c r="M319" s="112"/>
      <c r="N319" s="106">
        <f>(L319/L316-1)*100</f>
        <v>-4.2773689174536278</v>
      </c>
      <c r="O319" s="39"/>
      <c r="P319" s="20">
        <f t="shared" si="279"/>
        <v>45747</v>
      </c>
      <c r="Q319" s="27">
        <f>'LC (Gross)'!Q319</f>
        <v>-3.8083969999999998</v>
      </c>
      <c r="R319" s="46">
        <f t="shared" ref="R319:R321" si="351">R318*Q319/100+R318</f>
        <v>5334654.8505574483</v>
      </c>
      <c r="S319" s="112"/>
      <c r="T319" s="106">
        <f>(R319/R316-1)*100</f>
        <v>-1.343734655536688</v>
      </c>
      <c r="V319" s="39"/>
      <c r="W319" s="20">
        <f t="shared" si="280"/>
        <v>45747</v>
      </c>
      <c r="X319" s="36">
        <f>'LC (Gross)'!X319</f>
        <v>0.38105159999999999</v>
      </c>
      <c r="Y319" s="46">
        <f t="shared" ref="Y319:Y321" si="352">Y318*X319/100+Y318</f>
        <v>10592712.212384569</v>
      </c>
      <c r="Z319" s="112"/>
      <c r="AA319" s="106">
        <f>(Y319/Y316-1)*100</f>
        <v>7.2615794906671249</v>
      </c>
      <c r="AC319" s="107">
        <f>'LC (Gross)'!AC319</f>
        <v>-1.655629</v>
      </c>
    </row>
    <row r="320" spans="1:29" x14ac:dyDescent="0.25">
      <c r="A320" s="21">
        <v>45777</v>
      </c>
      <c r="B320" s="24">
        <f t="shared" ref="B320:B322" si="353">IF(A320&gt;A319,1+B319,"-")</f>
        <v>304</v>
      </c>
      <c r="C320" s="97" t="s">
        <v>413</v>
      </c>
      <c r="D320" s="84">
        <v>-1.7821233177913869</v>
      </c>
      <c r="E320" s="47">
        <f t="shared" si="349"/>
        <v>15087798.692804715</v>
      </c>
      <c r="F320" s="112"/>
      <c r="G320" s="106"/>
      <c r="I320" s="39"/>
      <c r="J320" s="20">
        <f t="shared" si="278"/>
        <v>45777</v>
      </c>
      <c r="K320" s="27">
        <f>'LC (Gross)'!K320</f>
        <v>-0.67813060000000003</v>
      </c>
      <c r="L320" s="46">
        <f t="shared" si="350"/>
        <v>6063221.3108056411</v>
      </c>
      <c r="M320" s="112"/>
      <c r="N320" s="106"/>
      <c r="O320" s="39"/>
      <c r="P320" s="20">
        <f t="shared" si="279"/>
        <v>45777</v>
      </c>
      <c r="Q320" s="27">
        <f>'LC (Gross)'!Q320</f>
        <v>-1.1003689999999999</v>
      </c>
      <c r="R320" s="46">
        <f t="shared" si="351"/>
        <v>5275953.9623249182</v>
      </c>
      <c r="S320" s="112"/>
      <c r="T320" s="106"/>
      <c r="V320" s="39"/>
      <c r="W320" s="20">
        <f t="shared" si="280"/>
        <v>45777</v>
      </c>
      <c r="X320" s="36">
        <f>'LC (Gross)'!X320</f>
        <v>-2.3116509999999999</v>
      </c>
      <c r="Y320" s="46">
        <f t="shared" si="352"/>
        <v>10347845.674599858</v>
      </c>
      <c r="Z320" s="112"/>
      <c r="AA320" s="106"/>
      <c r="AC320" s="107">
        <f>'LC (Gross)'!AC320</f>
        <v>-1.7957350000000001</v>
      </c>
    </row>
    <row r="321" spans="1:29" x14ac:dyDescent="0.25">
      <c r="A321" s="21">
        <v>45808</v>
      </c>
      <c r="B321" s="24">
        <f t="shared" si="353"/>
        <v>305</v>
      </c>
      <c r="C321" s="97" t="s">
        <v>413</v>
      </c>
      <c r="D321" s="84">
        <v>1.6469021635570558</v>
      </c>
      <c r="E321" s="47">
        <f t="shared" si="349"/>
        <v>15336279.975909648</v>
      </c>
      <c r="F321" s="112"/>
      <c r="G321" s="106"/>
      <c r="I321" s="39"/>
      <c r="J321" s="20">
        <f t="shared" si="278"/>
        <v>45808</v>
      </c>
      <c r="K321" s="27">
        <f>'LC (Gross)'!K321</f>
        <v>6.294619</v>
      </c>
      <c r="L321" s="46">
        <f t="shared" si="350"/>
        <v>6444877.991447662</v>
      </c>
      <c r="M321" s="112"/>
      <c r="N321" s="106"/>
      <c r="O321" s="39"/>
      <c r="P321" s="20">
        <f t="shared" si="279"/>
        <v>45808</v>
      </c>
      <c r="Q321" s="27">
        <f>'LC (Gross)'!Q321</f>
        <v>3.2870550000000001</v>
      </c>
      <c r="R321" s="46">
        <f t="shared" si="351"/>
        <v>5449377.4708412178</v>
      </c>
      <c r="S321" s="112"/>
      <c r="T321" s="106"/>
      <c r="V321" s="39"/>
      <c r="W321" s="20">
        <f t="shared" si="280"/>
        <v>45808</v>
      </c>
      <c r="X321" s="36">
        <f>'LC (Gross)'!X321</f>
        <v>1.1138459999999999</v>
      </c>
      <c r="Y321" s="46">
        <f t="shared" si="352"/>
        <v>10463104.739732562</v>
      </c>
      <c r="Z321" s="112"/>
      <c r="AA321" s="106"/>
      <c r="AC321" s="107">
        <f>'LC (Gross)'!AC321</f>
        <v>1.657143</v>
      </c>
    </row>
    <row r="322" spans="1:29" x14ac:dyDescent="0.25">
      <c r="A322" s="21">
        <v>45838</v>
      </c>
      <c r="B322" s="24">
        <f t="shared" si="353"/>
        <v>306</v>
      </c>
      <c r="C322" s="97" t="s">
        <v>413</v>
      </c>
      <c r="D322" s="84">
        <v>0.43294014891697818</v>
      </c>
      <c r="E322" s="47">
        <f t="shared" ref="E322:E324" si="354">E321*D322/100+E321</f>
        <v>15402676.889275676</v>
      </c>
      <c r="F322" s="112"/>
      <c r="G322" s="106">
        <f>(E322/E319-1)*100</f>
        <v>0.26765667335137966</v>
      </c>
      <c r="I322" s="39"/>
      <c r="J322" s="20">
        <f t="shared" si="278"/>
        <v>45838</v>
      </c>
      <c r="K322" s="27">
        <f>'LC (Gross)'!K322</f>
        <v>5.0848300000000002</v>
      </c>
      <c r="L322" s="46">
        <f t="shared" ref="L322:L324" si="355">L321*K322/100+L321</f>
        <v>6772589.0810201904</v>
      </c>
      <c r="M322" s="112"/>
      <c r="N322" s="106">
        <f>(L322/L319-1)*100</f>
        <v>10.942051052326484</v>
      </c>
      <c r="O322" s="39"/>
      <c r="P322" s="20">
        <f t="shared" si="279"/>
        <v>45838</v>
      </c>
      <c r="Q322" s="27">
        <f>'LC (Gross)'!Q322</f>
        <v>2.1158160000000001</v>
      </c>
      <c r="R322" s="46">
        <f t="shared" ref="R322:R324" si="356">R321*Q322/100+R321</f>
        <v>5564676.2712696716</v>
      </c>
      <c r="S322" s="112"/>
      <c r="T322" s="106">
        <f>(R322/R319-1)*100</f>
        <v>4.3118332330007725</v>
      </c>
      <c r="V322" s="39"/>
      <c r="W322" s="20">
        <f t="shared" si="280"/>
        <v>45838</v>
      </c>
      <c r="X322" s="36">
        <f>'LC (Gross)'!X322</f>
        <v>-0.75421139999999998</v>
      </c>
      <c r="Y322" s="46">
        <f t="shared" ref="Y322:Y324" si="357">Y321*X322/100+Y321</f>
        <v>10384190.810991559</v>
      </c>
      <c r="Z322" s="112">
        <f>(Y322/Y$316-1)*100</f>
        <v>5.1500961970049275</v>
      </c>
      <c r="AA322" s="106">
        <f>(Y322/Y319-1)*100</f>
        <v>-1.9685364542351591</v>
      </c>
      <c r="AC322" s="107">
        <f>'LC (Gross)'!AC322</f>
        <v>0.39347949999999998</v>
      </c>
    </row>
    <row r="323" spans="1:29" x14ac:dyDescent="0.25">
      <c r="A323" s="21">
        <v>45869</v>
      </c>
      <c r="B323" s="24">
        <f t="shared" ref="B323:B325" si="358">IF(A323&gt;A322,1+B322,"-")</f>
        <v>307</v>
      </c>
      <c r="C323" s="97" t="s">
        <v>413</v>
      </c>
      <c r="D323" s="84">
        <v>-0.43939681521318963</v>
      </c>
      <c r="E323" s="47">
        <f t="shared" si="354"/>
        <v>15334998.017566619</v>
      </c>
      <c r="F323" s="112"/>
      <c r="G323" s="106"/>
      <c r="I323" s="39"/>
      <c r="J323" s="20">
        <f t="shared" si="278"/>
        <v>45869</v>
      </c>
      <c r="K323" s="27">
        <f>'LC (Gross)'!K323</f>
        <v>2.2442899999999999</v>
      </c>
      <c r="L323" s="46">
        <f t="shared" si="355"/>
        <v>6924585.6205066182</v>
      </c>
      <c r="M323" s="112"/>
      <c r="N323" s="106"/>
      <c r="O323" s="39"/>
      <c r="P323" s="20">
        <f t="shared" si="279"/>
        <v>45869</v>
      </c>
      <c r="Q323" s="27">
        <f>'LC (Gross)'!Q323</f>
        <v>1.3490740000000001</v>
      </c>
      <c r="R323" s="46">
        <f t="shared" si="356"/>
        <v>5639747.8720295401</v>
      </c>
      <c r="S323" s="112"/>
      <c r="T323" s="106"/>
      <c r="V323" s="39"/>
      <c r="W323" s="20">
        <f t="shared" si="280"/>
        <v>45869</v>
      </c>
      <c r="X323" s="36">
        <f>'LC (Gross)'!X323</f>
        <v>-0.29140759999999999</v>
      </c>
      <c r="Y323" s="46">
        <f t="shared" si="357"/>
        <v>10353930.489769828</v>
      </c>
      <c r="Z323" s="112"/>
      <c r="AA323" s="106"/>
      <c r="AC323" s="107">
        <f>'LC (Gross)'!AC323</f>
        <v>-0.4479283</v>
      </c>
    </row>
    <row r="324" spans="1:29" x14ac:dyDescent="0.25">
      <c r="A324" s="21">
        <v>45900</v>
      </c>
      <c r="B324" s="24">
        <f t="shared" si="358"/>
        <v>308</v>
      </c>
      <c r="C324" s="97" t="s">
        <v>413</v>
      </c>
      <c r="D324" s="84">
        <v>2.6797035488596386</v>
      </c>
      <c r="E324" s="47">
        <f t="shared" si="354"/>
        <v>15745930.503660908</v>
      </c>
      <c r="F324" s="112"/>
      <c r="G324" s="106"/>
      <c r="I324" s="39"/>
      <c r="J324" s="20">
        <f t="shared" si="278"/>
        <v>45900</v>
      </c>
      <c r="K324" s="27">
        <f>'LC (Gross)'!K324</f>
        <v>2.0271819999999998</v>
      </c>
      <c r="L324" s="46">
        <f t="shared" si="355"/>
        <v>7064959.5737801166</v>
      </c>
      <c r="M324" s="112"/>
      <c r="N324" s="106"/>
      <c r="O324" s="39"/>
      <c r="P324" s="20">
        <f t="shared" si="279"/>
        <v>45900</v>
      </c>
      <c r="Q324" s="27">
        <f>'LC (Gross)'!Q324</f>
        <v>2.8290630000000001</v>
      </c>
      <c r="R324" s="46">
        <f t="shared" si="356"/>
        <v>5799299.8923704149</v>
      </c>
      <c r="S324" s="112"/>
      <c r="T324" s="106"/>
      <c r="V324" s="39"/>
      <c r="W324" s="20">
        <f t="shared" si="280"/>
        <v>45900</v>
      </c>
      <c r="X324" s="36">
        <f>'LC (Gross)'!X324</f>
        <v>1.5505150000000001</v>
      </c>
      <c r="Y324" s="46">
        <f t="shared" si="357"/>
        <v>10514469.735103283</v>
      </c>
      <c r="Z324" s="112"/>
      <c r="AA324" s="106"/>
      <c r="AC324" s="107">
        <f>'LC (Gross)'!AC324</f>
        <v>2.6434199999999999</v>
      </c>
    </row>
    <row r="325" spans="1:29" x14ac:dyDescent="0.25">
      <c r="A325" s="21">
        <v>45930</v>
      </c>
      <c r="B325" s="24">
        <f t="shared" si="358"/>
        <v>309</v>
      </c>
      <c r="C325" s="97" t="s">
        <v>413</v>
      </c>
      <c r="D325" s="84">
        <v>1.2208076362087075</v>
      </c>
      <c r="E325" s="47">
        <f t="shared" ref="E325:E327" si="359">E324*D325/100+E324</f>
        <v>15938158.025641717</v>
      </c>
      <c r="F325" s="112"/>
      <c r="G325" s="106">
        <f>(E325/E322-1)*100</f>
        <v>3.4765459290967637</v>
      </c>
      <c r="I325" s="39"/>
      <c r="J325" s="20">
        <f t="shared" si="278"/>
        <v>45930</v>
      </c>
      <c r="K325" s="27">
        <f>'LC (Gross)'!K325</f>
        <v>3.6404380000000001</v>
      </c>
      <c r="L325" s="46">
        <f t="shared" ref="L325:L327" si="360">L324*K325/100+L324</f>
        <v>7322155.0467886459</v>
      </c>
      <c r="M325" s="112"/>
      <c r="N325" s="106">
        <f>(L325/L322-1)*100</f>
        <v>8.1145623807088008</v>
      </c>
      <c r="O325" s="39"/>
      <c r="P325" s="20">
        <f t="shared" si="279"/>
        <v>45930</v>
      </c>
      <c r="Q325" s="27">
        <f>'LC (Gross)'!Q325</f>
        <v>2.240942</v>
      </c>
      <c r="R325" s="46">
        <f t="shared" ref="R325:R327" si="361">R324*Q325/100+R324</f>
        <v>5929258.8393644979</v>
      </c>
      <c r="S325" s="112"/>
      <c r="T325" s="106">
        <f>(R325/R322-1)*100</f>
        <v>6.551730061587957</v>
      </c>
      <c r="V325" s="39"/>
      <c r="W325" s="20">
        <f t="shared" si="280"/>
        <v>45930</v>
      </c>
      <c r="X325" s="36">
        <f>'LC (Gross)'!X325</f>
        <v>0.21070530000000001</v>
      </c>
      <c r="Y325" s="46">
        <f t="shared" ref="Y325:Y327" si="362">Y324*X325/100+Y324</f>
        <v>10536624.280102042</v>
      </c>
      <c r="Z325" s="112"/>
      <c r="AA325" s="106">
        <f>(Y325/Y322-1)*100</f>
        <v>1.4679378671387022</v>
      </c>
      <c r="AC325" s="107">
        <f>'LC (Gross)'!AC325</f>
        <v>1.2054800000000001</v>
      </c>
    </row>
    <row r="326" spans="1:29" x14ac:dyDescent="0.25">
      <c r="A326" s="21">
        <v>45961</v>
      </c>
      <c r="B326" s="24">
        <f t="shared" ref="B326:B328" si="363">IF(A326&gt;A325,1+B325,"-")</f>
        <v>310</v>
      </c>
      <c r="C326" s="97" t="s">
        <v>413</v>
      </c>
      <c r="D326" s="84">
        <v>-0.12385999129374185</v>
      </c>
      <c r="E326" s="47">
        <f t="shared" si="359"/>
        <v>15918417.024498774</v>
      </c>
      <c r="F326" s="112"/>
      <c r="G326" s="106"/>
      <c r="I326" s="39"/>
      <c r="J326" s="20">
        <f t="shared" si="278"/>
        <v>45961</v>
      </c>
      <c r="K326" s="27">
        <f>'LC (Gross)'!K326</f>
        <v>2.341364</v>
      </c>
      <c r="L326" s="46">
        <f t="shared" si="360"/>
        <v>7493593.3490783386</v>
      </c>
      <c r="M326" s="112"/>
      <c r="N326" s="106"/>
      <c r="O326" s="39"/>
      <c r="P326" s="20">
        <f t="shared" si="279"/>
        <v>45961</v>
      </c>
      <c r="Q326" s="27">
        <f>'LC (Gross)'!Q326</f>
        <v>0.4265004</v>
      </c>
      <c r="R326" s="46">
        <f t="shared" si="361"/>
        <v>5954547.1520314226</v>
      </c>
      <c r="S326" s="112"/>
      <c r="T326" s="106"/>
      <c r="V326" s="39"/>
      <c r="W326" s="20">
        <f t="shared" si="280"/>
        <v>45961</v>
      </c>
      <c r="X326" s="36">
        <f>'LC (Gross)'!X326</f>
        <v>-3.7181139999999999</v>
      </c>
      <c r="Y326" s="46">
        <f t="shared" si="362"/>
        <v>10144860.57761617</v>
      </c>
      <c r="Z326" s="112"/>
      <c r="AA326" s="106"/>
      <c r="AC326" s="107">
        <f>'LC (Gross)'!AC326</f>
        <v>-0.1624255</v>
      </c>
    </row>
    <row r="327" spans="1:29" x14ac:dyDescent="0.25">
      <c r="A327" s="21">
        <v>45991</v>
      </c>
      <c r="B327" s="24">
        <f t="shared" si="363"/>
        <v>311</v>
      </c>
      <c r="C327" s="97" t="s">
        <v>413</v>
      </c>
      <c r="D327" s="84">
        <v>3.7661618229367511</v>
      </c>
      <c r="E327" s="47">
        <f t="shared" si="359"/>
        <v>16517930.369291311</v>
      </c>
      <c r="F327" s="112"/>
      <c r="G327" s="106"/>
      <c r="I327" s="39"/>
      <c r="J327" s="20">
        <f t="shared" si="278"/>
        <v>45991</v>
      </c>
      <c r="K327" s="27">
        <f>'LC (Gross)'!K327</f>
        <v>0.24512030000000001</v>
      </c>
      <c r="L327" s="46">
        <f t="shared" si="360"/>
        <v>7511961.6675763791</v>
      </c>
      <c r="M327" s="112"/>
      <c r="N327" s="106"/>
      <c r="O327" s="39"/>
      <c r="P327" s="20">
        <f t="shared" si="279"/>
        <v>45991</v>
      </c>
      <c r="Q327" s="27">
        <f>'LC (Gross)'!Q327</f>
        <v>2.8056260000000002</v>
      </c>
      <c r="R327" s="46">
        <f t="shared" si="361"/>
        <v>6121609.4751110757</v>
      </c>
      <c r="S327" s="112"/>
      <c r="T327" s="106"/>
      <c r="V327" s="39"/>
      <c r="W327" s="20">
        <f t="shared" si="280"/>
        <v>45991</v>
      </c>
      <c r="X327" s="36">
        <f>'LC (Gross)'!X327</f>
        <v>3.85893</v>
      </c>
      <c r="Y327" s="46">
        <f t="shared" si="362"/>
        <v>10536343.645903973</v>
      </c>
      <c r="Z327" s="112"/>
      <c r="AA327" s="106"/>
      <c r="AC327" s="107">
        <f>'LC (Gross)'!AC327</f>
        <v>3.7418650000000002</v>
      </c>
    </row>
    <row r="328" spans="1:29" x14ac:dyDescent="0.25">
      <c r="A328" s="21">
        <v>46022</v>
      </c>
      <c r="B328" s="24">
        <f t="shared" si="363"/>
        <v>312</v>
      </c>
      <c r="C328" s="97" t="s">
        <v>413</v>
      </c>
      <c r="D328" s="84">
        <v>-0.13073768602683153</v>
      </c>
      <c r="E328" s="47">
        <f t="shared" ref="E328" si="364">E327*D328/100+E327</f>
        <v>16496335.209346976</v>
      </c>
      <c r="F328" s="112">
        <f>(E328/E$316-1)*100</f>
        <v>9.0771338005630078</v>
      </c>
      <c r="G328" s="106">
        <f>(E328/E325-1)*100</f>
        <v>3.5021436153867214</v>
      </c>
      <c r="I328" s="39"/>
      <c r="J328" s="20">
        <f t="shared" si="278"/>
        <v>46022</v>
      </c>
      <c r="K328" s="27">
        <f>'LC (Gross)'!K328</f>
        <v>5.9176079999999999E-2</v>
      </c>
      <c r="L328" s="46">
        <f t="shared" ref="L328" si="365">L327*K328/100+L327</f>
        <v>7516406.9520223532</v>
      </c>
      <c r="M328" s="112">
        <f>(L328/L$316-1)*100</f>
        <v>17.859983918730183</v>
      </c>
      <c r="N328" s="106">
        <f>(L328/L325-1)*100</f>
        <v>2.6529335146884492</v>
      </c>
      <c r="O328" s="39"/>
      <c r="P328" s="20">
        <f t="shared" si="279"/>
        <v>46022</v>
      </c>
      <c r="Q328" s="27">
        <f>'LC (Gross)'!Q328</f>
        <v>-0.85063069999999996</v>
      </c>
      <c r="R328" s="46">
        <f t="shared" ref="R328" si="366">R327*Q328/100+R327</f>
        <v>6069537.185581672</v>
      </c>
      <c r="S328" s="112">
        <f>(R328/R$316-1)*100</f>
        <v>12.246787819133353</v>
      </c>
      <c r="T328" s="106">
        <f>(R328/R325-1)*100</f>
        <v>2.365866460169741</v>
      </c>
      <c r="V328" s="39"/>
      <c r="W328" s="20">
        <f t="shared" si="280"/>
        <v>46022</v>
      </c>
      <c r="X328" s="36">
        <f>'LC (Gross)'!X328</f>
        <v>-2.186941</v>
      </c>
      <c r="Y328" s="46">
        <f t="shared" ref="Y328" si="367">Y327*X328/100+Y327</f>
        <v>10305920.026810804</v>
      </c>
      <c r="Z328" s="112">
        <f>(Y328/Y$316-1)*100</f>
        <v>4.3575278943009943</v>
      </c>
      <c r="AA328" s="106">
        <f>(Y328/Y325-1)*100</f>
        <v>-2.1895461692310048</v>
      </c>
      <c r="AC328" s="107">
        <f>'LC (Gross)'!AC328</f>
        <v>-0.13376669999999999</v>
      </c>
    </row>
    <row r="329" spans="1:29" x14ac:dyDescent="0.25">
      <c r="B329" s="24" t="str">
        <f t="shared" ref="B329:B390" si="368">IF(A329&gt;A328,1+B328,"-")</f>
        <v>-</v>
      </c>
      <c r="K329" s="34"/>
      <c r="L329" s="34"/>
    </row>
    <row r="330" spans="1:29" x14ac:dyDescent="0.25">
      <c r="B330" s="24" t="str">
        <f t="shared" si="368"/>
        <v>-</v>
      </c>
      <c r="K330" s="34"/>
      <c r="L330" s="34"/>
    </row>
    <row r="331" spans="1:29" x14ac:dyDescent="0.25">
      <c r="B331" s="24" t="str">
        <f t="shared" si="368"/>
        <v>-</v>
      </c>
      <c r="K331" s="34"/>
      <c r="L331" s="34"/>
    </row>
    <row r="332" spans="1:29" x14ac:dyDescent="0.25">
      <c r="B332" s="24" t="str">
        <f t="shared" si="368"/>
        <v>-</v>
      </c>
      <c r="K332" s="34"/>
      <c r="L332" s="34"/>
    </row>
    <row r="333" spans="1:29" x14ac:dyDescent="0.25">
      <c r="B333" s="24" t="str">
        <f t="shared" si="368"/>
        <v>-</v>
      </c>
      <c r="K333" s="34"/>
      <c r="L333" s="34"/>
    </row>
    <row r="334" spans="1:29" x14ac:dyDescent="0.25">
      <c r="B334" s="24" t="str">
        <f t="shared" si="368"/>
        <v>-</v>
      </c>
      <c r="K334" s="34"/>
      <c r="L334" s="34"/>
    </row>
    <row r="335" spans="1:29" x14ac:dyDescent="0.25">
      <c r="B335" s="24" t="str">
        <f t="shared" si="368"/>
        <v>-</v>
      </c>
      <c r="K335" s="34"/>
      <c r="L335" s="34"/>
    </row>
    <row r="336" spans="1:29" x14ac:dyDescent="0.25">
      <c r="B336" s="24" t="str">
        <f t="shared" si="368"/>
        <v>-</v>
      </c>
      <c r="K336" s="34"/>
      <c r="L336" s="34"/>
    </row>
    <row r="337" spans="2:12" x14ac:dyDescent="0.25">
      <c r="B337" s="24" t="str">
        <f t="shared" si="368"/>
        <v>-</v>
      </c>
      <c r="K337" s="34"/>
      <c r="L337" s="34"/>
    </row>
    <row r="338" spans="2:12" x14ac:dyDescent="0.25">
      <c r="B338" s="24" t="str">
        <f t="shared" si="368"/>
        <v>-</v>
      </c>
      <c r="K338" s="34"/>
      <c r="L338" s="34"/>
    </row>
    <row r="339" spans="2:12" x14ac:dyDescent="0.25">
      <c r="B339" s="24" t="str">
        <f t="shared" si="368"/>
        <v>-</v>
      </c>
      <c r="K339" s="34"/>
      <c r="L339" s="34"/>
    </row>
    <row r="340" spans="2:12" x14ac:dyDescent="0.25">
      <c r="B340" s="24" t="str">
        <f t="shared" si="368"/>
        <v>-</v>
      </c>
      <c r="K340" s="34"/>
      <c r="L340" s="34"/>
    </row>
    <row r="341" spans="2:12" x14ac:dyDescent="0.25">
      <c r="B341" s="24" t="str">
        <f t="shared" si="368"/>
        <v>-</v>
      </c>
      <c r="K341" s="34"/>
      <c r="L341" s="34"/>
    </row>
    <row r="342" spans="2:12" x14ac:dyDescent="0.25">
      <c r="B342" s="24" t="str">
        <f t="shared" si="368"/>
        <v>-</v>
      </c>
      <c r="K342" s="34"/>
      <c r="L342" s="34"/>
    </row>
    <row r="343" spans="2:12" x14ac:dyDescent="0.25">
      <c r="B343" s="24" t="str">
        <f t="shared" si="368"/>
        <v>-</v>
      </c>
      <c r="K343" s="34"/>
      <c r="L343" s="34"/>
    </row>
    <row r="344" spans="2:12" x14ac:dyDescent="0.25">
      <c r="B344" s="24" t="str">
        <f t="shared" si="368"/>
        <v>-</v>
      </c>
      <c r="K344" s="34"/>
      <c r="L344" s="34"/>
    </row>
    <row r="345" spans="2:12" x14ac:dyDescent="0.25">
      <c r="B345" s="24" t="str">
        <f t="shared" si="368"/>
        <v>-</v>
      </c>
      <c r="K345" s="34"/>
      <c r="L345" s="34"/>
    </row>
    <row r="346" spans="2:12" x14ac:dyDescent="0.25">
      <c r="B346" s="24" t="str">
        <f t="shared" si="368"/>
        <v>-</v>
      </c>
      <c r="K346" s="34"/>
      <c r="L346" s="34"/>
    </row>
    <row r="347" spans="2:12" x14ac:dyDescent="0.25">
      <c r="B347" s="24" t="str">
        <f t="shared" si="368"/>
        <v>-</v>
      </c>
      <c r="K347" s="34"/>
      <c r="L347" s="34"/>
    </row>
    <row r="348" spans="2:12" x14ac:dyDescent="0.25">
      <c r="B348" s="24" t="str">
        <f t="shared" si="368"/>
        <v>-</v>
      </c>
      <c r="K348" s="34"/>
      <c r="L348" s="34"/>
    </row>
    <row r="349" spans="2:12" x14ac:dyDescent="0.25">
      <c r="B349" s="24" t="str">
        <f t="shared" si="368"/>
        <v>-</v>
      </c>
      <c r="K349" s="34"/>
      <c r="L349" s="34"/>
    </row>
    <row r="350" spans="2:12" x14ac:dyDescent="0.25">
      <c r="B350" s="24" t="str">
        <f t="shared" si="368"/>
        <v>-</v>
      </c>
      <c r="K350" s="34"/>
      <c r="L350" s="34"/>
    </row>
    <row r="351" spans="2:12" x14ac:dyDescent="0.25">
      <c r="B351" s="24" t="str">
        <f t="shared" si="368"/>
        <v>-</v>
      </c>
      <c r="K351" s="34"/>
      <c r="L351" s="34"/>
    </row>
    <row r="352" spans="2:12" x14ac:dyDescent="0.25">
      <c r="B352" s="24" t="str">
        <f t="shared" si="368"/>
        <v>-</v>
      </c>
      <c r="K352" s="34"/>
      <c r="L352" s="34"/>
    </row>
    <row r="353" spans="2:12" x14ac:dyDescent="0.25">
      <c r="B353" s="24" t="str">
        <f t="shared" si="368"/>
        <v>-</v>
      </c>
      <c r="K353" s="34"/>
      <c r="L353" s="34"/>
    </row>
    <row r="354" spans="2:12" x14ac:dyDescent="0.25">
      <c r="B354" s="24" t="str">
        <f t="shared" si="368"/>
        <v>-</v>
      </c>
      <c r="K354" s="34"/>
      <c r="L354" s="34"/>
    </row>
    <row r="355" spans="2:12" x14ac:dyDescent="0.25">
      <c r="B355" s="24" t="str">
        <f t="shared" si="368"/>
        <v>-</v>
      </c>
      <c r="K355" s="34"/>
      <c r="L355" s="34"/>
    </row>
    <row r="356" spans="2:12" x14ac:dyDescent="0.25">
      <c r="B356" s="24" t="str">
        <f t="shared" si="368"/>
        <v>-</v>
      </c>
      <c r="K356" s="34"/>
      <c r="L356" s="34"/>
    </row>
    <row r="357" spans="2:12" x14ac:dyDescent="0.25">
      <c r="B357" s="24" t="str">
        <f t="shared" si="368"/>
        <v>-</v>
      </c>
      <c r="K357" s="34"/>
      <c r="L357" s="34"/>
    </row>
    <row r="358" spans="2:12" x14ac:dyDescent="0.25">
      <c r="B358" s="24" t="str">
        <f t="shared" si="368"/>
        <v>-</v>
      </c>
      <c r="K358" s="34"/>
      <c r="L358" s="34"/>
    </row>
    <row r="359" spans="2:12" x14ac:dyDescent="0.25">
      <c r="B359" s="24" t="str">
        <f t="shared" si="368"/>
        <v>-</v>
      </c>
      <c r="K359" s="34"/>
      <c r="L359" s="34"/>
    </row>
    <row r="360" spans="2:12" x14ac:dyDescent="0.25">
      <c r="B360" s="24" t="str">
        <f t="shared" si="368"/>
        <v>-</v>
      </c>
      <c r="K360" s="34"/>
      <c r="L360" s="34"/>
    </row>
    <row r="361" spans="2:12" x14ac:dyDescent="0.25">
      <c r="B361" s="24" t="str">
        <f t="shared" si="368"/>
        <v>-</v>
      </c>
      <c r="K361" s="34"/>
      <c r="L361" s="34"/>
    </row>
    <row r="362" spans="2:12" x14ac:dyDescent="0.25">
      <c r="B362" s="24" t="str">
        <f t="shared" si="368"/>
        <v>-</v>
      </c>
      <c r="K362" s="34"/>
      <c r="L362" s="34"/>
    </row>
    <row r="363" spans="2:12" x14ac:dyDescent="0.25">
      <c r="B363" s="24" t="str">
        <f t="shared" si="368"/>
        <v>-</v>
      </c>
      <c r="K363" s="34"/>
      <c r="L363" s="34"/>
    </row>
    <row r="364" spans="2:12" x14ac:dyDescent="0.25">
      <c r="B364" s="24" t="str">
        <f t="shared" si="368"/>
        <v>-</v>
      </c>
      <c r="K364" s="34"/>
      <c r="L364" s="34"/>
    </row>
    <row r="365" spans="2:12" x14ac:dyDescent="0.25">
      <c r="B365" s="24" t="str">
        <f t="shared" si="368"/>
        <v>-</v>
      </c>
      <c r="K365" s="34"/>
      <c r="L365" s="34"/>
    </row>
    <row r="366" spans="2:12" x14ac:dyDescent="0.25">
      <c r="B366" s="24" t="str">
        <f t="shared" si="368"/>
        <v>-</v>
      </c>
      <c r="K366" s="34"/>
      <c r="L366" s="34"/>
    </row>
    <row r="367" spans="2:12" x14ac:dyDescent="0.25">
      <c r="B367" s="24" t="str">
        <f t="shared" si="368"/>
        <v>-</v>
      </c>
      <c r="K367" s="34"/>
      <c r="L367" s="34"/>
    </row>
    <row r="368" spans="2:12" x14ac:dyDescent="0.25">
      <c r="B368" s="24" t="str">
        <f t="shared" si="368"/>
        <v>-</v>
      </c>
      <c r="K368" s="34"/>
      <c r="L368" s="34"/>
    </row>
    <row r="369" spans="2:12" x14ac:dyDescent="0.25">
      <c r="B369" s="24" t="str">
        <f t="shared" si="368"/>
        <v>-</v>
      </c>
      <c r="K369" s="34"/>
      <c r="L369" s="34"/>
    </row>
    <row r="370" spans="2:12" x14ac:dyDescent="0.25">
      <c r="B370" s="24" t="str">
        <f t="shared" si="368"/>
        <v>-</v>
      </c>
      <c r="K370" s="34"/>
      <c r="L370" s="34"/>
    </row>
    <row r="371" spans="2:12" x14ac:dyDescent="0.25">
      <c r="B371" s="24" t="str">
        <f t="shared" si="368"/>
        <v>-</v>
      </c>
      <c r="K371" s="34"/>
      <c r="L371" s="34"/>
    </row>
    <row r="372" spans="2:12" x14ac:dyDescent="0.25">
      <c r="B372" s="24" t="str">
        <f t="shared" si="368"/>
        <v>-</v>
      </c>
      <c r="K372" s="34"/>
      <c r="L372" s="34"/>
    </row>
    <row r="373" spans="2:12" x14ac:dyDescent="0.25">
      <c r="B373" s="24" t="str">
        <f t="shared" si="368"/>
        <v>-</v>
      </c>
      <c r="K373" s="34"/>
      <c r="L373" s="34"/>
    </row>
    <row r="374" spans="2:12" x14ac:dyDescent="0.25">
      <c r="B374" s="24" t="str">
        <f t="shared" si="368"/>
        <v>-</v>
      </c>
      <c r="K374" s="34"/>
      <c r="L374" s="34"/>
    </row>
    <row r="375" spans="2:12" x14ac:dyDescent="0.25">
      <c r="B375" s="24" t="str">
        <f t="shared" si="368"/>
        <v>-</v>
      </c>
      <c r="K375" s="34"/>
      <c r="L375" s="34"/>
    </row>
    <row r="376" spans="2:12" x14ac:dyDescent="0.25">
      <c r="B376" s="24" t="str">
        <f t="shared" si="368"/>
        <v>-</v>
      </c>
      <c r="K376" s="34"/>
      <c r="L376" s="34"/>
    </row>
    <row r="377" spans="2:12" x14ac:dyDescent="0.25">
      <c r="B377" s="24" t="str">
        <f t="shared" si="368"/>
        <v>-</v>
      </c>
      <c r="K377" s="34"/>
      <c r="L377" s="34"/>
    </row>
    <row r="378" spans="2:12" x14ac:dyDescent="0.25">
      <c r="B378" s="24" t="str">
        <f t="shared" si="368"/>
        <v>-</v>
      </c>
      <c r="K378" s="34"/>
      <c r="L378" s="34"/>
    </row>
    <row r="379" spans="2:12" x14ac:dyDescent="0.25">
      <c r="B379" s="24" t="str">
        <f t="shared" si="368"/>
        <v>-</v>
      </c>
      <c r="K379" s="34"/>
      <c r="L379" s="34"/>
    </row>
    <row r="380" spans="2:12" x14ac:dyDescent="0.25">
      <c r="B380" s="24" t="str">
        <f t="shared" si="368"/>
        <v>-</v>
      </c>
      <c r="K380" s="34"/>
      <c r="L380" s="34"/>
    </row>
    <row r="381" spans="2:12" x14ac:dyDescent="0.25">
      <c r="B381" s="24" t="str">
        <f t="shared" si="368"/>
        <v>-</v>
      </c>
      <c r="K381" s="34"/>
      <c r="L381" s="34"/>
    </row>
    <row r="382" spans="2:12" x14ac:dyDescent="0.25">
      <c r="B382" s="24" t="str">
        <f t="shared" si="368"/>
        <v>-</v>
      </c>
      <c r="K382" s="34"/>
      <c r="L382" s="34"/>
    </row>
    <row r="383" spans="2:12" x14ac:dyDescent="0.25">
      <c r="B383" s="24" t="str">
        <f t="shared" si="368"/>
        <v>-</v>
      </c>
      <c r="K383" s="34"/>
      <c r="L383" s="34"/>
    </row>
    <row r="384" spans="2:12" x14ac:dyDescent="0.25">
      <c r="B384" s="24" t="str">
        <f t="shared" si="368"/>
        <v>-</v>
      </c>
      <c r="K384" s="34"/>
      <c r="L384" s="34"/>
    </row>
    <row r="385" spans="2:12" x14ac:dyDescent="0.25">
      <c r="B385" s="24" t="str">
        <f t="shared" si="368"/>
        <v>-</v>
      </c>
      <c r="K385" s="34"/>
      <c r="L385" s="34"/>
    </row>
    <row r="386" spans="2:12" x14ac:dyDescent="0.25">
      <c r="B386" s="24" t="str">
        <f t="shared" si="368"/>
        <v>-</v>
      </c>
      <c r="K386" s="34"/>
      <c r="L386" s="34"/>
    </row>
    <row r="387" spans="2:12" x14ac:dyDescent="0.25">
      <c r="B387" s="24" t="str">
        <f t="shared" si="368"/>
        <v>-</v>
      </c>
      <c r="K387" s="34"/>
      <c r="L387" s="34"/>
    </row>
    <row r="388" spans="2:12" x14ac:dyDescent="0.25">
      <c r="B388" s="24" t="str">
        <f t="shared" si="368"/>
        <v>-</v>
      </c>
      <c r="K388" s="34"/>
      <c r="L388" s="34"/>
    </row>
    <row r="389" spans="2:12" x14ac:dyDescent="0.25">
      <c r="B389" s="24" t="str">
        <f t="shared" si="368"/>
        <v>-</v>
      </c>
      <c r="K389" s="34"/>
      <c r="L389" s="34"/>
    </row>
    <row r="390" spans="2:12" x14ac:dyDescent="0.25">
      <c r="B390" s="24" t="str">
        <f t="shared" si="368"/>
        <v>-</v>
      </c>
      <c r="K390" s="34"/>
      <c r="L390" s="34"/>
    </row>
    <row r="391" spans="2:12" x14ac:dyDescent="0.25">
      <c r="B391" s="24" t="str">
        <f t="shared" ref="B391:B454" si="369">IF(A391&gt;A390,1+B390,"-")</f>
        <v>-</v>
      </c>
      <c r="K391" s="34"/>
      <c r="L391" s="34"/>
    </row>
    <row r="392" spans="2:12" x14ac:dyDescent="0.25">
      <c r="B392" s="24" t="str">
        <f t="shared" si="369"/>
        <v>-</v>
      </c>
      <c r="K392" s="34"/>
      <c r="L392" s="34"/>
    </row>
    <row r="393" spans="2:12" x14ac:dyDescent="0.25">
      <c r="B393" s="24" t="str">
        <f t="shared" si="369"/>
        <v>-</v>
      </c>
      <c r="K393" s="34"/>
      <c r="L393" s="34"/>
    </row>
    <row r="394" spans="2:12" x14ac:dyDescent="0.25">
      <c r="B394" s="24" t="str">
        <f t="shared" si="369"/>
        <v>-</v>
      </c>
      <c r="K394" s="34"/>
      <c r="L394" s="34"/>
    </row>
    <row r="395" spans="2:12" x14ac:dyDescent="0.25">
      <c r="B395" s="24" t="str">
        <f t="shared" si="369"/>
        <v>-</v>
      </c>
      <c r="K395" s="34"/>
      <c r="L395" s="34"/>
    </row>
    <row r="396" spans="2:12" x14ac:dyDescent="0.25">
      <c r="B396" s="24" t="str">
        <f t="shared" si="369"/>
        <v>-</v>
      </c>
      <c r="K396" s="34"/>
      <c r="L396" s="34"/>
    </row>
    <row r="397" spans="2:12" x14ac:dyDescent="0.25">
      <c r="B397" s="24" t="str">
        <f t="shared" si="369"/>
        <v>-</v>
      </c>
      <c r="K397" s="34"/>
      <c r="L397" s="34"/>
    </row>
    <row r="398" spans="2:12" x14ac:dyDescent="0.25">
      <c r="B398" s="24" t="str">
        <f t="shared" si="369"/>
        <v>-</v>
      </c>
      <c r="K398" s="34"/>
      <c r="L398" s="34"/>
    </row>
    <row r="399" spans="2:12" x14ac:dyDescent="0.25">
      <c r="B399" s="24" t="str">
        <f t="shared" si="369"/>
        <v>-</v>
      </c>
      <c r="K399" s="34"/>
      <c r="L399" s="34"/>
    </row>
    <row r="400" spans="2:12" x14ac:dyDescent="0.25">
      <c r="B400" s="24" t="str">
        <f t="shared" si="369"/>
        <v>-</v>
      </c>
      <c r="K400" s="34"/>
      <c r="L400" s="34"/>
    </row>
    <row r="401" spans="2:12" x14ac:dyDescent="0.25">
      <c r="B401" s="24" t="str">
        <f t="shared" si="369"/>
        <v>-</v>
      </c>
      <c r="K401" s="34"/>
      <c r="L401" s="34"/>
    </row>
    <row r="402" spans="2:12" x14ac:dyDescent="0.25">
      <c r="B402" s="24" t="str">
        <f t="shared" si="369"/>
        <v>-</v>
      </c>
      <c r="K402" s="34"/>
      <c r="L402" s="34"/>
    </row>
    <row r="403" spans="2:12" x14ac:dyDescent="0.25">
      <c r="B403" s="24" t="str">
        <f t="shared" si="369"/>
        <v>-</v>
      </c>
      <c r="K403" s="34"/>
      <c r="L403" s="34"/>
    </row>
    <row r="404" spans="2:12" x14ac:dyDescent="0.25">
      <c r="B404" s="24" t="str">
        <f t="shared" si="369"/>
        <v>-</v>
      </c>
      <c r="K404" s="34"/>
      <c r="L404" s="34"/>
    </row>
    <row r="405" spans="2:12" x14ac:dyDescent="0.25">
      <c r="B405" s="24" t="str">
        <f t="shared" si="369"/>
        <v>-</v>
      </c>
      <c r="K405" s="34"/>
      <c r="L405" s="34"/>
    </row>
    <row r="406" spans="2:12" x14ac:dyDescent="0.25">
      <c r="B406" s="24" t="str">
        <f t="shared" si="369"/>
        <v>-</v>
      </c>
      <c r="K406" s="34"/>
      <c r="L406" s="34"/>
    </row>
    <row r="407" spans="2:12" x14ac:dyDescent="0.25">
      <c r="B407" s="24" t="str">
        <f t="shared" si="369"/>
        <v>-</v>
      </c>
      <c r="K407" s="34"/>
      <c r="L407" s="34"/>
    </row>
    <row r="408" spans="2:12" x14ac:dyDescent="0.25">
      <c r="B408" s="24" t="str">
        <f t="shared" si="369"/>
        <v>-</v>
      </c>
      <c r="K408" s="34"/>
      <c r="L408" s="34"/>
    </row>
    <row r="409" spans="2:12" x14ac:dyDescent="0.25">
      <c r="B409" s="24" t="str">
        <f t="shared" si="369"/>
        <v>-</v>
      </c>
      <c r="K409" s="34"/>
      <c r="L409" s="34"/>
    </row>
    <row r="410" spans="2:12" x14ac:dyDescent="0.25">
      <c r="B410" s="24" t="str">
        <f t="shared" si="369"/>
        <v>-</v>
      </c>
      <c r="K410" s="34"/>
      <c r="L410" s="34"/>
    </row>
    <row r="411" spans="2:12" x14ac:dyDescent="0.25">
      <c r="B411" s="24" t="str">
        <f t="shared" si="369"/>
        <v>-</v>
      </c>
      <c r="K411" s="34"/>
      <c r="L411" s="34"/>
    </row>
    <row r="412" spans="2:12" x14ac:dyDescent="0.25">
      <c r="B412" s="24" t="str">
        <f t="shared" si="369"/>
        <v>-</v>
      </c>
      <c r="K412" s="34"/>
      <c r="L412" s="34"/>
    </row>
    <row r="413" spans="2:12" x14ac:dyDescent="0.25">
      <c r="B413" s="24" t="str">
        <f t="shared" si="369"/>
        <v>-</v>
      </c>
      <c r="K413" s="34"/>
      <c r="L413" s="34"/>
    </row>
    <row r="414" spans="2:12" x14ac:dyDescent="0.25">
      <c r="B414" s="24" t="str">
        <f t="shared" si="369"/>
        <v>-</v>
      </c>
      <c r="K414" s="34"/>
      <c r="L414" s="34"/>
    </row>
    <row r="415" spans="2:12" x14ac:dyDescent="0.25">
      <c r="B415" s="24" t="str">
        <f t="shared" si="369"/>
        <v>-</v>
      </c>
      <c r="K415" s="34"/>
      <c r="L415" s="34"/>
    </row>
    <row r="416" spans="2:12" x14ac:dyDescent="0.25">
      <c r="B416" s="24" t="str">
        <f t="shared" si="369"/>
        <v>-</v>
      </c>
      <c r="K416" s="34"/>
      <c r="L416" s="34"/>
    </row>
    <row r="417" spans="2:12" x14ac:dyDescent="0.25">
      <c r="B417" s="24" t="str">
        <f t="shared" si="369"/>
        <v>-</v>
      </c>
      <c r="K417" s="34"/>
      <c r="L417" s="34"/>
    </row>
    <row r="418" spans="2:12" x14ac:dyDescent="0.25">
      <c r="B418" s="24" t="str">
        <f t="shared" si="369"/>
        <v>-</v>
      </c>
      <c r="K418" s="34"/>
      <c r="L418" s="34"/>
    </row>
    <row r="419" spans="2:12" x14ac:dyDescent="0.25">
      <c r="B419" s="24" t="str">
        <f t="shared" si="369"/>
        <v>-</v>
      </c>
      <c r="K419" s="34"/>
      <c r="L419" s="34"/>
    </row>
    <row r="420" spans="2:12" x14ac:dyDescent="0.25">
      <c r="B420" s="24" t="str">
        <f t="shared" si="369"/>
        <v>-</v>
      </c>
      <c r="K420" s="34"/>
      <c r="L420" s="34"/>
    </row>
    <row r="421" spans="2:12" x14ac:dyDescent="0.25">
      <c r="B421" s="24" t="str">
        <f t="shared" si="369"/>
        <v>-</v>
      </c>
      <c r="K421" s="34"/>
      <c r="L421" s="34"/>
    </row>
    <row r="422" spans="2:12" x14ac:dyDescent="0.25">
      <c r="B422" s="24" t="str">
        <f t="shared" si="369"/>
        <v>-</v>
      </c>
      <c r="K422" s="34"/>
      <c r="L422" s="34"/>
    </row>
    <row r="423" spans="2:12" x14ac:dyDescent="0.25">
      <c r="B423" s="24" t="str">
        <f t="shared" si="369"/>
        <v>-</v>
      </c>
      <c r="K423" s="34"/>
      <c r="L423" s="34"/>
    </row>
    <row r="424" spans="2:12" x14ac:dyDescent="0.25">
      <c r="B424" s="24" t="str">
        <f t="shared" si="369"/>
        <v>-</v>
      </c>
      <c r="K424" s="34"/>
      <c r="L424" s="34"/>
    </row>
    <row r="425" spans="2:12" x14ac:dyDescent="0.25">
      <c r="B425" s="24" t="str">
        <f t="shared" si="369"/>
        <v>-</v>
      </c>
      <c r="K425" s="34"/>
      <c r="L425" s="34"/>
    </row>
    <row r="426" spans="2:12" x14ac:dyDescent="0.25">
      <c r="B426" s="24" t="str">
        <f t="shared" si="369"/>
        <v>-</v>
      </c>
      <c r="K426" s="34"/>
      <c r="L426" s="34"/>
    </row>
    <row r="427" spans="2:12" x14ac:dyDescent="0.25">
      <c r="B427" s="24" t="str">
        <f t="shared" si="369"/>
        <v>-</v>
      </c>
      <c r="K427" s="34"/>
      <c r="L427" s="34"/>
    </row>
    <row r="428" spans="2:12" x14ac:dyDescent="0.25">
      <c r="B428" s="24" t="str">
        <f t="shared" si="369"/>
        <v>-</v>
      </c>
      <c r="K428" s="34"/>
      <c r="L428" s="34"/>
    </row>
    <row r="429" spans="2:12" x14ac:dyDescent="0.25">
      <c r="B429" s="24" t="str">
        <f t="shared" si="369"/>
        <v>-</v>
      </c>
      <c r="K429" s="34"/>
      <c r="L429" s="34"/>
    </row>
    <row r="430" spans="2:12" x14ac:dyDescent="0.25">
      <c r="B430" s="24" t="str">
        <f t="shared" si="369"/>
        <v>-</v>
      </c>
      <c r="K430" s="34"/>
      <c r="L430" s="34"/>
    </row>
    <row r="431" spans="2:12" x14ac:dyDescent="0.25">
      <c r="B431" s="24" t="str">
        <f t="shared" si="369"/>
        <v>-</v>
      </c>
      <c r="K431" s="34"/>
      <c r="L431" s="34"/>
    </row>
    <row r="432" spans="2:12" x14ac:dyDescent="0.25">
      <c r="B432" s="24" t="str">
        <f t="shared" si="369"/>
        <v>-</v>
      </c>
      <c r="K432" s="34"/>
      <c r="L432" s="34"/>
    </row>
    <row r="433" spans="2:12" x14ac:dyDescent="0.25">
      <c r="B433" s="24" t="str">
        <f t="shared" si="369"/>
        <v>-</v>
      </c>
      <c r="K433" s="34"/>
      <c r="L433" s="34"/>
    </row>
    <row r="434" spans="2:12" x14ac:dyDescent="0.25">
      <c r="B434" s="24" t="str">
        <f t="shared" si="369"/>
        <v>-</v>
      </c>
      <c r="K434" s="34"/>
      <c r="L434" s="34"/>
    </row>
    <row r="435" spans="2:12" x14ac:dyDescent="0.25">
      <c r="B435" s="24" t="str">
        <f t="shared" si="369"/>
        <v>-</v>
      </c>
      <c r="K435" s="34"/>
      <c r="L435" s="34"/>
    </row>
    <row r="436" spans="2:12" x14ac:dyDescent="0.25">
      <c r="B436" s="24" t="str">
        <f t="shared" si="369"/>
        <v>-</v>
      </c>
      <c r="K436" s="34"/>
      <c r="L436" s="34"/>
    </row>
    <row r="437" spans="2:12" x14ac:dyDescent="0.25">
      <c r="B437" s="24" t="str">
        <f t="shared" si="369"/>
        <v>-</v>
      </c>
      <c r="K437" s="34"/>
      <c r="L437" s="34"/>
    </row>
    <row r="438" spans="2:12" x14ac:dyDescent="0.25">
      <c r="B438" s="24" t="str">
        <f t="shared" si="369"/>
        <v>-</v>
      </c>
      <c r="K438" s="34"/>
      <c r="L438" s="34"/>
    </row>
    <row r="439" spans="2:12" x14ac:dyDescent="0.25">
      <c r="B439" s="24" t="str">
        <f t="shared" si="369"/>
        <v>-</v>
      </c>
      <c r="K439" s="34"/>
      <c r="L439" s="34"/>
    </row>
    <row r="440" spans="2:12" x14ac:dyDescent="0.25">
      <c r="B440" s="24" t="str">
        <f t="shared" si="369"/>
        <v>-</v>
      </c>
      <c r="K440" s="34"/>
      <c r="L440" s="34"/>
    </row>
    <row r="441" spans="2:12" x14ac:dyDescent="0.25">
      <c r="B441" s="24" t="str">
        <f t="shared" si="369"/>
        <v>-</v>
      </c>
      <c r="K441" s="34"/>
      <c r="L441" s="34"/>
    </row>
    <row r="442" spans="2:12" x14ac:dyDescent="0.25">
      <c r="B442" s="24" t="str">
        <f t="shared" si="369"/>
        <v>-</v>
      </c>
      <c r="K442" s="34"/>
      <c r="L442" s="34"/>
    </row>
    <row r="443" spans="2:12" x14ac:dyDescent="0.25">
      <c r="B443" s="24" t="str">
        <f t="shared" si="369"/>
        <v>-</v>
      </c>
      <c r="K443" s="34"/>
      <c r="L443" s="34"/>
    </row>
    <row r="444" spans="2:12" x14ac:dyDescent="0.25">
      <c r="B444" s="24" t="str">
        <f t="shared" si="369"/>
        <v>-</v>
      </c>
      <c r="K444" s="34"/>
      <c r="L444" s="34"/>
    </row>
    <row r="445" spans="2:12" x14ac:dyDescent="0.25">
      <c r="B445" s="24" t="str">
        <f t="shared" si="369"/>
        <v>-</v>
      </c>
      <c r="K445" s="34"/>
      <c r="L445" s="34"/>
    </row>
    <row r="446" spans="2:12" x14ac:dyDescent="0.25">
      <c r="B446" s="24" t="str">
        <f t="shared" si="369"/>
        <v>-</v>
      </c>
      <c r="K446" s="34"/>
      <c r="L446" s="34"/>
    </row>
    <row r="447" spans="2:12" x14ac:dyDescent="0.25">
      <c r="B447" s="24" t="str">
        <f t="shared" si="369"/>
        <v>-</v>
      </c>
      <c r="K447" s="34"/>
      <c r="L447" s="34"/>
    </row>
    <row r="448" spans="2:12" x14ac:dyDescent="0.25">
      <c r="B448" s="24" t="str">
        <f t="shared" si="369"/>
        <v>-</v>
      </c>
      <c r="K448" s="34"/>
      <c r="L448" s="34"/>
    </row>
    <row r="449" spans="2:12" x14ac:dyDescent="0.25">
      <c r="B449" s="24" t="str">
        <f t="shared" si="369"/>
        <v>-</v>
      </c>
      <c r="K449" s="34"/>
      <c r="L449" s="34"/>
    </row>
    <row r="450" spans="2:12" x14ac:dyDescent="0.25">
      <c r="B450" s="24" t="str">
        <f t="shared" si="369"/>
        <v>-</v>
      </c>
      <c r="K450" s="34"/>
      <c r="L450" s="34"/>
    </row>
    <row r="451" spans="2:12" x14ac:dyDescent="0.25">
      <c r="B451" s="24" t="str">
        <f t="shared" si="369"/>
        <v>-</v>
      </c>
      <c r="K451" s="34"/>
      <c r="L451" s="34"/>
    </row>
    <row r="452" spans="2:12" x14ac:dyDescent="0.25">
      <c r="B452" s="24" t="str">
        <f t="shared" si="369"/>
        <v>-</v>
      </c>
      <c r="K452" s="34"/>
      <c r="L452" s="34"/>
    </row>
    <row r="453" spans="2:12" x14ac:dyDescent="0.25">
      <c r="B453" s="24" t="str">
        <f t="shared" si="369"/>
        <v>-</v>
      </c>
      <c r="K453" s="34"/>
      <c r="L453" s="34"/>
    </row>
    <row r="454" spans="2:12" x14ac:dyDescent="0.25">
      <c r="B454" s="24" t="str">
        <f t="shared" si="369"/>
        <v>-</v>
      </c>
      <c r="K454" s="34"/>
      <c r="L454" s="34"/>
    </row>
    <row r="455" spans="2:12" x14ac:dyDescent="0.25">
      <c r="B455" s="24" t="str">
        <f t="shared" ref="B455:B506" si="370">IF(A455&gt;A454,1+B454,"-")</f>
        <v>-</v>
      </c>
      <c r="K455" s="34"/>
      <c r="L455" s="34"/>
    </row>
    <row r="456" spans="2:12" x14ac:dyDescent="0.25">
      <c r="B456" s="24" t="str">
        <f t="shared" si="370"/>
        <v>-</v>
      </c>
      <c r="K456" s="34"/>
      <c r="L456" s="34"/>
    </row>
    <row r="457" spans="2:12" x14ac:dyDescent="0.25">
      <c r="B457" s="24" t="str">
        <f t="shared" si="370"/>
        <v>-</v>
      </c>
      <c r="K457" s="34"/>
      <c r="L457" s="34"/>
    </row>
    <row r="458" spans="2:12" x14ac:dyDescent="0.25">
      <c r="B458" s="24" t="str">
        <f t="shared" si="370"/>
        <v>-</v>
      </c>
      <c r="K458" s="34"/>
      <c r="L458" s="34"/>
    </row>
    <row r="459" spans="2:12" x14ac:dyDescent="0.25">
      <c r="B459" s="24" t="str">
        <f t="shared" si="370"/>
        <v>-</v>
      </c>
      <c r="K459" s="34"/>
      <c r="L459" s="34"/>
    </row>
    <row r="460" spans="2:12" x14ac:dyDescent="0.25">
      <c r="B460" s="24" t="str">
        <f t="shared" si="370"/>
        <v>-</v>
      </c>
      <c r="K460" s="34"/>
      <c r="L460" s="34"/>
    </row>
    <row r="461" spans="2:12" x14ac:dyDescent="0.25">
      <c r="B461" s="24" t="str">
        <f t="shared" si="370"/>
        <v>-</v>
      </c>
      <c r="K461" s="34"/>
      <c r="L461" s="34"/>
    </row>
    <row r="462" spans="2:12" x14ac:dyDescent="0.25">
      <c r="B462" s="24" t="str">
        <f t="shared" si="370"/>
        <v>-</v>
      </c>
      <c r="K462" s="34"/>
      <c r="L462" s="34"/>
    </row>
    <row r="463" spans="2:12" x14ac:dyDescent="0.25">
      <c r="B463" s="24" t="str">
        <f t="shared" si="370"/>
        <v>-</v>
      </c>
      <c r="K463" s="34"/>
      <c r="L463" s="34"/>
    </row>
    <row r="464" spans="2:12" x14ac:dyDescent="0.25">
      <c r="B464" s="24" t="str">
        <f t="shared" si="370"/>
        <v>-</v>
      </c>
      <c r="K464" s="34"/>
      <c r="L464" s="34"/>
    </row>
    <row r="465" spans="2:12" x14ac:dyDescent="0.25">
      <c r="B465" s="24" t="str">
        <f t="shared" si="370"/>
        <v>-</v>
      </c>
      <c r="K465" s="34"/>
      <c r="L465" s="34"/>
    </row>
    <row r="466" spans="2:12" x14ac:dyDescent="0.25">
      <c r="B466" s="24" t="str">
        <f t="shared" si="370"/>
        <v>-</v>
      </c>
      <c r="K466" s="34"/>
      <c r="L466" s="34"/>
    </row>
    <row r="467" spans="2:12" x14ac:dyDescent="0.25">
      <c r="B467" s="24" t="str">
        <f t="shared" si="370"/>
        <v>-</v>
      </c>
      <c r="K467" s="34"/>
      <c r="L467" s="34"/>
    </row>
    <row r="468" spans="2:12" x14ac:dyDescent="0.25">
      <c r="B468" s="24" t="str">
        <f t="shared" si="370"/>
        <v>-</v>
      </c>
      <c r="K468" s="34"/>
      <c r="L468" s="34"/>
    </row>
    <row r="469" spans="2:12" x14ac:dyDescent="0.25">
      <c r="B469" s="24" t="str">
        <f t="shared" si="370"/>
        <v>-</v>
      </c>
      <c r="K469" s="34"/>
      <c r="L469" s="34"/>
    </row>
    <row r="470" spans="2:12" x14ac:dyDescent="0.25">
      <c r="B470" s="24" t="str">
        <f t="shared" si="370"/>
        <v>-</v>
      </c>
      <c r="K470" s="34"/>
      <c r="L470" s="34"/>
    </row>
    <row r="471" spans="2:12" x14ac:dyDescent="0.25">
      <c r="B471" s="24" t="str">
        <f t="shared" si="370"/>
        <v>-</v>
      </c>
      <c r="K471" s="34"/>
      <c r="L471" s="34"/>
    </row>
    <row r="472" spans="2:12" x14ac:dyDescent="0.25">
      <c r="B472" s="24" t="str">
        <f t="shared" si="370"/>
        <v>-</v>
      </c>
      <c r="K472" s="34"/>
      <c r="L472" s="34"/>
    </row>
    <row r="473" spans="2:12" x14ac:dyDescent="0.25">
      <c r="B473" s="24" t="str">
        <f t="shared" si="370"/>
        <v>-</v>
      </c>
      <c r="K473" s="34"/>
      <c r="L473" s="34"/>
    </row>
    <row r="474" spans="2:12" x14ac:dyDescent="0.25">
      <c r="B474" s="24" t="str">
        <f t="shared" si="370"/>
        <v>-</v>
      </c>
      <c r="K474" s="34"/>
      <c r="L474" s="34"/>
    </row>
    <row r="475" spans="2:12" x14ac:dyDescent="0.25">
      <c r="B475" s="24" t="str">
        <f t="shared" si="370"/>
        <v>-</v>
      </c>
      <c r="K475" s="34"/>
      <c r="L475" s="34"/>
    </row>
    <row r="476" spans="2:12" x14ac:dyDescent="0.25">
      <c r="B476" s="24" t="str">
        <f t="shared" si="370"/>
        <v>-</v>
      </c>
      <c r="K476" s="34"/>
      <c r="L476" s="34"/>
    </row>
    <row r="477" spans="2:12" x14ac:dyDescent="0.25">
      <c r="B477" s="24" t="str">
        <f t="shared" si="370"/>
        <v>-</v>
      </c>
      <c r="K477" s="34"/>
      <c r="L477" s="34"/>
    </row>
    <row r="478" spans="2:12" x14ac:dyDescent="0.25">
      <c r="B478" s="24" t="str">
        <f t="shared" si="370"/>
        <v>-</v>
      </c>
      <c r="K478" s="34"/>
      <c r="L478" s="34"/>
    </row>
    <row r="479" spans="2:12" x14ac:dyDescent="0.25">
      <c r="B479" s="24" t="str">
        <f t="shared" si="370"/>
        <v>-</v>
      </c>
      <c r="K479" s="34"/>
      <c r="L479" s="34"/>
    </row>
    <row r="480" spans="2:12" x14ac:dyDescent="0.25">
      <c r="B480" s="24" t="str">
        <f t="shared" si="370"/>
        <v>-</v>
      </c>
      <c r="K480" s="34"/>
      <c r="L480" s="34"/>
    </row>
    <row r="481" spans="2:12" x14ac:dyDescent="0.25">
      <c r="B481" s="24" t="str">
        <f t="shared" si="370"/>
        <v>-</v>
      </c>
      <c r="K481" s="34"/>
      <c r="L481" s="34"/>
    </row>
    <row r="482" spans="2:12" x14ac:dyDescent="0.25">
      <c r="B482" s="24" t="str">
        <f t="shared" si="370"/>
        <v>-</v>
      </c>
      <c r="K482" s="34"/>
      <c r="L482" s="34"/>
    </row>
    <row r="483" spans="2:12" x14ac:dyDescent="0.25">
      <c r="B483" s="24" t="str">
        <f t="shared" si="370"/>
        <v>-</v>
      </c>
      <c r="K483" s="34"/>
      <c r="L483" s="34"/>
    </row>
    <row r="484" spans="2:12" x14ac:dyDescent="0.25">
      <c r="B484" s="24" t="str">
        <f t="shared" si="370"/>
        <v>-</v>
      </c>
      <c r="K484" s="34"/>
      <c r="L484" s="34"/>
    </row>
    <row r="485" spans="2:12" x14ac:dyDescent="0.25">
      <c r="B485" s="24" t="str">
        <f t="shared" si="370"/>
        <v>-</v>
      </c>
      <c r="K485" s="34"/>
      <c r="L485" s="34"/>
    </row>
    <row r="486" spans="2:12" x14ac:dyDescent="0.25">
      <c r="B486" s="24" t="str">
        <f t="shared" si="370"/>
        <v>-</v>
      </c>
      <c r="K486" s="34"/>
      <c r="L486" s="34"/>
    </row>
    <row r="487" spans="2:12" x14ac:dyDescent="0.25">
      <c r="B487" s="24" t="str">
        <f t="shared" si="370"/>
        <v>-</v>
      </c>
      <c r="K487" s="34"/>
      <c r="L487" s="34"/>
    </row>
    <row r="488" spans="2:12" x14ac:dyDescent="0.25">
      <c r="B488" s="24" t="str">
        <f t="shared" si="370"/>
        <v>-</v>
      </c>
      <c r="K488" s="34"/>
      <c r="L488" s="34"/>
    </row>
    <row r="489" spans="2:12" x14ac:dyDescent="0.25">
      <c r="B489" s="24" t="str">
        <f t="shared" si="370"/>
        <v>-</v>
      </c>
      <c r="K489" s="34"/>
      <c r="L489" s="34"/>
    </row>
    <row r="490" spans="2:12" x14ac:dyDescent="0.25">
      <c r="B490" s="24" t="str">
        <f t="shared" si="370"/>
        <v>-</v>
      </c>
      <c r="K490" s="34"/>
      <c r="L490" s="34"/>
    </row>
    <row r="491" spans="2:12" x14ac:dyDescent="0.25">
      <c r="B491" s="24" t="str">
        <f t="shared" si="370"/>
        <v>-</v>
      </c>
      <c r="K491" s="34"/>
      <c r="L491" s="34"/>
    </row>
    <row r="492" spans="2:12" x14ac:dyDescent="0.25">
      <c r="B492" s="24" t="str">
        <f t="shared" si="370"/>
        <v>-</v>
      </c>
      <c r="K492" s="34"/>
      <c r="L492" s="34"/>
    </row>
    <row r="493" spans="2:12" x14ac:dyDescent="0.25">
      <c r="B493" s="24" t="str">
        <f t="shared" si="370"/>
        <v>-</v>
      </c>
      <c r="K493" s="34"/>
      <c r="L493" s="34"/>
    </row>
    <row r="494" spans="2:12" x14ac:dyDescent="0.25">
      <c r="B494" s="24" t="str">
        <f t="shared" si="370"/>
        <v>-</v>
      </c>
      <c r="K494" s="34"/>
      <c r="L494" s="34"/>
    </row>
    <row r="495" spans="2:12" x14ac:dyDescent="0.25">
      <c r="B495" s="24" t="str">
        <f t="shared" si="370"/>
        <v>-</v>
      </c>
      <c r="K495" s="34"/>
      <c r="L495" s="34"/>
    </row>
    <row r="496" spans="2:12" x14ac:dyDescent="0.25">
      <c r="B496" s="24" t="str">
        <f t="shared" si="370"/>
        <v>-</v>
      </c>
      <c r="K496" s="34"/>
      <c r="L496" s="34"/>
    </row>
    <row r="497" spans="2:12" x14ac:dyDescent="0.25">
      <c r="B497" s="24" t="str">
        <f t="shared" si="370"/>
        <v>-</v>
      </c>
      <c r="K497" s="34"/>
      <c r="L497" s="34"/>
    </row>
    <row r="498" spans="2:12" x14ac:dyDescent="0.25">
      <c r="B498" s="24" t="str">
        <f t="shared" si="370"/>
        <v>-</v>
      </c>
      <c r="K498" s="34"/>
      <c r="L498" s="34"/>
    </row>
    <row r="499" spans="2:12" x14ac:dyDescent="0.25">
      <c r="B499" s="24" t="str">
        <f t="shared" si="370"/>
        <v>-</v>
      </c>
      <c r="K499" s="34"/>
      <c r="L499" s="34"/>
    </row>
    <row r="500" spans="2:12" x14ac:dyDescent="0.25">
      <c r="B500" s="24" t="str">
        <f t="shared" si="370"/>
        <v>-</v>
      </c>
    </row>
    <row r="501" spans="2:12" x14ac:dyDescent="0.25">
      <c r="B501" s="24" t="str">
        <f t="shared" si="370"/>
        <v>-</v>
      </c>
    </row>
    <row r="502" spans="2:12" x14ac:dyDescent="0.25">
      <c r="B502" s="24" t="str">
        <f t="shared" si="370"/>
        <v>-</v>
      </c>
    </row>
    <row r="503" spans="2:12" x14ac:dyDescent="0.25">
      <c r="B503" s="24" t="str">
        <f t="shared" si="370"/>
        <v>-</v>
      </c>
    </row>
    <row r="504" spans="2:12" x14ac:dyDescent="0.25">
      <c r="B504" s="24" t="str">
        <f t="shared" si="370"/>
        <v>-</v>
      </c>
    </row>
    <row r="505" spans="2:12" x14ac:dyDescent="0.25">
      <c r="B505" s="24" t="str">
        <f t="shared" si="370"/>
        <v>-</v>
      </c>
    </row>
    <row r="506" spans="2:12" x14ac:dyDescent="0.25">
      <c r="B506" s="24" t="str">
        <f t="shared" si="370"/>
        <v>-</v>
      </c>
    </row>
  </sheetData>
  <mergeCells count="24">
    <mergeCell ref="AE208:AF208"/>
    <mergeCell ref="AG222:AH222"/>
    <mergeCell ref="AG244:AH244"/>
    <mergeCell ref="AY14:AZ14"/>
    <mergeCell ref="AC165:AD165"/>
    <mergeCell ref="AC14:AD14"/>
    <mergeCell ref="AE14:AF14"/>
    <mergeCell ref="AG14:AH14"/>
    <mergeCell ref="AI14:AJ14"/>
    <mergeCell ref="AK14:AL14"/>
    <mergeCell ref="AM14:AN14"/>
    <mergeCell ref="AO14:AP14"/>
    <mergeCell ref="AQ14:AR14"/>
    <mergeCell ref="AS14:AT14"/>
    <mergeCell ref="AU14:AV14"/>
    <mergeCell ref="AW14:AX14"/>
    <mergeCell ref="AS248:AT248"/>
    <mergeCell ref="AU248:AV248"/>
    <mergeCell ref="AW248:AX248"/>
    <mergeCell ref="AI248:AJ248"/>
    <mergeCell ref="AK248:AL248"/>
    <mergeCell ref="AM248:AN248"/>
    <mergeCell ref="AO248:AP248"/>
    <mergeCell ref="AQ248:AR248"/>
  </mergeCells>
  <pageMargins left="0.75" right="0.75" top="1" bottom="1" header="0.5" footer="0.5"/>
  <ignoredErrors>
    <ignoredError sqref="AH262 AT262 AV262 AX262 AR262 AJ266:AJ268 AL266:AL268 AN266:AO266 AN267:AN268 AR266 AR267:AR268 AT266 AT267:AT268 AV266 AV267:AV268" formula="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H506"/>
  <sheetViews>
    <sheetView zoomScaleNormal="100" workbookViewId="0">
      <pane xSplit="2" ySplit="15" topLeftCell="C239" activePane="bottomRight" state="frozen"/>
      <selection pane="topRight" activeCell="L16" sqref="L16:L53"/>
      <selection pane="bottomLeft" activeCell="L16" sqref="L16:L53"/>
      <selection pane="bottomRight" activeCell="E249" sqref="E249"/>
    </sheetView>
  </sheetViews>
  <sheetFormatPr defaultColWidth="11" defaultRowHeight="15.75" x14ac:dyDescent="0.25"/>
  <cols>
    <col min="1" max="1" width="13.125" style="145" customWidth="1"/>
    <col min="2" max="2" width="4.5" style="146" customWidth="1"/>
    <col min="3" max="3" width="28.5" style="146" customWidth="1"/>
    <col min="4" max="4" width="11.625" style="146" bestFit="1" customWidth="1"/>
    <col min="5" max="5" width="11.625" style="148" bestFit="1" customWidth="1"/>
    <col min="6" max="6" width="7" style="145" bestFit="1" customWidth="1"/>
    <col min="7" max="7" width="9.125" style="145" bestFit="1" customWidth="1"/>
    <col min="8" max="8" width="10.125" style="145" bestFit="1" customWidth="1"/>
    <col min="9" max="9" width="1.625" style="145" customWidth="1"/>
    <col min="10" max="10" width="12.5" style="145" customWidth="1"/>
    <col min="11" max="11" width="10.125" style="145" bestFit="1" customWidth="1"/>
    <col min="12" max="12" width="11.125" style="145" bestFit="1" customWidth="1"/>
    <col min="13" max="13" width="7.125" style="145" bestFit="1" customWidth="1"/>
    <col min="14" max="14" width="9.125" style="145" bestFit="1" customWidth="1"/>
    <col min="15" max="15" width="1.625" style="145" customWidth="1"/>
    <col min="16" max="16" width="12.125" style="145" customWidth="1"/>
    <col min="17" max="17" width="11.625" style="145" bestFit="1" customWidth="1"/>
    <col min="18" max="18" width="13.625" style="145" bestFit="1" customWidth="1"/>
    <col min="19" max="19" width="7.5" style="145" bestFit="1" customWidth="1"/>
    <col min="20" max="20" width="9.125" style="145" bestFit="1" customWidth="1"/>
    <col min="21" max="21" width="2" style="145" customWidth="1"/>
    <col min="22" max="23" width="8.125" style="145" customWidth="1"/>
    <col min="24" max="31" width="11" style="145"/>
    <col min="32" max="32" width="11.5" style="145" bestFit="1" customWidth="1"/>
    <col min="33" max="33" width="12.125" style="145" bestFit="1" customWidth="1"/>
    <col min="34" max="16384" width="11" style="145"/>
  </cols>
  <sheetData>
    <row r="1" spans="1:29" x14ac:dyDescent="0.25">
      <c r="A1" s="256"/>
      <c r="B1" s="257"/>
      <c r="C1" s="7" t="s">
        <v>109</v>
      </c>
      <c r="D1" s="13"/>
      <c r="E1" s="14"/>
      <c r="F1" s="7"/>
      <c r="G1" s="256"/>
      <c r="H1" s="256"/>
      <c r="I1" s="258"/>
      <c r="J1" s="7" t="s">
        <v>110</v>
      </c>
      <c r="K1" s="13"/>
      <c r="L1" s="13"/>
      <c r="M1" s="14"/>
      <c r="N1" s="15"/>
      <c r="O1" s="258"/>
      <c r="P1" s="7" t="s">
        <v>290</v>
      </c>
      <c r="Q1" s="13"/>
      <c r="R1" s="13"/>
      <c r="S1" s="14"/>
      <c r="T1" s="15"/>
      <c r="U1" s="258"/>
      <c r="V1" s="256"/>
      <c r="W1" s="256"/>
      <c r="X1" s="256"/>
      <c r="Y1" s="256"/>
      <c r="Z1" s="256"/>
      <c r="AA1" s="256"/>
      <c r="AB1" s="256"/>
      <c r="AC1" s="256"/>
    </row>
    <row r="2" spans="1:29" x14ac:dyDescent="0.25">
      <c r="A2" s="256"/>
      <c r="B2" s="257"/>
      <c r="C2" s="7"/>
      <c r="D2" s="16"/>
      <c r="E2" s="16"/>
      <c r="F2" s="16"/>
      <c r="G2" s="16"/>
      <c r="H2" s="16"/>
      <c r="I2" s="258"/>
      <c r="J2" s="256"/>
      <c r="K2" s="16"/>
      <c r="L2" s="259"/>
      <c r="M2" s="16"/>
      <c r="N2" s="16"/>
      <c r="O2" s="258"/>
      <c r="P2" s="256"/>
      <c r="Q2" s="16"/>
      <c r="R2" s="259"/>
      <c r="S2" s="16"/>
      <c r="T2" s="16"/>
      <c r="U2" s="258"/>
      <c r="V2" s="256"/>
      <c r="W2" s="256"/>
      <c r="X2" s="256"/>
      <c r="Y2" s="256"/>
      <c r="Z2" s="256"/>
      <c r="AA2" s="256"/>
      <c r="AB2" s="256"/>
      <c r="AC2" s="256"/>
    </row>
    <row r="3" spans="1:29" x14ac:dyDescent="0.25">
      <c r="A3" s="256"/>
      <c r="B3" s="257"/>
      <c r="C3" s="7"/>
      <c r="D3" s="191"/>
      <c r="E3" s="16"/>
      <c r="F3" s="16"/>
      <c r="G3" s="16"/>
      <c r="H3" s="16"/>
      <c r="I3" s="258"/>
      <c r="J3" s="256"/>
      <c r="K3" s="16"/>
      <c r="L3" s="16"/>
      <c r="M3" s="16"/>
      <c r="N3" s="16"/>
      <c r="O3" s="258"/>
      <c r="P3" s="43"/>
      <c r="Q3" s="42"/>
      <c r="R3" s="16"/>
      <c r="S3" s="256"/>
      <c r="T3" s="16"/>
      <c r="U3" s="258"/>
      <c r="V3" s="256"/>
      <c r="W3" s="260"/>
      <c r="X3" s="256"/>
      <c r="Y3" s="256"/>
      <c r="Z3" s="256"/>
      <c r="AA3" s="256"/>
      <c r="AB3" s="256"/>
      <c r="AC3" s="256"/>
    </row>
    <row r="4" spans="1:29" x14ac:dyDescent="0.25">
      <c r="A4" s="256"/>
      <c r="B4" s="257"/>
      <c r="C4" s="7"/>
      <c r="D4" s="16" t="s">
        <v>41</v>
      </c>
      <c r="E4" s="257" t="s">
        <v>42</v>
      </c>
      <c r="F4" s="17" t="s">
        <v>43</v>
      </c>
      <c r="G4" s="35" t="s">
        <v>44</v>
      </c>
      <c r="H4" s="17" t="s">
        <v>45</v>
      </c>
      <c r="I4" s="258"/>
      <c r="J4" s="256"/>
      <c r="K4" s="257" t="s">
        <v>41</v>
      </c>
      <c r="L4" s="17" t="s">
        <v>43</v>
      </c>
      <c r="M4" s="17" t="s">
        <v>45</v>
      </c>
      <c r="N4" s="35"/>
      <c r="O4" s="258"/>
      <c r="P4" s="256"/>
      <c r="Q4" s="257" t="s">
        <v>41</v>
      </c>
      <c r="R4" s="257" t="s">
        <v>42</v>
      </c>
      <c r="S4" s="17" t="s">
        <v>43</v>
      </c>
      <c r="T4" s="17" t="s">
        <v>45</v>
      </c>
      <c r="U4" s="40"/>
      <c r="V4" s="256"/>
      <c r="W4" s="256"/>
      <c r="X4" s="256"/>
      <c r="Y4" s="256"/>
      <c r="Z4" s="256"/>
      <c r="AA4" s="256"/>
      <c r="AB4" s="256"/>
      <c r="AC4" s="256"/>
    </row>
    <row r="5" spans="1:29" x14ac:dyDescent="0.25">
      <c r="A5" s="256"/>
      <c r="B5" s="23">
        <v>12</v>
      </c>
      <c r="C5" s="7" t="s">
        <v>7</v>
      </c>
      <c r="D5" s="16">
        <f t="array" aca="1" ref="D5" ca="1">IFERROR((GEOMEAN(1+OFFSET(D$16,MAX($B$16:$B$506)-$B$5+1,0,$B$5,1)/100)^$B$5-1)*100,"N/A")</f>
        <v>12.659470144866081</v>
      </c>
      <c r="E5" s="259">
        <f t="shared" ref="E5:E13" ca="1" si="0">IFERROR(D5-$K5,"N/A")</f>
        <v>-10.233126581113549</v>
      </c>
      <c r="F5" s="16">
        <f ca="1">IFERROR(SLOPE(OFFSET(D$16,MAX($B$16:$B$506)-$B$5+1,0,$B$5,1),OFFSET($K$16,MAX($B$16:$B$506)-$B$5+1,0,$B$5,1)),"N/A")</f>
        <v>0.1633753141538172</v>
      </c>
      <c r="G5" s="16">
        <f t="array" aca="1" ref="G5" ca="1">IFERROR(INTERCEPT(OFFSET(D$16,MAX($B$16:$B$506)-$B$5+1,0,$B$5,1),OFFSET($K$16,MAX($B$16:$B$506)-$B$5+1,0,$B$5,1))*12,"N/A")</f>
        <v>8.7151895357938738</v>
      </c>
      <c r="H5" s="16">
        <f ca="1">IFERROR(STDEVP(OFFSET(D$16,MAX($B$16:$B$506)-$B$5+1,0,$B$5,1))*SQRT(12),"N/A")</f>
        <v>6.2003629319860387</v>
      </c>
      <c r="I5" s="258"/>
      <c r="J5" s="7" t="s">
        <v>7</v>
      </c>
      <c r="K5" s="16">
        <f t="array" aca="1" ref="K5" ca="1">IFERROR((GEOMEAN(1+OFFSET(K$16,MAX($B$16:$B$506)-$B$5+1,0,$B$5,1)/100)^$B$5-1)*100,"N/A")</f>
        <v>22.892596725979629</v>
      </c>
      <c r="L5" s="16">
        <f ca="1">IFERROR(SLOPE(OFFSET(K$16,MAX($B$16:$B$506)-$B$5+1,0,$B$5,1),OFFSET($K$16,MAX($B$16:$B$506)-$B$5+1,0,$B$5,1)),"N/A")</f>
        <v>1</v>
      </c>
      <c r="M5" s="16">
        <f ca="1">IFERROR(STDEVP(OFFSET(K$16,MAX($B$16:$B$506)-$B$5+1,0,$B$5,1))*SQRT(12),"N/A")</f>
        <v>8.5348447090690573</v>
      </c>
      <c r="N5" s="16"/>
      <c r="O5" s="258"/>
      <c r="P5" s="7" t="s">
        <v>7</v>
      </c>
      <c r="Q5" s="16">
        <f t="array" aca="1" ref="Q5" ca="1">IFERROR((GEOMEAN(1+OFFSET(Q$16,MAX($B$16:$B$506)-$B$5+1,0,$B$5,1)/100)^$B$5-1)*100,"N/A")</f>
        <v>11.218931323398218</v>
      </c>
      <c r="R5" s="259">
        <f t="shared" ref="R5:R13" ca="1" si="1">IFERROR(Q5-$K5,"N/A")</f>
        <v>-11.673665402581411</v>
      </c>
      <c r="S5" s="16">
        <f ca="1">IFERROR(SLOPE(OFFSET(Q$16,MAX($B$16:$B$506)-$B$5+1,0,$B$5,1),OFFSET($K$16,MAX($B$16:$B$506)-$B$5+1,0,$B$5,1)),"N/A")</f>
        <v>-1.4363083445637834E-2</v>
      </c>
      <c r="T5" s="16">
        <f ca="1">IFERROR(STDEVP(OFFSET(Q$16,MAX($B$16:$B$506)-$B$5+1,0,$B$5,1))*SQRT(12),"N/A")</f>
        <v>4.9459416598055759</v>
      </c>
      <c r="U5" s="40"/>
      <c r="V5" s="256"/>
      <c r="W5" s="256"/>
      <c r="X5" s="256"/>
      <c r="Y5" s="256"/>
      <c r="Z5" s="256"/>
      <c r="AA5" s="256"/>
      <c r="AB5" s="256"/>
      <c r="AC5" s="256"/>
    </row>
    <row r="6" spans="1:29" x14ac:dyDescent="0.25">
      <c r="A6" s="256"/>
      <c r="B6" s="257"/>
      <c r="C6" s="7" t="s">
        <v>46</v>
      </c>
      <c r="D6" s="16">
        <f t="array" aca="1" ref="D6" ca="1">IFERROR((GEOMEAN(1+OFFSET(D$16,MAX($B$16:$B$506)-11,0,12,1)/100)^12-1)*100,"N/A")</f>
        <v>12.659470144866081</v>
      </c>
      <c r="E6" s="259">
        <f t="shared" ca="1" si="0"/>
        <v>-10.233126581113549</v>
      </c>
      <c r="F6" s="16">
        <f ca="1">IFERROR(SLOPE(OFFSET(D$16,MAX($B$16:$B$506)-11,0,12,1),OFFSET(K$16,MAX($B$16:$B$506)-11,0,12,1)),"N/A")</f>
        <v>0.1633753141538172</v>
      </c>
      <c r="G6" s="16">
        <f ca="1">IFERROR(INTERCEPT(OFFSET($D$16,MAX($B$16:$B$506)-11,0,12,1),OFFSET($K$16,MAX($B$16:$B$506)-11,0,12,1))*12,"N/A")</f>
        <v>8.7151895357938738</v>
      </c>
      <c r="H6" s="16">
        <f ca="1">IFERROR(STDEVP(OFFSET(D$16,MAX($B$16:$B$506)-11,0,12,1))*SQRT(12),"N/A")</f>
        <v>6.2003629319860387</v>
      </c>
      <c r="I6" s="258"/>
      <c r="J6" s="7" t="s">
        <v>46</v>
      </c>
      <c r="K6" s="16">
        <f t="array" aca="1" ref="K6" ca="1">IFERROR((GEOMEAN(1+OFFSET(K$16,MAX($B$16:$B$506)-11,0,12,1)/100)^12-1)*100,"N/A")</f>
        <v>22.892596725979629</v>
      </c>
      <c r="L6" s="16">
        <f ca="1">IFERROR(SLOPE(OFFSET(K$16,MAX($B$16:$B$506)-11,0,12,1),OFFSET(K$16,MAX($B$16:$B$506)-11,0,12,1)),"N/A")</f>
        <v>1</v>
      </c>
      <c r="M6" s="16">
        <f ca="1">IFERROR(STDEVP(OFFSET(K$16,MAX($B$16:$B$506)-11,0,12,1))*SQRT(12),"N/A")</f>
        <v>8.5348447090690573</v>
      </c>
      <c r="N6" s="16"/>
      <c r="O6" s="258"/>
      <c r="P6" s="7" t="s">
        <v>46</v>
      </c>
      <c r="Q6" s="16">
        <f t="array" aca="1" ref="Q6" ca="1">IFERROR((GEOMEAN(1+OFFSET(Q$16,MAX($B$16:$B$506)-11,0,12,1)/100)^12-1)*100,"N/A")</f>
        <v>11.218931323398218</v>
      </c>
      <c r="R6" s="259">
        <f t="shared" ca="1" si="1"/>
        <v>-11.673665402581411</v>
      </c>
      <c r="S6" s="16">
        <f ca="1">IFERROR(SLOPE(OFFSET(Q$16,MAX($B$16:$B$506)-11,0,12,1),OFFSET($K$16,MAX($B$16:$B$506)-11,0,12,1)),"N/A")</f>
        <v>-1.4363083445637834E-2</v>
      </c>
      <c r="T6" s="16">
        <f ca="1">IFERROR(STDEVP(OFFSET(Q$16,MAX($B$16:$B$506)-11,0,12,1))*SQRT(12),"N/A")</f>
        <v>4.9459416598055759</v>
      </c>
      <c r="U6" s="261"/>
      <c r="V6" s="256"/>
      <c r="W6" s="256"/>
      <c r="X6" s="256"/>
      <c r="Y6" s="256"/>
      <c r="Z6" s="256"/>
      <c r="AA6" s="256"/>
      <c r="AB6" s="256"/>
      <c r="AC6" s="256"/>
    </row>
    <row r="7" spans="1:29" x14ac:dyDescent="0.25">
      <c r="A7" s="256"/>
      <c r="B7" s="257"/>
      <c r="C7" s="7" t="s">
        <v>47</v>
      </c>
      <c r="D7" s="16">
        <f t="array" aca="1" ref="D7" ca="1">IFERROR((GEOMEAN(1+OFFSET(D$16,MAX($B$16:$B$506)-23,0,24,1)/100)^12-1)*100,"N/A")</f>
        <v>11.390894423485109</v>
      </c>
      <c r="E7" s="259">
        <f t="shared" ca="1" si="0"/>
        <v>-9.0458764016263284</v>
      </c>
      <c r="F7" s="16">
        <f ca="1">IFERROR(SLOPE(OFFSET(D$16,MAX($B$16:$B$506)-23,0,24,1),OFFSET($K$16,MAX($B$16:$B$506)-23,0,24,1)),"N/A")</f>
        <v>0.56190464513498395</v>
      </c>
      <c r="G7" s="16">
        <f ca="1">IFERROR(INTERCEPT(OFFSET(D$16,MAX($B$16:$B$506)-23,0,24,1),OFFSET($K$16,MAX($B$16:$B$506)-23,0,24,1))*12,"N/A")</f>
        <v>0.40564386270051633</v>
      </c>
      <c r="H7" s="16">
        <f ca="1">IFERROR(STDEVP(OFFSET(D$16,MAX($B$16:$B$506)-23,0,24,1))*SQRT(12),"N/A")</f>
        <v>7.8771071868481153</v>
      </c>
      <c r="I7" s="258"/>
      <c r="J7" s="7" t="s">
        <v>47</v>
      </c>
      <c r="K7" s="16">
        <f t="array" aca="1" ref="K7" ca="1">IFERROR((GEOMEAN(1+OFFSET(K$16,MAX($B$16:$B$506)-23,0,24,1)/100)^12-1)*100,"N/A")</f>
        <v>20.436770825111438</v>
      </c>
      <c r="L7" s="16">
        <f ca="1">IFERROR(SLOPE(OFFSET(K$16,MAX($B$16:$B$506)-23,0,24,1),OFFSET($K$16,MAX($B$16:$B$506)-23,0,24,1)),"N/A")</f>
        <v>1</v>
      </c>
      <c r="M7" s="16">
        <f ca="1">IFERROR(STDEVP(OFFSET(K$16,MAX($B$16:$B$506)-23,0,24,1))*SQRT(12),"N/A")</f>
        <v>8.6852357293007856</v>
      </c>
      <c r="N7" s="16"/>
      <c r="O7" s="258"/>
      <c r="P7" s="7" t="s">
        <v>47</v>
      </c>
      <c r="Q7" s="16">
        <f t="array" aca="1" ref="Q7" ca="1">IFERROR((GEOMEAN(1+OFFSET(Q$16,MAX($B$16:$B$506)-23,0,24,1)/100)^12-1)*100,"N/A")</f>
        <v>11.573775406583021</v>
      </c>
      <c r="R7" s="259">
        <f t="shared" ca="1" si="1"/>
        <v>-8.862995418528417</v>
      </c>
      <c r="S7" s="16">
        <f ca="1">IFERROR(SLOPE(OFFSET(Q$16,MAX($B$16:$B$506)-23,0,24,1),OFFSET($K$16,MAX($B$16:$B$506)-23,0,24,1)),"N/A")</f>
        <v>0.40552780610387351</v>
      </c>
      <c r="T7" s="16">
        <f ca="1">IFERROR(STDEVP(OFFSET(Q$16,MAX($B$16:$B$506)-23,0,24,1))*SQRT(12),"N/A")</f>
        <v>7.0941341305178938</v>
      </c>
      <c r="U7" s="261"/>
      <c r="V7" s="256"/>
      <c r="W7" s="256"/>
      <c r="X7" s="256"/>
      <c r="Y7" s="256"/>
      <c r="Z7" s="256"/>
      <c r="AA7" s="256"/>
      <c r="AB7" s="256"/>
      <c r="AC7" s="256"/>
    </row>
    <row r="8" spans="1:29" s="187" customFormat="1" x14ac:dyDescent="0.25">
      <c r="A8" s="262"/>
      <c r="B8" s="263"/>
      <c r="C8" s="85" t="s">
        <v>48</v>
      </c>
      <c r="D8" s="184">
        <f t="array" aca="1" ref="D8" ca="1">IFERROR((GEOMEAN(1+OFFSET(D$16,MAX($B$16:$B$506)-35,0,36,1)/100)^12-1)*100,"N/A")</f>
        <v>12.376696040335823</v>
      </c>
      <c r="E8" s="264">
        <f t="shared" ca="1" si="0"/>
        <v>-8.8339342699339518</v>
      </c>
      <c r="F8" s="184">
        <f ca="1">IFERROR(SLOPE(OFFSET(D$16,MAX($B$16:$B$506)-35,0,36,1),OFFSET(K$16,MAX($B$16:$B$506)-35,0,36,1)),"N/A")</f>
        <v>0.66526204341597817</v>
      </c>
      <c r="G8" s="184">
        <f ca="1">IFERROR(INTERCEPT(OFFSET($D$16,MAX($B$16:$B$506)-35,0,36,1),OFFSET($K$16,MAX($B$16:$B$506)-35,0,36,1))*12,"N/A")</f>
        <v>-1.1598504579185969</v>
      </c>
      <c r="H8" s="184">
        <f ca="1">IFERROR(STDEVP(OFFSET(D$16,MAX($B$16:$B$506)-35,0,36,1))*SQRT(12),"N/A")</f>
        <v>9.2530616016851681</v>
      </c>
      <c r="I8" s="262"/>
      <c r="J8" s="85" t="s">
        <v>48</v>
      </c>
      <c r="K8" s="184">
        <f t="array" aca="1" ref="K8" ca="1">IFERROR((GEOMEAN(1+OFFSET(K$16,MAX($B$16:$B$506)-35,0,36,1)/100)^12-1)*100,"N/A")</f>
        <v>21.210630310269774</v>
      </c>
      <c r="L8" s="184">
        <f ca="1">IFERROR(SLOPE(OFFSET(K$16,MAX($B$16:$B$506)-35,0,36,1),OFFSET(K$16,MAX($B$16:$B$506)-35,0,36,1)),"N/A")</f>
        <v>1</v>
      </c>
      <c r="M8" s="184">
        <f ca="1">IFERROR(STDEVP(OFFSET(K$16,MAX($B$16:$B$506)-35,0,36,1))*SQRT(12),"N/A")</f>
        <v>11.184856848552503</v>
      </c>
      <c r="N8" s="184"/>
      <c r="O8" s="262"/>
      <c r="P8" s="85" t="s">
        <v>48</v>
      </c>
      <c r="Q8" s="184">
        <f t="array" aca="1" ref="Q8" ca="1">IFERROR((GEOMEAN(1+OFFSET(Q$16,MAX($B$16:$B$506)-35,0,36,1)/100)^12-1)*100,"N/A")</f>
        <v>10.470772286509655</v>
      </c>
      <c r="R8" s="264">
        <f t="shared" ca="1" si="1"/>
        <v>-10.739858023760119</v>
      </c>
      <c r="S8" s="184">
        <f ca="1">IFERROR(SLOPE(OFFSET(Q$16,MAX($B$16:$B$506)-35,0,36,1),OFFSET($K$16,MAX($B$16:$B$506)-35,0,36,1)),"N/A")</f>
        <v>0.50975685229640988</v>
      </c>
      <c r="T8" s="184">
        <f ca="1">IFERROR(STDEVP(OFFSET(Q$16,MAX($B$16:$B$506)-35,0,36,1))*SQRT(12),"N/A")</f>
        <v>8.1967833030717649</v>
      </c>
      <c r="U8" s="265"/>
      <c r="V8" s="262"/>
      <c r="W8" s="262"/>
      <c r="X8" s="262"/>
      <c r="Y8" s="262"/>
      <c r="Z8" s="262"/>
      <c r="AA8" s="262"/>
      <c r="AB8" s="262"/>
      <c r="AC8" s="262"/>
    </row>
    <row r="9" spans="1:29" x14ac:dyDescent="0.25">
      <c r="A9" s="256"/>
      <c r="B9" s="257"/>
      <c r="C9" s="7" t="s">
        <v>49</v>
      </c>
      <c r="D9" s="16">
        <f t="array" aca="1" ref="D9" ca="1">IFERROR((GEOMEAN(1+OFFSET(D$16,MAX($B$16:$B$506)-47,0,48,1)/100)^12-1)*100,"N/A")</f>
        <v>5.6189202715615449</v>
      </c>
      <c r="E9" s="259">
        <f t="shared" ca="1" si="0"/>
        <v>-4.3269808973086308</v>
      </c>
      <c r="F9" s="16">
        <f ca="1">IFERROR(SLOPE(OFFSET(D$16,MAX($B$16:$B$506)-47,0,48,1),OFFSET($K$16,MAX($B$16:$B$506)-47,0,48,1)),"N/A")</f>
        <v>0.73775329865515682</v>
      </c>
      <c r="G9" s="16">
        <f ca="1">IFERROR(INTERCEPT(OFFSET(D$16,MAX($B$16:$B$506)-47,0,48,1),OFFSET($K$16,MAX($B$16:$B$506)-47,0,48,1))*12,"N/A")</f>
        <v>-1.61755280463036</v>
      </c>
      <c r="H9" s="16">
        <f ca="1">IFERROR(STDEVP(OFFSET(D$16,MAX($B$16:$B$506)-47,0,48,1))*SQRT(12),"N/A")</f>
        <v>12.114278912621028</v>
      </c>
      <c r="I9" s="258"/>
      <c r="J9" s="7" t="s">
        <v>49</v>
      </c>
      <c r="K9" s="16">
        <f t="array" aca="1" ref="K9" ca="1">IFERROR((GEOMEAN(1+OFFSET(K$16,MAX($B$16:$B$506)-47,0,48,1)/100)^12-1)*100,"N/A")</f>
        <v>9.9459011688701757</v>
      </c>
      <c r="L9" s="16">
        <f ca="1">IFERROR(SLOPE(OFFSET(K$16,MAX($B$16:$B$506)-47,0,48,1),OFFSET($K$16,MAX($B$16:$B$506)-47,0,48,1)),"N/A")</f>
        <v>1</v>
      </c>
      <c r="M9" s="16">
        <f ca="1">IFERROR(STDEVP(OFFSET(K$16,MAX($B$16:$B$506)-47,0,48,1))*SQRT(12),"N/A")</f>
        <v>14.775176496205656</v>
      </c>
      <c r="N9" s="16"/>
      <c r="O9" s="258"/>
      <c r="P9" s="7" t="s">
        <v>49</v>
      </c>
      <c r="Q9" s="16">
        <f t="array" aca="1" ref="Q9" ca="1">IFERROR((GEOMEAN(1+OFFSET(Q$16,MAX($B$16:$B$506)-47,0,48,1)/100)^12-1)*100,"N/A")</f>
        <v>5.0067673891798226</v>
      </c>
      <c r="R9" s="259">
        <f t="shared" ca="1" si="1"/>
        <v>-4.9391337796903532</v>
      </c>
      <c r="S9" s="16">
        <f ca="1">IFERROR(SLOPE(OFFSET(Q$16,MAX($B$16:$B$506)-47,0,48,1),OFFSET($K$16,MAX($B$16:$B$506)-47,0,48,1)),"N/A")</f>
        <v>0.57609940754433264</v>
      </c>
      <c r="T9" s="16">
        <f ca="1">IFERROR(STDEVP(OFFSET(Q$16,MAX($B$16:$B$506)-47,0,48,1))*SQRT(12),"N/A")</f>
        <v>10.175138040926212</v>
      </c>
      <c r="U9" s="261"/>
      <c r="V9" s="256"/>
      <c r="W9" s="256"/>
      <c r="X9" s="256"/>
      <c r="Y9" s="256"/>
      <c r="Z9" s="256"/>
      <c r="AA9" s="256"/>
      <c r="AB9" s="256"/>
      <c r="AC9" s="256"/>
    </row>
    <row r="10" spans="1:29" x14ac:dyDescent="0.25">
      <c r="A10" s="256"/>
      <c r="B10" s="257"/>
      <c r="C10" s="7" t="s">
        <v>50</v>
      </c>
      <c r="D10" s="16">
        <f t="array" aca="1" ref="D10" ca="1">IFERROR((GEOMEAN(1+OFFSET(D$16,MAX($B$16:$B$506)-59,0,60,1)/100)^12-1)*100,"N/A")</f>
        <v>7.7968754742904656</v>
      </c>
      <c r="E10" s="259">
        <f t="shared" ca="1" si="0"/>
        <v>-3.9112604795919603</v>
      </c>
      <c r="F10" s="16">
        <f ca="1">IFERROR(SLOPE(OFFSET(D$16,MAX($B$16:$B$506)-59,0,60,1),OFFSET(K$16,MAX($B$16:$B$506)-59,0,60,1)),"N/A")</f>
        <v>0.76146475324368612</v>
      </c>
      <c r="G10" s="16">
        <f ca="1">IFERROR(INTERCEPT(OFFSET($D$16,MAX($B$16:$B$506)-59,0,60,1),OFFSET($K$16,MAX($B$16:$B$506)-59,0,60,1))*12,"N/A")</f>
        <v>-0.98920250284527533</v>
      </c>
      <c r="H10" s="16">
        <f ca="1">IFERROR(STDEVP(OFFSET(D$16,MAX($B$16:$B$506)-59,0,60,1))*SQRT(12),"N/A")</f>
        <v>11.67964744808341</v>
      </c>
      <c r="I10" s="258"/>
      <c r="J10" s="7" t="s">
        <v>50</v>
      </c>
      <c r="K10" s="16">
        <f t="array" aca="1" ref="K10" ca="1">IFERROR((GEOMEAN(1+OFFSET(K$16,MAX($B$16:$B$506)-59,0,60,1)/100)^12-1)*100,"N/A")</f>
        <v>11.708135953882426</v>
      </c>
      <c r="L10" s="16">
        <f ca="1">IFERROR(SLOPE(OFFSET(K$16,MAX($B$16:$B$506)-59,0,60,1),OFFSET(K$16,MAX($B$16:$B$506)-59,0,60,1)),"N/A")</f>
        <v>1</v>
      </c>
      <c r="M10" s="16">
        <f ca="1">IFERROR(STDEVP(OFFSET(K$16,MAX($B$16:$B$506)-59,0,60,1))*SQRT(12),"N/A")</f>
        <v>13.847691822532402</v>
      </c>
      <c r="N10" s="16"/>
      <c r="O10" s="258"/>
      <c r="P10" s="7" t="s">
        <v>50</v>
      </c>
      <c r="Q10" s="16">
        <f t="array" aca="1" ref="Q10" ca="1">IFERROR((GEOMEAN(1+OFFSET(Q$16,MAX($B$16:$B$506)-59,0,60,1)/100)^12-1)*100,"N/A")</f>
        <v>6.8376475718262997</v>
      </c>
      <c r="R10" s="259">
        <f t="shared" ca="1" si="1"/>
        <v>-4.8704883820561262</v>
      </c>
      <c r="S10" s="16">
        <f ca="1">IFERROR(SLOPE(OFFSET(Q$16,MAX($B$16:$B$506)-59,0,60,1),OFFSET($K$16,MAX($B$16:$B$506)-59,0,60,1)),"N/A")</f>
        <v>0.59992682717725565</v>
      </c>
      <c r="T10" s="16">
        <f ca="1">IFERROR(STDEVP(OFFSET(Q$16,MAX($B$16:$B$506)-59,0,60,1))*SQRT(12),"N/A")</f>
        <v>10.034055096180756</v>
      </c>
      <c r="U10" s="261"/>
      <c r="V10" s="256"/>
      <c r="W10" s="256"/>
      <c r="X10" s="256"/>
      <c r="Y10" s="256"/>
      <c r="Z10" s="256"/>
      <c r="AA10" s="256"/>
      <c r="AB10" s="256"/>
      <c r="AC10" s="256"/>
    </row>
    <row r="11" spans="1:29" x14ac:dyDescent="0.25">
      <c r="A11" s="256"/>
      <c r="B11" s="257"/>
      <c r="C11" s="7" t="s">
        <v>51</v>
      </c>
      <c r="D11" s="16">
        <f t="array" aca="1" ref="D11" ca="1">IFERROR((GEOMEAN(1+OFFSET(D$16,MAX($B$16:$B$506)-119,0,120,1)/100)^12-1)*100,"N/A")</f>
        <v>9.689879311492767</v>
      </c>
      <c r="E11" s="259">
        <f t="shared" ca="1" si="0"/>
        <v>-2.6030971175228679</v>
      </c>
      <c r="F11" s="16">
        <f ca="1">IF(D11="N/A","N/A",IFERROR(SLOPE(OFFSET(D$16,MAX($B$16:$B$506)-119,0,120,1),OFFSET(K$16,MAX($B$16:$B$506)-119,0,120,1)),"N/A"))</f>
        <v>0.75549574690484333</v>
      </c>
      <c r="G11" s="16">
        <f ca="1">IF(D11="N/A","N/A",IFERROR(INTERCEPT(OFFSET($D$16,MAX($B$16:$B$506)-119,0,120,1),OFFSET($K$16,MAX($B$16:$B$506)-119,0,120,1))*12,"N/A"))</f>
        <v>0.42434691219934439</v>
      </c>
      <c r="H11" s="16">
        <f ca="1">IFERROR(STDEVP(OFFSET(D$16,MAX($B$16:$B$506)-119,0,120,1))*SQRT(12),"N/A")</f>
        <v>12.011159977076549</v>
      </c>
      <c r="I11" s="258"/>
      <c r="J11" s="7" t="s">
        <v>51</v>
      </c>
      <c r="K11" s="16">
        <f t="array" aca="1" ref="K11" ca="1">IFERROR((GEOMEAN(1+OFFSET(K$16,MAX($B$16:$B$506)-119,0,120,1)/100)^12-1)*100,"N/A")</f>
        <v>12.292976429015635</v>
      </c>
      <c r="L11" s="16">
        <f ca="1">IF(D11="N/A","N/A",IFERROR(SLOPE(OFFSET(K$16,MAX($B$16:$B$506)-119,0,120,1),OFFSET(K$16,MAX($B$16:$B$506)-119,0,120,1)),"N/A"))</f>
        <v>1</v>
      </c>
      <c r="M11" s="16">
        <f ca="1">IFERROR(STDEVP(OFFSET(K$16,MAX($B$16:$B$506)-119,0,120,1))*SQRT(12),"N/A")</f>
        <v>14.41240880218395</v>
      </c>
      <c r="N11" s="16"/>
      <c r="O11" s="258"/>
      <c r="P11" s="7" t="s">
        <v>51</v>
      </c>
      <c r="Q11" s="16">
        <f t="array" aca="1" ref="Q11" ca="1">IFERROR((GEOMEAN(1+OFFSET(Q$16,MAX($B$16:$B$506)-119,0,120,1)/100)^12-1)*100,"N/A")</f>
        <v>8.3313348915827525</v>
      </c>
      <c r="R11" s="259">
        <f t="shared" ca="1" si="1"/>
        <v>-3.9616415374328824</v>
      </c>
      <c r="S11" s="16">
        <f ca="1">IF(D11="N/A","N/A",IFERROR(SLOPE(OFFSET(Q$16,MAX($B$16:$B$506)-119,0,120,1),OFFSET($K$16,MAX($B$16:$B$506)-119,0,120,1)),"N/A"))</f>
        <v>0.613557559593083</v>
      </c>
      <c r="T11" s="16">
        <f ca="1">IFERROR(STDEVP(OFFSET(Q$16,MAX($B$16:$B$506)-119,0,120,1))*SQRT(12),"N/A")</f>
        <v>10.30070542534537</v>
      </c>
      <c r="U11" s="261"/>
      <c r="V11" s="256"/>
      <c r="W11" s="256"/>
      <c r="X11" s="256"/>
      <c r="Y11" s="256"/>
      <c r="Z11" s="256"/>
      <c r="AA11" s="256"/>
      <c r="AB11" s="256"/>
      <c r="AC11" s="256"/>
    </row>
    <row r="12" spans="1:29" x14ac:dyDescent="0.25">
      <c r="A12" s="256"/>
      <c r="B12" s="257"/>
      <c r="C12" s="7" t="s">
        <v>52</v>
      </c>
      <c r="D12" s="16">
        <f t="array" aca="1" ref="D12" ca="1">IFERROR((GEOMEAN(1+OFFSET(D$16,1,0,MAX($B$16:$B$506),1)/100)^12-1)*100,"N/A")</f>
        <v>9.1793452640457573</v>
      </c>
      <c r="E12" s="259">
        <f t="shared" ca="1" si="0"/>
        <v>0.28459999913519241</v>
      </c>
      <c r="F12" s="16">
        <f ca="1">IFERROR(SLOPE(OFFSET(D$16,1,0,MAX($B$16:$B$506),1),OFFSET(K$16,1,0,MAX($B$16:$B$506),1)),"N/A")</f>
        <v>0.63783714351327869</v>
      </c>
      <c r="G12" s="16">
        <f ca="1">IFERROR(INTERCEPT(OFFSET($D$16,1,0,MAX($B$16:$B$506),1),OFFSET($K$16,1,0,MAX($B$16:$B$506),1))*12,"N/A")</f>
        <v>3.2226505293442629</v>
      </c>
      <c r="H12" s="16">
        <f ca="1">IFERROR(STDEVP(OFFSET(D$16,1,0,MAX($B$16:$B$506),1))*SQRT(12),"N/A")</f>
        <v>11.174587557346324</v>
      </c>
      <c r="I12" s="258"/>
      <c r="J12" s="7" t="s">
        <v>52</v>
      </c>
      <c r="K12" s="16">
        <f t="array" aca="1" ref="K12" ca="1">IFERROR((GEOMEAN(1+OFFSET(K$16,1,0,MAX($B$16:$B$506),1)/100)^12-1)*100,"N/A")</f>
        <v>8.8947452649105649</v>
      </c>
      <c r="L12" s="16">
        <f ca="1">IFERROR(SLOPE(OFFSET(K$16,1,0,MAX($B$16:$B$506),1),OFFSET(K$16,1,0,MAX($B$16:$B$506),1)),"N/A")</f>
        <v>1</v>
      </c>
      <c r="M12" s="16">
        <f ca="1">IFERROR(STDEVP(OFFSET(K$16,1,0,MAX($B$16:$B$506),1))*SQRT(12),"N/A")</f>
        <v>15.404454996032364</v>
      </c>
      <c r="N12" s="16"/>
      <c r="O12" s="258"/>
      <c r="P12" s="7" t="s">
        <v>52</v>
      </c>
      <c r="Q12" s="16">
        <f t="array" aca="1" ref="Q12" ca="1">IFERROR((GEOMEAN(1+OFFSET(Q$16,1,0,MAX($B$16:$B$506),1)/100)^12-1)*100,"N/A")</f>
        <v>7.1129851157490265</v>
      </c>
      <c r="R12" s="259">
        <f t="shared" ca="1" si="1"/>
        <v>-1.7817601491615385</v>
      </c>
      <c r="S12" s="16">
        <f ca="1">IFERROR(SLOPE(OFFSET(Q$16,1,0,MAX($B$16:$B$506),1),OFFSET($K$16,1,0,MAX($B$16:$B$506),1)),"N/A")</f>
        <v>0.61427714347201134</v>
      </c>
      <c r="T12" s="16">
        <f ca="1">IFERROR(STDEVP(OFFSET(Q$16,1,0,MAX($B$16:$B$506),1))*SQRT(12),"N/A")</f>
        <v>10.594349869055417</v>
      </c>
      <c r="U12" s="261"/>
      <c r="V12" s="256"/>
      <c r="W12" s="256"/>
      <c r="X12" s="256"/>
      <c r="Y12" s="256"/>
      <c r="Z12" s="256"/>
      <c r="AA12" s="256"/>
      <c r="AB12" s="256"/>
      <c r="AC12" s="256"/>
    </row>
    <row r="13" spans="1:29" x14ac:dyDescent="0.25">
      <c r="A13" s="256"/>
      <c r="B13" s="257"/>
      <c r="C13" s="7" t="s">
        <v>55</v>
      </c>
      <c r="D13" s="16" cm="1">
        <f t="array" aca="1" ref="D13" ca="1">IFERROR((GEOMEAN(1+OFFSET(D$102,1,0,MAX($B$16:$B$506)-86,1)/100)^(MIN(COUNTA(OFFSET(D$102,1,0,MAX($B$16:$B$506)-86,1)),12))-1)*100,"N/A")</f>
        <v>10.047427669983101</v>
      </c>
      <c r="E13" s="259">
        <f t="shared" ca="1" si="0"/>
        <v>-0.98604570677311898</v>
      </c>
      <c r="F13" s="16">
        <f ca="1">IFERROR(SLOPE(OFFSET(D$102,1,0,MAX($B$16:$B$506)-86,1),OFFSET($K$102,1,0,MAX($B$16:$B$506)-86,1)),"N/A")</f>
        <v>0.72555910244400235</v>
      </c>
      <c r="G13" s="16">
        <f ca="1">IFERROR(INTERCEPT(OFFSET(D$102,1,0,MAX($B$16:$B$506)-86,1),OFFSET($K$102,1,0,MAX($B$16:$B$506)-86,1))*12,"N/A")</f>
        <v>1.9328869209625679</v>
      </c>
      <c r="H13" s="16">
        <f ca="1">IFERROR(STDEVP(OFFSET(D$102,1,0,MAX($B$16:$B$506)-86,1))*SQRT(12),"N/A")</f>
        <v>11.095262348720125</v>
      </c>
      <c r="I13" s="258"/>
      <c r="J13" s="7" t="s">
        <v>55</v>
      </c>
      <c r="K13" s="16">
        <f t="array" aca="1" ref="K13" ca="1">IFERROR((GEOMEAN(1+OFFSET(K$102,1,0,MAX($B$16:$B$506)-86,1)/100)^(MIN(COUNTA(OFFSET(K$102,1,0,MAX($B$16:$B$506)-86,1)),12))-1)*100,"N/A")</f>
        <v>11.03347337675622</v>
      </c>
      <c r="L13" s="16">
        <f ca="1">IFERROR(SLOPE(OFFSET(K$102,1,0,MAX($B$16:$B$506)-86,1),OFFSET($K$102,1,0,MAX($B$16:$B$506)-86,1)),"N/A")</f>
        <v>1</v>
      </c>
      <c r="M13" s="16">
        <f ca="1">IFERROR(STDEVP(OFFSET(K$102,1,0,MAX($B$16:$B$506)-86,1))*SQRT(12),"N/A")</f>
        <v>13.597561510321876</v>
      </c>
      <c r="N13" s="16"/>
      <c r="O13" s="258"/>
      <c r="P13" s="7" t="s">
        <v>55</v>
      </c>
      <c r="Q13" s="16">
        <f t="array" aca="1" ref="Q13" ca="1">IFERROR((GEOMEAN(1+OFFSET(Q$102,1,0,MAX($B$16:$B$506)-86,1)/100)^(MIN(COUNTA(OFFSET(Q$102,1,0,MAX($B$16:$B$506)-86,1)),12))-1)*100,"N/A")</f>
        <v>8.6484818691080498</v>
      </c>
      <c r="R13" s="259">
        <f t="shared" ca="1" si="1"/>
        <v>-2.38499150764817</v>
      </c>
      <c r="S13" s="16">
        <f ca="1">IFERROR(SLOPE(OFFSET(Q$102,1,0,MAX($B$16:$B$506)-86,1),OFFSET($K$102,1,0,MAX($B$16:$B$506)-86,1)),"N/A")</f>
        <v>0.61877705743032707</v>
      </c>
      <c r="T13" s="16">
        <f ca="1">IFERROR(STDEVP(OFFSET(Q$102,1,0,MAX($B$16:$B$506)-86,1))*SQRT(12),"N/A")</f>
        <v>9.8596386684820878</v>
      </c>
      <c r="U13" s="261"/>
      <c r="V13" s="256"/>
      <c r="W13" s="256"/>
      <c r="X13" s="256"/>
      <c r="Y13" s="256"/>
      <c r="Z13" s="256"/>
      <c r="AA13" s="256"/>
      <c r="AB13" s="256"/>
      <c r="AC13" s="256"/>
    </row>
    <row r="14" spans="1:29" ht="16.5" thickBot="1" x14ac:dyDescent="0.3">
      <c r="A14" s="7"/>
      <c r="B14" s="257"/>
      <c r="C14" s="17"/>
      <c r="D14" s="25"/>
      <c r="E14" s="18"/>
      <c r="F14" s="8"/>
      <c r="G14" s="256"/>
      <c r="H14" s="256"/>
      <c r="I14" s="258"/>
      <c r="J14" s="7"/>
      <c r="K14" s="16"/>
      <c r="L14" s="16"/>
      <c r="M14" s="18"/>
      <c r="N14" s="10"/>
      <c r="O14" s="258"/>
      <c r="P14" s="7"/>
      <c r="Q14" s="16"/>
      <c r="R14" s="16"/>
      <c r="S14" s="18"/>
      <c r="T14" s="10"/>
      <c r="U14" s="258"/>
      <c r="V14" s="256"/>
      <c r="W14" s="256"/>
      <c r="X14" s="256"/>
      <c r="Y14" s="256"/>
      <c r="Z14" s="256"/>
      <c r="AA14" s="256"/>
      <c r="AB14" s="256"/>
      <c r="AC14" s="256"/>
    </row>
    <row r="15" spans="1:29" x14ac:dyDescent="0.25">
      <c r="A15" s="7" t="s">
        <v>69</v>
      </c>
      <c r="B15" s="257" t="s">
        <v>70</v>
      </c>
      <c r="C15" s="13" t="s">
        <v>71</v>
      </c>
      <c r="D15" s="19" t="s">
        <v>72</v>
      </c>
      <c r="E15" s="13" t="s">
        <v>73</v>
      </c>
      <c r="F15" s="9" t="s">
        <v>74</v>
      </c>
      <c r="G15" s="9" t="s">
        <v>75</v>
      </c>
      <c r="H15" s="33"/>
      <c r="I15" s="266"/>
      <c r="J15" s="7" t="s">
        <v>69</v>
      </c>
      <c r="K15" s="33" t="s">
        <v>41</v>
      </c>
      <c r="L15" s="13" t="s">
        <v>73</v>
      </c>
      <c r="M15" s="9" t="s">
        <v>74</v>
      </c>
      <c r="N15" s="9" t="s">
        <v>75</v>
      </c>
      <c r="O15" s="266"/>
      <c r="P15" s="13" t="s">
        <v>69</v>
      </c>
      <c r="Q15" s="33" t="s">
        <v>41</v>
      </c>
      <c r="R15" s="13" t="s">
        <v>97</v>
      </c>
      <c r="S15" s="13" t="s">
        <v>74</v>
      </c>
      <c r="T15" s="13" t="s">
        <v>75</v>
      </c>
      <c r="U15" s="266"/>
      <c r="V15" s="256"/>
      <c r="W15" s="256"/>
      <c r="X15" s="324" t="s">
        <v>111</v>
      </c>
      <c r="Y15" s="325"/>
      <c r="Z15" s="324" t="s">
        <v>112</v>
      </c>
      <c r="AA15" s="325" t="s">
        <v>81</v>
      </c>
      <c r="AB15" s="324" t="s">
        <v>113</v>
      </c>
      <c r="AC15" s="325" t="s">
        <v>81</v>
      </c>
    </row>
    <row r="16" spans="1:29" x14ac:dyDescent="0.25">
      <c r="A16" s="20">
        <v>38352</v>
      </c>
      <c r="B16" s="257">
        <v>0</v>
      </c>
      <c r="C16" s="96"/>
      <c r="D16" s="11"/>
      <c r="E16" s="48">
        <v>1000000</v>
      </c>
      <c r="F16" s="8"/>
      <c r="G16" s="256"/>
      <c r="H16" s="256"/>
      <c r="I16" s="258"/>
      <c r="J16" s="20">
        <f t="shared" ref="J16:J47" si="2">A16</f>
        <v>38352</v>
      </c>
      <c r="K16" s="16"/>
      <c r="L16" s="48">
        <v>1000000</v>
      </c>
      <c r="M16" s="7"/>
      <c r="N16" s="256"/>
      <c r="O16" s="258"/>
      <c r="P16" s="20">
        <f>$A16</f>
        <v>38352</v>
      </c>
      <c r="Q16" s="16"/>
      <c r="R16" s="48">
        <v>1000000</v>
      </c>
      <c r="S16" s="7"/>
      <c r="T16" s="256"/>
      <c r="U16" s="258"/>
      <c r="V16" s="256"/>
      <c r="W16" s="256"/>
      <c r="X16" s="256"/>
      <c r="Y16" s="256"/>
      <c r="Z16" s="256"/>
      <c r="AA16" s="256"/>
      <c r="AB16" s="256"/>
      <c r="AC16" s="256"/>
    </row>
    <row r="17" spans="1:21" x14ac:dyDescent="0.25">
      <c r="A17" s="20">
        <v>38383</v>
      </c>
      <c r="B17" s="24">
        <f>IF(A17&gt;A16,1+B16,"-")</f>
        <v>1</v>
      </c>
      <c r="C17" s="96" t="s">
        <v>77</v>
      </c>
      <c r="D17" s="27">
        <v>-0.26113427698899999</v>
      </c>
      <c r="E17" s="46">
        <f t="shared" ref="E17:E48" si="3">E16*D17/100+E16</f>
        <v>997388.65723011002</v>
      </c>
      <c r="F17" s="10"/>
      <c r="G17" s="256"/>
      <c r="H17" s="256"/>
      <c r="I17" s="258"/>
      <c r="J17" s="20">
        <f t="shared" si="2"/>
        <v>38383</v>
      </c>
      <c r="K17" s="27">
        <v>-2.1081822016026983</v>
      </c>
      <c r="L17" s="46">
        <f t="shared" ref="L17:L48" si="4">L16*K17/100+L16</f>
        <v>978918.17798397306</v>
      </c>
      <c r="M17" s="15"/>
      <c r="N17" s="256"/>
      <c r="O17" s="258"/>
      <c r="P17" s="20">
        <f t="shared" ref="P17:P80" si="5">$A17</f>
        <v>38383</v>
      </c>
      <c r="Q17" s="45">
        <v>-1.810609972386233</v>
      </c>
      <c r="R17" s="46">
        <f t="shared" ref="R17:R48" si="6">R16*Q17/100+R16</f>
        <v>981893.90027613763</v>
      </c>
      <c r="S17" s="15"/>
      <c r="T17" s="256"/>
      <c r="U17" s="258"/>
    </row>
    <row r="18" spans="1:21" x14ac:dyDescent="0.25">
      <c r="A18" s="20">
        <v>38411</v>
      </c>
      <c r="B18" s="24">
        <f t="shared" ref="B18:B81" si="7">IF(A18&gt;A17,1+B17,"-")</f>
        <v>2</v>
      </c>
      <c r="C18" s="96" t="s">
        <v>77</v>
      </c>
      <c r="D18" s="27">
        <v>4.33</v>
      </c>
      <c r="E18" s="46">
        <f t="shared" si="3"/>
        <v>1040575.5860881738</v>
      </c>
      <c r="F18" s="8"/>
      <c r="G18" s="256"/>
      <c r="H18" s="256"/>
      <c r="I18" s="258"/>
      <c r="J18" s="20">
        <f t="shared" si="2"/>
        <v>38411</v>
      </c>
      <c r="K18" s="27">
        <v>3.5050398209404219</v>
      </c>
      <c r="L18" s="46">
        <f t="shared" si="4"/>
        <v>1013229.6499367357</v>
      </c>
      <c r="M18" s="7"/>
      <c r="N18" s="256"/>
      <c r="O18" s="258"/>
      <c r="P18" s="20">
        <f t="shared" si="5"/>
        <v>38411</v>
      </c>
      <c r="Q18" s="45">
        <v>3.1152469904999256</v>
      </c>
      <c r="R18" s="46">
        <f t="shared" si="6"/>
        <v>1012482.3204543923</v>
      </c>
      <c r="S18" s="7"/>
      <c r="T18" s="256"/>
      <c r="U18" s="258"/>
    </row>
    <row r="19" spans="1:21" x14ac:dyDescent="0.25">
      <c r="A19" s="20">
        <v>38442</v>
      </c>
      <c r="B19" s="24">
        <f t="shared" si="7"/>
        <v>3</v>
      </c>
      <c r="C19" s="96" t="s">
        <v>77</v>
      </c>
      <c r="D19" s="27">
        <v>-1.05</v>
      </c>
      <c r="E19" s="46">
        <f t="shared" si="3"/>
        <v>1029649.5424342479</v>
      </c>
      <c r="F19" s="8"/>
      <c r="G19" s="49">
        <f>(E19/E16-1)*100</f>
        <v>2.9649542434248</v>
      </c>
      <c r="H19" s="49"/>
      <c r="I19" s="258"/>
      <c r="J19" s="20">
        <f t="shared" si="2"/>
        <v>38442</v>
      </c>
      <c r="K19" s="27">
        <v>-2.152668149231959</v>
      </c>
      <c r="L19" s="46">
        <f t="shared" si="4"/>
        <v>991418.17798397318</v>
      </c>
      <c r="M19" s="7"/>
      <c r="N19" s="49">
        <f>(L19/L16-1)*100</f>
        <v>-0.85818220160268632</v>
      </c>
      <c r="O19" s="258"/>
      <c r="P19" s="20">
        <f t="shared" si="5"/>
        <v>38442</v>
      </c>
      <c r="Q19" s="45">
        <v>-1.781635956451368</v>
      </c>
      <c r="R19" s="46">
        <f t="shared" si="6"/>
        <v>994443.57138046378</v>
      </c>
      <c r="S19" s="7"/>
      <c r="T19" s="49">
        <f>(R19/R16-1)*100</f>
        <v>-0.55564286195362023</v>
      </c>
      <c r="U19" s="258"/>
    </row>
    <row r="20" spans="1:21" x14ac:dyDescent="0.25">
      <c r="A20" s="20">
        <v>38472</v>
      </c>
      <c r="B20" s="24">
        <f t="shared" si="7"/>
        <v>4</v>
      </c>
      <c r="C20" s="96" t="s">
        <v>77</v>
      </c>
      <c r="D20" s="27">
        <v>0.38</v>
      </c>
      <c r="E20" s="46">
        <f t="shared" si="3"/>
        <v>1033562.210695498</v>
      </c>
      <c r="F20" s="8"/>
      <c r="G20" s="256"/>
      <c r="H20" s="256"/>
      <c r="I20" s="258"/>
      <c r="J20" s="20">
        <f t="shared" si="2"/>
        <v>38472</v>
      </c>
      <c r="K20" s="27">
        <v>-2.1392996199991408</v>
      </c>
      <c r="L20" s="46">
        <f t="shared" si="4"/>
        <v>970208.77266975958</v>
      </c>
      <c r="M20" s="7"/>
      <c r="N20" s="256"/>
      <c r="O20" s="258"/>
      <c r="P20" s="20">
        <f t="shared" si="5"/>
        <v>38472</v>
      </c>
      <c r="Q20" s="45">
        <v>-0.24720344053006976</v>
      </c>
      <c r="R20" s="46">
        <f t="shared" si="6"/>
        <v>991985.27265788114</v>
      </c>
      <c r="S20" s="7"/>
      <c r="T20" s="256"/>
      <c r="U20" s="258"/>
    </row>
    <row r="21" spans="1:21" x14ac:dyDescent="0.25">
      <c r="A21" s="20">
        <v>38503</v>
      </c>
      <c r="B21" s="24">
        <f t="shared" si="7"/>
        <v>5</v>
      </c>
      <c r="C21" s="96" t="s">
        <v>77</v>
      </c>
      <c r="D21" s="27">
        <v>1.64</v>
      </c>
      <c r="E21" s="46">
        <f t="shared" si="3"/>
        <v>1050512.6309509042</v>
      </c>
      <c r="F21" s="8"/>
      <c r="G21" s="256"/>
      <c r="H21" s="256"/>
      <c r="I21" s="258"/>
      <c r="J21" s="20">
        <f t="shared" si="2"/>
        <v>38503</v>
      </c>
      <c r="K21" s="27">
        <v>1.9416121644463786</v>
      </c>
      <c r="L21" s="46">
        <f t="shared" si="4"/>
        <v>989046.46422044153</v>
      </c>
      <c r="M21" s="7"/>
      <c r="N21" s="256"/>
      <c r="O21" s="258"/>
      <c r="P21" s="20">
        <f t="shared" si="5"/>
        <v>38503</v>
      </c>
      <c r="Q21" s="45">
        <v>3.5078984293661498E-2</v>
      </c>
      <c r="R21" s="46">
        <f t="shared" si="6"/>
        <v>992333.25101587223</v>
      </c>
      <c r="S21" s="7"/>
      <c r="T21" s="256"/>
      <c r="U21" s="258"/>
    </row>
    <row r="22" spans="1:21" x14ac:dyDescent="0.25">
      <c r="A22" s="20">
        <v>38533</v>
      </c>
      <c r="B22" s="24">
        <f t="shared" si="7"/>
        <v>6</v>
      </c>
      <c r="C22" s="96" t="s">
        <v>77</v>
      </c>
      <c r="D22" s="27">
        <v>1.1200000000000001</v>
      </c>
      <c r="E22" s="46">
        <f t="shared" si="3"/>
        <v>1062278.3724175543</v>
      </c>
      <c r="F22" s="8"/>
      <c r="G22" s="49">
        <f>(E22/E19-1)*100</f>
        <v>3.1689257984000019</v>
      </c>
      <c r="H22" s="49"/>
      <c r="I22" s="258"/>
      <c r="J22" s="20">
        <f t="shared" si="2"/>
        <v>38533</v>
      </c>
      <c r="K22" s="27">
        <v>1.0632774645660035</v>
      </c>
      <c r="L22" s="46">
        <f t="shared" si="4"/>
        <v>999562.77238858433</v>
      </c>
      <c r="M22" s="7"/>
      <c r="N22" s="49">
        <f>(L22/L19-1)*100</f>
        <v>0.8215094886774299</v>
      </c>
      <c r="O22" s="258"/>
      <c r="P22" s="20">
        <f t="shared" si="5"/>
        <v>38533</v>
      </c>
      <c r="Q22" s="45">
        <v>1.1526758141692086</v>
      </c>
      <c r="R22" s="46">
        <f t="shared" si="6"/>
        <v>1003771.6363962912</v>
      </c>
      <c r="S22" s="7"/>
      <c r="T22" s="49">
        <f>(R22/R19-1)*100</f>
        <v>0.93801853461412676</v>
      </c>
      <c r="U22" s="258"/>
    </row>
    <row r="23" spans="1:21" x14ac:dyDescent="0.25">
      <c r="A23" s="20">
        <v>38564</v>
      </c>
      <c r="B23" s="24">
        <f t="shared" si="7"/>
        <v>7</v>
      </c>
      <c r="C23" s="96" t="s">
        <v>77</v>
      </c>
      <c r="D23" s="27">
        <v>3.05</v>
      </c>
      <c r="E23" s="46">
        <f t="shared" si="3"/>
        <v>1094677.8627762897</v>
      </c>
      <c r="F23" s="8"/>
      <c r="G23" s="256"/>
      <c r="H23" s="256"/>
      <c r="I23" s="258"/>
      <c r="J23" s="20">
        <f t="shared" si="2"/>
        <v>38564</v>
      </c>
      <c r="K23" s="27">
        <v>3.7250927932780935</v>
      </c>
      <c r="L23" s="46">
        <f t="shared" si="4"/>
        <v>1036797.4131871222</v>
      </c>
      <c r="M23" s="7"/>
      <c r="N23" s="256"/>
      <c r="O23" s="258"/>
      <c r="P23" s="20">
        <f t="shared" si="5"/>
        <v>38564</v>
      </c>
      <c r="Q23" s="45">
        <v>2.4300507705039047</v>
      </c>
      <c r="R23" s="46">
        <f t="shared" si="6"/>
        <v>1028163.796780639</v>
      </c>
      <c r="S23" s="7"/>
      <c r="T23" s="256"/>
      <c r="U23" s="258"/>
    </row>
    <row r="24" spans="1:21" x14ac:dyDescent="0.25">
      <c r="A24" s="20">
        <v>38595</v>
      </c>
      <c r="B24" s="24">
        <f t="shared" si="7"/>
        <v>8</v>
      </c>
      <c r="C24" s="96" t="s">
        <v>77</v>
      </c>
      <c r="D24" s="27">
        <v>0.98</v>
      </c>
      <c r="E24" s="46">
        <f t="shared" si="3"/>
        <v>1105405.7058314974</v>
      </c>
      <c r="F24" s="8"/>
      <c r="G24" s="256"/>
      <c r="H24" s="256"/>
      <c r="I24" s="258"/>
      <c r="J24" s="20">
        <f t="shared" si="2"/>
        <v>38595</v>
      </c>
      <c r="K24" s="27">
        <v>0.81379140145957596</v>
      </c>
      <c r="L24" s="46">
        <f t="shared" si="4"/>
        <v>1045234.7813861943</v>
      </c>
      <c r="M24" s="7"/>
      <c r="N24" s="256"/>
      <c r="O24" s="258"/>
      <c r="P24" s="20">
        <f t="shared" si="5"/>
        <v>38595</v>
      </c>
      <c r="Q24" s="45">
        <v>0.63322233746383039</v>
      </c>
      <c r="R24" s="46">
        <f t="shared" si="6"/>
        <v>1034674.3596075702</v>
      </c>
      <c r="S24" s="7"/>
      <c r="T24" s="256"/>
      <c r="U24" s="258"/>
    </row>
    <row r="25" spans="1:21" x14ac:dyDescent="0.25">
      <c r="A25" s="20">
        <v>38625</v>
      </c>
      <c r="B25" s="24">
        <f t="shared" si="7"/>
        <v>9</v>
      </c>
      <c r="C25" s="96" t="s">
        <v>77</v>
      </c>
      <c r="D25" s="27">
        <v>0.65</v>
      </c>
      <c r="E25" s="46">
        <f t="shared" si="3"/>
        <v>1112590.8429194023</v>
      </c>
      <c r="F25" s="8"/>
      <c r="G25" s="49">
        <f>(E25/E22-1)*100</f>
        <v>4.7362792850000224</v>
      </c>
      <c r="H25" s="49"/>
      <c r="I25" s="258"/>
      <c r="J25" s="20">
        <f t="shared" si="2"/>
        <v>38625</v>
      </c>
      <c r="K25" s="27">
        <v>3.0411896558797129</v>
      </c>
      <c r="L25" s="46">
        <f t="shared" si="4"/>
        <v>1077022.3534373681</v>
      </c>
      <c r="M25" s="7"/>
      <c r="N25" s="49">
        <f>(L25/L22-1)*100</f>
        <v>7.7493463330656098</v>
      </c>
      <c r="O25" s="258"/>
      <c r="P25" s="20">
        <f t="shared" si="5"/>
        <v>38625</v>
      </c>
      <c r="Q25" s="45">
        <v>2.3129915920802877</v>
      </c>
      <c r="R25" s="46">
        <f t="shared" si="6"/>
        <v>1058606.2905507039</v>
      </c>
      <c r="S25" s="7"/>
      <c r="T25" s="49">
        <f>(R25/R22-1)*100</f>
        <v>5.4628614882243909</v>
      </c>
      <c r="U25" s="258"/>
    </row>
    <row r="26" spans="1:21" x14ac:dyDescent="0.25">
      <c r="A26" s="20">
        <v>38656</v>
      </c>
      <c r="B26" s="24">
        <f t="shared" si="7"/>
        <v>10</v>
      </c>
      <c r="C26" s="96" t="s">
        <v>77</v>
      </c>
      <c r="D26" s="27">
        <v>-3.13</v>
      </c>
      <c r="E26" s="46">
        <f t="shared" si="3"/>
        <v>1077766.7495360251</v>
      </c>
      <c r="F26" s="8"/>
      <c r="G26" s="256"/>
      <c r="H26" s="256"/>
      <c r="I26" s="258"/>
      <c r="J26" s="20">
        <f t="shared" si="2"/>
        <v>38656</v>
      </c>
      <c r="K26" s="27">
        <v>-2.6753850089937554</v>
      </c>
      <c r="L26" s="46">
        <f t="shared" si="4"/>
        <v>1048207.858849993</v>
      </c>
      <c r="M26" s="7"/>
      <c r="N26" s="256"/>
      <c r="O26" s="258"/>
      <c r="P26" s="20">
        <f t="shared" si="5"/>
        <v>38656</v>
      </c>
      <c r="Q26" s="45">
        <v>-3.5660131273394331</v>
      </c>
      <c r="R26" s="46">
        <f t="shared" si="6"/>
        <v>1020856.2512628247</v>
      </c>
      <c r="S26" s="7"/>
      <c r="T26" s="256"/>
      <c r="U26" s="258"/>
    </row>
    <row r="27" spans="1:21" x14ac:dyDescent="0.25">
      <c r="A27" s="20">
        <v>38686</v>
      </c>
      <c r="B27" s="24">
        <f t="shared" si="7"/>
        <v>11</v>
      </c>
      <c r="C27" s="96" t="s">
        <v>77</v>
      </c>
      <c r="D27" s="27">
        <v>1.32</v>
      </c>
      <c r="E27" s="46">
        <f t="shared" si="3"/>
        <v>1091993.2706299007</v>
      </c>
      <c r="F27" s="8"/>
      <c r="G27" s="256"/>
      <c r="H27" s="256"/>
      <c r="I27" s="258"/>
      <c r="J27" s="20">
        <f t="shared" si="2"/>
        <v>38686</v>
      </c>
      <c r="K27" s="27">
        <v>3.7010610050225234</v>
      </c>
      <c r="L27" s="46">
        <f t="shared" si="4"/>
        <v>1087002.6711654717</v>
      </c>
      <c r="M27" s="7"/>
      <c r="N27" s="256"/>
      <c r="O27" s="258"/>
      <c r="P27" s="20">
        <f t="shared" si="5"/>
        <v>38686</v>
      </c>
      <c r="Q27" s="45">
        <v>2.1221850809289182</v>
      </c>
      <c r="R27" s="46">
        <f t="shared" si="6"/>
        <v>1042520.7103248546</v>
      </c>
      <c r="S27" s="7"/>
      <c r="T27" s="256"/>
      <c r="U27" s="258"/>
    </row>
    <row r="28" spans="1:21" x14ac:dyDescent="0.25">
      <c r="A28" s="20">
        <v>38717</v>
      </c>
      <c r="B28" s="24">
        <f t="shared" si="7"/>
        <v>12</v>
      </c>
      <c r="C28" s="96" t="s">
        <v>77</v>
      </c>
      <c r="D28" s="27">
        <v>1.87</v>
      </c>
      <c r="E28" s="46">
        <f t="shared" si="3"/>
        <v>1112413.5447906798</v>
      </c>
      <c r="F28" s="11">
        <f>(E28-E16)/E16*100</f>
        <v>11.241354479067981</v>
      </c>
      <c r="G28" s="49">
        <f>(E28/E25-1)*100</f>
        <v>-1.5935609199990708E-2</v>
      </c>
      <c r="H28" s="49"/>
      <c r="I28" s="258"/>
      <c r="J28" s="20">
        <f t="shared" si="2"/>
        <v>38717</v>
      </c>
      <c r="K28" s="27">
        <v>2.5029585416168141</v>
      </c>
      <c r="L28" s="46">
        <f t="shared" si="4"/>
        <v>1114209.8973710109</v>
      </c>
      <c r="M28" s="19">
        <f>(L28-L16)/L16*100</f>
        <v>11.420989737101085</v>
      </c>
      <c r="N28" s="49">
        <f>(L28/L25-1)*100</f>
        <v>3.4528107810350539</v>
      </c>
      <c r="O28" s="258"/>
      <c r="P28" s="20">
        <f t="shared" si="5"/>
        <v>38717</v>
      </c>
      <c r="Q28" s="45">
        <v>2.1426879428042267</v>
      </c>
      <c r="R28" s="46">
        <f t="shared" si="6"/>
        <v>1064858.6758862222</v>
      </c>
      <c r="S28" s="19">
        <f>(R28-R16)/R16*100</f>
        <v>6.4858675886222157</v>
      </c>
      <c r="T28" s="49">
        <f>(R28/R25-1)*100</f>
        <v>0.5906242378614257</v>
      </c>
      <c r="U28" s="258"/>
    </row>
    <row r="29" spans="1:21" x14ac:dyDescent="0.25">
      <c r="A29" s="20">
        <v>38748</v>
      </c>
      <c r="B29" s="24">
        <f t="shared" si="7"/>
        <v>13</v>
      </c>
      <c r="C29" s="96" t="s">
        <v>77</v>
      </c>
      <c r="D29" s="27">
        <v>3.26</v>
      </c>
      <c r="E29" s="46">
        <f t="shared" si="3"/>
        <v>1148678.226350856</v>
      </c>
      <c r="F29" s="10"/>
      <c r="G29" s="256"/>
      <c r="H29" s="256"/>
      <c r="I29" s="258"/>
      <c r="J29" s="20">
        <f t="shared" si="2"/>
        <v>38748</v>
      </c>
      <c r="K29" s="27">
        <v>4.9319748276895492</v>
      </c>
      <c r="L29" s="46">
        <f t="shared" si="4"/>
        <v>1169162.4490369747</v>
      </c>
      <c r="M29" s="15"/>
      <c r="N29" s="256"/>
      <c r="O29" s="258"/>
      <c r="P29" s="20">
        <f t="shared" si="5"/>
        <v>38748</v>
      </c>
      <c r="Q29" s="45">
        <v>4.0626581210996759</v>
      </c>
      <c r="R29" s="46">
        <f t="shared" si="6"/>
        <v>1108120.2433603483</v>
      </c>
      <c r="S29" s="15"/>
      <c r="T29" s="256"/>
      <c r="U29" s="258"/>
    </row>
    <row r="30" spans="1:21" x14ac:dyDescent="0.25">
      <c r="A30" s="20">
        <v>38776</v>
      </c>
      <c r="B30" s="24">
        <f t="shared" si="7"/>
        <v>14</v>
      </c>
      <c r="C30" s="96" t="s">
        <v>77</v>
      </c>
      <c r="D30" s="27">
        <v>-0.33</v>
      </c>
      <c r="E30" s="46">
        <f t="shared" si="3"/>
        <v>1144887.5882038982</v>
      </c>
      <c r="F30" s="8"/>
      <c r="G30" s="256"/>
      <c r="H30" s="256"/>
      <c r="I30" s="258"/>
      <c r="J30" s="20">
        <f t="shared" si="2"/>
        <v>38776</v>
      </c>
      <c r="K30" s="27">
        <v>-0.10753040507128137</v>
      </c>
      <c r="L30" s="46">
        <f t="shared" si="4"/>
        <v>1167905.243919584</v>
      </c>
      <c r="M30" s="7"/>
      <c r="N30" s="256"/>
      <c r="O30" s="258"/>
      <c r="P30" s="20">
        <f t="shared" si="5"/>
        <v>38776</v>
      </c>
      <c r="Q30" s="45">
        <v>0.37784395956158129</v>
      </c>
      <c r="R30" s="46">
        <f t="shared" si="6"/>
        <v>1112307.2087645645</v>
      </c>
      <c r="S30" s="7"/>
      <c r="T30" s="256"/>
      <c r="U30" s="258"/>
    </row>
    <row r="31" spans="1:21" x14ac:dyDescent="0.25">
      <c r="A31" s="20">
        <v>38807</v>
      </c>
      <c r="B31" s="24">
        <f t="shared" si="7"/>
        <v>15</v>
      </c>
      <c r="C31" s="96" t="s">
        <v>77</v>
      </c>
      <c r="D31" s="27">
        <v>0.47</v>
      </c>
      <c r="E31" s="46">
        <f t="shared" si="3"/>
        <v>1150268.5598684566</v>
      </c>
      <c r="F31" s="8"/>
      <c r="G31" s="49">
        <f>(E31/E28-1)*100</f>
        <v>3.4029624374000145</v>
      </c>
      <c r="H31" s="49"/>
      <c r="I31" s="258"/>
      <c r="J31" s="20">
        <f t="shared" si="2"/>
        <v>38807</v>
      </c>
      <c r="K31" s="27">
        <v>2.1593331656095636</v>
      </c>
      <c r="L31" s="46">
        <f t="shared" si="4"/>
        <v>1193124.2091944327</v>
      </c>
      <c r="M31" s="7"/>
      <c r="N31" s="49">
        <f>(L31/L28-1)*100</f>
        <v>7.0825355267100987</v>
      </c>
      <c r="O31" s="258"/>
      <c r="P31" s="20">
        <f t="shared" si="5"/>
        <v>38807</v>
      </c>
      <c r="Q31" s="45">
        <v>1.2634850793714849</v>
      </c>
      <c r="R31" s="46">
        <f t="shared" si="6"/>
        <v>1126361.0443840781</v>
      </c>
      <c r="S31" s="7"/>
      <c r="T31" s="49">
        <f>(R31/R28-1)*100</f>
        <v>5.7756367009613729</v>
      </c>
      <c r="U31" s="258"/>
    </row>
    <row r="32" spans="1:21" x14ac:dyDescent="0.25">
      <c r="A32" s="20">
        <v>38837</v>
      </c>
      <c r="B32" s="24">
        <f t="shared" si="7"/>
        <v>16</v>
      </c>
      <c r="C32" s="96" t="s">
        <v>77</v>
      </c>
      <c r="D32" s="27">
        <v>2.56</v>
      </c>
      <c r="E32" s="46">
        <f t="shared" si="3"/>
        <v>1179715.435001089</v>
      </c>
      <c r="F32" s="8"/>
      <c r="G32" s="256"/>
      <c r="H32" s="256"/>
      <c r="I32" s="258"/>
      <c r="J32" s="20">
        <f t="shared" si="2"/>
        <v>38837</v>
      </c>
      <c r="K32" s="27">
        <v>3.3753137632829286</v>
      </c>
      <c r="L32" s="46">
        <f t="shared" si="4"/>
        <v>1233395.894840433</v>
      </c>
      <c r="M32" s="7"/>
      <c r="N32" s="256"/>
      <c r="O32" s="258"/>
      <c r="P32" s="20">
        <f t="shared" si="5"/>
        <v>38837</v>
      </c>
      <c r="Q32" s="45">
        <v>3.0515332409834275</v>
      </c>
      <c r="R32" s="46">
        <f t="shared" si="6"/>
        <v>1160732.3260669464</v>
      </c>
      <c r="S32" s="7"/>
      <c r="T32" s="256"/>
      <c r="U32" s="258"/>
    </row>
    <row r="33" spans="1:21" x14ac:dyDescent="0.25">
      <c r="A33" s="20">
        <v>38868</v>
      </c>
      <c r="B33" s="24">
        <f t="shared" si="7"/>
        <v>17</v>
      </c>
      <c r="C33" s="96" t="s">
        <v>77</v>
      </c>
      <c r="D33" s="27">
        <v>-0.84</v>
      </c>
      <c r="E33" s="46">
        <f t="shared" si="3"/>
        <v>1169805.8253470799</v>
      </c>
      <c r="F33" s="8"/>
      <c r="G33" s="256"/>
      <c r="H33" s="256"/>
      <c r="I33" s="258"/>
      <c r="J33" s="20">
        <f t="shared" si="2"/>
        <v>38868</v>
      </c>
      <c r="K33" s="27">
        <v>-3.8580235479978904</v>
      </c>
      <c r="L33" s="46">
        <f t="shared" si="4"/>
        <v>1185811.1907774499</v>
      </c>
      <c r="M33" s="7"/>
      <c r="N33" s="256"/>
      <c r="O33" s="258"/>
      <c r="P33" s="20">
        <f t="shared" si="5"/>
        <v>38868</v>
      </c>
      <c r="Q33" s="45">
        <v>-2.9369953097045602</v>
      </c>
      <c r="R33" s="46">
        <f t="shared" si="6"/>
        <v>1126641.6720921355</v>
      </c>
      <c r="S33" s="7"/>
      <c r="T33" s="256"/>
      <c r="U33" s="258"/>
    </row>
    <row r="34" spans="1:21" x14ac:dyDescent="0.25">
      <c r="A34" s="20">
        <v>38898</v>
      </c>
      <c r="B34" s="24">
        <f t="shared" si="7"/>
        <v>18</v>
      </c>
      <c r="C34" s="96" t="s">
        <v>77</v>
      </c>
      <c r="D34" s="27">
        <v>0</v>
      </c>
      <c r="E34" s="46">
        <f t="shared" si="3"/>
        <v>1169805.8253470799</v>
      </c>
      <c r="F34" s="8"/>
      <c r="G34" s="49">
        <f>(E34/E31-1)*100</f>
        <v>1.6984960000000049</v>
      </c>
      <c r="H34" s="49"/>
      <c r="I34" s="258"/>
      <c r="J34" s="20">
        <f t="shared" si="2"/>
        <v>38898</v>
      </c>
      <c r="K34" s="27">
        <v>2.015489630601761E-3</v>
      </c>
      <c r="L34" s="46">
        <f t="shared" si="4"/>
        <v>1185835.0906790385</v>
      </c>
      <c r="M34" s="7"/>
      <c r="N34" s="49">
        <f>(L34/L31-1)*100</f>
        <v>-0.61092704843492829</v>
      </c>
      <c r="O34" s="258"/>
      <c r="P34" s="20">
        <f t="shared" si="5"/>
        <v>38898</v>
      </c>
      <c r="Q34" s="45">
        <v>0.20225569902758714</v>
      </c>
      <c r="R34" s="46">
        <f t="shared" si="6"/>
        <v>1128920.3690815617</v>
      </c>
      <c r="S34" s="7"/>
      <c r="T34" s="49">
        <f>(R34/R31-1)*100</f>
        <v>0.22722063322804242</v>
      </c>
      <c r="U34" s="258"/>
    </row>
    <row r="35" spans="1:21" x14ac:dyDescent="0.25">
      <c r="A35" s="20">
        <v>38929</v>
      </c>
      <c r="B35" s="24">
        <f t="shared" si="7"/>
        <v>19</v>
      </c>
      <c r="C35" s="96" t="s">
        <v>77</v>
      </c>
      <c r="D35" s="27">
        <v>3.18</v>
      </c>
      <c r="E35" s="46">
        <f t="shared" si="3"/>
        <v>1207005.6505931171</v>
      </c>
      <c r="F35" s="8"/>
      <c r="G35" s="256"/>
      <c r="H35" s="256"/>
      <c r="I35" s="258"/>
      <c r="J35" s="20">
        <f t="shared" si="2"/>
        <v>38929</v>
      </c>
      <c r="K35" s="27">
        <v>0.70265073039279302</v>
      </c>
      <c r="L35" s="46">
        <f t="shared" si="4"/>
        <v>1194167.3696049489</v>
      </c>
      <c r="M35" s="7"/>
      <c r="N35" s="256"/>
      <c r="O35" s="258"/>
      <c r="P35" s="20">
        <f t="shared" si="5"/>
        <v>38929</v>
      </c>
      <c r="Q35" s="45">
        <v>1.9130763341321064</v>
      </c>
      <c r="R35" s="46">
        <f t="shared" si="6"/>
        <v>1150517.477493658</v>
      </c>
      <c r="S35" s="7"/>
      <c r="T35" s="256"/>
      <c r="U35" s="258"/>
    </row>
    <row r="36" spans="1:21" x14ac:dyDescent="0.25">
      <c r="A36" s="20">
        <v>38960</v>
      </c>
      <c r="B36" s="24">
        <f t="shared" si="7"/>
        <v>20</v>
      </c>
      <c r="C36" s="96" t="s">
        <v>77</v>
      </c>
      <c r="D36" s="27">
        <v>2.69</v>
      </c>
      <c r="E36" s="46">
        <f t="shared" si="3"/>
        <v>1239474.102594072</v>
      </c>
      <c r="F36" s="8"/>
      <c r="G36" s="256"/>
      <c r="H36" s="256"/>
      <c r="I36" s="258"/>
      <c r="J36" s="20">
        <f t="shared" si="2"/>
        <v>38960</v>
      </c>
      <c r="K36" s="27">
        <v>2.6488347075695056</v>
      </c>
      <c r="L36" s="46">
        <f t="shared" si="4"/>
        <v>1225798.8893575147</v>
      </c>
      <c r="M36" s="7"/>
      <c r="N36" s="256"/>
      <c r="O36" s="258"/>
      <c r="P36" s="20">
        <f t="shared" si="5"/>
        <v>38960</v>
      </c>
      <c r="Q36" s="45">
        <v>2.2235230986877372</v>
      </c>
      <c r="R36" s="46">
        <f t="shared" si="6"/>
        <v>1176099.4993601688</v>
      </c>
      <c r="S36" s="7"/>
      <c r="T36" s="256"/>
      <c r="U36" s="258"/>
    </row>
    <row r="37" spans="1:21" x14ac:dyDescent="0.25">
      <c r="A37" s="20">
        <v>38990</v>
      </c>
      <c r="B37" s="24">
        <f t="shared" si="7"/>
        <v>21</v>
      </c>
      <c r="C37" s="96" t="s">
        <v>77</v>
      </c>
      <c r="D37" s="27">
        <v>0</v>
      </c>
      <c r="E37" s="46">
        <f t="shared" si="3"/>
        <v>1239474.102594072</v>
      </c>
      <c r="F37" s="8"/>
      <c r="G37" s="49">
        <f>(E37/E34-1)*100</f>
        <v>5.9555420000000137</v>
      </c>
      <c r="H37" s="49"/>
      <c r="I37" s="258"/>
      <c r="J37" s="20">
        <f t="shared" si="2"/>
        <v>38990</v>
      </c>
      <c r="K37" s="27">
        <v>1.2016998299424586</v>
      </c>
      <c r="L37" s="46">
        <f t="shared" si="4"/>
        <v>1240529.3125263604</v>
      </c>
      <c r="M37" s="7"/>
      <c r="N37" s="49">
        <f>(L37/L34-1)*100</f>
        <v>4.6122957801832731</v>
      </c>
      <c r="O37" s="258"/>
      <c r="P37" s="20">
        <f t="shared" si="5"/>
        <v>38990</v>
      </c>
      <c r="Q37" s="45">
        <v>1.2646267203695574</v>
      </c>
      <c r="R37" s="46">
        <f t="shared" si="6"/>
        <v>1190972.76788721</v>
      </c>
      <c r="S37" s="7"/>
      <c r="T37" s="49">
        <f>(R37/R34-1)*100</f>
        <v>5.4966143321633298</v>
      </c>
      <c r="U37" s="258"/>
    </row>
    <row r="38" spans="1:21" x14ac:dyDescent="0.25">
      <c r="A38" s="20">
        <v>39021</v>
      </c>
      <c r="B38" s="24">
        <f t="shared" si="7"/>
        <v>22</v>
      </c>
      <c r="C38" s="96" t="s">
        <v>77</v>
      </c>
      <c r="D38" s="27">
        <v>3.17</v>
      </c>
      <c r="E38" s="46">
        <f t="shared" si="3"/>
        <v>1278765.431646304</v>
      </c>
      <c r="F38" s="8"/>
      <c r="G38" s="256"/>
      <c r="H38" s="256"/>
      <c r="I38" s="258"/>
      <c r="J38" s="20">
        <f t="shared" si="2"/>
        <v>39021</v>
      </c>
      <c r="K38" s="27">
        <v>3.7716946673715785</v>
      </c>
      <c r="L38" s="46">
        <f t="shared" si="4"/>
        <v>1287318.2904540985</v>
      </c>
      <c r="M38" s="7"/>
      <c r="N38" s="256"/>
      <c r="O38" s="258"/>
      <c r="P38" s="20">
        <f t="shared" si="5"/>
        <v>39021</v>
      </c>
      <c r="Q38" s="45">
        <v>3.4882515386572908</v>
      </c>
      <c r="R38" s="46">
        <f t="shared" si="6"/>
        <v>1232516.893788025</v>
      </c>
      <c r="S38" s="7"/>
      <c r="T38" s="256"/>
      <c r="U38" s="258"/>
    </row>
    <row r="39" spans="1:21" x14ac:dyDescent="0.25">
      <c r="A39" s="20">
        <v>39051</v>
      </c>
      <c r="B39" s="24">
        <f t="shared" si="7"/>
        <v>23</v>
      </c>
      <c r="C39" s="96" t="s">
        <v>77</v>
      </c>
      <c r="D39" s="27">
        <v>2.44</v>
      </c>
      <c r="E39" s="46">
        <f t="shared" si="3"/>
        <v>1309967.3081784737</v>
      </c>
      <c r="F39" s="8"/>
      <c r="G39" s="256"/>
      <c r="H39" s="256"/>
      <c r="I39" s="258"/>
      <c r="J39" s="20">
        <f t="shared" si="2"/>
        <v>39051</v>
      </c>
      <c r="K39" s="27">
        <v>2.8775939353664128</v>
      </c>
      <c r="L39" s="46">
        <f t="shared" si="4"/>
        <v>1324362.0835090682</v>
      </c>
      <c r="M39" s="7"/>
      <c r="N39" s="256"/>
      <c r="O39" s="258"/>
      <c r="P39" s="20">
        <f t="shared" si="5"/>
        <v>39051</v>
      </c>
      <c r="Q39" s="45">
        <v>2.9881602914389749</v>
      </c>
      <c r="R39" s="46">
        <f t="shared" si="6"/>
        <v>1269346.4741934759</v>
      </c>
      <c r="S39" s="7"/>
      <c r="T39" s="256"/>
      <c r="U39" s="258"/>
    </row>
    <row r="40" spans="1:21" x14ac:dyDescent="0.25">
      <c r="A40" s="20">
        <v>39082</v>
      </c>
      <c r="B40" s="24">
        <f t="shared" si="7"/>
        <v>24</v>
      </c>
      <c r="C40" s="96" t="s">
        <v>77</v>
      </c>
      <c r="D40" s="27">
        <v>1.01</v>
      </c>
      <c r="E40" s="46">
        <f t="shared" si="3"/>
        <v>1323197.9779910764</v>
      </c>
      <c r="F40" s="11">
        <f>(E40-E28)/E28*100</f>
        <v>18.948387871352232</v>
      </c>
      <c r="G40" s="49">
        <f>(E40/E37-1)*100</f>
        <v>6.7547902147999883</v>
      </c>
      <c r="H40" s="49"/>
      <c r="I40" s="258"/>
      <c r="J40" s="20">
        <f t="shared" si="2"/>
        <v>39082</v>
      </c>
      <c r="K40" s="27">
        <v>2.2787232207426786</v>
      </c>
      <c r="L40" s="46">
        <f t="shared" si="4"/>
        <v>1354540.6298327008</v>
      </c>
      <c r="M40" s="19">
        <f>(L40-L28)/L28*100</f>
        <v>21.569610270807384</v>
      </c>
      <c r="N40" s="49">
        <f>(L40/L37-1)*100</f>
        <v>9.1905379546537436</v>
      </c>
      <c r="O40" s="258"/>
      <c r="P40" s="20">
        <f t="shared" si="5"/>
        <v>39082</v>
      </c>
      <c r="Q40" s="45">
        <v>2.5203172946825729</v>
      </c>
      <c r="R40" s="46">
        <f t="shared" si="6"/>
        <v>1301338.0329120175</v>
      </c>
      <c r="S40" s="19">
        <f>(R40-R28)/R28*100</f>
        <v>22.207581379659313</v>
      </c>
      <c r="T40" s="49">
        <f>(R40/R37-1)*100</f>
        <v>9.2668168408750482</v>
      </c>
      <c r="U40" s="258"/>
    </row>
    <row r="41" spans="1:21" x14ac:dyDescent="0.25">
      <c r="A41" s="20">
        <v>39113</v>
      </c>
      <c r="B41" s="24">
        <f t="shared" si="7"/>
        <v>25</v>
      </c>
      <c r="C41" s="96" t="s">
        <v>77</v>
      </c>
      <c r="D41" s="27">
        <v>1.53</v>
      </c>
      <c r="E41" s="46">
        <f t="shared" si="3"/>
        <v>1343442.90705434</v>
      </c>
      <c r="F41" s="10"/>
      <c r="G41" s="256"/>
      <c r="H41" s="256"/>
      <c r="I41" s="258"/>
      <c r="J41" s="20">
        <f t="shared" si="2"/>
        <v>39113</v>
      </c>
      <c r="K41" s="27">
        <v>1.0069956997243739</v>
      </c>
      <c r="L41" s="46">
        <f t="shared" si="4"/>
        <v>1368180.7957261356</v>
      </c>
      <c r="M41" s="15"/>
      <c r="N41" s="256"/>
      <c r="O41" s="258"/>
      <c r="P41" s="20">
        <f t="shared" si="5"/>
        <v>39113</v>
      </c>
      <c r="Q41" s="45">
        <v>1.2162406948961137</v>
      </c>
      <c r="R41" s="46">
        <f t="shared" si="6"/>
        <v>1317165.4356464541</v>
      </c>
      <c r="S41" s="15"/>
      <c r="T41" s="256"/>
      <c r="U41" s="258"/>
    </row>
    <row r="42" spans="1:21" x14ac:dyDescent="0.25">
      <c r="A42" s="20">
        <v>39141</v>
      </c>
      <c r="B42" s="24">
        <f t="shared" si="7"/>
        <v>26</v>
      </c>
      <c r="C42" s="96" t="s">
        <v>77</v>
      </c>
      <c r="D42" s="27">
        <v>-0.32</v>
      </c>
      <c r="E42" s="46">
        <f t="shared" si="3"/>
        <v>1339143.8897517661</v>
      </c>
      <c r="F42" s="8"/>
      <c r="G42" s="256"/>
      <c r="H42" s="256"/>
      <c r="I42" s="258"/>
      <c r="J42" s="20">
        <f t="shared" si="2"/>
        <v>39141</v>
      </c>
      <c r="K42" s="27">
        <v>-0.4844906477377996</v>
      </c>
      <c r="L42" s="46">
        <f t="shared" si="4"/>
        <v>1361552.0877266978</v>
      </c>
      <c r="M42" s="7"/>
      <c r="N42" s="256"/>
      <c r="O42" s="258"/>
      <c r="P42" s="20">
        <f t="shared" si="5"/>
        <v>39141</v>
      </c>
      <c r="Q42" s="45">
        <v>1.9600991980639179E-2</v>
      </c>
      <c r="R42" s="46">
        <f t="shared" si="6"/>
        <v>1317423.6131378668</v>
      </c>
      <c r="S42" s="7"/>
      <c r="T42" s="256"/>
      <c r="U42" s="258"/>
    </row>
    <row r="43" spans="1:21" x14ac:dyDescent="0.25">
      <c r="A43" s="20">
        <v>39172</v>
      </c>
      <c r="B43" s="24">
        <f t="shared" si="7"/>
        <v>27</v>
      </c>
      <c r="C43" s="96" t="s">
        <v>77</v>
      </c>
      <c r="D43" s="27">
        <v>2.09</v>
      </c>
      <c r="E43" s="46">
        <f t="shared" si="3"/>
        <v>1367131.997047578</v>
      </c>
      <c r="F43" s="8"/>
      <c r="G43" s="49">
        <f>(E43/E40-1)*100</f>
        <v>3.3202906736000015</v>
      </c>
      <c r="H43" s="49"/>
      <c r="I43" s="258"/>
      <c r="J43" s="20">
        <f t="shared" si="2"/>
        <v>39172</v>
      </c>
      <c r="K43" s="27">
        <v>2.0520985635103481</v>
      </c>
      <c r="L43" s="46">
        <f t="shared" si="4"/>
        <v>1389492.4785603825</v>
      </c>
      <c r="M43" s="7"/>
      <c r="N43" s="49">
        <f>(L43/L40-1)*100</f>
        <v>2.5803470163902498</v>
      </c>
      <c r="O43" s="258"/>
      <c r="P43" s="20">
        <f t="shared" si="5"/>
        <v>39172</v>
      </c>
      <c r="Q43" s="45">
        <v>1.269554548243061</v>
      </c>
      <c r="R43" s="46">
        <f t="shared" si="6"/>
        <v>1334149.0245380867</v>
      </c>
      <c r="S43" s="7"/>
      <c r="T43" s="49">
        <f>(R43/R40-1)*100</f>
        <v>2.5213273412633352</v>
      </c>
      <c r="U43" s="258"/>
    </row>
    <row r="44" spans="1:21" x14ac:dyDescent="0.25">
      <c r="A44" s="20">
        <v>39202</v>
      </c>
      <c r="B44" s="24">
        <f t="shared" si="7"/>
        <v>28</v>
      </c>
      <c r="C44" s="96" t="s">
        <v>77</v>
      </c>
      <c r="D44" s="27">
        <v>3.72</v>
      </c>
      <c r="E44" s="46">
        <f t="shared" si="3"/>
        <v>1417989.3073377479</v>
      </c>
      <c r="F44" s="8"/>
      <c r="G44" s="256"/>
      <c r="H44" s="256"/>
      <c r="I44" s="258"/>
      <c r="J44" s="20">
        <f t="shared" si="2"/>
        <v>39202</v>
      </c>
      <c r="K44" s="27">
        <v>4.4809459440317463</v>
      </c>
      <c r="L44" s="46">
        <f t="shared" si="4"/>
        <v>1451754.88542106</v>
      </c>
      <c r="M44" s="7"/>
      <c r="N44" s="256"/>
      <c r="O44" s="258"/>
      <c r="P44" s="20">
        <f t="shared" si="5"/>
        <v>39202</v>
      </c>
      <c r="Q44" s="45">
        <v>2.5459807831457075</v>
      </c>
      <c r="R44" s="46">
        <f t="shared" si="6"/>
        <v>1368116.2023213524</v>
      </c>
      <c r="S44" s="7"/>
      <c r="T44" s="256"/>
      <c r="U44" s="258"/>
    </row>
    <row r="45" spans="1:21" x14ac:dyDescent="0.25">
      <c r="A45" s="20">
        <v>39233</v>
      </c>
      <c r="B45" s="24">
        <f t="shared" si="7"/>
        <v>29</v>
      </c>
      <c r="C45" s="96" t="s">
        <v>77</v>
      </c>
      <c r="D45" s="27">
        <v>2.74</v>
      </c>
      <c r="E45" s="46">
        <f t="shared" si="3"/>
        <v>1456842.2143588022</v>
      </c>
      <c r="F45" s="8"/>
      <c r="G45" s="256"/>
      <c r="H45" s="256"/>
      <c r="I45" s="258"/>
      <c r="J45" s="20">
        <f t="shared" si="2"/>
        <v>39233</v>
      </c>
      <c r="K45" s="27">
        <v>3.0758500174190617</v>
      </c>
      <c r="L45" s="46">
        <f t="shared" si="4"/>
        <v>1496408.6883171657</v>
      </c>
      <c r="M45" s="7"/>
      <c r="N45" s="256"/>
      <c r="O45" s="258"/>
      <c r="P45" s="20">
        <f t="shared" si="5"/>
        <v>39233</v>
      </c>
      <c r="Q45" s="45">
        <v>1.2011814899901625</v>
      </c>
      <c r="R45" s="46">
        <f t="shared" si="6"/>
        <v>1384549.7609051929</v>
      </c>
      <c r="S45" s="7"/>
      <c r="T45" s="256"/>
      <c r="U45" s="258"/>
    </row>
    <row r="46" spans="1:21" x14ac:dyDescent="0.25">
      <c r="A46" s="20">
        <v>39263</v>
      </c>
      <c r="B46" s="24">
        <f t="shared" si="7"/>
        <v>30</v>
      </c>
      <c r="C46" s="96" t="s">
        <v>77</v>
      </c>
      <c r="D46" s="27">
        <v>-1.35</v>
      </c>
      <c r="E46" s="46">
        <f t="shared" si="3"/>
        <v>1437174.8444649584</v>
      </c>
      <c r="F46" s="8"/>
      <c r="G46" s="49">
        <f>(E46/E43-1)*100</f>
        <v>5.1233419719999951</v>
      </c>
      <c r="H46" s="49"/>
      <c r="I46" s="258"/>
      <c r="J46" s="20">
        <f t="shared" si="2"/>
        <v>39263</v>
      </c>
      <c r="K46" s="27">
        <v>-0.25641314718072444</v>
      </c>
      <c r="L46" s="46">
        <f t="shared" si="4"/>
        <v>1492571.6997047658</v>
      </c>
      <c r="M46" s="7"/>
      <c r="N46" s="49">
        <f>(L46/L43-1)*100</f>
        <v>7.4184799655181433</v>
      </c>
      <c r="O46" s="258"/>
      <c r="P46" s="20">
        <f t="shared" si="5"/>
        <v>39263</v>
      </c>
      <c r="Q46" s="45">
        <v>-2.1030613568556276</v>
      </c>
      <c r="R46" s="46">
        <f t="shared" si="6"/>
        <v>1355431.8299171589</v>
      </c>
      <c r="S46" s="7"/>
      <c r="T46" s="49">
        <f>(R46/R43-1)*100</f>
        <v>1.5952344893735315</v>
      </c>
      <c r="U46" s="258"/>
    </row>
    <row r="47" spans="1:21" x14ac:dyDescent="0.25">
      <c r="A47" s="20">
        <v>39294</v>
      </c>
      <c r="B47" s="24">
        <f t="shared" si="7"/>
        <v>31</v>
      </c>
      <c r="C47" s="96" t="s">
        <v>77</v>
      </c>
      <c r="D47" s="27">
        <v>-2.5499999999999998</v>
      </c>
      <c r="E47" s="46">
        <f t="shared" si="3"/>
        <v>1400526.8859311021</v>
      </c>
      <c r="F47" s="8"/>
      <c r="G47" s="256"/>
      <c r="H47" s="256"/>
      <c r="I47" s="258"/>
      <c r="J47" s="20">
        <f t="shared" si="2"/>
        <v>39294</v>
      </c>
      <c r="K47" s="27">
        <v>-1.5107855222863096</v>
      </c>
      <c r="L47" s="46">
        <f t="shared" si="4"/>
        <v>1470022.1425558836</v>
      </c>
      <c r="M47" s="7"/>
      <c r="N47" s="256"/>
      <c r="O47" s="258"/>
      <c r="P47" s="20">
        <f t="shared" si="5"/>
        <v>39294</v>
      </c>
      <c r="Q47" s="45">
        <v>-2.2277432712215397</v>
      </c>
      <c r="R47" s="46">
        <f t="shared" si="6"/>
        <v>1325236.2885301844</v>
      </c>
      <c r="S47" s="7"/>
      <c r="T47" s="256"/>
      <c r="U47" s="258"/>
    </row>
    <row r="48" spans="1:21" x14ac:dyDescent="0.25">
      <c r="A48" s="20">
        <v>39325</v>
      </c>
      <c r="B48" s="24">
        <f t="shared" si="7"/>
        <v>32</v>
      </c>
      <c r="C48" s="96" t="s">
        <v>77</v>
      </c>
      <c r="D48" s="27">
        <v>1.21</v>
      </c>
      <c r="E48" s="46">
        <f t="shared" si="3"/>
        <v>1417473.2612508684</v>
      </c>
      <c r="F48" s="8"/>
      <c r="G48" s="256"/>
      <c r="H48" s="256"/>
      <c r="I48" s="258"/>
      <c r="J48" s="20">
        <f t="shared" ref="J48:J79" si="8">A48</f>
        <v>39325</v>
      </c>
      <c r="K48" s="27">
        <v>-0.22543895324024771</v>
      </c>
      <c r="L48" s="46">
        <f t="shared" si="4"/>
        <v>1466708.1400253058</v>
      </c>
      <c r="M48" s="7"/>
      <c r="N48" s="256"/>
      <c r="O48" s="258"/>
      <c r="P48" s="20">
        <f t="shared" si="5"/>
        <v>39325</v>
      </c>
      <c r="Q48" s="45">
        <v>0.91478909029308675</v>
      </c>
      <c r="R48" s="46">
        <f t="shared" si="6"/>
        <v>1337359.4055182636</v>
      </c>
      <c r="S48" s="7"/>
      <c r="T48" s="256"/>
      <c r="U48" s="258"/>
    </row>
    <row r="49" spans="1:21" x14ac:dyDescent="0.25">
      <c r="A49" s="20">
        <v>39355</v>
      </c>
      <c r="B49" s="24">
        <f t="shared" si="7"/>
        <v>33</v>
      </c>
      <c r="C49" s="96" t="s">
        <v>77</v>
      </c>
      <c r="D49" s="27">
        <v>3.24</v>
      </c>
      <c r="E49" s="46">
        <f t="shared" ref="E49:E80" si="9">E48*D49/100+E48</f>
        <v>1463399.3949153966</v>
      </c>
      <c r="F49" s="8"/>
      <c r="G49" s="49">
        <f>(E49/E46-1)*100</f>
        <v>1.8247292980000163</v>
      </c>
      <c r="H49" s="49"/>
      <c r="I49" s="258"/>
      <c r="J49" s="20">
        <f t="shared" si="8"/>
        <v>39355</v>
      </c>
      <c r="K49" s="27">
        <v>5.4063211854655089</v>
      </c>
      <c r="L49" s="46">
        <f t="shared" ref="L49:L80" si="10">L48*K49/100+L48</f>
        <v>1546003.092928441</v>
      </c>
      <c r="M49" s="7"/>
      <c r="N49" s="49">
        <f>(L49/L46-1)*100</f>
        <v>3.5798208712013002</v>
      </c>
      <c r="O49" s="258"/>
      <c r="P49" s="20">
        <f t="shared" si="5"/>
        <v>39355</v>
      </c>
      <c r="Q49" s="45">
        <v>3.5538022494544164</v>
      </c>
      <c r="R49" s="46">
        <f t="shared" ref="R49:R80" si="11">R48*Q49/100+R48</f>
        <v>1384886.5141548619</v>
      </c>
      <c r="S49" s="7"/>
      <c r="T49" s="49">
        <f>(R49/R46-1)*100</f>
        <v>2.1730848861283736</v>
      </c>
      <c r="U49" s="258"/>
    </row>
    <row r="50" spans="1:21" x14ac:dyDescent="0.25">
      <c r="A50" s="20">
        <v>39386</v>
      </c>
      <c r="B50" s="24">
        <f t="shared" si="7"/>
        <v>34</v>
      </c>
      <c r="C50" s="96" t="s">
        <v>77</v>
      </c>
      <c r="D50" s="27">
        <v>2.37</v>
      </c>
      <c r="E50" s="46">
        <f t="shared" si="9"/>
        <v>1498081.9605748914</v>
      </c>
      <c r="F50" s="8"/>
      <c r="G50" s="256"/>
      <c r="H50" s="256"/>
      <c r="I50" s="258"/>
      <c r="J50" s="20">
        <f t="shared" si="8"/>
        <v>39386</v>
      </c>
      <c r="K50" s="27">
        <v>3.9223513920514463</v>
      </c>
      <c r="L50" s="46">
        <f t="shared" si="10"/>
        <v>1606642.7667650781</v>
      </c>
      <c r="M50" s="7"/>
      <c r="N50" s="256"/>
      <c r="O50" s="258"/>
      <c r="P50" s="20">
        <f t="shared" si="5"/>
        <v>39386</v>
      </c>
      <c r="Q50" s="45">
        <v>2.4697261983886416</v>
      </c>
      <c r="R50" s="46">
        <f t="shared" si="11"/>
        <v>1419089.4192128957</v>
      </c>
      <c r="S50" s="7"/>
      <c r="T50" s="256"/>
      <c r="U50" s="258"/>
    </row>
    <row r="51" spans="1:21" x14ac:dyDescent="0.25">
      <c r="A51" s="20">
        <v>39416</v>
      </c>
      <c r="B51" s="24">
        <f t="shared" si="7"/>
        <v>35</v>
      </c>
      <c r="C51" s="96" t="s">
        <v>77</v>
      </c>
      <c r="D51" s="27">
        <v>-1.2</v>
      </c>
      <c r="E51" s="46">
        <f t="shared" si="9"/>
        <v>1480104.9770479926</v>
      </c>
      <c r="F51" s="8"/>
      <c r="G51" s="256"/>
      <c r="H51" s="256"/>
      <c r="I51" s="258"/>
      <c r="J51" s="20">
        <f t="shared" si="8"/>
        <v>39416</v>
      </c>
      <c r="K51" s="27">
        <v>-4.3203564912649153</v>
      </c>
      <c r="L51" s="46">
        <f t="shared" si="10"/>
        <v>1537230.0716997047</v>
      </c>
      <c r="M51" s="7"/>
      <c r="N51" s="256"/>
      <c r="O51" s="258"/>
      <c r="P51" s="20">
        <f t="shared" si="5"/>
        <v>39416</v>
      </c>
      <c r="Q51" s="45">
        <v>-2.5604923232690866</v>
      </c>
      <c r="R51" s="46">
        <f t="shared" si="11"/>
        <v>1382753.7435736256</v>
      </c>
      <c r="S51" s="7"/>
      <c r="T51" s="256"/>
      <c r="U51" s="258"/>
    </row>
    <row r="52" spans="1:21" x14ac:dyDescent="0.25">
      <c r="A52" s="20">
        <v>39447</v>
      </c>
      <c r="B52" s="24">
        <f t="shared" si="7"/>
        <v>36</v>
      </c>
      <c r="C52" s="96" t="s">
        <v>77</v>
      </c>
      <c r="D52" s="27">
        <v>-1.35</v>
      </c>
      <c r="E52" s="46">
        <f t="shared" si="9"/>
        <v>1460123.5598578448</v>
      </c>
      <c r="F52" s="11">
        <f>(E52-E40)/E40*100</f>
        <v>10.348079738955878</v>
      </c>
      <c r="G52" s="49">
        <f>(E52/E49-1)*100</f>
        <v>-0.2238510600000021</v>
      </c>
      <c r="H52" s="49"/>
      <c r="I52" s="258"/>
      <c r="J52" s="20">
        <f t="shared" si="8"/>
        <v>39447</v>
      </c>
      <c r="K52" s="27">
        <v>-1.0547754809570833</v>
      </c>
      <c r="L52" s="46">
        <f t="shared" si="10"/>
        <v>1521015.7458175172</v>
      </c>
      <c r="M52" s="19">
        <f>(L52-L40)/L40*100</f>
        <v>12.290153009686957</v>
      </c>
      <c r="N52" s="49">
        <f>(L52/L49-1)*100</f>
        <v>-1.6162546650274057</v>
      </c>
      <c r="O52" s="258"/>
      <c r="P52" s="20">
        <f t="shared" si="5"/>
        <v>39447</v>
      </c>
      <c r="Q52" s="45">
        <v>-1.4587933497856889</v>
      </c>
      <c r="R52" s="46">
        <f t="shared" si="11"/>
        <v>1362582.2239184608</v>
      </c>
      <c r="S52" s="19">
        <f>(R52-R40)/R40*100</f>
        <v>4.7062476818107335</v>
      </c>
      <c r="T52" s="49">
        <f>(R52/R49-1)*100</f>
        <v>-1.6105500348533974</v>
      </c>
      <c r="U52" s="258"/>
    </row>
    <row r="53" spans="1:21" x14ac:dyDescent="0.25">
      <c r="A53" s="20">
        <v>39478</v>
      </c>
      <c r="B53" s="24">
        <f t="shared" si="7"/>
        <v>37</v>
      </c>
      <c r="C53" s="96" t="s">
        <v>77</v>
      </c>
      <c r="D53" s="27">
        <v>-3.29</v>
      </c>
      <c r="E53" s="46">
        <f t="shared" si="9"/>
        <v>1412085.4947385218</v>
      </c>
      <c r="F53" s="10"/>
      <c r="G53" s="256"/>
      <c r="H53" s="256"/>
      <c r="I53" s="258"/>
      <c r="J53" s="20">
        <f t="shared" si="8"/>
        <v>39478</v>
      </c>
      <c r="K53" s="27">
        <v>-8.1778004128853237</v>
      </c>
      <c r="L53" s="46">
        <f t="shared" si="10"/>
        <v>1396630.1138760014</v>
      </c>
      <c r="M53" s="15"/>
      <c r="N53" s="256"/>
      <c r="O53" s="258"/>
      <c r="P53" s="20">
        <f t="shared" si="5"/>
        <v>39478</v>
      </c>
      <c r="Q53" s="45">
        <v>-5.103511908194438</v>
      </c>
      <c r="R53" s="46">
        <f t="shared" si="11"/>
        <v>1293042.6778618416</v>
      </c>
      <c r="S53" s="15"/>
      <c r="T53" s="256"/>
      <c r="U53" s="258"/>
    </row>
    <row r="54" spans="1:21" x14ac:dyDescent="0.25">
      <c r="A54" s="20">
        <v>39507</v>
      </c>
      <c r="B54" s="24">
        <f t="shared" si="7"/>
        <v>38</v>
      </c>
      <c r="C54" s="96" t="s">
        <v>77</v>
      </c>
      <c r="D54" s="27">
        <v>-2.1</v>
      </c>
      <c r="E54" s="46">
        <f t="shared" si="9"/>
        <v>1382431.6993490127</v>
      </c>
      <c r="F54" s="8"/>
      <c r="G54" s="256"/>
      <c r="H54" s="256"/>
      <c r="I54" s="258"/>
      <c r="J54" s="20">
        <f t="shared" si="8"/>
        <v>39507</v>
      </c>
      <c r="K54" s="27">
        <v>0.32632121462862346</v>
      </c>
      <c r="L54" s="46">
        <f t="shared" si="10"/>
        <v>1401187.6142274707</v>
      </c>
      <c r="M54" s="7"/>
      <c r="N54" s="256"/>
      <c r="O54" s="258"/>
      <c r="P54" s="20">
        <f t="shared" si="5"/>
        <v>39507</v>
      </c>
      <c r="Q54" s="45">
        <v>-0.11372317522051642</v>
      </c>
      <c r="R54" s="46">
        <f t="shared" si="11"/>
        <v>1291572.1886716208</v>
      </c>
      <c r="S54" s="7"/>
      <c r="T54" s="256"/>
      <c r="U54" s="258"/>
    </row>
    <row r="55" spans="1:21" x14ac:dyDescent="0.25">
      <c r="A55" s="20">
        <v>39538</v>
      </c>
      <c r="B55" s="24">
        <f t="shared" si="7"/>
        <v>39</v>
      </c>
      <c r="C55" s="96" t="s">
        <v>77</v>
      </c>
      <c r="D55" s="27">
        <v>0.33</v>
      </c>
      <c r="E55" s="46">
        <f t="shared" si="9"/>
        <v>1386993.7239568643</v>
      </c>
      <c r="F55" s="8"/>
      <c r="G55" s="49">
        <f>(E55/E52-1)*100</f>
        <v>-5.0084690030000161</v>
      </c>
      <c r="H55" s="49"/>
      <c r="I55" s="258"/>
      <c r="J55" s="20">
        <f t="shared" si="8"/>
        <v>39538</v>
      </c>
      <c r="K55" s="27">
        <v>-1.411984320705632</v>
      </c>
      <c r="L55" s="46">
        <f t="shared" si="10"/>
        <v>1381403.0648109096</v>
      </c>
      <c r="M55" s="7"/>
      <c r="N55" s="49">
        <f>(L55/L52-1)*100</f>
        <v>-9.1789109606862382</v>
      </c>
      <c r="O55" s="258"/>
      <c r="P55" s="20">
        <f t="shared" si="5"/>
        <v>39538</v>
      </c>
      <c r="Q55" s="45">
        <v>-0.85519854685774666</v>
      </c>
      <c r="R55" s="46">
        <f t="shared" si="11"/>
        <v>1280526.6820824824</v>
      </c>
      <c r="S55" s="7"/>
      <c r="T55" s="49">
        <f>(R55/R52-1)*100</f>
        <v>-6.0220616705248258</v>
      </c>
      <c r="U55" s="258"/>
    </row>
    <row r="56" spans="1:21" x14ac:dyDescent="0.25">
      <c r="A56" s="20">
        <v>39568</v>
      </c>
      <c r="B56" s="24">
        <f t="shared" si="7"/>
        <v>40</v>
      </c>
      <c r="C56" s="96" t="s">
        <v>77</v>
      </c>
      <c r="D56" s="27">
        <v>2.74</v>
      </c>
      <c r="E56" s="46">
        <f t="shared" si="9"/>
        <v>1424997.3519932823</v>
      </c>
      <c r="F56" s="8"/>
      <c r="G56" s="256"/>
      <c r="H56" s="256"/>
      <c r="I56" s="258"/>
      <c r="J56" s="20">
        <f t="shared" si="8"/>
        <v>39568</v>
      </c>
      <c r="K56" s="27">
        <v>5.6487331466162924</v>
      </c>
      <c r="L56" s="46">
        <f t="shared" si="10"/>
        <v>1459434.8376212567</v>
      </c>
      <c r="M56" s="7"/>
      <c r="N56" s="256"/>
      <c r="O56" s="258"/>
      <c r="P56" s="20">
        <f t="shared" si="5"/>
        <v>39568</v>
      </c>
      <c r="Q56" s="45">
        <v>2.1248805631284142</v>
      </c>
      <c r="R56" s="46">
        <f t="shared" si="11"/>
        <v>1307736.3446557263</v>
      </c>
      <c r="S56" s="7"/>
      <c r="T56" s="256"/>
      <c r="U56" s="258"/>
    </row>
    <row r="57" spans="1:21" x14ac:dyDescent="0.25">
      <c r="A57" s="20">
        <v>39599</v>
      </c>
      <c r="B57" s="24">
        <f t="shared" si="7"/>
        <v>41</v>
      </c>
      <c r="C57" s="96" t="s">
        <v>77</v>
      </c>
      <c r="D57" s="27">
        <v>1.05</v>
      </c>
      <c r="E57" s="46">
        <f t="shared" si="9"/>
        <v>1439959.8241892117</v>
      </c>
      <c r="F57" s="8"/>
      <c r="G57" s="256"/>
      <c r="H57" s="256"/>
      <c r="I57" s="258"/>
      <c r="J57" s="20">
        <f t="shared" si="8"/>
        <v>39599</v>
      </c>
      <c r="K57" s="27">
        <v>1.6884276598695995</v>
      </c>
      <c r="L57" s="46">
        <f t="shared" si="10"/>
        <v>1484076.339097427</v>
      </c>
      <c r="M57" s="7"/>
      <c r="N57" s="256"/>
      <c r="O57" s="258"/>
      <c r="P57" s="20">
        <f t="shared" si="5"/>
        <v>39599</v>
      </c>
      <c r="Q57" s="45">
        <v>1.1261705908103894</v>
      </c>
      <c r="R57" s="46">
        <f t="shared" si="11"/>
        <v>1322463.6867745779</v>
      </c>
      <c r="S57" s="7"/>
      <c r="T57" s="256"/>
      <c r="U57" s="258"/>
    </row>
    <row r="58" spans="1:21" x14ac:dyDescent="0.25">
      <c r="A58" s="20">
        <v>39629</v>
      </c>
      <c r="B58" s="24">
        <f t="shared" si="7"/>
        <v>42</v>
      </c>
      <c r="C58" s="96" t="s">
        <v>77</v>
      </c>
      <c r="D58" s="27">
        <v>-7.49</v>
      </c>
      <c r="E58" s="46">
        <f t="shared" si="9"/>
        <v>1332106.8333574398</v>
      </c>
      <c r="F58" s="8"/>
      <c r="G58" s="49">
        <f>(E58/E55-1)*100</f>
        <v>-3.9572558730000096</v>
      </c>
      <c r="H58" s="49"/>
      <c r="I58" s="258"/>
      <c r="J58" s="20">
        <f t="shared" si="8"/>
        <v>39629</v>
      </c>
      <c r="K58" s="27">
        <v>-8.176210552341816</v>
      </c>
      <c r="L58" s="46">
        <f t="shared" si="10"/>
        <v>1362735.132855335</v>
      </c>
      <c r="M58" s="7"/>
      <c r="N58" s="49">
        <f>(L58/L55-1)*100</f>
        <v>-1.3513747313228852</v>
      </c>
      <c r="O58" s="258"/>
      <c r="P58" s="20">
        <f t="shared" si="5"/>
        <v>39629</v>
      </c>
      <c r="Q58" s="45">
        <v>-5.9356777265666825</v>
      </c>
      <c r="R58" s="46">
        <f t="shared" si="11"/>
        <v>1243966.5042767667</v>
      </c>
      <c r="S58" s="7"/>
      <c r="T58" s="49">
        <f>(R58/R55-1)*100</f>
        <v>-2.8550891064807016</v>
      </c>
      <c r="U58" s="258"/>
    </row>
    <row r="59" spans="1:21" x14ac:dyDescent="0.25">
      <c r="A59" s="20">
        <v>39660</v>
      </c>
      <c r="B59" s="24">
        <f t="shared" si="7"/>
        <v>43</v>
      </c>
      <c r="C59" s="96" t="s">
        <v>77</v>
      </c>
      <c r="D59" s="27">
        <v>2.69</v>
      </c>
      <c r="E59" s="46">
        <f t="shared" si="9"/>
        <v>1367940.507174755</v>
      </c>
      <c r="F59" s="8"/>
      <c r="G59" s="256"/>
      <c r="H59" s="256"/>
      <c r="I59" s="258"/>
      <c r="J59" s="20">
        <f t="shared" si="8"/>
        <v>39660</v>
      </c>
      <c r="K59" s="27">
        <v>-2.5668682010515576</v>
      </c>
      <c r="L59" s="46">
        <f t="shared" si="10"/>
        <v>1327755.5180655138</v>
      </c>
      <c r="M59" s="7"/>
      <c r="N59" s="256"/>
      <c r="O59" s="258"/>
      <c r="P59" s="20">
        <f t="shared" si="5"/>
        <v>39660</v>
      </c>
      <c r="Q59" s="45">
        <v>-0.37267641219997372</v>
      </c>
      <c r="R59" s="46">
        <f t="shared" si="11"/>
        <v>1239330.5345396586</v>
      </c>
      <c r="S59" s="7"/>
      <c r="T59" s="256"/>
      <c r="U59" s="258"/>
    </row>
    <row r="60" spans="1:21" x14ac:dyDescent="0.25">
      <c r="A60" s="20">
        <v>39691</v>
      </c>
      <c r="B60" s="24">
        <f t="shared" si="7"/>
        <v>44</v>
      </c>
      <c r="C60" s="96" t="s">
        <v>77</v>
      </c>
      <c r="D60" s="27">
        <v>1.96</v>
      </c>
      <c r="E60" s="46">
        <f t="shared" si="9"/>
        <v>1394752.1411153802</v>
      </c>
      <c r="F60" s="8"/>
      <c r="G60" s="256"/>
      <c r="H60" s="256"/>
      <c r="I60" s="258"/>
      <c r="J60" s="20">
        <f t="shared" si="8"/>
        <v>39691</v>
      </c>
      <c r="K60" s="27">
        <v>-2.1051266236602451</v>
      </c>
      <c r="L60" s="46">
        <f t="shared" si="10"/>
        <v>1299804.5831575987</v>
      </c>
      <c r="M60" s="7"/>
      <c r="N60" s="256"/>
      <c r="O60" s="258"/>
      <c r="P60" s="20">
        <f t="shared" si="5"/>
        <v>39691</v>
      </c>
      <c r="Q60" s="45">
        <v>-0.3496155135090982</v>
      </c>
      <c r="R60" s="46">
        <f t="shared" si="11"/>
        <v>1234997.6427272528</v>
      </c>
      <c r="S60" s="7"/>
      <c r="T60" s="256"/>
      <c r="U60" s="258"/>
    </row>
    <row r="61" spans="1:21" x14ac:dyDescent="0.25">
      <c r="A61" s="20">
        <v>39721</v>
      </c>
      <c r="B61" s="24">
        <f t="shared" si="7"/>
        <v>45</v>
      </c>
      <c r="C61" s="96" t="s">
        <v>77</v>
      </c>
      <c r="D61" s="27">
        <v>-3.51</v>
      </c>
      <c r="E61" s="46">
        <f t="shared" si="9"/>
        <v>1345796.3409622305</v>
      </c>
      <c r="F61" s="8"/>
      <c r="G61" s="49">
        <f>(E61/E58-1)*100</f>
        <v>1.0276583876000167</v>
      </c>
      <c r="H61" s="49"/>
      <c r="I61" s="258"/>
      <c r="J61" s="20">
        <f t="shared" si="8"/>
        <v>39721</v>
      </c>
      <c r="K61" s="27">
        <v>-12.454153421498649</v>
      </c>
      <c r="L61" s="46">
        <f t="shared" si="10"/>
        <v>1137924.9261914804</v>
      </c>
      <c r="M61" s="7"/>
      <c r="N61" s="49">
        <f>(L61/L58-1)*100</f>
        <v>-16.496984721661246</v>
      </c>
      <c r="O61" s="258"/>
      <c r="P61" s="20">
        <f t="shared" si="5"/>
        <v>39721</v>
      </c>
      <c r="Q61" s="45">
        <v>-6.2524427154815863</v>
      </c>
      <c r="R61" s="46">
        <f t="shared" si="11"/>
        <v>1157780.1225781834</v>
      </c>
      <c r="S61" s="7"/>
      <c r="T61" s="49">
        <f>(R61/R58-1)*100</f>
        <v>-6.9283522829813986</v>
      </c>
      <c r="U61" s="258"/>
    </row>
    <row r="62" spans="1:21" x14ac:dyDescent="0.25">
      <c r="A62" s="20">
        <v>39752</v>
      </c>
      <c r="B62" s="24">
        <f t="shared" si="7"/>
        <v>46</v>
      </c>
      <c r="C62" s="96" t="s">
        <v>77</v>
      </c>
      <c r="D62" s="27">
        <v>-10.61</v>
      </c>
      <c r="E62" s="46">
        <f t="shared" si="9"/>
        <v>1203007.3491861378</v>
      </c>
      <c r="F62" s="8"/>
      <c r="G62" s="256"/>
      <c r="H62" s="256"/>
      <c r="I62" s="258"/>
      <c r="J62" s="20">
        <f t="shared" si="8"/>
        <v>39752</v>
      </c>
      <c r="K62" s="27">
        <v>-19.79142729359555</v>
      </c>
      <c r="L62" s="46">
        <f t="shared" si="10"/>
        <v>912713.34176859271</v>
      </c>
      <c r="M62" s="7"/>
      <c r="N62" s="256"/>
      <c r="O62" s="258"/>
      <c r="P62" s="20">
        <f t="shared" si="5"/>
        <v>39752</v>
      </c>
      <c r="Q62" s="45">
        <v>-14.40247425878886</v>
      </c>
      <c r="R62" s="46">
        <f t="shared" si="11"/>
        <v>991031.13845048647</v>
      </c>
      <c r="S62" s="7"/>
      <c r="T62" s="256"/>
      <c r="U62" s="258"/>
    </row>
    <row r="63" spans="1:21" x14ac:dyDescent="0.25">
      <c r="A63" s="20">
        <v>39782</v>
      </c>
      <c r="B63" s="24">
        <f t="shared" si="7"/>
        <v>47</v>
      </c>
      <c r="C63" s="96" t="s">
        <v>77</v>
      </c>
      <c r="D63" s="27">
        <v>-5.26</v>
      </c>
      <c r="E63" s="46">
        <f t="shared" si="9"/>
        <v>1139729.162618947</v>
      </c>
      <c r="F63" s="8"/>
      <c r="G63" s="256"/>
      <c r="H63" s="256"/>
      <c r="I63" s="258"/>
      <c r="J63" s="20">
        <f t="shared" si="8"/>
        <v>39782</v>
      </c>
      <c r="K63" s="27">
        <v>-6.4962885832538788</v>
      </c>
      <c r="L63" s="46">
        <f t="shared" si="10"/>
        <v>853420.84914944461</v>
      </c>
      <c r="M63" s="7"/>
      <c r="N63" s="256"/>
      <c r="O63" s="258"/>
      <c r="P63" s="20">
        <f t="shared" si="5"/>
        <v>39782</v>
      </c>
      <c r="Q63" s="45">
        <v>-2.8328066419744684</v>
      </c>
      <c r="R63" s="46">
        <f t="shared" si="11"/>
        <v>962957.14253642585</v>
      </c>
      <c r="S63" s="7"/>
      <c r="T63" s="256"/>
      <c r="U63" s="258"/>
    </row>
    <row r="64" spans="1:21" x14ac:dyDescent="0.25">
      <c r="A64" s="20">
        <v>39813</v>
      </c>
      <c r="B64" s="24">
        <f t="shared" si="7"/>
        <v>48</v>
      </c>
      <c r="C64" s="96" t="s">
        <v>77</v>
      </c>
      <c r="D64" s="27">
        <v>-0.42</v>
      </c>
      <c r="E64" s="46">
        <f t="shared" si="9"/>
        <v>1134942.3001359473</v>
      </c>
      <c r="F64" s="11">
        <f>(E64-E52)/E52*100</f>
        <v>-22.270804243002328</v>
      </c>
      <c r="G64" s="49">
        <f>(E64/E61-1)*100</f>
        <v>-15.667603961200005</v>
      </c>
      <c r="H64" s="49"/>
      <c r="I64" s="258"/>
      <c r="J64" s="20">
        <f t="shared" si="8"/>
        <v>39813</v>
      </c>
      <c r="K64" s="27">
        <v>3.6902534560219213</v>
      </c>
      <c r="L64" s="46">
        <f t="shared" si="10"/>
        <v>884914.24152959359</v>
      </c>
      <c r="M64" s="19">
        <f>(L64-L52)/L52*100</f>
        <v>-41.820836242956254</v>
      </c>
      <c r="N64" s="49">
        <f>(L64/L61-1)*100</f>
        <v>-22.23439164028931</v>
      </c>
      <c r="O64" s="258"/>
      <c r="P64" s="20">
        <f t="shared" si="5"/>
        <v>39813</v>
      </c>
      <c r="Q64" s="45">
        <v>2.6775930804560217</v>
      </c>
      <c r="R64" s="46">
        <f t="shared" si="11"/>
        <v>988741.21635273821</v>
      </c>
      <c r="S64" s="19">
        <f>(R64-R52)/R52*100</f>
        <v>-27.436216398790613</v>
      </c>
      <c r="T64" s="49">
        <f>(R64/R61-1)*100</f>
        <v>-14.600259835954322</v>
      </c>
      <c r="U64" s="258"/>
    </row>
    <row r="65" spans="1:21" x14ac:dyDescent="0.25">
      <c r="A65" s="20">
        <v>39844</v>
      </c>
      <c r="B65" s="24">
        <f t="shared" si="7"/>
        <v>49</v>
      </c>
      <c r="C65" s="96" t="s">
        <v>77</v>
      </c>
      <c r="D65" s="27">
        <v>-3.78</v>
      </c>
      <c r="E65" s="46">
        <f t="shared" si="9"/>
        <v>1092041.4811908086</v>
      </c>
      <c r="F65" s="10"/>
      <c r="G65" s="256"/>
      <c r="H65" s="256"/>
      <c r="I65" s="258"/>
      <c r="J65" s="20">
        <f t="shared" si="8"/>
        <v>39844</v>
      </c>
      <c r="K65" s="27">
        <v>-8.5254817976946189</v>
      </c>
      <c r="L65" s="46">
        <f t="shared" si="10"/>
        <v>809471.03894278069</v>
      </c>
      <c r="M65" s="15"/>
      <c r="N65" s="256"/>
      <c r="O65" s="258"/>
      <c r="P65" s="20">
        <f t="shared" si="5"/>
        <v>39844</v>
      </c>
      <c r="Q65" s="45">
        <v>-6.8866864207622447</v>
      </c>
      <c r="R65" s="46">
        <f t="shared" si="11"/>
        <v>920649.70926969475</v>
      </c>
      <c r="S65" s="15"/>
      <c r="T65" s="256"/>
      <c r="U65" s="258"/>
    </row>
    <row r="66" spans="1:21" x14ac:dyDescent="0.25">
      <c r="A66" s="20">
        <v>39872</v>
      </c>
      <c r="B66" s="24">
        <f t="shared" si="7"/>
        <v>50</v>
      </c>
      <c r="C66" s="96" t="s">
        <v>77</v>
      </c>
      <c r="D66" s="27">
        <v>-10.130000000000001</v>
      </c>
      <c r="E66" s="46">
        <f t="shared" si="9"/>
        <v>981417.6791461797</v>
      </c>
      <c r="F66" s="8"/>
      <c r="G66" s="256"/>
      <c r="H66" s="256"/>
      <c r="I66" s="258"/>
      <c r="J66" s="20">
        <f t="shared" si="8"/>
        <v>39872</v>
      </c>
      <c r="K66" s="27">
        <v>-9.7234301315570697</v>
      </c>
      <c r="L66" s="46">
        <f t="shared" si="10"/>
        <v>730762.68803599034</v>
      </c>
      <c r="M66" s="7"/>
      <c r="N66" s="256"/>
      <c r="O66" s="258"/>
      <c r="P66" s="20">
        <f t="shared" si="5"/>
        <v>39872</v>
      </c>
      <c r="Q66" s="45">
        <v>-9.1919967811551242</v>
      </c>
      <c r="R66" s="46">
        <f t="shared" si="11"/>
        <v>836023.61762791034</v>
      </c>
      <c r="S66" s="7"/>
      <c r="T66" s="256"/>
      <c r="U66" s="258"/>
    </row>
    <row r="67" spans="1:21" x14ac:dyDescent="0.25">
      <c r="A67" s="20">
        <v>39903</v>
      </c>
      <c r="B67" s="24">
        <f t="shared" si="7"/>
        <v>51</v>
      </c>
      <c r="C67" s="96" t="s">
        <v>77</v>
      </c>
      <c r="D67" s="27">
        <v>3.32</v>
      </c>
      <c r="E67" s="46">
        <f t="shared" si="9"/>
        <v>1014000.7460938329</v>
      </c>
      <c r="F67" s="8"/>
      <c r="G67" s="49">
        <f>(E67/E64-1)*100</f>
        <v>-10.65618525519999</v>
      </c>
      <c r="H67" s="49"/>
      <c r="I67" s="258"/>
      <c r="J67" s="20">
        <f t="shared" si="8"/>
        <v>39903</v>
      </c>
      <c r="K67" s="27">
        <v>8.3095818227116141</v>
      </c>
      <c r="L67" s="46">
        <f t="shared" si="10"/>
        <v>791486.01152818778</v>
      </c>
      <c r="M67" s="7"/>
      <c r="N67" s="49">
        <f>(L67/L64-1)*100</f>
        <v>-10.557885229636844</v>
      </c>
      <c r="O67" s="258"/>
      <c r="P67" s="20">
        <f t="shared" si="5"/>
        <v>39903</v>
      </c>
      <c r="Q67" s="45">
        <v>3.3566959370552381</v>
      </c>
      <c r="R67" s="46">
        <f t="shared" si="11"/>
        <v>864086.38843364862</v>
      </c>
      <c r="S67" s="7"/>
      <c r="T67" s="49">
        <f>(R67/R64-1)*100</f>
        <v>-12.607427085816802</v>
      </c>
      <c r="U67" s="258"/>
    </row>
    <row r="68" spans="1:21" x14ac:dyDescent="0.25">
      <c r="A68" s="20">
        <v>39933</v>
      </c>
      <c r="B68" s="24">
        <f t="shared" si="7"/>
        <v>52</v>
      </c>
      <c r="C68" s="96" t="s">
        <v>77</v>
      </c>
      <c r="D68" s="27">
        <v>5.3</v>
      </c>
      <c r="E68" s="46">
        <f t="shared" si="9"/>
        <v>1067742.7856368059</v>
      </c>
      <c r="F68" s="8"/>
      <c r="G68" s="256"/>
      <c r="H68" s="256"/>
      <c r="I68" s="258"/>
      <c r="J68" s="20">
        <f t="shared" si="8"/>
        <v>39933</v>
      </c>
      <c r="K68" s="27">
        <v>11.89176779446662</v>
      </c>
      <c r="L68" s="46">
        <f t="shared" si="10"/>
        <v>885607.69014480524</v>
      </c>
      <c r="M68" s="7"/>
      <c r="N68" s="256"/>
      <c r="O68" s="258"/>
      <c r="P68" s="20">
        <f t="shared" si="5"/>
        <v>39933</v>
      </c>
      <c r="Q68" s="45">
        <v>5.4587024864246905</v>
      </c>
      <c r="R68" s="46">
        <f t="shared" si="11"/>
        <v>911254.29360393353</v>
      </c>
      <c r="S68" s="7"/>
      <c r="T68" s="256"/>
      <c r="U68" s="258"/>
    </row>
    <row r="69" spans="1:21" x14ac:dyDescent="0.25">
      <c r="A69" s="20">
        <v>39964</v>
      </c>
      <c r="B69" s="24">
        <f t="shared" si="7"/>
        <v>53</v>
      </c>
      <c r="C69" s="96" t="s">
        <v>77</v>
      </c>
      <c r="D69" s="27">
        <v>4.7300000000000004</v>
      </c>
      <c r="E69" s="46">
        <f t="shared" si="9"/>
        <v>1118247.0193974269</v>
      </c>
      <c r="F69" s="8"/>
      <c r="G69" s="256"/>
      <c r="H69" s="256"/>
      <c r="I69" s="258"/>
      <c r="J69" s="20">
        <f t="shared" si="8"/>
        <v>39964</v>
      </c>
      <c r="K69" s="27">
        <v>10.086235395762488</v>
      </c>
      <c r="L69" s="46">
        <f t="shared" si="10"/>
        <v>974932.16645578516</v>
      </c>
      <c r="M69" s="7"/>
      <c r="N69" s="256"/>
      <c r="O69" s="258"/>
      <c r="P69" s="20">
        <f t="shared" si="5"/>
        <v>39964</v>
      </c>
      <c r="Q69" s="45">
        <v>6.6531165311653107</v>
      </c>
      <c r="R69" s="46">
        <f t="shared" si="11"/>
        <v>971881.10365265049</v>
      </c>
      <c r="S69" s="7"/>
      <c r="T69" s="256"/>
      <c r="U69" s="258"/>
    </row>
    <row r="70" spans="1:21" x14ac:dyDescent="0.25">
      <c r="A70" s="20">
        <v>39994</v>
      </c>
      <c r="B70" s="24">
        <f t="shared" si="7"/>
        <v>54</v>
      </c>
      <c r="C70" s="96" t="s">
        <v>77</v>
      </c>
      <c r="D70" s="27">
        <v>1.28</v>
      </c>
      <c r="E70" s="46">
        <f t="shared" si="9"/>
        <v>1132560.5812457139</v>
      </c>
      <c r="F70" s="8"/>
      <c r="G70" s="49">
        <f>(E70/E67-1)*100</f>
        <v>11.692282831999989</v>
      </c>
      <c r="H70" s="49"/>
      <c r="I70" s="258"/>
      <c r="J70" s="20">
        <f t="shared" si="8"/>
        <v>39994</v>
      </c>
      <c r="K70" s="27">
        <v>-0.51440637057807148</v>
      </c>
      <c r="L70" s="46">
        <f t="shared" si="10"/>
        <v>969917.05328272178</v>
      </c>
      <c r="M70" s="7"/>
      <c r="N70" s="49">
        <f>(L70/L67-1)*100</f>
        <v>22.543802310545246</v>
      </c>
      <c r="O70" s="258"/>
      <c r="P70" s="20">
        <f t="shared" si="5"/>
        <v>39994</v>
      </c>
      <c r="Q70" s="45">
        <v>0.90089049560527934</v>
      </c>
      <c r="R70" s="46">
        <f t="shared" si="11"/>
        <v>980636.68814404088</v>
      </c>
      <c r="S70" s="7"/>
      <c r="T70" s="49">
        <f>(R70/R67-1)*100</f>
        <v>13.488269375665784</v>
      </c>
      <c r="U70" s="258"/>
    </row>
    <row r="71" spans="1:21" x14ac:dyDescent="0.25">
      <c r="A71" s="20">
        <v>40025</v>
      </c>
      <c r="B71" s="24">
        <f t="shared" si="7"/>
        <v>55</v>
      </c>
      <c r="C71" s="96" t="s">
        <v>77</v>
      </c>
      <c r="D71" s="27">
        <v>6.15</v>
      </c>
      <c r="E71" s="46">
        <f t="shared" si="9"/>
        <v>1202213.0569923252</v>
      </c>
      <c r="F71" s="8"/>
      <c r="G71" s="256"/>
      <c r="H71" s="256"/>
      <c r="I71" s="258"/>
      <c r="J71" s="20">
        <f t="shared" si="8"/>
        <v>40025</v>
      </c>
      <c r="K71" s="27">
        <v>8.8335734640572188</v>
      </c>
      <c r="L71" s="46">
        <f t="shared" si="10"/>
        <v>1055595.38872487</v>
      </c>
      <c r="M71" s="7"/>
      <c r="N71" s="256"/>
      <c r="O71" s="258"/>
      <c r="P71" s="20">
        <f t="shared" si="5"/>
        <v>40025</v>
      </c>
      <c r="Q71" s="45">
        <v>5.9866530831835663</v>
      </c>
      <c r="R71" s="46">
        <f t="shared" si="11"/>
        <v>1039344.0046696453</v>
      </c>
      <c r="S71" s="7"/>
      <c r="T71" s="256"/>
      <c r="U71" s="258"/>
    </row>
    <row r="72" spans="1:21" x14ac:dyDescent="0.25">
      <c r="A72" s="20">
        <v>40056</v>
      </c>
      <c r="B72" s="24">
        <f t="shared" si="7"/>
        <v>56</v>
      </c>
      <c r="C72" s="96" t="s">
        <v>77</v>
      </c>
      <c r="D72" s="27">
        <v>1.82</v>
      </c>
      <c r="E72" s="46">
        <f t="shared" si="9"/>
        <v>1224093.3346295855</v>
      </c>
      <c r="F72" s="8"/>
      <c r="G72" s="256"/>
      <c r="H72" s="256"/>
      <c r="I72" s="258"/>
      <c r="J72" s="20">
        <f t="shared" si="8"/>
        <v>40056</v>
      </c>
      <c r="K72" s="27">
        <v>3.6294108637601519</v>
      </c>
      <c r="L72" s="46">
        <f t="shared" si="10"/>
        <v>1093907.2824406016</v>
      </c>
      <c r="M72" s="7"/>
      <c r="N72" s="256"/>
      <c r="O72" s="258"/>
      <c r="P72" s="20">
        <f t="shared" si="5"/>
        <v>40056</v>
      </c>
      <c r="Q72" s="45">
        <v>1.5681869728159306</v>
      </c>
      <c r="R72" s="46">
        <f t="shared" si="11"/>
        <v>1055642.861953618</v>
      </c>
      <c r="S72" s="7"/>
      <c r="T72" s="256"/>
      <c r="U72" s="258"/>
    </row>
    <row r="73" spans="1:21" x14ac:dyDescent="0.25">
      <c r="A73" s="20">
        <v>40086</v>
      </c>
      <c r="B73" s="24">
        <f t="shared" si="7"/>
        <v>57</v>
      </c>
      <c r="C73" s="96" t="s">
        <v>77</v>
      </c>
      <c r="D73" s="27">
        <v>3.09</v>
      </c>
      <c r="E73" s="46">
        <f t="shared" si="9"/>
        <v>1261917.8186696398</v>
      </c>
      <c r="F73" s="8"/>
      <c r="G73" s="49">
        <f>(E73/E70-1)*100</f>
        <v>11.421661637000003</v>
      </c>
      <c r="H73" s="49"/>
      <c r="I73" s="258"/>
      <c r="J73" s="20">
        <f t="shared" si="8"/>
        <v>40086</v>
      </c>
      <c r="K73" s="27">
        <v>4.6198654729411732</v>
      </c>
      <c r="L73" s="46">
        <f t="shared" si="10"/>
        <v>1144444.3272880639</v>
      </c>
      <c r="M73" s="7"/>
      <c r="N73" s="49">
        <f>(L73/L70-1)*100</f>
        <v>17.994041182660702</v>
      </c>
      <c r="O73" s="258"/>
      <c r="P73" s="20">
        <f t="shared" si="5"/>
        <v>40086</v>
      </c>
      <c r="Q73" s="45">
        <v>3.5345533426198665</v>
      </c>
      <c r="R73" s="46">
        <f t="shared" si="11"/>
        <v>1092955.1220169277</v>
      </c>
      <c r="S73" s="7"/>
      <c r="T73" s="49">
        <f>(R73/R70-1)*100</f>
        <v>11.453623470427289</v>
      </c>
      <c r="U73" s="258"/>
    </row>
    <row r="74" spans="1:21" x14ac:dyDescent="0.25">
      <c r="A74" s="20">
        <v>40117</v>
      </c>
      <c r="B74" s="24">
        <f t="shared" si="7"/>
        <v>58</v>
      </c>
      <c r="C74" s="96" t="s">
        <v>77</v>
      </c>
      <c r="D74" s="27">
        <v>-0.31</v>
      </c>
      <c r="E74" s="46">
        <f t="shared" si="9"/>
        <v>1258005.8734317638</v>
      </c>
      <c r="F74" s="8"/>
      <c r="G74" s="256"/>
      <c r="H74" s="256"/>
      <c r="I74" s="258"/>
      <c r="J74" s="20">
        <f t="shared" si="8"/>
        <v>40117</v>
      </c>
      <c r="K74" s="27">
        <v>-1.5227999249425674</v>
      </c>
      <c r="L74" s="46">
        <f t="shared" si="10"/>
        <v>1127016.7299311119</v>
      </c>
      <c r="M74" s="7"/>
      <c r="N74" s="256"/>
      <c r="O74" s="258"/>
      <c r="P74" s="20">
        <f t="shared" si="5"/>
        <v>40117</v>
      </c>
      <c r="Q74" s="45">
        <v>-1.5477523185473454</v>
      </c>
      <c r="R74" s="46">
        <f t="shared" si="11"/>
        <v>1076038.8837752286</v>
      </c>
      <c r="S74" s="7"/>
      <c r="T74" s="256"/>
      <c r="U74" s="258"/>
    </row>
    <row r="75" spans="1:21" x14ac:dyDescent="0.25">
      <c r="A75" s="20">
        <v>40147</v>
      </c>
      <c r="B75" s="24">
        <f t="shared" si="7"/>
        <v>59</v>
      </c>
      <c r="C75" s="96" t="s">
        <v>77</v>
      </c>
      <c r="D75" s="27">
        <v>5.62</v>
      </c>
      <c r="E75" s="46">
        <f t="shared" si="9"/>
        <v>1328705.8035186289</v>
      </c>
      <c r="F75" s="8"/>
      <c r="G75" s="256"/>
      <c r="H75" s="256"/>
      <c r="I75" s="258"/>
      <c r="J75" s="20">
        <f t="shared" si="8"/>
        <v>40147</v>
      </c>
      <c r="K75" s="27">
        <v>4.1650190170985502</v>
      </c>
      <c r="L75" s="46">
        <f t="shared" si="10"/>
        <v>1173957.191058625</v>
      </c>
      <c r="M75" s="7"/>
      <c r="N75" s="256"/>
      <c r="O75" s="258"/>
      <c r="P75" s="20">
        <f t="shared" si="5"/>
        <v>40147</v>
      </c>
      <c r="Q75" s="45">
        <v>4.3187982474441871</v>
      </c>
      <c r="R75" s="46">
        <f t="shared" si="11"/>
        <v>1122510.8322295311</v>
      </c>
      <c r="S75" s="7"/>
      <c r="T75" s="256"/>
      <c r="U75" s="258"/>
    </row>
    <row r="76" spans="1:21" x14ac:dyDescent="0.25">
      <c r="A76" s="20">
        <v>40178</v>
      </c>
      <c r="B76" s="24">
        <f t="shared" si="7"/>
        <v>60</v>
      </c>
      <c r="C76" s="96" t="s">
        <v>77</v>
      </c>
      <c r="D76" s="27">
        <v>2.25</v>
      </c>
      <c r="E76" s="46">
        <f t="shared" si="9"/>
        <v>1358601.6840977981</v>
      </c>
      <c r="F76" s="11">
        <f>(E76-E64)/E64*100</f>
        <v>19.706674421691751</v>
      </c>
      <c r="G76" s="49">
        <f>(E76/E73-1)*100</f>
        <v>7.6616610049999867</v>
      </c>
      <c r="H76" s="49"/>
      <c r="I76" s="258"/>
      <c r="J76" s="20">
        <f t="shared" si="8"/>
        <v>40178</v>
      </c>
      <c r="K76" s="27">
        <v>2.1222145279408728</v>
      </c>
      <c r="L76" s="46">
        <f t="shared" si="10"/>
        <v>1198871.0811190777</v>
      </c>
      <c r="M76" s="19">
        <f>(L76-L64)/L64*100</f>
        <v>35.478787079616083</v>
      </c>
      <c r="N76" s="49">
        <f>(L76/L73-1)*100</f>
        <v>4.7557362584850438</v>
      </c>
      <c r="O76" s="258"/>
      <c r="P76" s="20">
        <f t="shared" si="5"/>
        <v>40178</v>
      </c>
      <c r="Q76" s="45">
        <v>0.38400000000000317</v>
      </c>
      <c r="R76" s="46">
        <f t="shared" si="11"/>
        <v>1126821.2738252925</v>
      </c>
      <c r="S76" s="19">
        <f>(R76-R64)/R64*100</f>
        <v>13.965237332969998</v>
      </c>
      <c r="T76" s="49">
        <f>(R76/R73-1)*100</f>
        <v>3.0985857631435465</v>
      </c>
      <c r="U76" s="258"/>
    </row>
    <row r="77" spans="1:21" x14ac:dyDescent="0.25">
      <c r="A77" s="20">
        <v>40209</v>
      </c>
      <c r="B77" s="24">
        <f t="shared" si="7"/>
        <v>61</v>
      </c>
      <c r="C77" s="96" t="s">
        <v>77</v>
      </c>
      <c r="D77" s="27">
        <v>-2.34</v>
      </c>
      <c r="E77" s="46">
        <f t="shared" si="9"/>
        <v>1326810.4046899097</v>
      </c>
      <c r="F77" s="10"/>
      <c r="G77" s="256"/>
      <c r="H77" s="256"/>
      <c r="I77" s="258"/>
      <c r="J77" s="20">
        <f t="shared" si="8"/>
        <v>40209</v>
      </c>
      <c r="K77" s="27">
        <v>-4.3104600724473698</v>
      </c>
      <c r="L77" s="46">
        <f t="shared" si="10"/>
        <v>1147194.2218473218</v>
      </c>
      <c r="M77" s="15"/>
      <c r="N77" s="256"/>
      <c r="O77" s="258"/>
      <c r="P77" s="20">
        <f t="shared" si="5"/>
        <v>40209</v>
      </c>
      <c r="Q77" s="45">
        <v>-2.5253028371055168</v>
      </c>
      <c r="R77" s="46">
        <f t="shared" si="11"/>
        <v>1098365.6242282738</v>
      </c>
      <c r="S77" s="15"/>
      <c r="T77" s="256"/>
      <c r="U77" s="258"/>
    </row>
    <row r="78" spans="1:21" x14ac:dyDescent="0.25">
      <c r="A78" s="20">
        <v>40237</v>
      </c>
      <c r="B78" s="24">
        <f t="shared" si="7"/>
        <v>62</v>
      </c>
      <c r="C78" s="96" t="s">
        <v>77</v>
      </c>
      <c r="D78" s="27">
        <v>1.44</v>
      </c>
      <c r="E78" s="46">
        <f t="shared" si="9"/>
        <v>1345916.4745174444</v>
      </c>
      <c r="F78" s="8"/>
      <c r="G78" s="256"/>
      <c r="H78" s="256"/>
      <c r="I78" s="258"/>
      <c r="J78" s="20">
        <f t="shared" si="8"/>
        <v>40237</v>
      </c>
      <c r="K78" s="27">
        <v>1.3136041485332242</v>
      </c>
      <c r="L78" s="46">
        <f t="shared" si="10"/>
        <v>1162263.8127372416</v>
      </c>
      <c r="M78" s="7"/>
      <c r="N78" s="256"/>
      <c r="O78" s="258"/>
      <c r="P78" s="20">
        <f t="shared" si="5"/>
        <v>40237</v>
      </c>
      <c r="Q78" s="45">
        <v>1.3101820151457793</v>
      </c>
      <c r="R78" s="46">
        <f t="shared" si="11"/>
        <v>1112756.2130974564</v>
      </c>
      <c r="S78" s="7"/>
      <c r="T78" s="256"/>
      <c r="U78" s="258"/>
    </row>
    <row r="79" spans="1:21" x14ac:dyDescent="0.25">
      <c r="A79" s="20">
        <v>40268</v>
      </c>
      <c r="B79" s="24">
        <f t="shared" si="7"/>
        <v>63</v>
      </c>
      <c r="C79" s="96" t="s">
        <v>77</v>
      </c>
      <c r="D79" s="27">
        <v>3.25</v>
      </c>
      <c r="E79" s="46">
        <f t="shared" si="9"/>
        <v>1389658.7599392612</v>
      </c>
      <c r="F79" s="8"/>
      <c r="G79" s="49">
        <f>(E79/E76-1)*100</f>
        <v>2.2859588800000052</v>
      </c>
      <c r="H79" s="49"/>
      <c r="I79" s="258"/>
      <c r="J79" s="20">
        <f t="shared" si="8"/>
        <v>40268</v>
      </c>
      <c r="K79" s="27">
        <v>6.4905123359741976</v>
      </c>
      <c r="L79" s="46">
        <f t="shared" si="10"/>
        <v>1237700.6888795164</v>
      </c>
      <c r="M79" s="7"/>
      <c r="N79" s="49">
        <f>(L79/L76-1)*100</f>
        <v>3.2388476435842861</v>
      </c>
      <c r="O79" s="258"/>
      <c r="P79" s="20">
        <f t="shared" si="5"/>
        <v>40268</v>
      </c>
      <c r="Q79" s="45">
        <v>3.4287962393196891</v>
      </c>
      <c r="R79" s="46">
        <f t="shared" si="11"/>
        <v>1150910.3562849381</v>
      </c>
      <c r="S79" s="7"/>
      <c r="T79" s="49">
        <f>(R79/R76-1)*100</f>
        <v>2.1377908830092274</v>
      </c>
      <c r="U79" s="258"/>
    </row>
    <row r="80" spans="1:21" x14ac:dyDescent="0.25">
      <c r="A80" s="20">
        <v>40298</v>
      </c>
      <c r="B80" s="24">
        <f t="shared" si="7"/>
        <v>64</v>
      </c>
      <c r="C80" s="96" t="s">
        <v>77</v>
      </c>
      <c r="D80" s="27">
        <v>0.03</v>
      </c>
      <c r="E80" s="46">
        <f t="shared" si="9"/>
        <v>1390075.6575672431</v>
      </c>
      <c r="F80" s="8"/>
      <c r="G80" s="256"/>
      <c r="H80" s="256"/>
      <c r="I80" s="258"/>
      <c r="J80" s="20">
        <f t="shared" ref="J80:J111" si="12">A80</f>
        <v>40298</v>
      </c>
      <c r="K80" s="27">
        <v>0.21652667921053909</v>
      </c>
      <c r="L80" s="46">
        <f t="shared" si="10"/>
        <v>1240380.6410797131</v>
      </c>
      <c r="M80" s="7"/>
      <c r="N80" s="256"/>
      <c r="O80" s="258"/>
      <c r="P80" s="20">
        <f t="shared" si="5"/>
        <v>40298</v>
      </c>
      <c r="Q80" s="45">
        <v>-0.35891934068077147</v>
      </c>
      <c r="R80" s="46">
        <f t="shared" si="11"/>
        <v>1146779.5164223334</v>
      </c>
      <c r="S80" s="7"/>
      <c r="T80" s="256"/>
      <c r="U80" s="258"/>
    </row>
    <row r="81" spans="1:21" x14ac:dyDescent="0.25">
      <c r="A81" s="20">
        <v>40329</v>
      </c>
      <c r="B81" s="24">
        <f t="shared" si="7"/>
        <v>65</v>
      </c>
      <c r="C81" s="96" t="s">
        <v>77</v>
      </c>
      <c r="D81" s="27">
        <v>-7.15</v>
      </c>
      <c r="E81" s="46">
        <f t="shared" ref="E81:E112" si="13">E80*D81/100+E80</f>
        <v>1290685.2480511852</v>
      </c>
      <c r="F81" s="8"/>
      <c r="G81" s="256"/>
      <c r="H81" s="256"/>
      <c r="I81" s="258"/>
      <c r="J81" s="20">
        <f t="shared" si="12"/>
        <v>40329</v>
      </c>
      <c r="K81" s="27">
        <v>-9.3928221990059342</v>
      </c>
      <c r="L81" s="46">
        <f t="shared" ref="L81:L112" si="14">L80*K81/100+L80</f>
        <v>1123873.8928722057</v>
      </c>
      <c r="M81" s="7"/>
      <c r="N81" s="256"/>
      <c r="O81" s="258"/>
      <c r="P81" s="20">
        <f t="shared" ref="P81:P134" si="15">$A81</f>
        <v>40329</v>
      </c>
      <c r="Q81" s="45">
        <v>-5.8485542569644293</v>
      </c>
      <c r="R81" s="46">
        <f t="shared" ref="R81:R112" si="16">R80*Q81/100+R80</f>
        <v>1079709.4941966189</v>
      </c>
      <c r="S81" s="7"/>
      <c r="T81" s="256"/>
      <c r="U81" s="258"/>
    </row>
    <row r="82" spans="1:21" x14ac:dyDescent="0.25">
      <c r="A82" s="20">
        <v>40359</v>
      </c>
      <c r="B82" s="24">
        <f t="shared" ref="B82:B139" si="17">IF(A82&gt;A81,1+B81,"-")</f>
        <v>66</v>
      </c>
      <c r="C82" s="96" t="s">
        <v>77</v>
      </c>
      <c r="D82" s="27">
        <v>-1.9</v>
      </c>
      <c r="E82" s="46">
        <f t="shared" si="13"/>
        <v>1266162.2283382127</v>
      </c>
      <c r="F82" s="8"/>
      <c r="G82" s="49">
        <f>(E82/E79-1)*100</f>
        <v>-8.8868242449999908</v>
      </c>
      <c r="H82" s="49"/>
      <c r="I82" s="258"/>
      <c r="J82" s="20">
        <f t="shared" si="12"/>
        <v>40359</v>
      </c>
      <c r="K82" s="27">
        <v>-3.0254130694892387</v>
      </c>
      <c r="L82" s="46">
        <f t="shared" si="14"/>
        <v>1089872.0652326725</v>
      </c>
      <c r="M82" s="7"/>
      <c r="N82" s="49">
        <f>(L82/L79-1)*100</f>
        <v>-11.94381040384428</v>
      </c>
      <c r="O82" s="258"/>
      <c r="P82" s="20">
        <f t="shared" si="15"/>
        <v>40359</v>
      </c>
      <c r="Q82" s="45">
        <v>0.64145882499713669</v>
      </c>
      <c r="R82" s="46">
        <f t="shared" si="16"/>
        <v>1086635.3860314752</v>
      </c>
      <c r="S82" s="7"/>
      <c r="T82" s="49">
        <f>(R82/R79-1)*100</f>
        <v>-5.584706915049253</v>
      </c>
      <c r="U82" s="258"/>
    </row>
    <row r="83" spans="1:21" x14ac:dyDescent="0.25">
      <c r="A83" s="20">
        <v>40390</v>
      </c>
      <c r="B83" s="24">
        <f t="shared" si="17"/>
        <v>67</v>
      </c>
      <c r="C83" s="96" t="s">
        <v>77</v>
      </c>
      <c r="D83" s="27">
        <v>4.96</v>
      </c>
      <c r="E83" s="46">
        <f t="shared" si="13"/>
        <v>1328963.874863788</v>
      </c>
      <c r="F83" s="8"/>
      <c r="G83" s="256"/>
      <c r="H83" s="256"/>
      <c r="I83" s="258"/>
      <c r="J83" s="20">
        <f t="shared" si="12"/>
        <v>40390</v>
      </c>
      <c r="K83" s="27">
        <v>8.1620391988916854</v>
      </c>
      <c r="L83" s="46">
        <f t="shared" si="14"/>
        <v>1178827.8504147336</v>
      </c>
      <c r="M83" s="7"/>
      <c r="N83" s="256"/>
      <c r="O83" s="258"/>
      <c r="P83" s="20">
        <f t="shared" si="15"/>
        <v>40390</v>
      </c>
      <c r="Q83" s="45">
        <v>4.4874178752944154</v>
      </c>
      <c r="R83" s="46">
        <f t="shared" si="16"/>
        <v>1135397.256583526</v>
      </c>
      <c r="S83" s="7"/>
      <c r="T83" s="256"/>
      <c r="U83" s="258"/>
    </row>
    <row r="84" spans="1:21" x14ac:dyDescent="0.25">
      <c r="A84" s="20">
        <v>40421</v>
      </c>
      <c r="B84" s="24">
        <f t="shared" si="17"/>
        <v>68</v>
      </c>
      <c r="C84" s="96" t="s">
        <v>77</v>
      </c>
      <c r="D84" s="27">
        <v>-0.51</v>
      </c>
      <c r="E84" s="46">
        <f t="shared" si="13"/>
        <v>1322186.1591019826</v>
      </c>
      <c r="F84" s="8"/>
      <c r="G84" s="256"/>
      <c r="H84" s="256"/>
      <c r="I84" s="258"/>
      <c r="J84" s="20">
        <f t="shared" si="12"/>
        <v>40421</v>
      </c>
      <c r="K84" s="27">
        <v>-3.4500884167893777</v>
      </c>
      <c r="L84" s="46">
        <f t="shared" si="14"/>
        <v>1138157.2472936877</v>
      </c>
      <c r="M84" s="7"/>
      <c r="N84" s="256"/>
      <c r="O84" s="258"/>
      <c r="P84" s="20">
        <f t="shared" si="15"/>
        <v>40421</v>
      </c>
      <c r="Q84" s="45">
        <v>7.9092023569418524E-2</v>
      </c>
      <c r="R84" s="46">
        <f t="shared" si="16"/>
        <v>1136295.2652493096</v>
      </c>
      <c r="S84" s="7"/>
      <c r="T84" s="256"/>
      <c r="U84" s="258"/>
    </row>
    <row r="85" spans="1:21" x14ac:dyDescent="0.25">
      <c r="A85" s="20">
        <v>40451</v>
      </c>
      <c r="B85" s="24">
        <f t="shared" si="17"/>
        <v>69</v>
      </c>
      <c r="C85" s="96" t="s">
        <v>77</v>
      </c>
      <c r="D85" s="27">
        <v>7.1</v>
      </c>
      <c r="E85" s="46">
        <f t="shared" si="13"/>
        <v>1416061.3763982235</v>
      </c>
      <c r="F85" s="8"/>
      <c r="G85" s="49">
        <f>(E85/E82-1)*100</f>
        <v>11.838857983999995</v>
      </c>
      <c r="H85" s="49"/>
      <c r="I85" s="258"/>
      <c r="J85" s="20">
        <f t="shared" si="12"/>
        <v>40451</v>
      </c>
      <c r="K85" s="27">
        <v>9.6104882677095951</v>
      </c>
      <c r="L85" s="46">
        <f t="shared" si="14"/>
        <v>1247539.716012934</v>
      </c>
      <c r="M85" s="7"/>
      <c r="N85" s="49">
        <f>(L85/L82-1)*100</f>
        <v>14.466620056602842</v>
      </c>
      <c r="O85" s="258"/>
      <c r="P85" s="20">
        <f t="shared" si="15"/>
        <v>40451</v>
      </c>
      <c r="Q85" s="45">
        <v>5.615047220136713</v>
      </c>
      <c r="R85" s="46">
        <f t="shared" si="16"/>
        <v>1200098.7809532362</v>
      </c>
      <c r="S85" s="7"/>
      <c r="T85" s="49">
        <f>(R85/R82-1)*100</f>
        <v>10.441717284409746</v>
      </c>
      <c r="U85" s="258"/>
    </row>
    <row r="86" spans="1:21" x14ac:dyDescent="0.25">
      <c r="A86" s="20">
        <v>40482</v>
      </c>
      <c r="B86" s="24">
        <f t="shared" si="17"/>
        <v>70</v>
      </c>
      <c r="C86" s="96" t="s">
        <v>77</v>
      </c>
      <c r="D86" s="27">
        <v>1.98</v>
      </c>
      <c r="E86" s="46">
        <f t="shared" si="13"/>
        <v>1444099.3916509082</v>
      </c>
      <c r="F86" s="8"/>
      <c r="G86" s="256"/>
      <c r="H86" s="256"/>
      <c r="I86" s="258"/>
      <c r="J86" s="20">
        <f t="shared" si="12"/>
        <v>40482</v>
      </c>
      <c r="K86" s="27">
        <v>3.6512748274404809</v>
      </c>
      <c r="L86" s="46">
        <f t="shared" si="14"/>
        <v>1293090.8196260368</v>
      </c>
      <c r="M86" s="7"/>
      <c r="N86" s="256"/>
      <c r="O86" s="258"/>
      <c r="P86" s="20">
        <f t="shared" si="15"/>
        <v>40482</v>
      </c>
      <c r="Q86" s="45">
        <v>2.6535842562107268</v>
      </c>
      <c r="R86" s="46">
        <f t="shared" si="16"/>
        <v>1231944.413263588</v>
      </c>
      <c r="S86" s="7"/>
      <c r="T86" s="256"/>
      <c r="U86" s="258"/>
    </row>
    <row r="87" spans="1:21" x14ac:dyDescent="0.25">
      <c r="A87" s="20">
        <v>40512</v>
      </c>
      <c r="B87" s="24">
        <f t="shared" si="17"/>
        <v>71</v>
      </c>
      <c r="C87" s="96" t="s">
        <v>77</v>
      </c>
      <c r="D87" s="27">
        <v>-2.4</v>
      </c>
      <c r="E87" s="46">
        <f t="shared" si="13"/>
        <v>1409441.0062512862</v>
      </c>
      <c r="F87" s="8"/>
      <c r="G87" s="256"/>
      <c r="H87" s="256"/>
      <c r="I87" s="258"/>
      <c r="J87" s="20">
        <f t="shared" si="12"/>
        <v>40512</v>
      </c>
      <c r="K87" s="27">
        <v>-2.176808362475402</v>
      </c>
      <c r="L87" s="46">
        <f t="shared" si="14"/>
        <v>1264942.7105300154</v>
      </c>
      <c r="M87" s="7"/>
      <c r="N87" s="256"/>
      <c r="O87" s="258"/>
      <c r="P87" s="20">
        <f t="shared" si="15"/>
        <v>40512</v>
      </c>
      <c r="Q87" s="45">
        <v>-2.3426181559740895</v>
      </c>
      <c r="R87" s="46">
        <f t="shared" si="16"/>
        <v>1203084.6597669667</v>
      </c>
      <c r="S87" s="7"/>
      <c r="T87" s="256"/>
      <c r="U87" s="258"/>
    </row>
    <row r="88" spans="1:21" x14ac:dyDescent="0.25">
      <c r="A88" s="20">
        <v>40543</v>
      </c>
      <c r="B88" s="24">
        <f t="shared" si="17"/>
        <v>72</v>
      </c>
      <c r="C88" s="96" t="s">
        <v>77</v>
      </c>
      <c r="D88" s="27">
        <v>4.57</v>
      </c>
      <c r="E88" s="46">
        <f t="shared" si="13"/>
        <v>1473852.4602369701</v>
      </c>
      <c r="F88" s="11">
        <f>(E88-E76)/E76*100</f>
        <v>8.4830438154289656</v>
      </c>
      <c r="G88" s="49">
        <f>(E88/E85-1)*100</f>
        <v>4.0811143359999802</v>
      </c>
      <c r="H88" s="49"/>
      <c r="I88" s="258"/>
      <c r="J88" s="20">
        <f t="shared" si="12"/>
        <v>40543</v>
      </c>
      <c r="K88" s="27">
        <v>7.375990375144303</v>
      </c>
      <c r="L88" s="46">
        <f t="shared" si="14"/>
        <v>1358244.7631097988</v>
      </c>
      <c r="M88" s="19">
        <f>(L88-L76)/L76*100</f>
        <v>13.293646372882295</v>
      </c>
      <c r="N88" s="49">
        <f>(L88/L85-1)*100</f>
        <v>8.8738695590928174</v>
      </c>
      <c r="O88" s="258"/>
      <c r="P88" s="20">
        <f t="shared" si="15"/>
        <v>40543</v>
      </c>
      <c r="Q88" s="45">
        <v>4.4766649872175277</v>
      </c>
      <c r="R88" s="46">
        <f t="shared" si="16"/>
        <v>1256942.7294973396</v>
      </c>
      <c r="S88" s="19">
        <f>(R88-R76)/R76*100</f>
        <v>11.547656997131005</v>
      </c>
      <c r="T88" s="49">
        <f>(R88/R85-1)*100</f>
        <v>4.7366058066447225</v>
      </c>
      <c r="U88" s="258"/>
    </row>
    <row r="89" spans="1:21" x14ac:dyDescent="0.25">
      <c r="A89" s="20">
        <v>40574</v>
      </c>
      <c r="B89" s="24">
        <f t="shared" si="17"/>
        <v>73</v>
      </c>
      <c r="C89" s="96" t="s">
        <v>77</v>
      </c>
      <c r="D89" s="32">
        <v>1.36</v>
      </c>
      <c r="E89" s="46">
        <f t="shared" si="13"/>
        <v>1493896.8536961928</v>
      </c>
      <c r="F89" s="10"/>
      <c r="G89" s="256"/>
      <c r="H89" s="256"/>
      <c r="I89" s="258"/>
      <c r="J89" s="20">
        <f t="shared" si="12"/>
        <v>40574</v>
      </c>
      <c r="K89" s="27">
        <v>1.5819212840647658</v>
      </c>
      <c r="L89" s="46">
        <f t="shared" si="14"/>
        <v>1379731.1261071276</v>
      </c>
      <c r="M89" s="15"/>
      <c r="N89" s="256"/>
      <c r="O89" s="258"/>
      <c r="P89" s="20">
        <f t="shared" si="15"/>
        <v>40574</v>
      </c>
      <c r="Q89" s="45">
        <v>-0.66800028577552495</v>
      </c>
      <c r="R89" s="46">
        <f t="shared" si="16"/>
        <v>1248546.3484722627</v>
      </c>
      <c r="S89" s="15"/>
      <c r="T89" s="256"/>
      <c r="U89" s="258"/>
    </row>
    <row r="90" spans="1:21" x14ac:dyDescent="0.25">
      <c r="A90" s="20">
        <v>40602</v>
      </c>
      <c r="B90" s="24">
        <f t="shared" si="17"/>
        <v>74</v>
      </c>
      <c r="C90" s="96" t="s">
        <v>77</v>
      </c>
      <c r="D90" s="27">
        <v>2.95</v>
      </c>
      <c r="E90" s="46">
        <f t="shared" si="13"/>
        <v>1537966.8108802305</v>
      </c>
      <c r="F90" s="8"/>
      <c r="G90" s="256"/>
      <c r="H90" s="256"/>
      <c r="I90" s="258"/>
      <c r="J90" s="20">
        <f t="shared" si="12"/>
        <v>40602</v>
      </c>
      <c r="K90" s="27">
        <v>2.9518462221549755</v>
      </c>
      <c r="L90" s="46">
        <f t="shared" si="14"/>
        <v>1420458.6672290172</v>
      </c>
      <c r="M90" s="7"/>
      <c r="N90" s="256"/>
      <c r="O90" s="258"/>
      <c r="P90" s="20">
        <f t="shared" si="15"/>
        <v>40602</v>
      </c>
      <c r="Q90" s="45">
        <v>1.763944330564257</v>
      </c>
      <c r="R90" s="46">
        <f t="shared" si="16"/>
        <v>1270570.0110006062</v>
      </c>
      <c r="S90" s="7"/>
      <c r="T90" s="256"/>
      <c r="U90" s="258"/>
    </row>
    <row r="91" spans="1:21" x14ac:dyDescent="0.25">
      <c r="A91" s="20">
        <v>40633</v>
      </c>
      <c r="B91" s="24">
        <f t="shared" si="17"/>
        <v>75</v>
      </c>
      <c r="C91" s="96" t="s">
        <v>77</v>
      </c>
      <c r="D91" s="27">
        <v>-0.46</v>
      </c>
      <c r="E91" s="46">
        <f t="shared" si="13"/>
        <v>1530892.1635501815</v>
      </c>
      <c r="F91" s="8"/>
      <c r="G91" s="49">
        <f>(E91/E88-1)*100</f>
        <v>3.870109447999992</v>
      </c>
      <c r="H91" s="49"/>
      <c r="I91" s="258"/>
      <c r="J91" s="20">
        <f t="shared" si="12"/>
        <v>40633</v>
      </c>
      <c r="K91" s="27">
        <v>-5.0006321927396041E-2</v>
      </c>
      <c r="L91" s="46">
        <f t="shared" si="14"/>
        <v>1419748.348095037</v>
      </c>
      <c r="M91" s="7"/>
      <c r="N91" s="49">
        <f>(L91/L88-1)*100</f>
        <v>4.528166546684953</v>
      </c>
      <c r="O91" s="258"/>
      <c r="P91" s="20">
        <f t="shared" si="15"/>
        <v>40633</v>
      </c>
      <c r="Q91" s="45">
        <v>0.63433165473980346</v>
      </c>
      <c r="R91" s="46">
        <f t="shared" si="16"/>
        <v>1278629.6387760141</v>
      </c>
      <c r="S91" s="7"/>
      <c r="T91" s="49">
        <f>(R91/R88-1)*100</f>
        <v>1.7253697220833031</v>
      </c>
      <c r="U91" s="258"/>
    </row>
    <row r="92" spans="1:21" x14ac:dyDescent="0.25">
      <c r="A92" s="20">
        <v>40663</v>
      </c>
      <c r="B92" s="24">
        <f t="shared" si="17"/>
        <v>76</v>
      </c>
      <c r="C92" s="96" t="s">
        <v>77</v>
      </c>
      <c r="D92" s="27">
        <v>4.33</v>
      </c>
      <c r="E92" s="46">
        <f t="shared" si="13"/>
        <v>1597179.7942319044</v>
      </c>
      <c r="F92" s="8"/>
      <c r="G92" s="256"/>
      <c r="H92" s="256"/>
      <c r="I92" s="258"/>
      <c r="J92" s="20">
        <f t="shared" si="12"/>
        <v>40663</v>
      </c>
      <c r="K92" s="27">
        <v>4.129256624882288</v>
      </c>
      <c r="L92" s="46">
        <f t="shared" si="14"/>
        <v>1478373.4008154082</v>
      </c>
      <c r="M92" s="7"/>
      <c r="N92" s="256"/>
      <c r="O92" s="258"/>
      <c r="P92" s="20">
        <f t="shared" si="15"/>
        <v>40663</v>
      </c>
      <c r="Q92" s="45">
        <v>4.0594163711065079</v>
      </c>
      <c r="R92" s="46">
        <f t="shared" si="16"/>
        <v>1330534.5396583076</v>
      </c>
      <c r="S92" s="7"/>
      <c r="T92" s="256"/>
      <c r="U92" s="258"/>
    </row>
    <row r="93" spans="1:21" x14ac:dyDescent="0.25">
      <c r="A93" s="20">
        <v>40694</v>
      </c>
      <c r="B93" s="24">
        <f t="shared" si="17"/>
        <v>77</v>
      </c>
      <c r="C93" s="96" t="s">
        <v>77</v>
      </c>
      <c r="D93" s="27">
        <v>2.12</v>
      </c>
      <c r="E93" s="46">
        <f t="shared" si="13"/>
        <v>1631040.0058696207</v>
      </c>
      <c r="F93" s="8"/>
      <c r="G93" s="256"/>
      <c r="H93" s="256"/>
      <c r="I93" s="258"/>
      <c r="J93" s="20">
        <f t="shared" si="12"/>
        <v>40694</v>
      </c>
      <c r="K93" s="27">
        <v>-2.064965903266275</v>
      </c>
      <c r="L93" s="46">
        <f t="shared" si="14"/>
        <v>1447845.4941656119</v>
      </c>
      <c r="M93" s="7"/>
      <c r="N93" s="256"/>
      <c r="O93" s="258"/>
      <c r="P93" s="20">
        <f t="shared" si="15"/>
        <v>40694</v>
      </c>
      <c r="Q93" s="45">
        <v>0.75844497688388024</v>
      </c>
      <c r="R93" s="46">
        <f t="shared" si="16"/>
        <v>1340625.9120400511</v>
      </c>
      <c r="S93" s="7"/>
      <c r="T93" s="256"/>
      <c r="U93" s="258"/>
    </row>
    <row r="94" spans="1:21" x14ac:dyDescent="0.25">
      <c r="A94" s="20">
        <v>40724</v>
      </c>
      <c r="B94" s="24">
        <f t="shared" si="17"/>
        <v>78</v>
      </c>
      <c r="C94" s="96" t="s">
        <v>77</v>
      </c>
      <c r="D94" s="27">
        <v>-1.49</v>
      </c>
      <c r="E94" s="46">
        <f t="shared" si="13"/>
        <v>1606737.5097821634</v>
      </c>
      <c r="F94" s="8"/>
      <c r="G94" s="49">
        <f>(E94/E91-1)*100</f>
        <v>4.9543232395999892</v>
      </c>
      <c r="H94" s="49"/>
      <c r="I94" s="258"/>
      <c r="J94" s="20">
        <f t="shared" si="12"/>
        <v>40724</v>
      </c>
      <c r="K94" s="27">
        <v>-1.5294423230511087</v>
      </c>
      <c r="L94" s="46">
        <f t="shared" si="14"/>
        <v>1425701.5324054547</v>
      </c>
      <c r="M94" s="7"/>
      <c r="N94" s="49">
        <f>(L94/L91-1)*100</f>
        <v>0.41931264215981923</v>
      </c>
      <c r="O94" s="258"/>
      <c r="P94" s="20">
        <f t="shared" si="15"/>
        <v>40724</v>
      </c>
      <c r="Q94" s="45">
        <v>-1.2844236421029649</v>
      </c>
      <c r="R94" s="46">
        <f t="shared" si="16"/>
        <v>1323406.5958736502</v>
      </c>
      <c r="S94" s="7"/>
      <c r="T94" s="49">
        <f>(R94/R91-1)*100</f>
        <v>3.5019489412508431</v>
      </c>
      <c r="U94" s="258"/>
    </row>
    <row r="95" spans="1:21" x14ac:dyDescent="0.25">
      <c r="A95" s="20">
        <v>40755</v>
      </c>
      <c r="B95" s="24">
        <f t="shared" si="17"/>
        <v>79</v>
      </c>
      <c r="C95" s="96" t="s">
        <v>77</v>
      </c>
      <c r="D95" s="27">
        <v>-2.4500000000000002</v>
      </c>
      <c r="E95" s="46">
        <f t="shared" si="13"/>
        <v>1567372.4407925005</v>
      </c>
      <c r="F95" s="8"/>
      <c r="G95" s="256"/>
      <c r="H95" s="256"/>
      <c r="I95" s="258"/>
      <c r="J95" s="20">
        <f t="shared" si="12"/>
        <v>40755</v>
      </c>
      <c r="K95" s="27">
        <v>-1.5961666559017968</v>
      </c>
      <c r="L95" s="46">
        <f t="shared" si="14"/>
        <v>1402944.959932518</v>
      </c>
      <c r="M95" s="7"/>
      <c r="N95" s="256"/>
      <c r="O95" s="258"/>
      <c r="P95" s="20">
        <f t="shared" si="15"/>
        <v>40755</v>
      </c>
      <c r="Q95" s="45">
        <v>-0.91096465558920148</v>
      </c>
      <c r="R95" s="46">
        <f t="shared" si="16"/>
        <v>1311350.829535505</v>
      </c>
      <c r="S95" s="7"/>
      <c r="T95" s="256"/>
      <c r="U95" s="258"/>
    </row>
    <row r="96" spans="1:21" x14ac:dyDescent="0.25">
      <c r="A96" s="20">
        <v>40786</v>
      </c>
      <c r="B96" s="24">
        <f t="shared" si="17"/>
        <v>80</v>
      </c>
      <c r="C96" s="96" t="s">
        <v>77</v>
      </c>
      <c r="D96" s="27">
        <v>-0.87</v>
      </c>
      <c r="E96" s="46">
        <f t="shared" si="13"/>
        <v>1553736.3005576057</v>
      </c>
      <c r="F96" s="8"/>
      <c r="G96" s="256"/>
      <c r="H96" s="256"/>
      <c r="I96" s="258"/>
      <c r="J96" s="20">
        <f t="shared" si="12"/>
        <v>40786</v>
      </c>
      <c r="K96" s="27">
        <v>-7.2548281303588293</v>
      </c>
      <c r="L96" s="46">
        <f t="shared" si="14"/>
        <v>1301163.7143258823</v>
      </c>
      <c r="M96" s="7"/>
      <c r="N96" s="256"/>
      <c r="O96" s="258"/>
      <c r="P96" s="20">
        <f t="shared" si="15"/>
        <v>40786</v>
      </c>
      <c r="Q96" s="45">
        <v>-1.7993032194002878</v>
      </c>
      <c r="R96" s="46">
        <f t="shared" si="16"/>
        <v>1287755.6518420402</v>
      </c>
      <c r="S96" s="7"/>
      <c r="T96" s="256"/>
      <c r="U96" s="258"/>
    </row>
    <row r="97" spans="1:23" x14ac:dyDescent="0.25">
      <c r="A97" s="20">
        <v>40816</v>
      </c>
      <c r="B97" s="24">
        <f t="shared" si="17"/>
        <v>81</v>
      </c>
      <c r="C97" s="96" t="s">
        <v>77</v>
      </c>
      <c r="D97" s="27">
        <v>-3.08</v>
      </c>
      <c r="E97" s="46">
        <f t="shared" si="13"/>
        <v>1505881.2225004314</v>
      </c>
      <c r="F97" s="8"/>
      <c r="G97" s="49">
        <f>(E97/E94-1)*100</f>
        <v>-6.277085502000002</v>
      </c>
      <c r="H97" s="49"/>
      <c r="I97" s="258"/>
      <c r="J97" s="20">
        <f t="shared" si="12"/>
        <v>40816</v>
      </c>
      <c r="K97" s="27">
        <v>-9.3941472219198427</v>
      </c>
      <c r="L97" s="46">
        <f t="shared" si="14"/>
        <v>1178930.4794039084</v>
      </c>
      <c r="M97" s="7"/>
      <c r="N97" s="49">
        <f>(L97/L94-1)*100</f>
        <v>-17.308745722198402</v>
      </c>
      <c r="O97" s="258"/>
      <c r="P97" s="20">
        <f t="shared" si="15"/>
        <v>40816</v>
      </c>
      <c r="Q97" s="45">
        <v>-4.6530277804412536</v>
      </c>
      <c r="R97" s="46">
        <f t="shared" si="16"/>
        <v>1227836.0236176278</v>
      </c>
      <c r="S97" s="7"/>
      <c r="T97" s="49">
        <f>(R97/R94-1)*100</f>
        <v>-7.221557800452949</v>
      </c>
      <c r="U97" s="258"/>
      <c r="V97" s="256"/>
      <c r="W97" s="256"/>
    </row>
    <row r="98" spans="1:23" x14ac:dyDescent="0.25">
      <c r="A98" s="20">
        <v>40847</v>
      </c>
      <c r="B98" s="24">
        <f t="shared" si="17"/>
        <v>82</v>
      </c>
      <c r="C98" s="96" t="s">
        <v>77</v>
      </c>
      <c r="D98" s="27">
        <v>6.37</v>
      </c>
      <c r="E98" s="46">
        <f t="shared" si="13"/>
        <v>1601805.8563737089</v>
      </c>
      <c r="F98" s="8"/>
      <c r="G98" s="256"/>
      <c r="H98" s="49"/>
      <c r="I98" s="258"/>
      <c r="J98" s="20">
        <f t="shared" si="12"/>
        <v>40847</v>
      </c>
      <c r="K98" s="27">
        <v>10.730994579185531</v>
      </c>
      <c r="L98" s="46">
        <f t="shared" si="14"/>
        <v>1305441.4452411078</v>
      </c>
      <c r="M98" s="7"/>
      <c r="N98" s="256"/>
      <c r="O98" s="258"/>
      <c r="P98" s="20">
        <f t="shared" si="15"/>
        <v>40847</v>
      </c>
      <c r="Q98" s="45">
        <v>4.7191976815410186</v>
      </c>
      <c r="R98" s="46">
        <f t="shared" si="16"/>
        <v>1285780.0327773164</v>
      </c>
      <c r="S98" s="7"/>
      <c r="T98" s="256"/>
      <c r="U98" s="258"/>
      <c r="V98" s="256"/>
      <c r="W98" s="256"/>
    </row>
    <row r="99" spans="1:23" x14ac:dyDescent="0.25">
      <c r="A99" s="20">
        <v>40877</v>
      </c>
      <c r="B99" s="24">
        <f t="shared" si="17"/>
        <v>83</v>
      </c>
      <c r="C99" s="96" t="s">
        <v>77</v>
      </c>
      <c r="D99" s="27">
        <v>-0.74</v>
      </c>
      <c r="E99" s="46">
        <f t="shared" si="13"/>
        <v>1589952.4930365435</v>
      </c>
      <c r="F99" s="8"/>
      <c r="G99" s="256"/>
      <c r="H99" s="49"/>
      <c r="I99" s="258"/>
      <c r="J99" s="20">
        <f t="shared" si="12"/>
        <v>40877</v>
      </c>
      <c r="K99" s="27">
        <v>-2.9296421719424814</v>
      </c>
      <c r="L99" s="46">
        <f t="shared" si="14"/>
        <v>1267196.6821313088</v>
      </c>
      <c r="M99" s="7"/>
      <c r="N99" s="256"/>
      <c r="O99" s="258"/>
      <c r="P99" s="20">
        <f t="shared" si="15"/>
        <v>40877</v>
      </c>
      <c r="Q99" s="45">
        <v>-1.8848487493998118</v>
      </c>
      <c r="R99" s="46">
        <f t="shared" si="16"/>
        <v>1261545.0239094808</v>
      </c>
      <c r="S99" s="7"/>
      <c r="T99" s="256"/>
      <c r="U99" s="258"/>
      <c r="V99" s="256"/>
      <c r="W99" s="256"/>
    </row>
    <row r="100" spans="1:23" x14ac:dyDescent="0.25">
      <c r="A100" s="20">
        <v>40908</v>
      </c>
      <c r="B100" s="24">
        <f t="shared" si="17"/>
        <v>84</v>
      </c>
      <c r="C100" s="96" t="s">
        <v>77</v>
      </c>
      <c r="D100" s="27">
        <v>2.5099999999999998</v>
      </c>
      <c r="E100" s="46">
        <f t="shared" si="13"/>
        <v>1629860.3006117607</v>
      </c>
      <c r="F100" s="11">
        <f>(E100-E88)/E88*100</f>
        <v>10.585037823236881</v>
      </c>
      <c r="G100" s="49">
        <f>(E100/E97-1)*100</f>
        <v>8.2329918362000107</v>
      </c>
      <c r="H100" s="49"/>
      <c r="I100" s="258"/>
      <c r="J100" s="20">
        <f t="shared" si="12"/>
        <v>40908</v>
      </c>
      <c r="K100" s="27">
        <v>-0.14872020742059139</v>
      </c>
      <c r="L100" s="46">
        <f t="shared" si="14"/>
        <v>1265312.1045972162</v>
      </c>
      <c r="M100" s="19">
        <f>(L100-L88)/L88*100</f>
        <v>-6.8421142519118971</v>
      </c>
      <c r="N100" s="49">
        <f>(L100/L97-1)*100</f>
        <v>7.3271178158854866</v>
      </c>
      <c r="O100" s="258"/>
      <c r="P100" s="20">
        <f t="shared" si="15"/>
        <v>40908</v>
      </c>
      <c r="Q100" s="45">
        <v>2.3116758315092647</v>
      </c>
      <c r="R100" s="46">
        <f t="shared" si="16"/>
        <v>1290707.8553308041</v>
      </c>
      <c r="S100" s="19">
        <f>(R100-R88)/R88*100</f>
        <v>2.6862899192684355</v>
      </c>
      <c r="T100" s="49">
        <f>(R100/R97-1)*100</f>
        <v>5.1205397548065301</v>
      </c>
      <c r="U100" s="258"/>
      <c r="V100" s="256"/>
      <c r="W100" s="256"/>
    </row>
    <row r="101" spans="1:23" x14ac:dyDescent="0.25">
      <c r="A101" s="20">
        <v>40939</v>
      </c>
      <c r="B101" s="24">
        <f t="shared" si="17"/>
        <v>85</v>
      </c>
      <c r="C101" s="96" t="s">
        <v>77</v>
      </c>
      <c r="D101" s="27">
        <v>1.23</v>
      </c>
      <c r="E101" s="46">
        <f t="shared" si="13"/>
        <v>1649907.5823092854</v>
      </c>
      <c r="F101" s="10"/>
      <c r="G101" s="256"/>
      <c r="H101" s="49"/>
      <c r="I101" s="258"/>
      <c r="J101" s="20">
        <f t="shared" si="12"/>
        <v>40939</v>
      </c>
      <c r="K101" s="27">
        <v>5.8327264000159991</v>
      </c>
      <c r="L101" s="46">
        <f t="shared" si="14"/>
        <v>1339114.2977646561</v>
      </c>
      <c r="M101" s="15"/>
      <c r="N101" s="256"/>
      <c r="O101" s="258"/>
      <c r="P101" s="20">
        <f t="shared" si="15"/>
        <v>40939</v>
      </c>
      <c r="Q101" s="45">
        <v>1.8150351353231857</v>
      </c>
      <c r="R101" s="46">
        <f t="shared" si="16"/>
        <v>1314134.6563994347</v>
      </c>
      <c r="S101" s="15"/>
      <c r="T101" s="256"/>
      <c r="U101" s="258"/>
      <c r="V101" s="256"/>
      <c r="W101" s="256"/>
    </row>
    <row r="102" spans="1:23" x14ac:dyDescent="0.25">
      <c r="A102" s="20">
        <v>40968</v>
      </c>
      <c r="B102" s="24">
        <f t="shared" si="17"/>
        <v>86</v>
      </c>
      <c r="C102" s="96" t="s">
        <v>77</v>
      </c>
      <c r="D102" s="27">
        <v>1.93</v>
      </c>
      <c r="E102" s="46">
        <f t="shared" si="13"/>
        <v>1681750.7986478547</v>
      </c>
      <c r="F102" s="8"/>
      <c r="G102" s="256"/>
      <c r="H102" s="49"/>
      <c r="I102" s="258"/>
      <c r="J102" s="20">
        <f t="shared" si="12"/>
        <v>40968</v>
      </c>
      <c r="K102" s="27">
        <v>5.086865047369491</v>
      </c>
      <c r="L102" s="46">
        <f t="shared" si="14"/>
        <v>1407233.2349219739</v>
      </c>
      <c r="M102" s="7"/>
      <c r="N102" s="256"/>
      <c r="O102" s="258"/>
      <c r="P102" s="20">
        <f t="shared" si="15"/>
        <v>40968</v>
      </c>
      <c r="Q102" s="45">
        <v>2.2627294547753078</v>
      </c>
      <c r="R102" s="46">
        <f t="shared" si="16"/>
        <v>1343869.9683451951</v>
      </c>
      <c r="S102" s="7"/>
      <c r="T102" s="256"/>
      <c r="U102" s="258"/>
      <c r="V102" s="256"/>
      <c r="W102" s="256" t="s">
        <v>114</v>
      </c>
    </row>
    <row r="103" spans="1:23" x14ac:dyDescent="0.25">
      <c r="A103" s="21">
        <v>40999</v>
      </c>
      <c r="B103" s="24">
        <f t="shared" si="17"/>
        <v>87</v>
      </c>
      <c r="C103" s="97" t="s">
        <v>115</v>
      </c>
      <c r="D103" s="29">
        <v>2.14</v>
      </c>
      <c r="E103" s="47">
        <f t="shared" si="13"/>
        <v>1717740.2657389189</v>
      </c>
      <c r="F103" s="8"/>
      <c r="G103" s="49">
        <f>(E103/E100-1)*100</f>
        <v>5.3918710146000137</v>
      </c>
      <c r="H103" s="49"/>
      <c r="I103" s="258"/>
      <c r="J103" s="20">
        <f t="shared" si="12"/>
        <v>40999</v>
      </c>
      <c r="K103" s="27">
        <v>0.7183318098035274</v>
      </c>
      <c r="L103" s="46">
        <f t="shared" si="14"/>
        <v>1417341.8388865457</v>
      </c>
      <c r="M103" s="7"/>
      <c r="N103" s="49">
        <f>(L103/L100-1)*100</f>
        <v>12.015196388066229</v>
      </c>
      <c r="O103" s="258"/>
      <c r="P103" s="20">
        <f t="shared" si="15"/>
        <v>40999</v>
      </c>
      <c r="Q103" s="45">
        <v>0.74173070497827276</v>
      </c>
      <c r="R103" s="46">
        <f t="shared" si="16"/>
        <v>1353837.8645353932</v>
      </c>
      <c r="S103" s="7"/>
      <c r="T103" s="49">
        <f>(R103/R100-1)*100</f>
        <v>4.8911152856049744</v>
      </c>
      <c r="U103" s="258"/>
      <c r="V103" s="267" t="e">
        <f>#REF!-W103</f>
        <v>#REF!</v>
      </c>
      <c r="W103" s="90">
        <v>2.14</v>
      </c>
    </row>
    <row r="104" spans="1:23" x14ac:dyDescent="0.25">
      <c r="A104" s="21">
        <v>41029</v>
      </c>
      <c r="B104" s="24">
        <f t="shared" si="17"/>
        <v>88</v>
      </c>
      <c r="C104" s="97" t="s">
        <v>115</v>
      </c>
      <c r="D104" s="29">
        <v>-0.36</v>
      </c>
      <c r="E104" s="47">
        <f t="shared" si="13"/>
        <v>1711556.4007822587</v>
      </c>
      <c r="F104" s="8"/>
      <c r="G104" s="256"/>
      <c r="H104" s="49"/>
      <c r="I104" s="258"/>
      <c r="J104" s="20">
        <f t="shared" si="12"/>
        <v>41029</v>
      </c>
      <c r="K104" s="27">
        <v>-1.1055092953193475</v>
      </c>
      <c r="L104" s="46">
        <f t="shared" si="14"/>
        <v>1401672.9931112048</v>
      </c>
      <c r="M104" s="7"/>
      <c r="N104" s="256"/>
      <c r="O104" s="258"/>
      <c r="P104" s="20">
        <f t="shared" si="15"/>
        <v>41029</v>
      </c>
      <c r="Q104" s="45">
        <v>0.94355266648979419</v>
      </c>
      <c r="R104" s="46">
        <f t="shared" si="16"/>
        <v>1366612.0378061654</v>
      </c>
      <c r="S104" s="7"/>
      <c r="T104" s="256"/>
      <c r="U104" s="258"/>
      <c r="V104" s="267" t="e">
        <f>#REF!-W104</f>
        <v>#REF!</v>
      </c>
      <c r="W104" s="90">
        <v>-0.36</v>
      </c>
    </row>
    <row r="105" spans="1:23" x14ac:dyDescent="0.25">
      <c r="A105" s="21">
        <v>41060</v>
      </c>
      <c r="B105" s="24">
        <f t="shared" si="17"/>
        <v>89</v>
      </c>
      <c r="C105" s="97" t="s">
        <v>115</v>
      </c>
      <c r="D105" s="29">
        <v>-2.54</v>
      </c>
      <c r="E105" s="47">
        <f t="shared" si="13"/>
        <v>1668082.8682023895</v>
      </c>
      <c r="F105" s="8"/>
      <c r="G105" s="256"/>
      <c r="H105" s="49"/>
      <c r="I105" s="258"/>
      <c r="J105" s="20">
        <f t="shared" si="12"/>
        <v>41060</v>
      </c>
      <c r="K105" s="27">
        <v>-8.8749862087642057</v>
      </c>
      <c r="L105" s="46">
        <f t="shared" si="14"/>
        <v>1277274.7082806129</v>
      </c>
      <c r="M105" s="7"/>
      <c r="N105" s="256"/>
      <c r="O105" s="258"/>
      <c r="P105" s="20">
        <f t="shared" si="15"/>
        <v>41060</v>
      </c>
      <c r="Q105" s="45">
        <v>-4.7673024165064941</v>
      </c>
      <c r="R105" s="46">
        <f t="shared" si="16"/>
        <v>1301461.5091035634</v>
      </c>
      <c r="S105" s="7"/>
      <c r="T105" s="256"/>
      <c r="U105" s="258"/>
      <c r="V105" s="267" t="e">
        <f>#REF!-W105</f>
        <v>#REF!</v>
      </c>
      <c r="W105" s="90">
        <v>-2.54</v>
      </c>
    </row>
    <row r="106" spans="1:23" x14ac:dyDescent="0.25">
      <c r="A106" s="21">
        <v>41090</v>
      </c>
      <c r="B106" s="24">
        <f t="shared" si="17"/>
        <v>90</v>
      </c>
      <c r="C106" s="97" t="s">
        <v>115</v>
      </c>
      <c r="D106" s="29">
        <v>4.8499999999999996</v>
      </c>
      <c r="E106" s="47">
        <f t="shared" si="13"/>
        <v>1748984.8873102053</v>
      </c>
      <c r="F106" s="8"/>
      <c r="G106" s="49">
        <f>(E106/E103-1)*100</f>
        <v>1.8189374839999939</v>
      </c>
      <c r="H106" s="49"/>
      <c r="I106" s="258"/>
      <c r="J106" s="20">
        <f t="shared" si="12"/>
        <v>41090</v>
      </c>
      <c r="K106" s="27">
        <v>4.99130184017951</v>
      </c>
      <c r="L106" s="46">
        <f t="shared" si="14"/>
        <v>1341027.3442991707</v>
      </c>
      <c r="M106" s="7"/>
      <c r="N106" s="49">
        <f>(L106/L103-1)*100</f>
        <v>-5.3843393663822958</v>
      </c>
      <c r="O106" s="258"/>
      <c r="P106" s="20">
        <f t="shared" si="15"/>
        <v>41090</v>
      </c>
      <c r="Q106" s="45">
        <v>3.8053509513377284</v>
      </c>
      <c r="R106" s="46">
        <f t="shared" si="16"/>
        <v>1350986.6870215302</v>
      </c>
      <c r="S106" s="7"/>
      <c r="T106" s="49">
        <f>(R106/R103-1)*100</f>
        <v>-0.21059962854867997</v>
      </c>
      <c r="U106" s="258"/>
      <c r="V106" s="267" t="e">
        <f>#REF!-W106</f>
        <v>#REF!</v>
      </c>
      <c r="W106" s="90">
        <v>4.8499999999999996</v>
      </c>
    </row>
    <row r="107" spans="1:23" x14ac:dyDescent="0.25">
      <c r="A107" s="21">
        <v>41121</v>
      </c>
      <c r="B107" s="24">
        <f t="shared" si="17"/>
        <v>91</v>
      </c>
      <c r="C107" s="97" t="s">
        <v>115</v>
      </c>
      <c r="D107" s="29">
        <v>1.28</v>
      </c>
      <c r="E107" s="47">
        <f t="shared" si="13"/>
        <v>1771371.8938677758</v>
      </c>
      <c r="F107" s="8"/>
      <c r="G107" s="256"/>
      <c r="H107" s="49"/>
      <c r="I107" s="258"/>
      <c r="J107" s="20">
        <f t="shared" si="12"/>
        <v>41121</v>
      </c>
      <c r="K107" s="27">
        <v>1.40084198861955</v>
      </c>
      <c r="L107" s="46">
        <f t="shared" si="14"/>
        <v>1359813.0184169831</v>
      </c>
      <c r="M107" s="7"/>
      <c r="N107" s="256"/>
      <c r="O107" s="258"/>
      <c r="P107" s="20">
        <f t="shared" si="15"/>
        <v>41121</v>
      </c>
      <c r="Q107" s="45">
        <v>2.1458447579640061</v>
      </c>
      <c r="R107" s="46">
        <f t="shared" si="16"/>
        <v>1379976.7640257734</v>
      </c>
      <c r="S107" s="7"/>
      <c r="T107" s="256"/>
      <c r="U107" s="258"/>
      <c r="V107" s="267" t="e">
        <f>#REF!-W107</f>
        <v>#REF!</v>
      </c>
      <c r="W107" s="90">
        <v>1.28</v>
      </c>
    </row>
    <row r="108" spans="1:23" x14ac:dyDescent="0.25">
      <c r="A108" s="21">
        <v>41152</v>
      </c>
      <c r="B108" s="24">
        <f t="shared" si="17"/>
        <v>92</v>
      </c>
      <c r="C108" s="97" t="s">
        <v>115</v>
      </c>
      <c r="D108" s="29">
        <v>-0.25</v>
      </c>
      <c r="E108" s="47">
        <f t="shared" si="13"/>
        <v>1766943.4641331064</v>
      </c>
      <c r="F108" s="8"/>
      <c r="G108" s="256"/>
      <c r="H108" s="49"/>
      <c r="I108" s="258"/>
      <c r="J108" s="20">
        <f t="shared" si="12"/>
        <v>41152</v>
      </c>
      <c r="K108" s="27">
        <v>2.2357286491907349</v>
      </c>
      <c r="L108" s="46">
        <f t="shared" si="14"/>
        <v>1390214.7476451569</v>
      </c>
      <c r="M108" s="7"/>
      <c r="N108" s="256"/>
      <c r="O108" s="258"/>
      <c r="P108" s="20">
        <f t="shared" si="15"/>
        <v>41152</v>
      </c>
      <c r="Q108" s="45">
        <v>0.62291452481078879</v>
      </c>
      <c r="R108" s="46">
        <f t="shared" si="16"/>
        <v>1388572.8397279039</v>
      </c>
      <c r="S108" s="7"/>
      <c r="T108" s="256"/>
      <c r="U108" s="258"/>
      <c r="V108" s="267" t="e">
        <f>#REF!-W108</f>
        <v>#REF!</v>
      </c>
      <c r="W108" s="90">
        <v>-0.25</v>
      </c>
    </row>
    <row r="109" spans="1:23" x14ac:dyDescent="0.25">
      <c r="A109" s="21">
        <v>41182</v>
      </c>
      <c r="B109" s="24">
        <f t="shared" si="17"/>
        <v>93</v>
      </c>
      <c r="C109" s="97" t="s">
        <v>115</v>
      </c>
      <c r="D109" s="29">
        <v>2.09</v>
      </c>
      <c r="E109" s="47">
        <f t="shared" si="13"/>
        <v>1803872.5825334883</v>
      </c>
      <c r="F109" s="8"/>
      <c r="G109" s="49">
        <f>(E109/E106-1)*100</f>
        <v>3.1382601200000027</v>
      </c>
      <c r="H109" s="49"/>
      <c r="I109" s="258"/>
      <c r="J109" s="20">
        <f t="shared" si="12"/>
        <v>41182</v>
      </c>
      <c r="K109" s="27">
        <v>3.1957261886733619</v>
      </c>
      <c r="L109" s="46">
        <f t="shared" si="14"/>
        <v>1434642.2044144524</v>
      </c>
      <c r="M109" s="7"/>
      <c r="N109" s="49">
        <f>(L109/L106-1)*100</f>
        <v>6.9808315627005735</v>
      </c>
      <c r="O109" s="258"/>
      <c r="P109" s="20">
        <f t="shared" si="15"/>
        <v>41182</v>
      </c>
      <c r="Q109" s="45">
        <v>1.8697939571099802</v>
      </c>
      <c r="R109" s="46">
        <f t="shared" si="16"/>
        <v>1414536.2907752066</v>
      </c>
      <c r="S109" s="7"/>
      <c r="T109" s="49">
        <f>(R109/R106-1)*100</f>
        <v>4.7039400435382461</v>
      </c>
      <c r="U109" s="258"/>
      <c r="V109" s="267" t="e">
        <f>#REF!-W109</f>
        <v>#REF!</v>
      </c>
      <c r="W109" s="90">
        <v>2.09</v>
      </c>
    </row>
    <row r="110" spans="1:23" x14ac:dyDescent="0.25">
      <c r="A110" s="21">
        <v>41213</v>
      </c>
      <c r="B110" s="24">
        <f t="shared" si="17"/>
        <v>94</v>
      </c>
      <c r="C110" s="97" t="s">
        <v>115</v>
      </c>
      <c r="D110" s="29">
        <v>-0.34</v>
      </c>
      <c r="E110" s="47">
        <f t="shared" si="13"/>
        <v>1797739.4157528745</v>
      </c>
      <c r="F110" s="8"/>
      <c r="G110" s="256"/>
      <c r="H110" s="49"/>
      <c r="I110" s="258"/>
      <c r="J110" s="20">
        <f t="shared" si="12"/>
        <v>41213</v>
      </c>
      <c r="K110" s="27">
        <v>-0.64073982249198291</v>
      </c>
      <c r="L110" s="46">
        <f t="shared" si="14"/>
        <v>1425449.8805004922</v>
      </c>
      <c r="M110" s="7"/>
      <c r="N110" s="256"/>
      <c r="O110" s="258"/>
      <c r="P110" s="20">
        <f t="shared" si="15"/>
        <v>41213</v>
      </c>
      <c r="Q110" s="45">
        <v>-0.7437187429026576</v>
      </c>
      <c r="R110" s="46">
        <f t="shared" si="16"/>
        <v>1404016.1192555514</v>
      </c>
      <c r="S110" s="7"/>
      <c r="T110" s="256"/>
      <c r="U110" s="258"/>
      <c r="V110" s="267" t="e">
        <f>#REF!-W110</f>
        <v>#REF!</v>
      </c>
      <c r="W110" s="90">
        <v>-0.34</v>
      </c>
    </row>
    <row r="111" spans="1:23" x14ac:dyDescent="0.25">
      <c r="A111" s="21">
        <v>41243</v>
      </c>
      <c r="B111" s="24">
        <f t="shared" si="17"/>
        <v>95</v>
      </c>
      <c r="C111" s="97" t="s">
        <v>115</v>
      </c>
      <c r="D111" s="29">
        <v>-0.12</v>
      </c>
      <c r="E111" s="47">
        <f t="shared" si="13"/>
        <v>1795582.1284539711</v>
      </c>
      <c r="F111" s="8"/>
      <c r="G111" s="256"/>
      <c r="H111" s="49"/>
      <c r="I111" s="258"/>
      <c r="J111" s="20">
        <f t="shared" si="12"/>
        <v>41243</v>
      </c>
      <c r="K111" s="27">
        <v>1.3358516060152525</v>
      </c>
      <c r="L111" s="46">
        <f t="shared" si="14"/>
        <v>1444491.7756221006</v>
      </c>
      <c r="M111" s="7"/>
      <c r="N111" s="256"/>
      <c r="O111" s="258"/>
      <c r="P111" s="20">
        <f t="shared" si="15"/>
        <v>41243</v>
      </c>
      <c r="Q111" s="45">
        <v>0.33866818337140048</v>
      </c>
      <c r="R111" s="46">
        <f t="shared" si="16"/>
        <v>1408771.0751408758</v>
      </c>
      <c r="S111" s="7"/>
      <c r="T111" s="256"/>
      <c r="U111" s="258"/>
      <c r="V111" s="267" t="e">
        <f>#REF!-W111</f>
        <v>#REF!</v>
      </c>
      <c r="W111" s="90">
        <v>-0.12</v>
      </c>
    </row>
    <row r="112" spans="1:23" x14ac:dyDescent="0.25">
      <c r="A112" s="21">
        <v>41274</v>
      </c>
      <c r="B112" s="24">
        <f t="shared" si="17"/>
        <v>96</v>
      </c>
      <c r="C112" s="97" t="s">
        <v>115</v>
      </c>
      <c r="D112" s="29">
        <v>-0.35</v>
      </c>
      <c r="E112" s="47">
        <f t="shared" si="13"/>
        <v>1789297.5910043821</v>
      </c>
      <c r="F112" s="12">
        <f>(E112-E100)/E100*100</f>
        <v>9.7822672490873828</v>
      </c>
      <c r="G112" s="49">
        <f>(E112/E109-1)*100</f>
        <v>-0.80798342799999201</v>
      </c>
      <c r="H112" s="49"/>
      <c r="I112" s="258"/>
      <c r="J112" s="20">
        <f t="shared" ref="J112:J143" si="18">A112</f>
        <v>41274</v>
      </c>
      <c r="K112" s="27">
        <v>2.3317780522391494</v>
      </c>
      <c r="L112" s="46">
        <f t="shared" si="14"/>
        <v>1478174.1178124563</v>
      </c>
      <c r="M112" s="19">
        <f>(L112-L100)/L100*100</f>
        <v>16.822886024867355</v>
      </c>
      <c r="N112" s="49">
        <f>(L112/L109-1)*100</f>
        <v>3.0343393819068254</v>
      </c>
      <c r="O112" s="258"/>
      <c r="P112" s="20">
        <f t="shared" si="15"/>
        <v>41274</v>
      </c>
      <c r="Q112" s="45">
        <v>-0.41409771239898879</v>
      </c>
      <c r="R112" s="46">
        <f t="shared" si="16"/>
        <v>1402937.3863457788</v>
      </c>
      <c r="S112" s="19">
        <f>(R112-R100)/R100*100</f>
        <v>8.6951923745912776</v>
      </c>
      <c r="T112" s="49">
        <f>(R112/R109-1)*100</f>
        <v>-0.81997927554557926</v>
      </c>
      <c r="U112" s="258"/>
      <c r="V112" s="267" t="e">
        <f>#REF!-W112</f>
        <v>#REF!</v>
      </c>
      <c r="W112" s="90">
        <v>-0.35</v>
      </c>
    </row>
    <row r="113" spans="1:24" x14ac:dyDescent="0.25">
      <c r="A113" s="21">
        <v>41305</v>
      </c>
      <c r="B113" s="24">
        <f t="shared" si="17"/>
        <v>97</v>
      </c>
      <c r="C113" s="97" t="s">
        <v>115</v>
      </c>
      <c r="D113" s="29">
        <v>4.78</v>
      </c>
      <c r="E113" s="47">
        <f t="shared" ref="E113:E144" si="19">E112*D113/100+E112</f>
        <v>1874826.0158543915</v>
      </c>
      <c r="F113" s="84">
        <f>(E112-E102)/E102*100</f>
        <v>6.3949303572798151</v>
      </c>
      <c r="G113" s="256"/>
      <c r="H113" s="49"/>
      <c r="I113" s="258"/>
      <c r="J113" s="20">
        <f t="shared" si="18"/>
        <v>41305</v>
      </c>
      <c r="K113" s="27">
        <v>4.6267435559494041</v>
      </c>
      <c r="L113" s="46">
        <f t="shared" ref="L113:L134" si="20">L112*K113/100+L112</f>
        <v>1546565.4435540561</v>
      </c>
      <c r="M113" s="84">
        <f>(L112-L102)/L102*100</f>
        <v>5.041160280329497</v>
      </c>
      <c r="N113" s="256"/>
      <c r="O113" s="258"/>
      <c r="P113" s="20">
        <f t="shared" si="15"/>
        <v>41305</v>
      </c>
      <c r="Q113" s="45">
        <v>4.3337172817095109</v>
      </c>
      <c r="R113" s="46">
        <f t="shared" ref="R113:R144" si="21">R112*Q113/100+R112</f>
        <v>1463736.7263094096</v>
      </c>
      <c r="S113" s="84">
        <f>(R112-R102)/R102*100</f>
        <v>4.3953224189776172</v>
      </c>
      <c r="T113" s="256"/>
      <c r="U113" s="258"/>
      <c r="V113" s="267" t="e">
        <f>#REF!-W113</f>
        <v>#REF!</v>
      </c>
      <c r="W113" s="90">
        <v>4.78</v>
      </c>
      <c r="X113" s="256"/>
    </row>
    <row r="114" spans="1:24" x14ac:dyDescent="0.25">
      <c r="A114" s="21">
        <v>41333</v>
      </c>
      <c r="B114" s="24">
        <f t="shared" si="17"/>
        <v>98</v>
      </c>
      <c r="C114" s="97" t="s">
        <v>115</v>
      </c>
      <c r="D114" s="29">
        <v>1.99</v>
      </c>
      <c r="E114" s="47">
        <f t="shared" si="19"/>
        <v>1912135.0535698938</v>
      </c>
      <c r="F114" s="256"/>
      <c r="G114" s="256"/>
      <c r="H114" s="49"/>
      <c r="I114" s="258"/>
      <c r="J114" s="20">
        <f t="shared" si="18"/>
        <v>41333</v>
      </c>
      <c r="K114" s="27">
        <v>3.0975245256675391E-2</v>
      </c>
      <c r="L114" s="46">
        <f t="shared" si="20"/>
        <v>1547044.4959932519</v>
      </c>
      <c r="M114" s="7"/>
      <c r="N114" s="256"/>
      <c r="O114" s="258"/>
      <c r="P114" s="20">
        <f t="shared" si="15"/>
        <v>41333</v>
      </c>
      <c r="Q114" s="45">
        <v>2.5757821507847689</v>
      </c>
      <c r="R114" s="46">
        <f t="shared" si="21"/>
        <v>1501439.3956401686</v>
      </c>
      <c r="S114" s="7"/>
      <c r="T114" s="256"/>
      <c r="U114" s="258"/>
      <c r="V114" s="267" t="e">
        <f>#REF!-W114</f>
        <v>#REF!</v>
      </c>
      <c r="W114" s="90">
        <v>1.99</v>
      </c>
      <c r="X114" s="256"/>
    </row>
    <row r="115" spans="1:24" x14ac:dyDescent="0.25">
      <c r="A115" s="21">
        <v>41364</v>
      </c>
      <c r="B115" s="24">
        <f t="shared" si="17"/>
        <v>99</v>
      </c>
      <c r="C115" s="97" t="s">
        <v>115</v>
      </c>
      <c r="D115" s="29">
        <v>3.72</v>
      </c>
      <c r="E115" s="47">
        <f t="shared" si="19"/>
        <v>1983266.4775626939</v>
      </c>
      <c r="F115" s="54"/>
      <c r="G115" s="49">
        <f>(E115/E112-1)*100</f>
        <v>10.840504538399998</v>
      </c>
      <c r="H115" s="49"/>
      <c r="I115" s="258"/>
      <c r="J115" s="20">
        <f t="shared" si="18"/>
        <v>41364</v>
      </c>
      <c r="K115" s="27">
        <v>1.8908359613245187</v>
      </c>
      <c r="L115" s="46">
        <f t="shared" si="20"/>
        <v>1576296.569661184</v>
      </c>
      <c r="M115" s="7"/>
      <c r="N115" s="49">
        <f>(L115/L112-1)*100</f>
        <v>6.6380848281891724</v>
      </c>
      <c r="O115" s="258"/>
      <c r="P115" s="20">
        <f t="shared" si="15"/>
        <v>41364</v>
      </c>
      <c r="Q115" s="45">
        <v>4.5749751247091508</v>
      </c>
      <c r="R115" s="46">
        <f t="shared" si="21"/>
        <v>1570129.8745032898</v>
      </c>
      <c r="S115" s="7"/>
      <c r="T115" s="49">
        <f>(R115/R112-1)*100</f>
        <v>11.917316466488659</v>
      </c>
      <c r="U115" s="258"/>
      <c r="V115" s="267" t="e">
        <f>#REF!-W115</f>
        <v>#REF!</v>
      </c>
      <c r="W115" s="90">
        <v>3.72</v>
      </c>
      <c r="X115" s="256"/>
    </row>
    <row r="116" spans="1:24" x14ac:dyDescent="0.25">
      <c r="A116" s="21">
        <v>41394</v>
      </c>
      <c r="B116" s="24">
        <f t="shared" si="17"/>
        <v>100</v>
      </c>
      <c r="C116" s="97" t="s">
        <v>115</v>
      </c>
      <c r="D116" s="29">
        <v>3.91</v>
      </c>
      <c r="E116" s="47">
        <f t="shared" si="19"/>
        <v>2060812.1968353952</v>
      </c>
      <c r="F116" s="54"/>
      <c r="G116" s="256"/>
      <c r="H116" s="49"/>
      <c r="I116" s="258"/>
      <c r="J116" s="20">
        <f t="shared" si="18"/>
        <v>41394</v>
      </c>
      <c r="K116" s="27">
        <v>2.8945931428696281</v>
      </c>
      <c r="L116" s="46">
        <f t="shared" si="20"/>
        <v>1621923.9420778858</v>
      </c>
      <c r="M116" s="7"/>
      <c r="N116" s="256"/>
      <c r="O116" s="258"/>
      <c r="P116" s="20">
        <f t="shared" si="15"/>
        <v>41394</v>
      </c>
      <c r="Q116" s="45">
        <v>2.9238273538123716</v>
      </c>
      <c r="R116" s="46">
        <f t="shared" si="21"/>
        <v>1616037.7612643968</v>
      </c>
      <c r="S116" s="7"/>
      <c r="T116" s="256"/>
      <c r="U116" s="258"/>
      <c r="V116" s="267" t="e">
        <f>#REF!-W116</f>
        <v>#REF!</v>
      </c>
      <c r="W116" s="90">
        <v>3.91</v>
      </c>
      <c r="X116" s="256"/>
    </row>
    <row r="117" spans="1:24" x14ac:dyDescent="0.25">
      <c r="A117" s="21">
        <v>41425</v>
      </c>
      <c r="B117" s="24">
        <f t="shared" si="17"/>
        <v>101</v>
      </c>
      <c r="C117" s="97" t="s">
        <v>115</v>
      </c>
      <c r="D117" s="29">
        <v>-2.52</v>
      </c>
      <c r="E117" s="47">
        <f t="shared" si="19"/>
        <v>2008879.7294751431</v>
      </c>
      <c r="F117" s="54"/>
      <c r="G117" s="256"/>
      <c r="H117" s="49"/>
      <c r="I117" s="258"/>
      <c r="J117" s="20">
        <f t="shared" si="18"/>
        <v>41425</v>
      </c>
      <c r="K117" s="27">
        <v>-0.19063002606021323</v>
      </c>
      <c r="L117" s="46">
        <f t="shared" si="20"/>
        <v>1618832.0680444259</v>
      </c>
      <c r="M117" s="7"/>
      <c r="N117" s="256"/>
      <c r="O117" s="258"/>
      <c r="P117" s="20">
        <f t="shared" si="15"/>
        <v>41425</v>
      </c>
      <c r="Q117" s="45">
        <v>-4.4704755292105052</v>
      </c>
      <c r="R117" s="46">
        <f t="shared" si="21"/>
        <v>1543793.1886042706</v>
      </c>
      <c r="S117" s="7"/>
      <c r="T117" s="256"/>
      <c r="U117" s="258"/>
      <c r="V117" s="267" t="e">
        <f>#REF!-W117</f>
        <v>#REF!</v>
      </c>
      <c r="W117" s="90">
        <v>-2.52</v>
      </c>
      <c r="X117" s="256"/>
    </row>
    <row r="118" spans="1:24" x14ac:dyDescent="0.25">
      <c r="A118" s="21">
        <v>41455</v>
      </c>
      <c r="B118" s="24">
        <f t="shared" si="17"/>
        <v>102</v>
      </c>
      <c r="C118" s="97" t="s">
        <v>115</v>
      </c>
      <c r="D118" s="29">
        <v>-0.62</v>
      </c>
      <c r="E118" s="47">
        <f t="shared" si="19"/>
        <v>1996424.6751523972</v>
      </c>
      <c r="F118" s="54"/>
      <c r="G118" s="49">
        <f>(E118/E115-1)*100</f>
        <v>0.66346089839999234</v>
      </c>
      <c r="H118" s="49"/>
      <c r="I118" s="258"/>
      <c r="J118" s="20">
        <f t="shared" si="18"/>
        <v>41455</v>
      </c>
      <c r="K118" s="27">
        <v>-2.8805221823048321</v>
      </c>
      <c r="L118" s="46">
        <f t="shared" si="20"/>
        <v>1572201.2512301421</v>
      </c>
      <c r="M118" s="7"/>
      <c r="N118" s="49">
        <f>(L118/L115-1)*100</f>
        <v>-0.25980634037173767</v>
      </c>
      <c r="O118" s="258"/>
      <c r="P118" s="20">
        <f t="shared" si="15"/>
        <v>41455</v>
      </c>
      <c r="Q118" s="45">
        <v>-0.39101184640249831</v>
      </c>
      <c r="R118" s="46">
        <f t="shared" si="21"/>
        <v>1537756.774352873</v>
      </c>
      <c r="S118" s="7"/>
      <c r="T118" s="49">
        <f>(R118/R115-1)*100</f>
        <v>-2.0618103429602019</v>
      </c>
      <c r="U118" s="258"/>
      <c r="V118" s="267" t="e">
        <f>#REF!-W118</f>
        <v>#REF!</v>
      </c>
      <c r="W118" s="90">
        <v>-0.62</v>
      </c>
      <c r="X118" s="256"/>
    </row>
    <row r="119" spans="1:24" x14ac:dyDescent="0.25">
      <c r="A119" s="21">
        <v>41486</v>
      </c>
      <c r="B119" s="24">
        <f t="shared" si="17"/>
        <v>103</v>
      </c>
      <c r="C119" s="97" t="s">
        <v>115</v>
      </c>
      <c r="D119" s="29">
        <v>3.52</v>
      </c>
      <c r="E119" s="47">
        <f t="shared" si="19"/>
        <v>2066698.8237177616</v>
      </c>
      <c r="F119" s="256"/>
      <c r="G119" s="256"/>
      <c r="H119" s="49"/>
      <c r="I119" s="258"/>
      <c r="J119" s="20">
        <f t="shared" si="18"/>
        <v>41486</v>
      </c>
      <c r="K119" s="27">
        <v>4.8315455486609515</v>
      </c>
      <c r="L119" s="46">
        <f t="shared" si="20"/>
        <v>1648162.8707999438</v>
      </c>
      <c r="M119" s="7"/>
      <c r="N119" s="256"/>
      <c r="O119" s="258"/>
      <c r="P119" s="20">
        <f t="shared" si="15"/>
        <v>41486</v>
      </c>
      <c r="Q119" s="45">
        <v>3.0054251105534169</v>
      </c>
      <c r="R119" s="46">
        <f t="shared" si="21"/>
        <v>1583972.9025885104</v>
      </c>
      <c r="S119" s="7"/>
      <c r="T119" s="256"/>
      <c r="U119" s="258"/>
      <c r="V119" s="267" t="e">
        <f>#REF!-W119</f>
        <v>#REF!</v>
      </c>
      <c r="W119" s="90">
        <v>3.52</v>
      </c>
      <c r="X119" s="256"/>
    </row>
    <row r="120" spans="1:24" x14ac:dyDescent="0.25">
      <c r="A120" s="21">
        <v>41517</v>
      </c>
      <c r="B120" s="24">
        <f t="shared" si="17"/>
        <v>104</v>
      </c>
      <c r="C120" s="97" t="s">
        <v>115</v>
      </c>
      <c r="D120" s="29">
        <v>-2.92</v>
      </c>
      <c r="E120" s="47">
        <f t="shared" si="19"/>
        <v>2006351.2180652029</v>
      </c>
      <c r="F120" s="256"/>
      <c r="G120" s="256"/>
      <c r="H120" s="49"/>
      <c r="I120" s="258"/>
      <c r="J120" s="20">
        <f t="shared" si="18"/>
        <v>41517</v>
      </c>
      <c r="K120" s="27">
        <v>-2.0337986924848663</v>
      </c>
      <c r="L120" s="46">
        <f t="shared" si="20"/>
        <v>1614642.5558835936</v>
      </c>
      <c r="M120" s="7"/>
      <c r="N120" s="256"/>
      <c r="O120" s="258"/>
      <c r="P120" s="20">
        <f t="shared" si="15"/>
        <v>41517</v>
      </c>
      <c r="Q120" s="45">
        <v>-2.7795445263514957</v>
      </c>
      <c r="R120" s="46">
        <f t="shared" si="21"/>
        <v>1539945.6704757207</v>
      </c>
      <c r="S120" s="7"/>
      <c r="T120" s="256"/>
      <c r="U120" s="258"/>
      <c r="V120" s="267" t="e">
        <f>#REF!-W120</f>
        <v>#REF!</v>
      </c>
      <c r="W120" s="90">
        <v>-2.92</v>
      </c>
      <c r="X120" s="256"/>
    </row>
    <row r="121" spans="1:24" x14ac:dyDescent="0.25">
      <c r="A121" s="21">
        <v>41547</v>
      </c>
      <c r="B121" s="24">
        <f t="shared" si="17"/>
        <v>105</v>
      </c>
      <c r="C121" s="97" t="s">
        <v>115</v>
      </c>
      <c r="D121" s="29">
        <v>2.36</v>
      </c>
      <c r="E121" s="47">
        <f t="shared" si="19"/>
        <v>2053701.1068115418</v>
      </c>
      <c r="F121" s="54"/>
      <c r="G121" s="49">
        <f>(E121/E118-1)*100</f>
        <v>2.8689502975999925</v>
      </c>
      <c r="H121" s="49"/>
      <c r="I121" s="258"/>
      <c r="J121" s="20">
        <f t="shared" si="18"/>
        <v>41547</v>
      </c>
      <c r="K121" s="27">
        <v>5.2164342865153346</v>
      </c>
      <c r="L121" s="46">
        <f t="shared" si="20"/>
        <v>1698869.3237733729</v>
      </c>
      <c r="M121" s="7"/>
      <c r="N121" s="49">
        <f>(L121/L118-1)*100</f>
        <v>8.0567339864487266</v>
      </c>
      <c r="O121" s="258"/>
      <c r="P121" s="20">
        <f t="shared" si="15"/>
        <v>41547</v>
      </c>
      <c r="Q121" s="45">
        <v>3.2900859844475736</v>
      </c>
      <c r="R121" s="46">
        <f t="shared" si="21"/>
        <v>1590611.2071481496</v>
      </c>
      <c r="S121" s="7"/>
      <c r="T121" s="49">
        <f>(R121/R118-1)*100</f>
        <v>3.437112661559838</v>
      </c>
      <c r="U121" s="258"/>
      <c r="V121" s="267" t="e">
        <f>#REF!-W121</f>
        <v>#REF!</v>
      </c>
      <c r="W121" s="90">
        <v>2.36</v>
      </c>
      <c r="X121" s="256"/>
    </row>
    <row r="122" spans="1:24" x14ac:dyDescent="0.25">
      <c r="A122" s="21">
        <v>41578</v>
      </c>
      <c r="B122" s="24">
        <f t="shared" si="17"/>
        <v>106</v>
      </c>
      <c r="C122" s="97" t="s">
        <v>115</v>
      </c>
      <c r="D122" s="29">
        <v>3.12</v>
      </c>
      <c r="E122" s="47">
        <f t="shared" si="19"/>
        <v>2117776.581344062</v>
      </c>
      <c r="F122" s="54"/>
      <c r="G122" s="256"/>
      <c r="H122" s="49"/>
      <c r="I122" s="258"/>
      <c r="J122" s="20">
        <f t="shared" si="18"/>
        <v>41578</v>
      </c>
      <c r="K122" s="27">
        <v>4.0473160608512488</v>
      </c>
      <c r="L122" s="46">
        <f t="shared" si="20"/>
        <v>1767627.9347673277</v>
      </c>
      <c r="M122" s="7"/>
      <c r="N122" s="256"/>
      <c r="O122" s="258"/>
      <c r="P122" s="20">
        <f t="shared" si="15"/>
        <v>41578</v>
      </c>
      <c r="Q122" s="45">
        <v>3.5390105051340845</v>
      </c>
      <c r="R122" s="46">
        <f t="shared" si="21"/>
        <v>1646903.1048649626</v>
      </c>
      <c r="S122" s="7"/>
      <c r="T122" s="256"/>
      <c r="U122" s="258"/>
      <c r="V122" s="267" t="e">
        <f>#REF!-W122</f>
        <v>#REF!</v>
      </c>
      <c r="W122" s="90">
        <v>3.12</v>
      </c>
      <c r="X122" s="256"/>
    </row>
    <row r="123" spans="1:24" x14ac:dyDescent="0.25">
      <c r="A123" s="21">
        <v>41608</v>
      </c>
      <c r="B123" s="24">
        <f t="shared" si="17"/>
        <v>107</v>
      </c>
      <c r="C123" s="97" t="s">
        <v>115</v>
      </c>
      <c r="D123" s="29">
        <v>1.1499999999999999</v>
      </c>
      <c r="E123" s="47">
        <f t="shared" si="19"/>
        <v>2142131.0120295188</v>
      </c>
      <c r="F123" s="54"/>
      <c r="G123" s="256"/>
      <c r="H123" s="49"/>
      <c r="I123" s="258"/>
      <c r="J123" s="20">
        <f t="shared" si="18"/>
        <v>41608</v>
      </c>
      <c r="K123" s="27">
        <v>1.4639941701106809</v>
      </c>
      <c r="L123" s="46">
        <f t="shared" si="20"/>
        <v>1793505.9046815692</v>
      </c>
      <c r="M123" s="7"/>
      <c r="N123" s="256"/>
      <c r="O123" s="258"/>
      <c r="P123" s="20">
        <f t="shared" si="15"/>
        <v>41608</v>
      </c>
      <c r="Q123" s="45">
        <v>-0.13774911136146342</v>
      </c>
      <c r="R123" s="46">
        <f t="shared" si="21"/>
        <v>1644634.5104730269</v>
      </c>
      <c r="S123" s="7"/>
      <c r="T123" s="256"/>
      <c r="U123" s="258"/>
      <c r="V123" s="267" t="e">
        <f>#REF!-W123</f>
        <v>#REF!</v>
      </c>
      <c r="W123" s="90">
        <v>1.1499999999999999</v>
      </c>
      <c r="X123" s="256"/>
    </row>
    <row r="124" spans="1:24" x14ac:dyDescent="0.25">
      <c r="A124" s="21">
        <v>41639</v>
      </c>
      <c r="B124" s="24">
        <f t="shared" si="17"/>
        <v>108</v>
      </c>
      <c r="C124" s="97" t="s">
        <v>115</v>
      </c>
      <c r="D124" s="29">
        <v>0.91</v>
      </c>
      <c r="E124" s="47">
        <f t="shared" si="19"/>
        <v>2161624.4042389872</v>
      </c>
      <c r="F124" s="12">
        <f>(E124-E112)/E112*100</f>
        <v>20.808546052175021</v>
      </c>
      <c r="G124" s="49">
        <f>(E124/E121-1)*100</f>
        <v>5.2550635080000019</v>
      </c>
      <c r="H124" s="49"/>
      <c r="I124" s="258"/>
      <c r="J124" s="20">
        <f t="shared" si="18"/>
        <v>41639</v>
      </c>
      <c r="K124" s="27">
        <v>1.7782496678838144</v>
      </c>
      <c r="L124" s="46">
        <f t="shared" si="20"/>
        <v>1825398.9174750459</v>
      </c>
      <c r="M124" s="19">
        <f>(L124-L112)/L112*100</f>
        <v>23.490114965376751</v>
      </c>
      <c r="N124" s="49">
        <f>(L124/L121-1)*100</f>
        <v>7.4478708827726114</v>
      </c>
      <c r="O124" s="258"/>
      <c r="P124" s="20">
        <f t="shared" si="15"/>
        <v>41639</v>
      </c>
      <c r="Q124" s="45">
        <v>0.29874296577027754</v>
      </c>
      <c r="R124" s="46">
        <f t="shared" si="21"/>
        <v>1649547.7403856956</v>
      </c>
      <c r="S124" s="19">
        <f>(R124-R112)/R112*100</f>
        <v>17.578144002724244</v>
      </c>
      <c r="T124" s="49">
        <f>(R124/R121-1)*100</f>
        <v>3.7052758695957477</v>
      </c>
      <c r="U124" s="258"/>
      <c r="V124" s="267" t="e">
        <f>#REF!-W124</f>
        <v>#REF!</v>
      </c>
      <c r="W124" s="90">
        <v>0.91</v>
      </c>
      <c r="X124" s="256"/>
    </row>
    <row r="125" spans="1:24" x14ac:dyDescent="0.25">
      <c r="A125" s="21">
        <v>41670</v>
      </c>
      <c r="B125" s="24">
        <f t="shared" si="17"/>
        <v>109</v>
      </c>
      <c r="C125" s="97" t="s">
        <v>115</v>
      </c>
      <c r="D125" s="29">
        <v>-1.89</v>
      </c>
      <c r="E125" s="47">
        <f t="shared" si="19"/>
        <v>2120769.7029988705</v>
      </c>
      <c r="F125" s="256"/>
      <c r="G125" s="256"/>
      <c r="H125" s="49"/>
      <c r="I125" s="258"/>
      <c r="J125" s="20">
        <f t="shared" si="18"/>
        <v>41670</v>
      </c>
      <c r="K125" s="27">
        <v>-3.9778382151194882</v>
      </c>
      <c r="L125" s="46">
        <f t="shared" si="20"/>
        <v>1752787.5017573461</v>
      </c>
      <c r="M125" s="15"/>
      <c r="N125" s="256"/>
      <c r="O125" s="258"/>
      <c r="P125" s="20">
        <f t="shared" si="15"/>
        <v>41670</v>
      </c>
      <c r="Q125" s="45">
        <v>-2.971393100082397</v>
      </c>
      <c r="R125" s="46">
        <f t="shared" si="21"/>
        <v>1600533.19264531</v>
      </c>
      <c r="S125" s="15"/>
      <c r="T125" s="256"/>
      <c r="U125" s="258"/>
      <c r="V125" s="267" t="e">
        <f>#REF!-W125</f>
        <v>#REF!</v>
      </c>
      <c r="W125" s="90">
        <v>-1.89</v>
      </c>
      <c r="X125" s="256"/>
    </row>
    <row r="126" spans="1:24" x14ac:dyDescent="0.25">
      <c r="A126" s="21">
        <v>41698</v>
      </c>
      <c r="B126" s="24">
        <f t="shared" si="17"/>
        <v>110</v>
      </c>
      <c r="C126" s="97" t="s">
        <v>115</v>
      </c>
      <c r="D126" s="29">
        <v>3.41</v>
      </c>
      <c r="E126" s="47">
        <f t="shared" si="19"/>
        <v>2193087.9498711322</v>
      </c>
      <c r="F126" s="256"/>
      <c r="G126" s="256"/>
      <c r="H126" s="49"/>
      <c r="I126" s="258"/>
      <c r="J126" s="20">
        <f t="shared" si="18"/>
        <v>41698</v>
      </c>
      <c r="K126" s="27">
        <v>4.8807797665584873</v>
      </c>
      <c r="L126" s="46">
        <f t="shared" si="20"/>
        <v>1838337.1994938846</v>
      </c>
      <c r="M126" s="7"/>
      <c r="N126" s="256"/>
      <c r="O126" s="258"/>
      <c r="P126" s="20">
        <f t="shared" si="15"/>
        <v>41698</v>
      </c>
      <c r="Q126" s="45">
        <v>3.7168119249486669</v>
      </c>
      <c r="R126" s="46">
        <f t="shared" si="21"/>
        <v>1660022.0012123124</v>
      </c>
      <c r="S126" s="7"/>
      <c r="T126" s="256"/>
      <c r="U126" s="258"/>
      <c r="V126" s="267" t="e">
        <f>#REF!-W126</f>
        <v>#REF!</v>
      </c>
      <c r="W126" s="90">
        <v>3.41</v>
      </c>
      <c r="X126" s="256"/>
    </row>
    <row r="127" spans="1:24" x14ac:dyDescent="0.25">
      <c r="A127" s="21">
        <v>41729</v>
      </c>
      <c r="B127" s="24">
        <f t="shared" si="17"/>
        <v>111</v>
      </c>
      <c r="C127" s="97" t="s">
        <v>115</v>
      </c>
      <c r="D127" s="29">
        <v>2.14</v>
      </c>
      <c r="E127" s="47">
        <f t="shared" si="19"/>
        <v>2240020.0319983745</v>
      </c>
      <c r="F127" s="54"/>
      <c r="G127" s="49">
        <f>(E127/E124-1)*100</f>
        <v>3.6266997914000232</v>
      </c>
      <c r="H127" s="49"/>
      <c r="I127" s="258"/>
      <c r="J127" s="20">
        <f t="shared" si="18"/>
        <v>41729</v>
      </c>
      <c r="K127" s="27">
        <v>0.51204134568489423</v>
      </c>
      <c r="L127" s="46">
        <f t="shared" si="20"/>
        <v>1847750.2460283991</v>
      </c>
      <c r="M127" s="7"/>
      <c r="N127" s="49">
        <f>(L127/L124-1)*100</f>
        <v>1.2244626826157123</v>
      </c>
      <c r="O127" s="258"/>
      <c r="P127" s="20">
        <f t="shared" si="15"/>
        <v>41729</v>
      </c>
      <c r="Q127" s="45">
        <v>1.031688737010831</v>
      </c>
      <c r="R127" s="46">
        <f t="shared" si="21"/>
        <v>1677148.2612307216</v>
      </c>
      <c r="S127" s="7"/>
      <c r="T127" s="49">
        <f>(R127/R124-1)*100</f>
        <v>1.6732174625374796</v>
      </c>
      <c r="U127" s="258"/>
      <c r="V127" s="267" t="e">
        <f>#REF!-W127</f>
        <v>#REF!</v>
      </c>
      <c r="W127" s="90">
        <v>2.14</v>
      </c>
      <c r="X127" s="268"/>
    </row>
    <row r="128" spans="1:24" x14ac:dyDescent="0.25">
      <c r="A128" s="21">
        <v>41759</v>
      </c>
      <c r="B128" s="24">
        <f t="shared" si="17"/>
        <v>112</v>
      </c>
      <c r="C128" s="97" t="s">
        <v>102</v>
      </c>
      <c r="D128" s="29">
        <v>3.31</v>
      </c>
      <c r="E128" s="47">
        <f t="shared" si="19"/>
        <v>2314164.6950575206</v>
      </c>
      <c r="F128" s="256"/>
      <c r="G128" s="256"/>
      <c r="H128" s="49"/>
      <c r="I128" s="258"/>
      <c r="J128" s="20">
        <f t="shared" si="18"/>
        <v>41759</v>
      </c>
      <c r="K128" s="27">
        <v>0.99330083072437725</v>
      </c>
      <c r="L128" s="46">
        <f t="shared" si="20"/>
        <v>1866103.9645719109</v>
      </c>
      <c r="M128" s="7"/>
      <c r="N128" s="256"/>
      <c r="O128" s="258"/>
      <c r="P128" s="20">
        <f t="shared" si="15"/>
        <v>41759</v>
      </c>
      <c r="Q128" s="45">
        <v>1.4872790340005115</v>
      </c>
      <c r="R128" s="46">
        <f t="shared" si="21"/>
        <v>1702092.1356891103</v>
      </c>
      <c r="S128" s="7"/>
      <c r="T128" s="256"/>
      <c r="U128" s="258"/>
      <c r="V128" s="267" t="e">
        <f>#REF!-W128</f>
        <v>#REF!</v>
      </c>
      <c r="W128" s="92">
        <v>3.3099999999999996</v>
      </c>
      <c r="X128" s="268"/>
    </row>
    <row r="129" spans="1:31" x14ac:dyDescent="0.25">
      <c r="A129" s="21">
        <v>41790</v>
      </c>
      <c r="B129" s="24">
        <f t="shared" si="17"/>
        <v>113</v>
      </c>
      <c r="C129" s="97" t="s">
        <v>102</v>
      </c>
      <c r="D129" s="29">
        <v>0.64</v>
      </c>
      <c r="E129" s="47">
        <f t="shared" si="19"/>
        <v>2328975.349105889</v>
      </c>
      <c r="F129" s="256"/>
      <c r="G129" s="256"/>
      <c r="H129" s="49"/>
      <c r="I129" s="258"/>
      <c r="J129" s="20">
        <f t="shared" si="18"/>
        <v>41790</v>
      </c>
      <c r="K129" s="27">
        <v>2.2048845461827642</v>
      </c>
      <c r="L129" s="46">
        <f t="shared" si="20"/>
        <v>1907249.4025024609</v>
      </c>
      <c r="M129" s="7"/>
      <c r="N129" s="256"/>
      <c r="O129" s="258"/>
      <c r="P129" s="20">
        <f t="shared" si="15"/>
        <v>41790</v>
      </c>
      <c r="Q129" s="45">
        <v>1.6089616097015502</v>
      </c>
      <c r="R129" s="46">
        <f t="shared" si="21"/>
        <v>1729478.1447140973</v>
      </c>
      <c r="S129" s="7"/>
      <c r="T129" s="256"/>
      <c r="U129" s="258"/>
      <c r="V129" s="267" t="e">
        <f>#REF!-W129</f>
        <v>#REF!</v>
      </c>
      <c r="W129" s="92">
        <v>0.64</v>
      </c>
      <c r="X129" s="268"/>
      <c r="Y129" s="256"/>
      <c r="Z129" s="256"/>
      <c r="AA129" s="256"/>
      <c r="AB129" s="256"/>
      <c r="AC129" s="256"/>
      <c r="AD129" s="256"/>
      <c r="AE129" s="256"/>
    </row>
    <row r="130" spans="1:31" x14ac:dyDescent="0.25">
      <c r="A130" s="21">
        <v>41820</v>
      </c>
      <c r="B130" s="24">
        <f t="shared" si="17"/>
        <v>114</v>
      </c>
      <c r="C130" s="97" t="s">
        <v>102</v>
      </c>
      <c r="D130" s="29">
        <v>1.52</v>
      </c>
      <c r="E130" s="47">
        <f t="shared" si="19"/>
        <v>2364375.7744122986</v>
      </c>
      <c r="F130" s="4"/>
      <c r="G130" s="49">
        <f>(E130/E127-1)*100</f>
        <v>5.5515459968000114</v>
      </c>
      <c r="H130" s="49"/>
      <c r="I130" s="258"/>
      <c r="J130" s="20">
        <f t="shared" si="18"/>
        <v>41820</v>
      </c>
      <c r="K130" s="27">
        <v>1.9244427261298491</v>
      </c>
      <c r="L130" s="46">
        <f t="shared" si="20"/>
        <v>1943953.3248980744</v>
      </c>
      <c r="M130" s="7"/>
      <c r="N130" s="49">
        <f>(L130/L127-1)*100</f>
        <v>5.2064979602333583</v>
      </c>
      <c r="O130" s="258"/>
      <c r="P130" s="20">
        <f t="shared" si="15"/>
        <v>41820</v>
      </c>
      <c r="Q130" s="45">
        <v>1.7668589205755367</v>
      </c>
      <c r="R130" s="46">
        <f t="shared" si="21"/>
        <v>1760035.5835933825</v>
      </c>
      <c r="S130" s="7"/>
      <c r="T130" s="49">
        <f>(R130/R127-1)*100</f>
        <v>4.9421583218788756</v>
      </c>
      <c r="U130" s="258"/>
      <c r="V130" s="267" t="e">
        <f>#REF!-W130</f>
        <v>#REF!</v>
      </c>
      <c r="W130" s="92">
        <v>1.52</v>
      </c>
      <c r="X130" s="268"/>
      <c r="Y130" s="256"/>
      <c r="Z130" s="256"/>
      <c r="AA130" s="256"/>
      <c r="AB130" s="256"/>
      <c r="AC130" s="256"/>
      <c r="AD130" s="256"/>
      <c r="AE130" s="256"/>
    </row>
    <row r="131" spans="1:31" ht="16.5" thickBot="1" x14ac:dyDescent="0.3">
      <c r="A131" s="21">
        <v>41851</v>
      </c>
      <c r="B131" s="24">
        <f t="shared" si="17"/>
        <v>115</v>
      </c>
      <c r="C131" s="97" t="s">
        <v>102</v>
      </c>
      <c r="D131" s="29">
        <v>-1.04</v>
      </c>
      <c r="E131" s="47">
        <f t="shared" si="19"/>
        <v>2339786.2663584105</v>
      </c>
      <c r="F131" s="256"/>
      <c r="G131" s="256"/>
      <c r="H131" s="49"/>
      <c r="I131" s="258"/>
      <c r="J131" s="20">
        <f t="shared" si="18"/>
        <v>41851</v>
      </c>
      <c r="K131" s="27">
        <v>-1.1760758034444885</v>
      </c>
      <c r="L131" s="46">
        <f t="shared" si="20"/>
        <v>1921090.9602136936</v>
      </c>
      <c r="M131" s="7"/>
      <c r="N131" s="256"/>
      <c r="O131" s="258"/>
      <c r="P131" s="20">
        <f t="shared" si="15"/>
        <v>41851</v>
      </c>
      <c r="Q131" s="45">
        <v>-0.65232505241095085</v>
      </c>
      <c r="R131" s="46">
        <f t="shared" si="21"/>
        <v>1748554.4305502556</v>
      </c>
      <c r="S131" s="7"/>
      <c r="T131" s="256"/>
      <c r="U131" s="258"/>
      <c r="V131" s="267" t="e">
        <f>#REF!-W131</f>
        <v>#REF!</v>
      </c>
      <c r="W131" s="92">
        <v>-1.04</v>
      </c>
      <c r="X131" s="101" t="s">
        <v>116</v>
      </c>
      <c r="Y131" s="256"/>
      <c r="Z131" s="256"/>
      <c r="AA131" s="256"/>
      <c r="AB131" s="256"/>
      <c r="AC131" s="256"/>
      <c r="AD131" s="256"/>
      <c r="AE131" s="256"/>
    </row>
    <row r="132" spans="1:31" x14ac:dyDescent="0.25">
      <c r="A132" s="21">
        <v>41882</v>
      </c>
      <c r="B132" s="24">
        <f t="shared" si="17"/>
        <v>116</v>
      </c>
      <c r="C132" s="97" t="s">
        <v>102</v>
      </c>
      <c r="D132" s="29">
        <v>4.5999999999999996</v>
      </c>
      <c r="E132" s="47">
        <f t="shared" si="19"/>
        <v>2447416.4346108972</v>
      </c>
      <c r="F132" s="4"/>
      <c r="G132" s="256"/>
      <c r="H132" s="49"/>
      <c r="I132" s="258"/>
      <c r="J132" s="20">
        <f t="shared" si="18"/>
        <v>41882</v>
      </c>
      <c r="K132" s="27">
        <v>2.2589010239507297</v>
      </c>
      <c r="L132" s="46">
        <f t="shared" si="20"/>
        <v>1964486.5035849856</v>
      </c>
      <c r="M132" s="7"/>
      <c r="N132" s="256"/>
      <c r="O132" s="258"/>
      <c r="P132" s="20">
        <f t="shared" si="15"/>
        <v>41882</v>
      </c>
      <c r="Q132" s="45">
        <v>3.1625766217385221</v>
      </c>
      <c r="R132" s="46">
        <f t="shared" si="21"/>
        <v>1803853.804189211</v>
      </c>
      <c r="S132" s="7"/>
      <c r="T132" s="256"/>
      <c r="U132" s="258"/>
      <c r="V132" s="267" t="e">
        <f>#REF!-W132</f>
        <v>#REF!</v>
      </c>
      <c r="W132" s="92">
        <v>4.5999999999999996</v>
      </c>
      <c r="X132" s="324" t="s">
        <v>117</v>
      </c>
      <c r="Y132" s="325"/>
      <c r="Z132" s="324" t="s">
        <v>118</v>
      </c>
      <c r="AA132" s="325" t="s">
        <v>81</v>
      </c>
      <c r="AB132" s="269"/>
      <c r="AC132" s="269"/>
      <c r="AD132" s="324" t="s">
        <v>68</v>
      </c>
      <c r="AE132" s="325"/>
    </row>
    <row r="133" spans="1:31" x14ac:dyDescent="0.25">
      <c r="A133" s="21">
        <v>41912</v>
      </c>
      <c r="B133" s="24">
        <f t="shared" si="17"/>
        <v>117</v>
      </c>
      <c r="C133" s="97" t="s">
        <v>102</v>
      </c>
      <c r="D133" s="29">
        <v>-2.08</v>
      </c>
      <c r="E133" s="47">
        <f t="shared" si="19"/>
        <v>2396510.1727709905</v>
      </c>
      <c r="F133" s="6"/>
      <c r="G133" s="49">
        <f>(E133/E130-1)*100</f>
        <v>1.3591070719999765</v>
      </c>
      <c r="H133" s="49"/>
      <c r="I133" s="258"/>
      <c r="J133" s="20">
        <f t="shared" si="18"/>
        <v>41912</v>
      </c>
      <c r="K133" s="27">
        <v>-3.1960384709725949</v>
      </c>
      <c r="L133" s="46">
        <f t="shared" si="20"/>
        <v>1901700.7591733451</v>
      </c>
      <c r="M133" s="7"/>
      <c r="N133" s="49">
        <f>(L133/L130-1)*100</f>
        <v>-2.1735380774610236</v>
      </c>
      <c r="O133" s="258"/>
      <c r="P133" s="20">
        <f t="shared" si="15"/>
        <v>41912</v>
      </c>
      <c r="Q133" s="45">
        <v>-2.2790808006963568</v>
      </c>
      <c r="R133" s="46">
        <f t="shared" si="21"/>
        <v>1762742.5184653038</v>
      </c>
      <c r="S133" s="7"/>
      <c r="T133" s="49">
        <f>(R133/R130-1)*100</f>
        <v>0.15380000820179873</v>
      </c>
      <c r="U133" s="258"/>
      <c r="V133" s="267" t="e">
        <f>#REF!-W133</f>
        <v>#REF!</v>
      </c>
      <c r="W133" s="92">
        <v>-2.08</v>
      </c>
      <c r="X133" s="270" t="s">
        <v>41</v>
      </c>
      <c r="Y133" s="271" t="s">
        <v>119</v>
      </c>
      <c r="Z133" s="270" t="s">
        <v>41</v>
      </c>
      <c r="AA133" s="271" t="s">
        <v>119</v>
      </c>
      <c r="AB133" s="272"/>
      <c r="AC133" s="272"/>
      <c r="AD133" s="270" t="s">
        <v>41</v>
      </c>
      <c r="AE133" s="271" t="s">
        <v>120</v>
      </c>
    </row>
    <row r="134" spans="1:31" x14ac:dyDescent="0.25">
      <c r="A134" s="21">
        <v>41943</v>
      </c>
      <c r="B134" s="24">
        <f t="shared" si="17"/>
        <v>118</v>
      </c>
      <c r="C134" s="97" t="s">
        <v>118</v>
      </c>
      <c r="D134" s="29">
        <v>2.93</v>
      </c>
      <c r="E134" s="47">
        <f t="shared" si="19"/>
        <v>2466727.9208331807</v>
      </c>
      <c r="F134" s="6"/>
      <c r="G134" s="49"/>
      <c r="H134" s="49"/>
      <c r="I134" s="258"/>
      <c r="J134" s="20">
        <f t="shared" si="18"/>
        <v>41943</v>
      </c>
      <c r="K134" s="27">
        <v>0.7324350054031572</v>
      </c>
      <c r="L134" s="46">
        <f t="shared" si="20"/>
        <v>1915629.4812315481</v>
      </c>
      <c r="M134" s="6"/>
      <c r="N134" s="256"/>
      <c r="O134" s="258"/>
      <c r="P134" s="20">
        <f t="shared" si="15"/>
        <v>41943</v>
      </c>
      <c r="Q134" s="45">
        <v>3.1321225851347951</v>
      </c>
      <c r="R134" s="46">
        <f t="shared" si="21"/>
        <v>1817953.7750039294</v>
      </c>
      <c r="S134" s="6"/>
      <c r="T134" s="256"/>
      <c r="U134" s="258"/>
      <c r="V134" s="267" t="e">
        <f>#REF!-W134</f>
        <v>#REF!</v>
      </c>
      <c r="W134" s="73">
        <f t="shared" ref="W134:W145" si="22">AD134*100</f>
        <v>2.93</v>
      </c>
      <c r="X134" s="273">
        <v>2.98E-2</v>
      </c>
      <c r="Y134" s="274">
        <v>5285.45</v>
      </c>
      <c r="Z134" s="273">
        <v>2.9300000000000003E-2</v>
      </c>
      <c r="AA134" s="274">
        <v>203353.73</v>
      </c>
      <c r="AB134" s="275"/>
      <c r="AC134" s="275"/>
      <c r="AD134" s="95">
        <f t="shared" ref="AD134:AD145" si="23">ROUND(Y134/AE134*X134+AA134/AE134*Z134,4)</f>
        <v>2.93E-2</v>
      </c>
      <c r="AE134" s="147">
        <f t="shared" ref="AE134:AE145" si="24">Y134+AA134</f>
        <v>208639.18000000002</v>
      </c>
    </row>
    <row r="135" spans="1:31" x14ac:dyDescent="0.25">
      <c r="A135" s="21">
        <v>41973</v>
      </c>
      <c r="B135" s="24">
        <f t="shared" si="17"/>
        <v>119</v>
      </c>
      <c r="C135" s="97" t="s">
        <v>118</v>
      </c>
      <c r="D135" s="29">
        <v>2.35</v>
      </c>
      <c r="E135" s="47">
        <f t="shared" si="19"/>
        <v>2524696.0269727604</v>
      </c>
      <c r="F135" s="6"/>
      <c r="G135" s="256"/>
      <c r="H135" s="49"/>
      <c r="I135" s="258"/>
      <c r="J135" s="20">
        <f t="shared" si="18"/>
        <v>41973</v>
      </c>
      <c r="K135" s="27">
        <v>1.7273389282044049</v>
      </c>
      <c r="L135" s="46">
        <f t="shared" ref="L135:L140" si="25">L134*K135/100+L134</f>
        <v>1948718.8949810208</v>
      </c>
      <c r="M135" s="6"/>
      <c r="N135" s="8"/>
      <c r="O135" s="258"/>
      <c r="P135" s="20">
        <f t="shared" ref="P135:P232" si="26">$A135</f>
        <v>41973</v>
      </c>
      <c r="Q135" s="45">
        <v>1.6920830039450032</v>
      </c>
      <c r="R135" s="46">
        <f t="shared" si="21"/>
        <v>1848715.0618503476</v>
      </c>
      <c r="S135" s="6"/>
      <c r="T135" s="8"/>
      <c r="U135" s="258"/>
      <c r="V135" s="267" t="e">
        <f>#REF!-W135</f>
        <v>#REF!</v>
      </c>
      <c r="W135" s="73">
        <f t="shared" si="22"/>
        <v>2.35</v>
      </c>
      <c r="X135" s="273">
        <v>2.35E-2</v>
      </c>
      <c r="Y135" s="274">
        <v>5437.66</v>
      </c>
      <c r="Z135" s="273">
        <v>2.35E-2</v>
      </c>
      <c r="AA135" s="274">
        <v>206626.74</v>
      </c>
      <c r="AB135" s="275"/>
      <c r="AC135" s="275"/>
      <c r="AD135" s="95">
        <f t="shared" si="23"/>
        <v>2.35E-2</v>
      </c>
      <c r="AE135" s="147">
        <f t="shared" si="24"/>
        <v>212064.4</v>
      </c>
    </row>
    <row r="136" spans="1:31" x14ac:dyDescent="0.25">
      <c r="A136" s="21">
        <v>42004</v>
      </c>
      <c r="B136" s="24">
        <f t="shared" si="17"/>
        <v>120</v>
      </c>
      <c r="C136" s="97" t="s">
        <v>118</v>
      </c>
      <c r="D136" s="29">
        <v>-0.41000000000000003</v>
      </c>
      <c r="E136" s="47">
        <f t="shared" si="19"/>
        <v>2514344.773262172</v>
      </c>
      <c r="F136" s="6">
        <f>(E136-E$124)/E$124*100</f>
        <v>16.317375411357002</v>
      </c>
      <c r="G136" s="49">
        <f>(E136/E133-1)*100</f>
        <v>4.9169246945000022</v>
      </c>
      <c r="H136" s="49"/>
      <c r="I136" s="258"/>
      <c r="J136" s="20">
        <f t="shared" si="18"/>
        <v>42004</v>
      </c>
      <c r="K136" s="27">
        <v>-1.8764197641083513</v>
      </c>
      <c r="L136" s="46">
        <f t="shared" si="25"/>
        <v>1912152.748488683</v>
      </c>
      <c r="M136" s="6">
        <f>(L136-L$124)/L$124*100</f>
        <v>4.7525957303424935</v>
      </c>
      <c r="N136" s="49">
        <f>(L136/L133-1)*100</f>
        <v>0.54961272244964388</v>
      </c>
      <c r="O136" s="258"/>
      <c r="P136" s="20">
        <f t="shared" si="26"/>
        <v>42004</v>
      </c>
      <c r="Q136" s="45">
        <v>-0.47005782762923493</v>
      </c>
      <c r="R136" s="46">
        <f t="shared" si="21"/>
        <v>1840025.0319915593</v>
      </c>
      <c r="S136" s="6">
        <f>(R136-R$124)/R$124*100</f>
        <v>11.547243340852113</v>
      </c>
      <c r="T136" s="49">
        <f>(R136/R133-1)*100</f>
        <v>4.3842201976009409</v>
      </c>
      <c r="U136" s="258"/>
      <c r="V136" s="267" t="e">
        <f>#REF!-W136</f>
        <v>#REF!</v>
      </c>
      <c r="W136" s="73">
        <f t="shared" si="22"/>
        <v>-0.41000000000000003</v>
      </c>
      <c r="X136" s="273">
        <v>-3.8E-3</v>
      </c>
      <c r="Y136" s="274">
        <v>5555.34</v>
      </c>
      <c r="Z136" s="273">
        <v>-4.1000000000000003E-3</v>
      </c>
      <c r="AA136" s="274">
        <v>210985.56</v>
      </c>
      <c r="AB136" s="275"/>
      <c r="AC136" s="275"/>
      <c r="AD136" s="95">
        <f t="shared" si="23"/>
        <v>-4.1000000000000003E-3</v>
      </c>
      <c r="AE136" s="147">
        <f t="shared" si="24"/>
        <v>216540.9</v>
      </c>
    </row>
    <row r="137" spans="1:31" x14ac:dyDescent="0.25">
      <c r="A137" s="21">
        <v>42035</v>
      </c>
      <c r="B137" s="24">
        <f t="shared" si="17"/>
        <v>121</v>
      </c>
      <c r="C137" s="97" t="s">
        <v>118</v>
      </c>
      <c r="D137" s="29">
        <v>-0.43</v>
      </c>
      <c r="E137" s="47">
        <f t="shared" si="19"/>
        <v>2503533.0907371445</v>
      </c>
      <c r="F137" s="256"/>
      <c r="G137" s="256"/>
      <c r="H137" s="49"/>
      <c r="I137" s="258"/>
      <c r="J137" s="20">
        <f t="shared" si="18"/>
        <v>42035</v>
      </c>
      <c r="K137" s="27">
        <v>-1.5364150474858957</v>
      </c>
      <c r="L137" s="46">
        <f t="shared" si="25"/>
        <v>1882774.1459299878</v>
      </c>
      <c r="M137" s="14"/>
      <c r="N137" s="10"/>
      <c r="O137" s="258"/>
      <c r="P137" s="20">
        <f t="shared" si="26"/>
        <v>42035</v>
      </c>
      <c r="Q137" s="45">
        <v>1.48371341297398</v>
      </c>
      <c r="R137" s="46">
        <f t="shared" si="21"/>
        <v>1867325.7301932969</v>
      </c>
      <c r="S137" s="14"/>
      <c r="T137" s="10"/>
      <c r="U137" s="258"/>
      <c r="V137" s="267" t="e">
        <f>#REF!-W137</f>
        <v>#REF!</v>
      </c>
      <c r="W137" s="73">
        <f t="shared" si="22"/>
        <v>-0.43</v>
      </c>
      <c r="X137" s="273">
        <v>-4.0000000000000001E-3</v>
      </c>
      <c r="Y137" s="274">
        <v>5535.62</v>
      </c>
      <c r="Z137" s="273">
        <v>-4.3E-3</v>
      </c>
      <c r="AA137" s="274">
        <v>209932.56</v>
      </c>
      <c r="AB137" s="275"/>
      <c r="AC137" s="275"/>
      <c r="AD137" s="95">
        <f t="shared" si="23"/>
        <v>-4.3E-3</v>
      </c>
      <c r="AE137" s="147">
        <f t="shared" si="24"/>
        <v>215468.18</v>
      </c>
    </row>
    <row r="138" spans="1:31" x14ac:dyDescent="0.25">
      <c r="A138" s="21">
        <v>42063</v>
      </c>
      <c r="B138" s="24">
        <f t="shared" si="17"/>
        <v>122</v>
      </c>
      <c r="C138" s="97" t="s">
        <v>118</v>
      </c>
      <c r="D138" s="29">
        <v>1.67</v>
      </c>
      <c r="E138" s="47">
        <f t="shared" si="19"/>
        <v>2545342.0933524547</v>
      </c>
      <c r="F138" s="267"/>
      <c r="G138" s="256"/>
      <c r="H138" s="49"/>
      <c r="I138" s="258"/>
      <c r="J138" s="20">
        <f t="shared" si="18"/>
        <v>42063</v>
      </c>
      <c r="K138" s="27">
        <v>5.6143616728353711</v>
      </c>
      <c r="L138" s="46">
        <f t="shared" si="25"/>
        <v>1988479.8959651345</v>
      </c>
      <c r="M138" s="14"/>
      <c r="N138" s="10"/>
      <c r="O138" s="258"/>
      <c r="P138" s="20">
        <f t="shared" si="26"/>
        <v>42063</v>
      </c>
      <c r="Q138" s="45">
        <v>2.7375830299716477</v>
      </c>
      <c r="R138" s="46">
        <f t="shared" si="21"/>
        <v>1918445.3224973627</v>
      </c>
      <c r="S138" s="14"/>
      <c r="T138" s="10"/>
      <c r="U138" s="258"/>
      <c r="V138" s="267" t="e">
        <f>#REF!-W138</f>
        <v>#REF!</v>
      </c>
      <c r="W138" s="73">
        <f t="shared" si="22"/>
        <v>1.67</v>
      </c>
      <c r="X138" s="273">
        <v>1.7100000000000001E-2</v>
      </c>
      <c r="Y138" s="274">
        <v>5512.83</v>
      </c>
      <c r="Z138" s="273">
        <v>1.67E-2</v>
      </c>
      <c r="AA138" s="274">
        <v>208779.32</v>
      </c>
      <c r="AB138" s="275"/>
      <c r="AC138" s="275"/>
      <c r="AD138" s="95">
        <f t="shared" si="23"/>
        <v>1.67E-2</v>
      </c>
      <c r="AE138" s="147">
        <f t="shared" si="24"/>
        <v>214292.15</v>
      </c>
    </row>
    <row r="139" spans="1:31" x14ac:dyDescent="0.25">
      <c r="A139" s="21">
        <v>42094</v>
      </c>
      <c r="B139" s="24">
        <f t="shared" si="17"/>
        <v>123</v>
      </c>
      <c r="C139" s="97" t="s">
        <v>118</v>
      </c>
      <c r="D139" s="29">
        <v>-1.28</v>
      </c>
      <c r="E139" s="47">
        <f t="shared" si="19"/>
        <v>2512761.7145575434</v>
      </c>
      <c r="F139" s="267"/>
      <c r="G139" s="49">
        <f>(E139/E136-1)*100</f>
        <v>-6.2961083200008261E-2</v>
      </c>
      <c r="H139" s="49"/>
      <c r="I139" s="258"/>
      <c r="J139" s="20">
        <f t="shared" si="18"/>
        <v>42094</v>
      </c>
      <c r="K139" s="27">
        <v>-1.4757257597404461</v>
      </c>
      <c r="L139" s="46">
        <f t="shared" si="25"/>
        <v>1959135.3859131171</v>
      </c>
      <c r="M139" s="14"/>
      <c r="N139" s="49">
        <f>(L139/L136-1)*100</f>
        <v>2.457054618757204</v>
      </c>
      <c r="O139" s="258"/>
      <c r="P139" s="20">
        <f t="shared" si="26"/>
        <v>42094</v>
      </c>
      <c r="Q139" s="45">
        <v>-0.15554107851410634</v>
      </c>
      <c r="R139" s="46">
        <f t="shared" si="21"/>
        <v>1915461.3519520469</v>
      </c>
      <c r="S139" s="14"/>
      <c r="T139" s="49">
        <f>(R139/R136-1)*100</f>
        <v>4.0997442235249704</v>
      </c>
      <c r="U139" s="258"/>
      <c r="V139" s="267" t="e">
        <f>#REF!-W139</f>
        <v>#REF!</v>
      </c>
      <c r="W139" s="73">
        <f t="shared" si="22"/>
        <v>-1.28</v>
      </c>
      <c r="X139" s="273">
        <v>-1.2800000000000001E-2</v>
      </c>
      <c r="Y139" s="274">
        <v>5591.49</v>
      </c>
      <c r="Z139" s="273">
        <v>-1.2800000000000001E-2</v>
      </c>
      <c r="AA139" s="274">
        <v>211565.92</v>
      </c>
      <c r="AB139" s="275"/>
      <c r="AC139" s="275"/>
      <c r="AD139" s="95">
        <f t="shared" si="23"/>
        <v>-1.2800000000000001E-2</v>
      </c>
      <c r="AE139" s="147">
        <f t="shared" si="24"/>
        <v>217157.41</v>
      </c>
    </row>
    <row r="140" spans="1:31" x14ac:dyDescent="0.25">
      <c r="A140" s="21">
        <v>42124</v>
      </c>
      <c r="B140" s="24">
        <f t="shared" ref="B140:B145" si="27">IF(A140&gt;A139,1+B139,"-")</f>
        <v>124</v>
      </c>
      <c r="C140" s="97" t="s">
        <v>118</v>
      </c>
      <c r="D140" s="29">
        <v>2.21</v>
      </c>
      <c r="E140" s="47">
        <f t="shared" si="19"/>
        <v>2568293.748449265</v>
      </c>
      <c r="F140" s="267"/>
      <c r="G140" s="49"/>
      <c r="H140" s="49"/>
      <c r="I140" s="258"/>
      <c r="J140" s="20">
        <f t="shared" si="18"/>
        <v>42124</v>
      </c>
      <c r="K140" s="27">
        <v>2.9354884312032787</v>
      </c>
      <c r="L140" s="46">
        <f t="shared" si="25"/>
        <v>2016645.5785182063</v>
      </c>
      <c r="M140" s="14"/>
      <c r="N140" s="54"/>
      <c r="O140" s="258"/>
      <c r="P140" s="20">
        <f t="shared" si="26"/>
        <v>42124</v>
      </c>
      <c r="Q140" s="45">
        <v>1.7847608417659155</v>
      </c>
      <c r="R140" s="46">
        <f t="shared" si="21"/>
        <v>1949647.7561008469</v>
      </c>
      <c r="S140" s="14"/>
      <c r="T140" s="49"/>
      <c r="U140" s="258"/>
      <c r="V140" s="267" t="e">
        <f>#REF!-W140</f>
        <v>#REF!</v>
      </c>
      <c r="W140" s="73">
        <f t="shared" si="22"/>
        <v>2.21</v>
      </c>
      <c r="X140" s="273">
        <v>2.2400000000000003E-2</v>
      </c>
      <c r="Y140" s="274">
        <v>5514.84</v>
      </c>
      <c r="Z140" s="273">
        <v>2.2100000000000002E-2</v>
      </c>
      <c r="AA140" s="274">
        <v>208344.39</v>
      </c>
      <c r="AB140" s="275"/>
      <c r="AC140" s="275"/>
      <c r="AD140" s="95">
        <f t="shared" si="23"/>
        <v>2.2100000000000002E-2</v>
      </c>
      <c r="AE140" s="147">
        <f t="shared" si="24"/>
        <v>213859.23</v>
      </c>
    </row>
    <row r="141" spans="1:31" x14ac:dyDescent="0.25">
      <c r="A141" s="21">
        <v>42155</v>
      </c>
      <c r="B141" s="24">
        <f t="shared" si="27"/>
        <v>125</v>
      </c>
      <c r="C141" s="97" t="s">
        <v>118</v>
      </c>
      <c r="D141" s="29">
        <v>-0.91</v>
      </c>
      <c r="E141" s="47">
        <f t="shared" si="19"/>
        <v>2544922.2753383769</v>
      </c>
      <c r="F141" s="267"/>
      <c r="G141" s="49"/>
      <c r="H141" s="49"/>
      <c r="I141" s="258"/>
      <c r="J141" s="20">
        <f t="shared" si="18"/>
        <v>42155</v>
      </c>
      <c r="K141" s="27">
        <v>-6.1679122166133346E-2</v>
      </c>
      <c r="L141" s="46">
        <f>L140*K141/100+L140</f>
        <v>2015401.7292281741</v>
      </c>
      <c r="M141" s="14"/>
      <c r="N141" s="54"/>
      <c r="O141" s="258"/>
      <c r="P141" s="20">
        <f t="shared" si="26"/>
        <v>42155</v>
      </c>
      <c r="Q141" s="45">
        <v>-1.0069186796058598</v>
      </c>
      <c r="R141" s="46">
        <f t="shared" si="21"/>
        <v>1930016.388658151</v>
      </c>
      <c r="S141" s="14"/>
      <c r="T141" s="49"/>
      <c r="U141" s="258"/>
      <c r="V141" s="267" t="e">
        <f>#REF!-W141</f>
        <v>#REF!</v>
      </c>
      <c r="W141" s="73">
        <f t="shared" si="22"/>
        <v>-0.91</v>
      </c>
      <c r="X141" s="273">
        <v>-9.4000000000000004E-3</v>
      </c>
      <c r="Y141" s="274">
        <v>5632.49</v>
      </c>
      <c r="Z141" s="273">
        <v>-9.1000000000000004E-3</v>
      </c>
      <c r="AA141" s="274">
        <v>212551.51</v>
      </c>
      <c r="AB141" s="275"/>
      <c r="AC141" s="275"/>
      <c r="AD141" s="95">
        <f t="shared" si="23"/>
        <v>-9.1000000000000004E-3</v>
      </c>
      <c r="AE141" s="147">
        <f t="shared" si="24"/>
        <v>218184</v>
      </c>
    </row>
    <row r="142" spans="1:31" x14ac:dyDescent="0.25">
      <c r="A142" s="21">
        <v>42185</v>
      </c>
      <c r="B142" s="24">
        <f t="shared" si="27"/>
        <v>126</v>
      </c>
      <c r="C142" s="97" t="s">
        <v>118</v>
      </c>
      <c r="D142" s="29">
        <v>-2.42</v>
      </c>
      <c r="E142" s="47">
        <f t="shared" si="19"/>
        <v>2483335.1562751881</v>
      </c>
      <c r="F142" s="267"/>
      <c r="G142" s="49">
        <f>(E142/E139-1)*100</f>
        <v>-1.1710843137999971</v>
      </c>
      <c r="H142" s="49"/>
      <c r="I142" s="258"/>
      <c r="J142" s="20">
        <f t="shared" si="18"/>
        <v>42185</v>
      </c>
      <c r="K142" s="27">
        <v>-2.3054046922851401</v>
      </c>
      <c r="L142" s="46">
        <f>L141*K142/100+L141</f>
        <v>1968938.563194152</v>
      </c>
      <c r="M142" s="14"/>
      <c r="N142" s="49">
        <f>(L142/L139-1)*100</f>
        <v>0.50038283987534626</v>
      </c>
      <c r="O142" s="258"/>
      <c r="P142" s="20">
        <f t="shared" si="26"/>
        <v>42185</v>
      </c>
      <c r="Q142" s="45">
        <v>-2.2776889082447682</v>
      </c>
      <c r="R142" s="46">
        <f t="shared" si="21"/>
        <v>1886056.6194463782</v>
      </c>
      <c r="S142" s="14"/>
      <c r="T142" s="49">
        <f>(R142/R139-1)*100</f>
        <v>-1.5351253355074146</v>
      </c>
      <c r="U142" s="258"/>
      <c r="V142" s="267" t="e">
        <f>#REF!-W142</f>
        <v>#REF!</v>
      </c>
      <c r="W142" s="73">
        <f t="shared" si="22"/>
        <v>-2.42</v>
      </c>
      <c r="X142" s="273">
        <v>-2.4E-2</v>
      </c>
      <c r="Y142" s="274">
        <v>5556.84</v>
      </c>
      <c r="Z142" s="273">
        <v>-2.4199999999999999E-2</v>
      </c>
      <c r="AA142" s="274">
        <v>209577.60000000001</v>
      </c>
      <c r="AB142" s="275"/>
      <c r="AC142" s="275"/>
      <c r="AD142" s="95">
        <f t="shared" si="23"/>
        <v>-2.4199999999999999E-2</v>
      </c>
      <c r="AE142" s="147">
        <f t="shared" si="24"/>
        <v>215134.44</v>
      </c>
    </row>
    <row r="143" spans="1:31" x14ac:dyDescent="0.25">
      <c r="A143" s="21">
        <v>42216</v>
      </c>
      <c r="B143" s="24">
        <f t="shared" si="27"/>
        <v>127</v>
      </c>
      <c r="C143" s="97" t="s">
        <v>118</v>
      </c>
      <c r="D143" s="29">
        <v>3.2300000000000004</v>
      </c>
      <c r="E143" s="47">
        <f t="shared" si="19"/>
        <v>2563546.8818228766</v>
      </c>
      <c r="F143" s="267"/>
      <c r="G143" s="49"/>
      <c r="H143" s="49"/>
      <c r="I143" s="258"/>
      <c r="J143" s="20">
        <f t="shared" si="18"/>
        <v>42216</v>
      </c>
      <c r="K143" s="27">
        <v>0.90381619214768405</v>
      </c>
      <c r="L143" s="46">
        <f>L142*K143/100+L142</f>
        <v>1986734.1487417407</v>
      </c>
      <c r="M143" s="14"/>
      <c r="N143" s="54"/>
      <c r="O143" s="258"/>
      <c r="P143" s="20">
        <f t="shared" si="26"/>
        <v>42216</v>
      </c>
      <c r="Q143" s="45">
        <v>2.2051795356349122</v>
      </c>
      <c r="R143" s="46">
        <f t="shared" si="21"/>
        <v>1927647.5540488975</v>
      </c>
      <c r="S143" s="14"/>
      <c r="T143" s="49"/>
      <c r="U143" s="258"/>
      <c r="V143" s="267" t="e">
        <f>#REF!-W143</f>
        <v>#REF!</v>
      </c>
      <c r="W143" s="73">
        <f t="shared" si="22"/>
        <v>3.2300000000000004</v>
      </c>
      <c r="X143" s="273">
        <v>3.2000000000000001E-2</v>
      </c>
      <c r="Y143" s="274">
        <v>5417.22</v>
      </c>
      <c r="Z143" s="273">
        <v>3.2300000000000002E-2</v>
      </c>
      <c r="AA143" s="274">
        <v>203684.27</v>
      </c>
      <c r="AB143" s="275"/>
      <c r="AC143" s="275"/>
      <c r="AD143" s="95">
        <f t="shared" si="23"/>
        <v>3.2300000000000002E-2</v>
      </c>
      <c r="AE143" s="147">
        <f t="shared" si="24"/>
        <v>209101.49</v>
      </c>
    </row>
    <row r="144" spans="1:31" x14ac:dyDescent="0.25">
      <c r="A144" s="21">
        <v>42247</v>
      </c>
      <c r="B144" s="24">
        <f t="shared" si="27"/>
        <v>128</v>
      </c>
      <c r="C144" s="97" t="s">
        <v>118</v>
      </c>
      <c r="D144" s="29">
        <v>-4.62</v>
      </c>
      <c r="E144" s="47">
        <f t="shared" si="19"/>
        <v>2445111.0158826597</v>
      </c>
      <c r="F144" s="267"/>
      <c r="G144" s="105"/>
      <c r="H144" s="49"/>
      <c r="I144" s="258"/>
      <c r="J144" s="20">
        <f t="shared" ref="J144:J178" si="28">A144</f>
        <v>42247</v>
      </c>
      <c r="K144" s="27">
        <v>-6.8078439586629695</v>
      </c>
      <c r="L144" s="46">
        <f>L143*K144/100+L143</f>
        <v>1851480.388021932</v>
      </c>
      <c r="M144" s="14"/>
      <c r="N144" s="65"/>
      <c r="O144" s="258"/>
      <c r="P144" s="20">
        <f t="shared" si="26"/>
        <v>42247</v>
      </c>
      <c r="Q144" s="45">
        <v>-5.0812044577185365</v>
      </c>
      <c r="R144" s="46">
        <f t="shared" si="21"/>
        <v>1829699.8406034627</v>
      </c>
      <c r="S144" s="14"/>
      <c r="T144" s="65"/>
      <c r="U144" s="258"/>
      <c r="V144" s="267" t="e">
        <f>#REF!-W144</f>
        <v>#REF!</v>
      </c>
      <c r="W144" s="73">
        <f t="shared" si="22"/>
        <v>-4.62</v>
      </c>
      <c r="X144" s="273">
        <v>-4.5899999999999996E-2</v>
      </c>
      <c r="Y144" s="274">
        <v>5587.01</v>
      </c>
      <c r="Z144" s="273">
        <v>-4.6199999999999998E-2</v>
      </c>
      <c r="AA144" s="274">
        <v>209819.84</v>
      </c>
      <c r="AB144" s="275"/>
      <c r="AC144" s="275"/>
      <c r="AD144" s="95">
        <f t="shared" si="23"/>
        <v>-4.6199999999999998E-2</v>
      </c>
      <c r="AE144" s="147">
        <f t="shared" si="24"/>
        <v>215406.85</v>
      </c>
    </row>
    <row r="145" spans="1:31" x14ac:dyDescent="0.25">
      <c r="A145" s="21">
        <v>42277</v>
      </c>
      <c r="B145" s="24">
        <f t="shared" si="27"/>
        <v>129</v>
      </c>
      <c r="C145" s="97" t="s">
        <v>118</v>
      </c>
      <c r="D145" s="29">
        <v>-1.1100000000000001</v>
      </c>
      <c r="E145" s="47">
        <f>E144*D145/100+E144</f>
        <v>2417970.2836063621</v>
      </c>
      <c r="F145" s="6"/>
      <c r="G145" s="49">
        <f>(E145/E142-1)*100</f>
        <v>-2.6321405914000118</v>
      </c>
      <c r="H145" s="49"/>
      <c r="I145" s="258"/>
      <c r="J145" s="20">
        <f t="shared" si="28"/>
        <v>42277</v>
      </c>
      <c r="K145" s="27">
        <v>-3.5676536381570214</v>
      </c>
      <c r="L145" s="46">
        <f>L144*K145/100+L144</f>
        <v>1785425.9805989037</v>
      </c>
      <c r="M145" s="6"/>
      <c r="N145" s="49">
        <f>(L145/L142-1)*100</f>
        <v>-9.3203813478842648</v>
      </c>
      <c r="O145" s="258"/>
      <c r="P145" s="20">
        <f t="shared" si="26"/>
        <v>42277</v>
      </c>
      <c r="Q145" s="45">
        <v>-1.2497435592890858</v>
      </c>
      <c r="R145" s="46">
        <f t="shared" ref="R145:R176" si="29">R144*Q145/100+R144</f>
        <v>1806833.2846911983</v>
      </c>
      <c r="S145" s="14"/>
      <c r="T145" s="49">
        <f>(R145/R142-1)*100</f>
        <v>-4.2004748923409663</v>
      </c>
      <c r="U145" s="258"/>
      <c r="V145" s="267" t="e">
        <f>#REF!-W145</f>
        <v>#REF!</v>
      </c>
      <c r="W145" s="73">
        <f t="shared" si="22"/>
        <v>-1.1400000000000001</v>
      </c>
      <c r="X145" s="273">
        <v>-1.1200000000000002E-2</v>
      </c>
      <c r="Y145" s="274">
        <v>5317.99</v>
      </c>
      <c r="Z145" s="273">
        <v>-1.14E-2</v>
      </c>
      <c r="AA145" s="274">
        <v>199384.21</v>
      </c>
      <c r="AB145" s="275"/>
      <c r="AC145" s="275"/>
      <c r="AD145" s="95">
        <f t="shared" si="23"/>
        <v>-1.14E-2</v>
      </c>
      <c r="AE145" s="147">
        <f t="shared" si="24"/>
        <v>204702.19999999998</v>
      </c>
    </row>
    <row r="146" spans="1:31" x14ac:dyDescent="0.25">
      <c r="A146" s="21">
        <v>42308</v>
      </c>
      <c r="B146" s="24">
        <f t="shared" ref="B146:B202" si="30">IF(A146&gt;A145,1+B145,"-")</f>
        <v>130</v>
      </c>
      <c r="C146" s="97" t="s">
        <v>118</v>
      </c>
      <c r="D146" s="29">
        <v>5.5</v>
      </c>
      <c r="E146" s="47">
        <f t="shared" ref="E146:E151" si="31">E145*D146/100+E145</f>
        <v>2550958.6492047119</v>
      </c>
      <c r="F146" s="6"/>
      <c r="G146" s="49"/>
      <c r="H146" s="49"/>
      <c r="I146" s="258"/>
      <c r="J146" s="20">
        <f t="shared" si="28"/>
        <v>42308</v>
      </c>
      <c r="K146" s="27">
        <v>7.8778809164128232</v>
      </c>
      <c r="L146" s="46">
        <f t="shared" ref="L146:L151" si="32">L145*K146/100+L145</f>
        <v>1926079.7132011813</v>
      </c>
      <c r="M146" s="6"/>
      <c r="N146" s="49"/>
      <c r="O146" s="258"/>
      <c r="P146" s="20">
        <f t="shared" si="26"/>
        <v>42308</v>
      </c>
      <c r="Q146" s="45">
        <v>5.9156809103675831</v>
      </c>
      <c r="R146" s="46">
        <f t="shared" si="29"/>
        <v>1913719.7763958431</v>
      </c>
      <c r="S146" s="14"/>
      <c r="T146" s="49"/>
      <c r="U146" s="258"/>
      <c r="V146" s="256"/>
      <c r="W146" s="256"/>
      <c r="X146" s="256"/>
      <c r="Y146" s="256"/>
      <c r="Z146" s="256"/>
      <c r="AA146" s="256"/>
      <c r="AB146" s="256"/>
      <c r="AC146" s="256"/>
      <c r="AD146" s="256"/>
      <c r="AE146" s="256"/>
    </row>
    <row r="147" spans="1:31" ht="16.5" thickBot="1" x14ac:dyDescent="0.3">
      <c r="A147" s="21">
        <v>42338</v>
      </c>
      <c r="B147" s="24">
        <f t="shared" si="30"/>
        <v>131</v>
      </c>
      <c r="C147" s="97" t="s">
        <v>118</v>
      </c>
      <c r="D147" s="29">
        <v>-1.1599999999999999</v>
      </c>
      <c r="E147" s="47">
        <f t="shared" si="31"/>
        <v>2521367.5288739372</v>
      </c>
      <c r="F147" s="6"/>
      <c r="G147" s="49"/>
      <c r="H147" s="49"/>
      <c r="I147" s="258"/>
      <c r="J147" s="20">
        <f t="shared" si="28"/>
        <v>42338</v>
      </c>
      <c r="K147" s="27">
        <v>-0.77148480624924998</v>
      </c>
      <c r="L147" s="46">
        <f t="shared" si="32"/>
        <v>1911220.3008575849</v>
      </c>
      <c r="M147" s="6"/>
      <c r="N147" s="49"/>
      <c r="O147" s="258"/>
      <c r="P147" s="20">
        <f t="shared" si="26"/>
        <v>42338</v>
      </c>
      <c r="Q147" s="45">
        <v>-1.3646369277787764</v>
      </c>
      <c r="R147" s="46">
        <f t="shared" si="29"/>
        <v>1887604.4496329401</v>
      </c>
      <c r="S147" s="14"/>
      <c r="T147" s="49"/>
      <c r="U147" s="258"/>
      <c r="V147" s="256"/>
      <c r="W147" s="256"/>
      <c r="X147" s="101" t="s">
        <v>56</v>
      </c>
      <c r="Y147" s="256"/>
      <c r="Z147" s="256"/>
      <c r="AA147" s="256"/>
      <c r="AB147" s="256"/>
      <c r="AC147" s="256"/>
      <c r="AD147" s="256"/>
      <c r="AE147" s="256"/>
    </row>
    <row r="148" spans="1:31" x14ac:dyDescent="0.25">
      <c r="A148" s="21">
        <v>42369</v>
      </c>
      <c r="B148" s="24">
        <f t="shared" si="30"/>
        <v>132</v>
      </c>
      <c r="C148" s="97" t="s">
        <v>118</v>
      </c>
      <c r="D148" s="29">
        <v>-0.54</v>
      </c>
      <c r="E148" s="47">
        <f t="shared" si="31"/>
        <v>2507752.1442180178</v>
      </c>
      <c r="F148" s="6">
        <f>(E148-E$136)/E$136*100</f>
        <v>-0.26220067805580838</v>
      </c>
      <c r="G148" s="49">
        <f>(E148/E145-1)*100</f>
        <v>3.7131085199999969</v>
      </c>
      <c r="H148" s="49"/>
      <c r="I148" s="258"/>
      <c r="J148" s="20">
        <f t="shared" si="28"/>
        <v>42369</v>
      </c>
      <c r="K148" s="27">
        <v>-1.7553961121070101</v>
      </c>
      <c r="L148" s="46">
        <f t="shared" si="32"/>
        <v>1877670.8140025309</v>
      </c>
      <c r="M148" s="6">
        <f>(L148-L$136)/L$136*100</f>
        <v>-1.8033043915244629</v>
      </c>
      <c r="N148" s="49">
        <f>(L148/L145-1)*100</f>
        <v>5.166544813730356</v>
      </c>
      <c r="O148" s="258"/>
      <c r="P148" s="20">
        <f t="shared" si="26"/>
        <v>42369</v>
      </c>
      <c r="Q148" s="45">
        <v>0.74711970738668643</v>
      </c>
      <c r="R148" s="46">
        <f t="shared" si="29"/>
        <v>1901707.1144736558</v>
      </c>
      <c r="S148" s="6">
        <f>(R148-R$136)/R$136*100</f>
        <v>3.3522414863744889</v>
      </c>
      <c r="T148" s="49">
        <f>(R148/R145-1)*100</f>
        <v>5.2508347386722054</v>
      </c>
      <c r="U148" s="258"/>
      <c r="V148" s="320">
        <f>STDEVP(Q113:Q148)*SQRT(12)</f>
        <v>8.8732032614954459</v>
      </c>
      <c r="W148" s="92"/>
      <c r="X148" s="324" t="s">
        <v>121</v>
      </c>
      <c r="Y148" s="325"/>
      <c r="Z148" s="324" t="s">
        <v>122</v>
      </c>
      <c r="AA148" s="325" t="s">
        <v>81</v>
      </c>
      <c r="AB148" s="269"/>
      <c r="AC148" s="269"/>
      <c r="AD148" s="324" t="s">
        <v>68</v>
      </c>
      <c r="AE148" s="325"/>
    </row>
    <row r="149" spans="1:31" x14ac:dyDescent="0.25">
      <c r="A149" s="21">
        <v>42400</v>
      </c>
      <c r="B149" s="24">
        <f t="shared" si="30"/>
        <v>133</v>
      </c>
      <c r="C149" s="97" t="s">
        <v>118</v>
      </c>
      <c r="D149" s="29">
        <v>-0.37</v>
      </c>
      <c r="E149" s="47">
        <f t="shared" si="31"/>
        <v>2498473.4612844111</v>
      </c>
      <c r="F149" s="6"/>
      <c r="G149" s="49"/>
      <c r="H149" s="49"/>
      <c r="I149" s="258"/>
      <c r="J149" s="20">
        <f t="shared" si="28"/>
        <v>42400</v>
      </c>
      <c r="K149" s="27">
        <v>-6.0046807125479891</v>
      </c>
      <c r="L149" s="46">
        <f t="shared" si="32"/>
        <v>1764922.676788978</v>
      </c>
      <c r="M149" s="6"/>
      <c r="N149" s="49"/>
      <c r="O149" s="258"/>
      <c r="P149" s="20">
        <f t="shared" si="26"/>
        <v>42400</v>
      </c>
      <c r="Q149" s="45">
        <v>-1.8487153594228762</v>
      </c>
      <c r="R149" s="46">
        <f t="shared" si="29"/>
        <v>1866549.9629571438</v>
      </c>
      <c r="S149" s="14"/>
      <c r="T149" s="49"/>
      <c r="U149" s="258"/>
      <c r="V149" s="267"/>
      <c r="W149" s="109"/>
      <c r="X149" s="270" t="s">
        <v>41</v>
      </c>
      <c r="Y149" s="271" t="s">
        <v>76</v>
      </c>
      <c r="Z149" s="270" t="s">
        <v>41</v>
      </c>
      <c r="AA149" s="271" t="s">
        <v>76</v>
      </c>
      <c r="AB149" s="272"/>
      <c r="AC149" s="272"/>
      <c r="AD149" s="270" t="s">
        <v>41</v>
      </c>
      <c r="AE149" s="271" t="s">
        <v>76</v>
      </c>
    </row>
    <row r="150" spans="1:31" x14ac:dyDescent="0.25">
      <c r="A150" s="21">
        <v>42429</v>
      </c>
      <c r="B150" s="24">
        <f t="shared" si="30"/>
        <v>134</v>
      </c>
      <c r="C150" s="97" t="s">
        <v>118</v>
      </c>
      <c r="D150" s="29">
        <v>0.48</v>
      </c>
      <c r="E150" s="47">
        <f t="shared" si="31"/>
        <v>2510466.1338985763</v>
      </c>
      <c r="F150" s="6"/>
      <c r="G150" s="49"/>
      <c r="H150" s="49"/>
      <c r="I150" s="258"/>
      <c r="J150" s="20">
        <f t="shared" si="28"/>
        <v>42429</v>
      </c>
      <c r="K150" s="27">
        <v>-0.62960539338588173</v>
      </c>
      <c r="L150" s="46">
        <f t="shared" si="32"/>
        <v>1753810.6284268242</v>
      </c>
      <c r="M150" s="6"/>
      <c r="N150" s="49"/>
      <c r="O150" s="258"/>
      <c r="P150" s="20">
        <f t="shared" si="26"/>
        <v>42429</v>
      </c>
      <c r="Q150" s="45">
        <v>1.954421566978356</v>
      </c>
      <c r="R150" s="46">
        <f t="shared" si="29"/>
        <v>1903030.2179916047</v>
      </c>
      <c r="S150" s="14"/>
      <c r="T150" s="49"/>
      <c r="U150" s="258"/>
      <c r="V150" s="267"/>
      <c r="W150" s="259"/>
      <c r="X150" s="107"/>
      <c r="Y150" s="108">
        <v>201276.3</v>
      </c>
      <c r="Z150" s="107"/>
      <c r="AA150" s="108">
        <v>211426.36</v>
      </c>
      <c r="AB150" s="133"/>
      <c r="AC150" s="133"/>
      <c r="AD150" s="95"/>
      <c r="AE150" s="111">
        <f t="shared" ref="AE150:AE158" si="33">Y150+AA150</f>
        <v>412702.66</v>
      </c>
    </row>
    <row r="151" spans="1:31" x14ac:dyDescent="0.25">
      <c r="A151" s="21">
        <v>42460</v>
      </c>
      <c r="B151" s="24">
        <f t="shared" si="30"/>
        <v>135</v>
      </c>
      <c r="C151" s="97" t="s">
        <v>123</v>
      </c>
      <c r="D151" s="76">
        <f>AD151</f>
        <v>6.6353999999999997</v>
      </c>
      <c r="E151" s="47">
        <f t="shared" si="31"/>
        <v>2677045.6037472822</v>
      </c>
      <c r="F151" s="6"/>
      <c r="G151" s="49">
        <f>(E151/E148-1)*100</f>
        <v>6.7508050952959975</v>
      </c>
      <c r="H151" s="49"/>
      <c r="I151" s="258"/>
      <c r="J151" s="20">
        <f t="shared" si="28"/>
        <v>42460</v>
      </c>
      <c r="K151" s="27">
        <v>7.4820108129513274</v>
      </c>
      <c r="L151" s="46">
        <f t="shared" si="32"/>
        <v>1885030.9292844089</v>
      </c>
      <c r="M151" s="6"/>
      <c r="N151" s="49">
        <f>(L151/L148-1)*100</f>
        <v>0.39198113039786708</v>
      </c>
      <c r="O151" s="258"/>
      <c r="P151" s="20">
        <f t="shared" si="26"/>
        <v>42460</v>
      </c>
      <c r="Q151" s="45">
        <v>5.9798204895968823</v>
      </c>
      <c r="R151" s="46">
        <f t="shared" si="29"/>
        <v>2016828.008890287</v>
      </c>
      <c r="S151" s="6"/>
      <c r="T151" s="49">
        <f>(R151/R148-1)*100</f>
        <v>6.0535554366106359</v>
      </c>
      <c r="U151" s="258"/>
      <c r="V151" s="267"/>
      <c r="W151" s="259"/>
      <c r="X151" s="107">
        <v>6.62</v>
      </c>
      <c r="Y151" s="108">
        <v>214126.57</v>
      </c>
      <c r="Z151" s="107">
        <v>6.65</v>
      </c>
      <c r="AA151" s="108">
        <v>224927.69</v>
      </c>
      <c r="AB151" s="133"/>
      <c r="AC151" s="133"/>
      <c r="AD151" s="110">
        <f t="shared" ref="AD151:AD158" si="34">ROUND(Y150/AE150*X151+AA150/AE150*Z151,4)</f>
        <v>6.6353999999999997</v>
      </c>
      <c r="AE151" s="111">
        <f t="shared" si="33"/>
        <v>439054.26</v>
      </c>
    </row>
    <row r="152" spans="1:31" x14ac:dyDescent="0.25">
      <c r="A152" s="21">
        <v>42490</v>
      </c>
      <c r="B152" s="24">
        <f t="shared" si="30"/>
        <v>136</v>
      </c>
      <c r="C152" s="97" t="s">
        <v>123</v>
      </c>
      <c r="D152" s="76">
        <f t="shared" ref="D152:D180" si="35">AD152</f>
        <v>0.22070000000000001</v>
      </c>
      <c r="E152" s="47">
        <f t="shared" ref="E152:E153" si="36">E151*D152/100+E151</f>
        <v>2682953.8433947526</v>
      </c>
      <c r="F152" s="6"/>
      <c r="G152" s="49"/>
      <c r="H152" s="49"/>
      <c r="I152" s="258"/>
      <c r="J152" s="20">
        <f t="shared" si="28"/>
        <v>42490</v>
      </c>
      <c r="K152" s="27">
        <v>1.5259663378262285</v>
      </c>
      <c r="L152" s="46">
        <f t="shared" ref="L152:L153" si="37">L151*K152/100+L151</f>
        <v>1913795.8667229021</v>
      </c>
      <c r="M152" s="6"/>
      <c r="N152" s="6"/>
      <c r="O152" s="258"/>
      <c r="P152" s="20">
        <f t="shared" si="26"/>
        <v>42490</v>
      </c>
      <c r="Q152" s="45">
        <v>0.68696619835551365</v>
      </c>
      <c r="R152" s="46">
        <f t="shared" si="29"/>
        <v>2030682.9355903298</v>
      </c>
      <c r="S152" s="6"/>
      <c r="T152" s="49"/>
      <c r="U152" s="258"/>
      <c r="V152" s="267"/>
      <c r="W152" s="259"/>
      <c r="X152" s="107">
        <v>0.19</v>
      </c>
      <c r="Y152" s="108">
        <v>213958.06</v>
      </c>
      <c r="Z152" s="107">
        <v>0.25</v>
      </c>
      <c r="AA152" s="108">
        <v>224752.07</v>
      </c>
      <c r="AB152" s="133"/>
      <c r="AC152" s="133"/>
      <c r="AD152" s="110">
        <f t="shared" si="34"/>
        <v>0.22070000000000001</v>
      </c>
      <c r="AE152" s="111">
        <f t="shared" si="33"/>
        <v>438710.13</v>
      </c>
    </row>
    <row r="153" spans="1:31" x14ac:dyDescent="0.25">
      <c r="A153" s="21">
        <v>42521</v>
      </c>
      <c r="B153" s="24">
        <f t="shared" si="30"/>
        <v>137</v>
      </c>
      <c r="C153" s="97" t="s">
        <v>123</v>
      </c>
      <c r="D153" s="76">
        <f t="shared" si="35"/>
        <v>1.62</v>
      </c>
      <c r="E153" s="47">
        <f t="shared" si="36"/>
        <v>2726417.6956577478</v>
      </c>
      <c r="F153" s="6"/>
      <c r="G153" s="138"/>
      <c r="H153" s="49"/>
      <c r="I153" s="258"/>
      <c r="J153" s="20">
        <f t="shared" si="28"/>
        <v>42521</v>
      </c>
      <c r="K153" s="27">
        <v>0.20647800641014066</v>
      </c>
      <c r="L153" s="46">
        <f t="shared" si="37"/>
        <v>1917747.4342752711</v>
      </c>
      <c r="M153" s="6"/>
      <c r="N153" s="130"/>
      <c r="O153" s="258"/>
      <c r="P153" s="20">
        <f t="shared" si="26"/>
        <v>42521</v>
      </c>
      <c r="Q153" s="45">
        <v>-0.2652491008837714</v>
      </c>
      <c r="R153" s="46">
        <f t="shared" si="29"/>
        <v>2025296.5673618764</v>
      </c>
      <c r="S153" s="6"/>
      <c r="T153" s="130"/>
      <c r="U153" s="258"/>
      <c r="V153" s="267"/>
      <c r="W153" s="259"/>
      <c r="X153" s="107">
        <v>1.62</v>
      </c>
      <c r="Y153" s="108">
        <v>216677.02</v>
      </c>
      <c r="Z153" s="107">
        <v>1.62</v>
      </c>
      <c r="AA153" s="108">
        <v>227607.48</v>
      </c>
      <c r="AB153" s="133"/>
      <c r="AC153" s="133"/>
      <c r="AD153" s="110">
        <f t="shared" si="34"/>
        <v>1.62</v>
      </c>
      <c r="AE153" s="111">
        <f t="shared" si="33"/>
        <v>444284.5</v>
      </c>
    </row>
    <row r="154" spans="1:31" x14ac:dyDescent="0.25">
      <c r="A154" s="21">
        <v>42551</v>
      </c>
      <c r="B154" s="24">
        <f t="shared" ref="B154" si="38">IF(A154&gt;A153,1+B153,"-")</f>
        <v>138</v>
      </c>
      <c r="C154" s="97" t="s">
        <v>123</v>
      </c>
      <c r="D154" s="76">
        <f t="shared" si="35"/>
        <v>4.25</v>
      </c>
      <c r="E154" s="47">
        <f t="shared" ref="E154" si="39">E153*D154/100+E153</f>
        <v>2842290.4477232019</v>
      </c>
      <c r="F154" s="6"/>
      <c r="G154" s="131">
        <f>(E154/E151-1)*100</f>
        <v>6.1726570419500026</v>
      </c>
      <c r="H154" s="49"/>
      <c r="I154" s="258"/>
      <c r="J154" s="20">
        <f t="shared" si="28"/>
        <v>42551</v>
      </c>
      <c r="K154" s="27">
        <v>-0.55098852259972941</v>
      </c>
      <c r="L154" s="46">
        <f t="shared" ref="L154" si="40">L153*K154/100+L153</f>
        <v>1907180.8660199635</v>
      </c>
      <c r="M154" s="6"/>
      <c r="N154" s="131">
        <f>(L154/L151-1)*100</f>
        <v>1.1750436765492811</v>
      </c>
      <c r="O154" s="258"/>
      <c r="P154" s="20">
        <f t="shared" si="26"/>
        <v>42551</v>
      </c>
      <c r="Q154" s="45">
        <v>4.5319740433686952</v>
      </c>
      <c r="R154" s="46">
        <f t="shared" si="29"/>
        <v>2117082.482095954</v>
      </c>
      <c r="S154" s="6"/>
      <c r="T154" s="131">
        <f>(R154/R151-1)*100</f>
        <v>4.9708984982229421</v>
      </c>
      <c r="U154" s="258"/>
      <c r="V154" s="267"/>
      <c r="W154" s="259"/>
      <c r="X154" s="107">
        <v>4.25</v>
      </c>
      <c r="Y154" s="108">
        <v>225370</v>
      </c>
      <c r="Z154" s="107">
        <v>4.25</v>
      </c>
      <c r="AA154" s="108">
        <v>236740</v>
      </c>
      <c r="AB154" s="133"/>
      <c r="AC154" s="133"/>
      <c r="AD154" s="110">
        <f t="shared" si="34"/>
        <v>4.25</v>
      </c>
      <c r="AE154" s="111">
        <f t="shared" si="33"/>
        <v>462110</v>
      </c>
    </row>
    <row r="155" spans="1:31" x14ac:dyDescent="0.25">
      <c r="A155" s="21">
        <v>42582</v>
      </c>
      <c r="B155" s="24">
        <f t="shared" ref="B155" si="41">IF(A155&gt;A154,1+B154,"-")</f>
        <v>139</v>
      </c>
      <c r="C155" s="97" t="s">
        <v>123</v>
      </c>
      <c r="D155" s="76">
        <f t="shared" si="35"/>
        <v>1.3451</v>
      </c>
      <c r="E155" s="47">
        <f t="shared" ref="E155" si="42">E154*D155/100+E154</f>
        <v>2880522.0965355267</v>
      </c>
      <c r="F155" s="104"/>
      <c r="G155" s="139"/>
      <c r="H155" s="49"/>
      <c r="I155" s="258"/>
      <c r="J155" s="20">
        <f t="shared" si="28"/>
        <v>42582</v>
      </c>
      <c r="K155" s="27">
        <v>4.3578224690770719</v>
      </c>
      <c r="L155" s="46">
        <f t="shared" ref="L155" si="43">L154*K155/100+L154</f>
        <v>1990292.4223253201</v>
      </c>
      <c r="M155" s="104"/>
      <c r="N155" s="104"/>
      <c r="O155" s="258"/>
      <c r="P155" s="20">
        <f t="shared" si="26"/>
        <v>42582</v>
      </c>
      <c r="Q155" s="45">
        <v>2.0357905288696925</v>
      </c>
      <c r="R155" s="46">
        <f t="shared" si="29"/>
        <v>2160181.8467548229</v>
      </c>
      <c r="S155" s="104"/>
      <c r="T155" s="104"/>
      <c r="U155" s="258"/>
      <c r="V155" s="267"/>
      <c r="W155" s="259"/>
      <c r="X155" s="107">
        <v>1.34</v>
      </c>
      <c r="Y155" s="108">
        <v>228064</v>
      </c>
      <c r="Z155" s="107">
        <v>1.35</v>
      </c>
      <c r="AA155" s="108">
        <v>239572</v>
      </c>
      <c r="AB155" s="133"/>
      <c r="AC155" s="133"/>
      <c r="AD155" s="110">
        <f t="shared" si="34"/>
        <v>1.3451</v>
      </c>
      <c r="AE155" s="111">
        <f t="shared" si="33"/>
        <v>467636</v>
      </c>
    </row>
    <row r="156" spans="1:31" x14ac:dyDescent="0.25">
      <c r="A156" s="21">
        <v>42613</v>
      </c>
      <c r="B156" s="24">
        <f t="shared" ref="B156" si="44">IF(A156&gt;A155,1+B155,"-")</f>
        <v>140</v>
      </c>
      <c r="C156" s="97" t="s">
        <v>123</v>
      </c>
      <c r="D156" s="76">
        <f t="shared" si="35"/>
        <v>-1.55</v>
      </c>
      <c r="E156" s="47">
        <f t="shared" ref="E156" si="45">E155*D156/100+E155</f>
        <v>2835874.0040392261</v>
      </c>
      <c r="F156" s="104"/>
      <c r="G156" s="139"/>
      <c r="H156" s="49"/>
      <c r="I156" s="258"/>
      <c r="J156" s="20">
        <f t="shared" si="28"/>
        <v>42613</v>
      </c>
      <c r="K156" s="27">
        <v>0.39014406351650333</v>
      </c>
      <c r="L156" s="46">
        <f t="shared" ref="L156" si="46">L155*K156/100+L155</f>
        <v>1998057.4300576411</v>
      </c>
      <c r="M156" s="104"/>
      <c r="N156" s="104"/>
      <c r="O156" s="258"/>
      <c r="P156" s="20">
        <f t="shared" si="26"/>
        <v>42613</v>
      </c>
      <c r="Q156" s="45">
        <v>-2.4016955553767954</v>
      </c>
      <c r="R156" s="46">
        <f t="shared" si="29"/>
        <v>2108300.8553532558</v>
      </c>
      <c r="S156" s="104"/>
      <c r="T156" s="104"/>
      <c r="U156" s="258"/>
      <c r="V156" s="267"/>
      <c r="W156" s="259"/>
      <c r="X156" s="107">
        <v>-1.55</v>
      </c>
      <c r="Y156" s="108">
        <v>223724.14</v>
      </c>
      <c r="Z156" s="107">
        <v>-1.55</v>
      </c>
      <c r="AA156" s="108">
        <v>235013.43</v>
      </c>
      <c r="AB156" s="133"/>
      <c r="AC156" s="133"/>
      <c r="AD156" s="110">
        <f t="shared" si="34"/>
        <v>-1.55</v>
      </c>
      <c r="AE156" s="111">
        <f t="shared" si="33"/>
        <v>458737.57</v>
      </c>
    </row>
    <row r="157" spans="1:31" x14ac:dyDescent="0.25">
      <c r="A157" s="21">
        <v>42643</v>
      </c>
      <c r="B157" s="24">
        <f t="shared" ref="B157" si="47">IF(A157&gt;A156,1+B156,"-")</f>
        <v>141</v>
      </c>
      <c r="C157" s="97" t="s">
        <v>123</v>
      </c>
      <c r="D157" s="76">
        <f t="shared" si="35"/>
        <v>-0.44</v>
      </c>
      <c r="E157" s="47">
        <f t="shared" ref="E157:E160" si="48">E156*D157/100+E156</f>
        <v>2823396.1584214536</v>
      </c>
      <c r="F157" s="104"/>
      <c r="G157" s="131">
        <f>(E157/E$154-1)*100</f>
        <v>-0.66475575418000199</v>
      </c>
      <c r="H157" s="49"/>
      <c r="I157" s="258"/>
      <c r="J157" s="20">
        <f t="shared" si="28"/>
        <v>42643</v>
      </c>
      <c r="K157" s="27">
        <v>0.6579390603800731</v>
      </c>
      <c r="L157" s="46">
        <f t="shared" ref="L157:L166" si="49">L156*K157/100+L156</f>
        <v>2011203.4303388165</v>
      </c>
      <c r="M157" s="104"/>
      <c r="N157" s="131">
        <f>(L157/L$154-1)*100</f>
        <v>5.4542579664158763</v>
      </c>
      <c r="O157" s="258"/>
      <c r="P157" s="20">
        <f t="shared" si="26"/>
        <v>42643</v>
      </c>
      <c r="Q157" s="45">
        <v>0.296863876489457</v>
      </c>
      <c r="R157" s="46">
        <f t="shared" si="29"/>
        <v>2114559.6390005178</v>
      </c>
      <c r="S157" s="104"/>
      <c r="T157" s="131">
        <f>(R157/R$154-1)*100</f>
        <v>-0.11916602762395145</v>
      </c>
      <c r="U157" s="258"/>
      <c r="V157" s="267"/>
      <c r="W157" s="259"/>
      <c r="X157" s="107">
        <v>-0.44</v>
      </c>
      <c r="Y157" s="108">
        <v>222454.17</v>
      </c>
      <c r="Z157" s="107">
        <v>-0.44</v>
      </c>
      <c r="AA157" s="108">
        <v>233679.35999999999</v>
      </c>
      <c r="AB157" s="133"/>
      <c r="AC157" s="133"/>
      <c r="AD157" s="110">
        <f t="shared" si="34"/>
        <v>-0.44</v>
      </c>
      <c r="AE157" s="111">
        <f t="shared" si="33"/>
        <v>456133.53</v>
      </c>
    </row>
    <row r="158" spans="1:31" ht="16.5" thickBot="1" x14ac:dyDescent="0.3">
      <c r="A158" s="21">
        <v>42674</v>
      </c>
      <c r="B158" s="24">
        <f t="shared" si="30"/>
        <v>142</v>
      </c>
      <c r="C158" s="97" t="s">
        <v>123</v>
      </c>
      <c r="D158" s="76">
        <f t="shared" si="35"/>
        <v>-2.85</v>
      </c>
      <c r="E158" s="47">
        <f t="shared" si="48"/>
        <v>2742929.3679064419</v>
      </c>
      <c r="F158" s="256"/>
      <c r="G158" s="256"/>
      <c r="H158" s="49"/>
      <c r="I158" s="258"/>
      <c r="J158" s="20">
        <f t="shared" si="28"/>
        <v>42674</v>
      </c>
      <c r="K158" s="27">
        <v>-1.6692833411041332</v>
      </c>
      <c r="L158" s="46">
        <f t="shared" si="49"/>
        <v>1977630.7465204557</v>
      </c>
      <c r="M158" s="3"/>
      <c r="N158" s="256"/>
      <c r="O158" s="258"/>
      <c r="P158" s="20">
        <f t="shared" si="26"/>
        <v>42674</v>
      </c>
      <c r="Q158" s="45">
        <v>-2.9743388892292217</v>
      </c>
      <c r="R158" s="46">
        <f t="shared" si="29"/>
        <v>2051665.4693217804</v>
      </c>
      <c r="S158" s="3"/>
      <c r="T158" s="256"/>
      <c r="U158" s="258"/>
      <c r="V158" s="267"/>
      <c r="W158" s="259"/>
      <c r="X158" s="225">
        <v>-2.85</v>
      </c>
      <c r="Y158" s="226">
        <v>215710.24</v>
      </c>
      <c r="Z158" s="225">
        <v>-2.85</v>
      </c>
      <c r="AA158" s="226">
        <v>226595.14</v>
      </c>
      <c r="AB158" s="276"/>
      <c r="AC158" s="276"/>
      <c r="AD158" s="277">
        <f t="shared" si="34"/>
        <v>-2.85</v>
      </c>
      <c r="AE158" s="278">
        <f t="shared" si="33"/>
        <v>442305.38</v>
      </c>
    </row>
    <row r="159" spans="1:31" x14ac:dyDescent="0.25">
      <c r="A159" s="21">
        <v>42704</v>
      </c>
      <c r="B159" s="24">
        <f t="shared" si="30"/>
        <v>143</v>
      </c>
      <c r="C159" s="97" t="s">
        <v>124</v>
      </c>
      <c r="D159" s="76">
        <f t="shared" si="35"/>
        <v>-0.53</v>
      </c>
      <c r="E159" s="47">
        <f t="shared" si="48"/>
        <v>2728391.8422565376</v>
      </c>
      <c r="F159" s="256"/>
      <c r="G159" s="256"/>
      <c r="H159" s="49"/>
      <c r="I159" s="258"/>
      <c r="J159" s="20">
        <f t="shared" si="28"/>
        <v>42704</v>
      </c>
      <c r="K159" s="27">
        <v>0.82294324170858391</v>
      </c>
      <c r="L159" s="46">
        <f t="shared" si="49"/>
        <v>1993905.5250948968</v>
      </c>
      <c r="M159" s="3"/>
      <c r="N159" s="256"/>
      <c r="O159" s="258"/>
      <c r="P159" s="20">
        <f t="shared" si="26"/>
        <v>42704</v>
      </c>
      <c r="Q159" s="45">
        <v>-1.6182767557452011</v>
      </c>
      <c r="R159" s="46">
        <f t="shared" si="29"/>
        <v>2018463.8439260954</v>
      </c>
      <c r="S159" s="3"/>
      <c r="T159" s="256"/>
      <c r="U159" s="258"/>
      <c r="V159" s="267"/>
      <c r="W159" s="279" t="s">
        <v>124</v>
      </c>
      <c r="X159" s="107"/>
      <c r="Y159" s="108"/>
      <c r="Z159" s="107">
        <v>-0.52800000000000002</v>
      </c>
      <c r="AA159" s="108">
        <v>161233.01</v>
      </c>
      <c r="AB159" s="133"/>
      <c r="AC159" s="133"/>
      <c r="AD159" s="110">
        <v>-0.53</v>
      </c>
      <c r="AE159" s="111">
        <f>AA159</f>
        <v>161233.01</v>
      </c>
    </row>
    <row r="160" spans="1:31" ht="16.5" thickBot="1" x14ac:dyDescent="0.3">
      <c r="A160" s="21">
        <v>42735</v>
      </c>
      <c r="B160" s="24">
        <f t="shared" si="30"/>
        <v>144</v>
      </c>
      <c r="C160" s="97" t="s">
        <v>124</v>
      </c>
      <c r="D160" s="76">
        <f t="shared" si="35"/>
        <v>1.74</v>
      </c>
      <c r="E160" s="47">
        <f t="shared" si="48"/>
        <v>2775865.8603118015</v>
      </c>
      <c r="F160" s="253">
        <f>(E160/E$148-1)*100</f>
        <v>10.691396145825593</v>
      </c>
      <c r="G160" s="131">
        <f>(E160/E$157-1)*100</f>
        <v>-1.6834441730000038</v>
      </c>
      <c r="H160" s="49"/>
      <c r="I160" s="258"/>
      <c r="J160" s="20">
        <f t="shared" si="28"/>
        <v>42735</v>
      </c>
      <c r="K160" s="27">
        <v>2.2033787761807404</v>
      </c>
      <c r="L160" s="46">
        <f t="shared" si="49"/>
        <v>2037838.8162519329</v>
      </c>
      <c r="M160" s="253">
        <f>(L160/L$148-1)*100</f>
        <v>8.5301428266853829</v>
      </c>
      <c r="N160" s="131">
        <f>(L160/L$157-1)*100</f>
        <v>1.3243506604714517</v>
      </c>
      <c r="O160" s="258"/>
      <c r="P160" s="20">
        <f t="shared" si="26"/>
        <v>42735</v>
      </c>
      <c r="Q160" s="45">
        <v>1.8563886692055138</v>
      </c>
      <c r="R160" s="46">
        <f t="shared" si="29"/>
        <v>2055934.3780167494</v>
      </c>
      <c r="S160" s="253">
        <f>(R160/R$148-1)*100</f>
        <v>8.1099377695592167</v>
      </c>
      <c r="T160" s="131">
        <f>(R160/R$157-1)*100</f>
        <v>-2.7724572011352033</v>
      </c>
      <c r="U160" s="258"/>
      <c r="V160" s="320">
        <f>STDEVP(Q125:Q160)*SQRT(12)</f>
        <v>8.6207850192816213</v>
      </c>
      <c r="W160" s="279" t="s">
        <v>124</v>
      </c>
      <c r="X160" s="107"/>
      <c r="Y160" s="108"/>
      <c r="Z160" s="107">
        <v>1.74</v>
      </c>
      <c r="AA160" s="108">
        <v>164031.74</v>
      </c>
      <c r="AB160" s="133"/>
      <c r="AC160" s="133"/>
      <c r="AD160" s="110">
        <v>1.74</v>
      </c>
      <c r="AE160" s="111">
        <f>AA160</f>
        <v>164031.74</v>
      </c>
    </row>
    <row r="161" spans="1:32" ht="16.5" thickBot="1" x14ac:dyDescent="0.3">
      <c r="A161" s="21">
        <v>42766</v>
      </c>
      <c r="B161" s="24">
        <f t="shared" si="30"/>
        <v>145</v>
      </c>
      <c r="C161" s="97" t="s">
        <v>124</v>
      </c>
      <c r="D161" s="76">
        <f t="shared" si="35"/>
        <v>1.6621999999999999</v>
      </c>
      <c r="E161" s="47">
        <f t="shared" ref="E161" si="50">E160*D161/100+E160</f>
        <v>2822006.3026419044</v>
      </c>
      <c r="F161" s="253"/>
      <c r="G161" s="131"/>
      <c r="H161" s="49"/>
      <c r="I161" s="258"/>
      <c r="J161" s="20">
        <f t="shared" si="28"/>
        <v>42766</v>
      </c>
      <c r="K161" s="27">
        <v>2.7574400329489568</v>
      </c>
      <c r="L161" s="46">
        <f t="shared" si="49"/>
        <v>2094030.9995782368</v>
      </c>
      <c r="M161" s="14"/>
      <c r="N161" s="10"/>
      <c r="O161" s="258"/>
      <c r="P161" s="20">
        <f t="shared" si="26"/>
        <v>42766</v>
      </c>
      <c r="Q161" s="45">
        <v>1.7552513044008613</v>
      </c>
      <c r="R161" s="46">
        <f t="shared" si="29"/>
        <v>2092021.1930045141</v>
      </c>
      <c r="S161" s="14"/>
      <c r="T161" s="10"/>
      <c r="U161" s="258"/>
      <c r="V161" s="256"/>
      <c r="W161" s="279" t="s">
        <v>124</v>
      </c>
      <c r="X161" s="225"/>
      <c r="Y161" s="226">
        <v>25707804.91</v>
      </c>
      <c r="Z161" s="225">
        <v>1.6621999999999999</v>
      </c>
      <c r="AA161" s="226">
        <v>164031.74</v>
      </c>
      <c r="AB161" s="133"/>
      <c r="AC161" s="133"/>
      <c r="AD161" s="110">
        <f>ROUND(Y160/AE160*X161+AA160/AE160*Z161,4)</f>
        <v>1.6621999999999999</v>
      </c>
      <c r="AE161" s="111">
        <f>AA161</f>
        <v>164031.74</v>
      </c>
      <c r="AF161" s="149">
        <v>25707804.91</v>
      </c>
    </row>
    <row r="162" spans="1:32" x14ac:dyDescent="0.25">
      <c r="A162" s="21">
        <v>42794</v>
      </c>
      <c r="B162" s="24">
        <f t="shared" si="30"/>
        <v>146</v>
      </c>
      <c r="C162" s="97" t="s">
        <v>125</v>
      </c>
      <c r="D162" s="76">
        <f t="shared" si="35"/>
        <v>3.7385999999999999</v>
      </c>
      <c r="E162" s="47">
        <f t="shared" ref="E162" si="51">E161*D162/100+E161</f>
        <v>2927509.8302724748</v>
      </c>
      <c r="F162" s="253"/>
      <c r="G162" s="131"/>
      <c r="H162" s="49"/>
      <c r="I162" s="258"/>
      <c r="J162" s="20">
        <f t="shared" si="28"/>
        <v>42794</v>
      </c>
      <c r="K162" s="27">
        <v>2.8537898269149213</v>
      </c>
      <c r="L162" s="46">
        <f t="shared" si="49"/>
        <v>2153790.2432166454</v>
      </c>
      <c r="M162" s="14"/>
      <c r="N162" s="10"/>
      <c r="O162" s="258"/>
      <c r="P162" s="20">
        <f t="shared" si="26"/>
        <v>42794</v>
      </c>
      <c r="Q162" s="45">
        <v>3.4158431247981071</v>
      </c>
      <c r="R162" s="46">
        <f t="shared" si="29"/>
        <v>2163481.3550950782</v>
      </c>
      <c r="S162" s="14"/>
      <c r="T162" s="10"/>
      <c r="U162" s="258"/>
      <c r="V162" s="256"/>
      <c r="W162" s="43" t="s">
        <v>126</v>
      </c>
      <c r="X162" s="107">
        <v>3.6685902720527492</v>
      </c>
      <c r="Y162" s="108">
        <v>24018941.530000001</v>
      </c>
      <c r="Z162" s="256"/>
      <c r="AA162" s="280"/>
      <c r="AB162" s="280"/>
      <c r="AC162" s="280"/>
      <c r="AD162" s="110">
        <f>ROUND(Y161/AF161*(X162+0.84/12),4)</f>
        <v>3.7385999999999999</v>
      </c>
      <c r="AE162" s="111">
        <f>Y162</f>
        <v>24018941.530000001</v>
      </c>
      <c r="AF162" s="256"/>
    </row>
    <row r="163" spans="1:32" x14ac:dyDescent="0.25">
      <c r="A163" s="21">
        <v>42825</v>
      </c>
      <c r="B163" s="24">
        <f t="shared" ref="B163" si="52">IF(A163&gt;A162,1+B162,"-")</f>
        <v>147</v>
      </c>
      <c r="C163" s="97" t="s">
        <v>125</v>
      </c>
      <c r="D163" s="76">
        <f t="shared" si="35"/>
        <v>1.5809</v>
      </c>
      <c r="E163" s="47">
        <f t="shared" ref="E163" si="53">E162*D163/100+E162</f>
        <v>2973790.8331792522</v>
      </c>
      <c r="F163" s="256"/>
      <c r="G163" s="131">
        <f>(E163/E$160-1)*100</f>
        <v>7.1302066752324533</v>
      </c>
      <c r="H163" s="49"/>
      <c r="I163" s="258"/>
      <c r="J163" s="20">
        <f t="shared" si="28"/>
        <v>42825</v>
      </c>
      <c r="K163" s="27">
        <v>1.2979841265386129</v>
      </c>
      <c r="L163" s="46">
        <f t="shared" si="49"/>
        <v>2181746.098692535</v>
      </c>
      <c r="M163" s="14"/>
      <c r="N163" s="131">
        <f>(L163/L$160-1)*100</f>
        <v>7.0617598061696318</v>
      </c>
      <c r="O163" s="258"/>
      <c r="P163" s="20">
        <f t="shared" si="26"/>
        <v>42825</v>
      </c>
      <c r="Q163" s="45">
        <v>0.6939807269948205</v>
      </c>
      <c r="R163" s="46">
        <f t="shared" si="29"/>
        <v>2178495.4987315643</v>
      </c>
      <c r="S163" s="14"/>
      <c r="T163" s="131">
        <f>(R163/R$160-1)*100</f>
        <v>5.9613342733751518</v>
      </c>
      <c r="U163" s="258"/>
      <c r="V163" s="256"/>
      <c r="W163" s="43" t="s">
        <v>126</v>
      </c>
      <c r="X163" s="107">
        <v>1.5109343936381814</v>
      </c>
      <c r="Y163" s="108">
        <v>23502173.510000002</v>
      </c>
      <c r="Z163" s="256"/>
      <c r="AA163" s="256"/>
      <c r="AB163" s="256"/>
      <c r="AC163" s="256"/>
      <c r="AD163" s="110">
        <f>ROUND(Y162/AE162*(X163+0.84/12),4)</f>
        <v>1.5809</v>
      </c>
      <c r="AE163" s="111">
        <f>Y163</f>
        <v>23502173.510000002</v>
      </c>
      <c r="AF163" s="256"/>
    </row>
    <row r="164" spans="1:32" ht="16.5" thickBot="1" x14ac:dyDescent="0.3">
      <c r="A164" s="21">
        <v>42855</v>
      </c>
      <c r="B164" s="24">
        <f t="shared" si="30"/>
        <v>148</v>
      </c>
      <c r="C164" s="97" t="s">
        <v>125</v>
      </c>
      <c r="D164" s="76">
        <f t="shared" si="35"/>
        <v>1.0491999999999999</v>
      </c>
      <c r="E164" s="47">
        <f t="shared" ref="E164" si="54">E163*D164/100+E163</f>
        <v>3004991.8466009689</v>
      </c>
      <c r="F164" s="256"/>
      <c r="G164" s="256"/>
      <c r="H164" s="49"/>
      <c r="I164" s="258"/>
      <c r="J164" s="20">
        <f t="shared" si="28"/>
        <v>42855</v>
      </c>
      <c r="K164" s="27">
        <v>1.6037847096030915</v>
      </c>
      <c r="L164" s="46">
        <f t="shared" si="49"/>
        <v>2216736.609025728</v>
      </c>
      <c r="M164" s="14"/>
      <c r="N164" s="10"/>
      <c r="O164" s="258"/>
      <c r="P164" s="20">
        <f t="shared" si="26"/>
        <v>42855</v>
      </c>
      <c r="Q164" s="45">
        <v>1.1772501596689244</v>
      </c>
      <c r="R164" s="46">
        <f t="shared" si="29"/>
        <v>2204141.840468762</v>
      </c>
      <c r="S164" s="14"/>
      <c r="T164" s="10"/>
      <c r="U164" s="258"/>
      <c r="V164" s="256"/>
      <c r="W164" s="43" t="s">
        <v>126</v>
      </c>
      <c r="X164" s="107">
        <v>0.97924010967489228</v>
      </c>
      <c r="Y164" s="108">
        <v>22855948.266666699</v>
      </c>
      <c r="Z164" s="256"/>
      <c r="AA164" s="256"/>
      <c r="AB164" s="256"/>
      <c r="AC164" s="256"/>
      <c r="AD164" s="110">
        <f>ROUND(Y163/AE163*(X164+0.84/12),4)</f>
        <v>1.0491999999999999</v>
      </c>
      <c r="AE164" s="111">
        <f>Y164</f>
        <v>22855948.266666699</v>
      </c>
      <c r="AF164" s="256"/>
    </row>
    <row r="165" spans="1:32" ht="16.5" thickBot="1" x14ac:dyDescent="0.3">
      <c r="A165" s="21">
        <v>42886</v>
      </c>
      <c r="B165" s="24">
        <f t="shared" si="30"/>
        <v>149</v>
      </c>
      <c r="C165" s="97" t="s">
        <v>125</v>
      </c>
      <c r="D165" s="76">
        <f t="shared" si="35"/>
        <v>2.8241000000000001</v>
      </c>
      <c r="E165" s="47">
        <f t="shared" ref="E165" si="55">E164*D165/100+E164</f>
        <v>3089855.8213408268</v>
      </c>
      <c r="F165" s="256"/>
      <c r="G165" s="256"/>
      <c r="H165" s="49"/>
      <c r="I165" s="258"/>
      <c r="J165" s="20">
        <f t="shared" si="28"/>
        <v>42886</v>
      </c>
      <c r="K165" s="27">
        <v>2.2794300798517919</v>
      </c>
      <c r="L165" s="46">
        <f t="shared" si="49"/>
        <v>2267265.5700829471</v>
      </c>
      <c r="M165" s="14"/>
      <c r="N165" s="10"/>
      <c r="O165" s="258"/>
      <c r="P165" s="20">
        <f t="shared" si="26"/>
        <v>42886</v>
      </c>
      <c r="Q165" s="45">
        <v>2.9279350623437277</v>
      </c>
      <c r="R165" s="46">
        <f t="shared" si="29"/>
        <v>2268677.6822396354</v>
      </c>
      <c r="S165" s="14"/>
      <c r="T165" s="10"/>
      <c r="U165" s="258"/>
      <c r="V165" s="256"/>
      <c r="W165" s="43" t="s">
        <v>126</v>
      </c>
      <c r="X165" s="107">
        <v>2.7540729247478559</v>
      </c>
      <c r="Y165" s="108">
        <v>22435710.190000001</v>
      </c>
      <c r="Z165" s="324" t="s">
        <v>112</v>
      </c>
      <c r="AA165" s="325" t="s">
        <v>81</v>
      </c>
      <c r="AB165" s="256"/>
      <c r="AC165" s="256"/>
      <c r="AD165" s="110">
        <f>ROUND(Y164/AE164*(X165+0.84/12),4)</f>
        <v>2.8241000000000001</v>
      </c>
      <c r="AE165" s="111">
        <f>Y165</f>
        <v>22435710.190000001</v>
      </c>
      <c r="AF165"/>
    </row>
    <row r="166" spans="1:32" ht="16.5" thickBot="1" x14ac:dyDescent="0.3">
      <c r="A166" s="21">
        <v>42916</v>
      </c>
      <c r="B166" s="24">
        <f t="shared" si="30"/>
        <v>150</v>
      </c>
      <c r="C166" s="97" t="s">
        <v>125</v>
      </c>
      <c r="D166" s="76">
        <f t="shared" si="35"/>
        <v>-0.23200000000000001</v>
      </c>
      <c r="E166" s="47">
        <f t="shared" ref="E166" si="56">E165*D166/100+E165</f>
        <v>3082687.3558353162</v>
      </c>
      <c r="F166" s="253"/>
      <c r="G166" s="131">
        <f>(E166/E$163-1)*100</f>
        <v>3.6618756585393042</v>
      </c>
      <c r="H166" s="49"/>
      <c r="I166" s="258"/>
      <c r="J166" s="20">
        <f t="shared" si="28"/>
        <v>42916</v>
      </c>
      <c r="K166" s="27">
        <v>0.49756434216775997</v>
      </c>
      <c r="L166" s="46">
        <f t="shared" si="49"/>
        <v>2278546.6751019266</v>
      </c>
      <c r="M166" s="253"/>
      <c r="N166" s="131">
        <f>(L166/L$163-1)*100</f>
        <v>4.4368396701798485</v>
      </c>
      <c r="O166" s="258"/>
      <c r="P166" s="20">
        <f t="shared" si="26"/>
        <v>42916</v>
      </c>
      <c r="Q166" s="45">
        <v>-0.42232986794843708</v>
      </c>
      <c r="R166" s="46">
        <f t="shared" si="29"/>
        <v>2259096.3787800572</v>
      </c>
      <c r="S166" s="253"/>
      <c r="T166" s="131">
        <f>(R166/R$163-1)*100</f>
        <v>3.6998414775436972</v>
      </c>
      <c r="U166" s="258"/>
      <c r="V166" s="256"/>
      <c r="W166" s="43" t="s">
        <v>126</v>
      </c>
      <c r="X166" s="107">
        <v>-0.30200075500188106</v>
      </c>
      <c r="Y166" s="108">
        <v>22484294.789999999</v>
      </c>
      <c r="Z166" s="107"/>
      <c r="AA166" s="108">
        <v>9908609.8599999994</v>
      </c>
      <c r="AB166" s="133"/>
      <c r="AC166" s="133"/>
      <c r="AD166" s="110">
        <f>ROUND(Y165/AE165*(X166+0.84/12),4)</f>
        <v>-0.23200000000000001</v>
      </c>
      <c r="AE166" s="111">
        <f>Y166</f>
        <v>22484294.789999999</v>
      </c>
      <c r="AF166" s="149">
        <f>Y166+AA166</f>
        <v>32392904.649999999</v>
      </c>
    </row>
    <row r="167" spans="1:32" x14ac:dyDescent="0.25">
      <c r="A167" s="21">
        <v>42947</v>
      </c>
      <c r="B167" s="24">
        <f t="shared" si="30"/>
        <v>151</v>
      </c>
      <c r="C167" s="97" t="s">
        <v>127</v>
      </c>
      <c r="D167" s="76">
        <f t="shared" si="35"/>
        <v>1.1595</v>
      </c>
      <c r="E167" s="47">
        <f t="shared" ref="E167:E168" si="57">E166*D167/100+E166</f>
        <v>3118431.1157262269</v>
      </c>
      <c r="F167" s="253"/>
      <c r="G167" s="131"/>
      <c r="H167" s="49"/>
      <c r="I167" s="258"/>
      <c r="J167" s="20">
        <f t="shared" si="28"/>
        <v>42947</v>
      </c>
      <c r="K167" s="27">
        <v>2.8323498003446272</v>
      </c>
      <c r="L167" s="46">
        <f t="shared" ref="L167" si="58">L166*K167/100+L166</f>
        <v>2343083.0873049353</v>
      </c>
      <c r="M167" s="253"/>
      <c r="N167" s="10"/>
      <c r="O167" s="258"/>
      <c r="P167" s="20">
        <f t="shared" si="26"/>
        <v>42947</v>
      </c>
      <c r="Q167" s="45">
        <v>1.8490775779406101</v>
      </c>
      <c r="R167" s="46">
        <f t="shared" si="29"/>
        <v>2300868.8233841476</v>
      </c>
      <c r="S167" s="253"/>
      <c r="T167" s="10"/>
      <c r="U167" s="258"/>
      <c r="V167" s="256"/>
      <c r="W167" s="43" t="s">
        <v>128</v>
      </c>
      <c r="X167" s="107">
        <v>1.0980689132904171</v>
      </c>
      <c r="Y167" s="108">
        <v>22562171.329999998</v>
      </c>
      <c r="Z167" s="107">
        <v>1.1399999999999999</v>
      </c>
      <c r="AA167" s="108">
        <v>10021700.619999999</v>
      </c>
      <c r="AB167" s="133"/>
      <c r="AC167" s="133"/>
      <c r="AD167" s="110">
        <f>ROUND(Y166/AF166*(X167+0.84/12)+AA166/AF166*Z167,4)</f>
        <v>1.1595</v>
      </c>
      <c r="AE167" s="111">
        <f t="shared" ref="AE167:AE177" si="59">Y167+AA167</f>
        <v>32583871.949999996</v>
      </c>
      <c r="AF167"/>
    </row>
    <row r="168" spans="1:32" x14ac:dyDescent="0.25">
      <c r="A168" s="21">
        <v>42978</v>
      </c>
      <c r="B168" s="24">
        <f t="shared" si="30"/>
        <v>152</v>
      </c>
      <c r="C168" s="97" t="s">
        <v>127</v>
      </c>
      <c r="D168" s="76">
        <f t="shared" si="35"/>
        <v>1.8672</v>
      </c>
      <c r="E168" s="47">
        <f t="shared" si="57"/>
        <v>3176658.4615190672</v>
      </c>
      <c r="F168" s="253"/>
      <c r="G168" s="131"/>
      <c r="H168" s="49"/>
      <c r="I168" s="258"/>
      <c r="J168" s="20">
        <f t="shared" si="28"/>
        <v>42978</v>
      </c>
      <c r="K168" s="27">
        <v>0.43875833640838496</v>
      </c>
      <c r="L168" s="46">
        <f t="shared" ref="L168:L176" si="60">L167*K168/100+L167</f>
        <v>2353363.5596794607</v>
      </c>
      <c r="M168" s="253"/>
      <c r="N168" s="10"/>
      <c r="O168" s="258"/>
      <c r="P168" s="20">
        <f t="shared" si="26"/>
        <v>42978</v>
      </c>
      <c r="Q168" s="45">
        <v>0.92712679387554964</v>
      </c>
      <c r="R168" s="46">
        <f t="shared" si="29"/>
        <v>2322200.794737671</v>
      </c>
      <c r="S168" s="253"/>
      <c r="T168" s="10"/>
      <c r="U168" s="258"/>
      <c r="V168" s="256"/>
      <c r="W168" s="43" t="s">
        <v>128</v>
      </c>
      <c r="X168" s="107">
        <v>1.9101123595505678</v>
      </c>
      <c r="Y168" s="108">
        <v>22758313.34</v>
      </c>
      <c r="Z168" s="107">
        <v>1.61297</v>
      </c>
      <c r="AA168" s="108">
        <v>15198956.880000001</v>
      </c>
      <c r="AB168" s="133"/>
      <c r="AC168" s="133"/>
      <c r="AD168" s="110">
        <f t="shared" ref="AD168:AD176" si="61">ROUND(Y167/AE167*(X168+0.84/12)+AA167/AE167*Z168,4)</f>
        <v>1.8672</v>
      </c>
      <c r="AE168" s="111">
        <f t="shared" si="59"/>
        <v>37957270.219999999</v>
      </c>
      <c r="AF168"/>
    </row>
    <row r="169" spans="1:32" x14ac:dyDescent="0.25">
      <c r="A169" s="21">
        <v>43008</v>
      </c>
      <c r="B169" s="24">
        <f t="shared" si="30"/>
        <v>153</v>
      </c>
      <c r="C169" s="97" t="s">
        <v>127</v>
      </c>
      <c r="D169" s="76">
        <f t="shared" si="35"/>
        <v>1.4859</v>
      </c>
      <c r="E169" s="47">
        <f t="shared" ref="E169" si="62">E168*D169/100+E168</f>
        <v>3223860.429598779</v>
      </c>
      <c r="F169" s="253"/>
      <c r="G169" s="131">
        <f>(E169/E$166-1)*100</f>
        <v>4.5795456193840733</v>
      </c>
      <c r="H169" s="49"/>
      <c r="I169" s="258"/>
      <c r="J169" s="20">
        <f t="shared" si="28"/>
        <v>43008</v>
      </c>
      <c r="K169" s="27">
        <v>1.9743600083037331</v>
      </c>
      <c r="L169" s="46">
        <f t="shared" ref="L169" si="63">L168*K169/100+L168</f>
        <v>2399827.428651765</v>
      </c>
      <c r="M169" s="253"/>
      <c r="N169" s="131">
        <f>(L169/L$166-1)*100</f>
        <v>5.3227241238941625</v>
      </c>
      <c r="O169" s="258"/>
      <c r="P169" s="20">
        <f t="shared" si="26"/>
        <v>43008</v>
      </c>
      <c r="Q169" s="45">
        <v>0.14370956688072881</v>
      </c>
      <c r="R169" s="46">
        <f t="shared" si="29"/>
        <v>2325538.0194418896</v>
      </c>
      <c r="S169" s="253"/>
      <c r="T169" s="131">
        <f>(R169/R$166-1)*100</f>
        <v>2.9410715401930743</v>
      </c>
      <c r="U169" s="258"/>
      <c r="V169" s="256"/>
      <c r="W169" s="43" t="s">
        <v>128</v>
      </c>
      <c r="X169" s="107">
        <v>1.2862918044836378</v>
      </c>
      <c r="Y169" s="108">
        <v>22416582.149999999</v>
      </c>
      <c r="Z169" s="107">
        <v>1.68</v>
      </c>
      <c r="AA169" s="108">
        <v>15454865.289999999</v>
      </c>
      <c r="AB169" s="133"/>
      <c r="AC169" s="133"/>
      <c r="AD169" s="110">
        <f t="shared" si="61"/>
        <v>1.4859</v>
      </c>
      <c r="AE169" s="111">
        <f t="shared" si="59"/>
        <v>37871447.439999998</v>
      </c>
      <c r="AF169"/>
    </row>
    <row r="170" spans="1:32" x14ac:dyDescent="0.25">
      <c r="A170" s="21">
        <v>43039</v>
      </c>
      <c r="B170" s="24">
        <f t="shared" si="30"/>
        <v>154</v>
      </c>
      <c r="C170" s="97" t="s">
        <v>127</v>
      </c>
      <c r="D170" s="76">
        <f t="shared" si="35"/>
        <v>1.3911</v>
      </c>
      <c r="E170" s="47">
        <f t="shared" ref="E170:E171" si="64">E169*D170/100+E169</f>
        <v>3268707.5520349275</v>
      </c>
      <c r="F170" s="256"/>
      <c r="G170" s="256"/>
      <c r="H170" s="49"/>
      <c r="I170" s="258"/>
      <c r="J170" s="20">
        <f t="shared" si="28"/>
        <v>43039</v>
      </c>
      <c r="K170" s="27">
        <v>2.1003109407469802</v>
      </c>
      <c r="L170" s="46">
        <f t="shared" si="60"/>
        <v>2450231.2666947851</v>
      </c>
      <c r="M170" s="18"/>
      <c r="N170" s="10"/>
      <c r="O170" s="258"/>
      <c r="P170" s="20">
        <f t="shared" si="26"/>
        <v>43039</v>
      </c>
      <c r="Q170" s="45">
        <v>1.6313814819777706</v>
      </c>
      <c r="R170" s="46">
        <f t="shared" si="29"/>
        <v>2363476.4160474171</v>
      </c>
      <c r="S170" s="18"/>
      <c r="T170" s="10"/>
      <c r="U170" s="258"/>
      <c r="V170" s="256"/>
      <c r="W170" s="43" t="s">
        <v>128</v>
      </c>
      <c r="X170" s="107">
        <v>1.3425253991291763</v>
      </c>
      <c r="Y170" s="108">
        <v>22155043.879999999</v>
      </c>
      <c r="Z170" s="107">
        <v>1.36</v>
      </c>
      <c r="AA170" s="108">
        <v>15664492.960000001</v>
      </c>
      <c r="AB170" s="133"/>
      <c r="AC170" s="133"/>
      <c r="AD170" s="110">
        <f t="shared" si="61"/>
        <v>1.3911</v>
      </c>
      <c r="AE170" s="111">
        <f t="shared" si="59"/>
        <v>37819536.840000004</v>
      </c>
      <c r="AF170" s="256"/>
    </row>
    <row r="171" spans="1:32" x14ac:dyDescent="0.25">
      <c r="A171" s="21">
        <v>43069</v>
      </c>
      <c r="B171" s="24">
        <f t="shared" si="30"/>
        <v>155</v>
      </c>
      <c r="C171" s="97" t="s">
        <v>127</v>
      </c>
      <c r="D171" s="76">
        <f t="shared" si="35"/>
        <v>2.3616000000000001</v>
      </c>
      <c r="E171" s="47">
        <f t="shared" si="64"/>
        <v>3345901.3495837846</v>
      </c>
      <c r="F171" s="256"/>
      <c r="G171" s="256"/>
      <c r="H171" s="49"/>
      <c r="I171" s="258"/>
      <c r="J171" s="20">
        <f t="shared" si="28"/>
        <v>43069</v>
      </c>
      <c r="K171" s="27">
        <v>1.9861009226556732</v>
      </c>
      <c r="L171" s="46">
        <f t="shared" si="60"/>
        <v>2498895.3324898081</v>
      </c>
      <c r="M171" s="253"/>
      <c r="N171" s="10"/>
      <c r="O171" s="258"/>
      <c r="P171" s="20">
        <f t="shared" si="26"/>
        <v>43069</v>
      </c>
      <c r="Q171" s="45">
        <v>2.5247935599578653</v>
      </c>
      <c r="R171" s="46">
        <f t="shared" si="29"/>
        <v>2423149.3163909051</v>
      </c>
      <c r="S171" s="253"/>
      <c r="T171" s="10"/>
      <c r="U171" s="258"/>
      <c r="V171" s="256"/>
      <c r="W171" s="43" t="s">
        <v>128</v>
      </c>
      <c r="X171" s="107">
        <v>2.3988542785535327</v>
      </c>
      <c r="Y171" s="108">
        <v>22545614.75</v>
      </c>
      <c r="Z171" s="107">
        <v>2.21</v>
      </c>
      <c r="AA171" s="108">
        <v>16010588.59</v>
      </c>
      <c r="AB171" s="133"/>
      <c r="AC171" s="133"/>
      <c r="AD171" s="110">
        <f t="shared" si="61"/>
        <v>2.3616000000000001</v>
      </c>
      <c r="AE171" s="111">
        <f t="shared" si="59"/>
        <v>38556203.340000004</v>
      </c>
      <c r="AF171" s="256"/>
    </row>
    <row r="172" spans="1:32" x14ac:dyDescent="0.25">
      <c r="A172" s="21">
        <v>43100</v>
      </c>
      <c r="B172" s="24">
        <f t="shared" si="30"/>
        <v>156</v>
      </c>
      <c r="C172" s="97" t="s">
        <v>127</v>
      </c>
      <c r="D172" s="76">
        <f t="shared" si="35"/>
        <v>0.82179999999999997</v>
      </c>
      <c r="E172" s="47">
        <f t="shared" ref="E172:E174" si="65">E171*D172/100+E171</f>
        <v>3373397.9668746642</v>
      </c>
      <c r="F172" s="253">
        <f t="shared" ref="F172" si="66">(E172/E$160-1)*100</f>
        <v>21.52597195369319</v>
      </c>
      <c r="G172" s="131">
        <f>(E172/E$169-1)*100</f>
        <v>4.6384618857242543</v>
      </c>
      <c r="H172" s="49"/>
      <c r="I172" s="258"/>
      <c r="J172" s="20">
        <f t="shared" si="28"/>
        <v>43100</v>
      </c>
      <c r="K172" s="27">
        <v>1.6544917851371832</v>
      </c>
      <c r="L172" s="46">
        <f t="shared" si="60"/>
        <v>2540239.3504850287</v>
      </c>
      <c r="M172" s="253">
        <f>(L172/L$160-1)*100</f>
        <v>24.653595280765582</v>
      </c>
      <c r="N172" s="131">
        <f>(L172/L$169-1)*100</f>
        <v>5.8509174516830909</v>
      </c>
      <c r="O172" s="258"/>
      <c r="P172" s="20">
        <f t="shared" si="26"/>
        <v>43100</v>
      </c>
      <c r="Q172" s="45">
        <v>0.65633884452345159</v>
      </c>
      <c r="R172" s="46">
        <f t="shared" si="29"/>
        <v>2439053.3866151832</v>
      </c>
      <c r="S172" s="253">
        <f>(R172/R$160-1)*100</f>
        <v>18.634787797459197</v>
      </c>
      <c r="T172" s="131">
        <f>(R172/R$169-1)*100</f>
        <v>4.8812518318034792</v>
      </c>
      <c r="U172" s="258"/>
      <c r="V172" s="320">
        <f>STDEVP(Q137:Q172)*SQRT(12)</f>
        <v>8.0232812241300469</v>
      </c>
      <c r="W172" s="43" t="s">
        <v>128</v>
      </c>
      <c r="X172" s="107">
        <v>0.76923079999999999</v>
      </c>
      <c r="Y172" s="108">
        <v>22581175.32</v>
      </c>
      <c r="Z172" s="107">
        <v>0.79730000000000001</v>
      </c>
      <c r="AA172" s="108">
        <v>16122294.09</v>
      </c>
      <c r="AB172" s="133"/>
      <c r="AC172" s="133"/>
      <c r="AD172" s="110">
        <f t="shared" si="61"/>
        <v>0.82179999999999997</v>
      </c>
      <c r="AE172" s="111">
        <f t="shared" si="59"/>
        <v>38703469.409999996</v>
      </c>
      <c r="AF172" s="256"/>
    </row>
    <row r="173" spans="1:32" x14ac:dyDescent="0.25">
      <c r="A173" s="21">
        <v>43131</v>
      </c>
      <c r="B173" s="24">
        <f t="shared" si="30"/>
        <v>157</v>
      </c>
      <c r="C173" s="97" t="s">
        <v>129</v>
      </c>
      <c r="D173" s="76">
        <f t="shared" si="35"/>
        <v>3.9889000000000001</v>
      </c>
      <c r="E173" s="47">
        <f t="shared" si="65"/>
        <v>3507959.4383753277</v>
      </c>
      <c r="F173" s="256"/>
      <c r="G173" s="256"/>
      <c r="H173" s="49"/>
      <c r="I173" s="258"/>
      <c r="J173" s="20">
        <f t="shared" si="28"/>
        <v>43131</v>
      </c>
      <c r="K173" s="27">
        <v>5.6627213245823897</v>
      </c>
      <c r="L173" s="46">
        <f t="shared" si="60"/>
        <v>2684086.0258803777</v>
      </c>
      <c r="M173" s="18"/>
      <c r="N173" s="10"/>
      <c r="O173" s="258"/>
      <c r="P173" s="20">
        <f t="shared" si="26"/>
        <v>43131</v>
      </c>
      <c r="Q173" s="45">
        <v>3.3185323770554125</v>
      </c>
      <c r="R173" s="46">
        <f t="shared" si="29"/>
        <v>2519994.1629436747</v>
      </c>
      <c r="S173" s="18"/>
      <c r="T173" s="10"/>
      <c r="U173" s="258"/>
      <c r="V173" s="256"/>
      <c r="W173" s="43" t="s">
        <v>130</v>
      </c>
      <c r="X173" s="107">
        <v>3.9902845246356651</v>
      </c>
      <c r="Y173" s="108">
        <v>22567922.879999999</v>
      </c>
      <c r="Z173" s="107">
        <v>3.8888219999999998</v>
      </c>
      <c r="AA173" s="108">
        <v>16733207.039999999</v>
      </c>
      <c r="AB173" s="133"/>
      <c r="AC173" s="133"/>
      <c r="AD173" s="110">
        <f t="shared" si="61"/>
        <v>3.9889000000000001</v>
      </c>
      <c r="AE173" s="111">
        <f t="shared" si="59"/>
        <v>39301129.920000002</v>
      </c>
      <c r="AF173" s="256"/>
    </row>
    <row r="174" spans="1:32" x14ac:dyDescent="0.25">
      <c r="A174" s="21">
        <v>43159</v>
      </c>
      <c r="B174" s="24">
        <f t="shared" ref="B174" si="67">IF(A174&gt;A173,1+B173,"-")</f>
        <v>158</v>
      </c>
      <c r="C174" s="97" t="s">
        <v>129</v>
      </c>
      <c r="D174" s="76">
        <f t="shared" si="35"/>
        <v>-3.6088</v>
      </c>
      <c r="E174" s="47">
        <f t="shared" si="65"/>
        <v>3381364.1981632388</v>
      </c>
      <c r="F174" s="256"/>
      <c r="G174" s="256"/>
      <c r="H174" s="49"/>
      <c r="I174" s="258"/>
      <c r="J174" s="20">
        <f t="shared" si="28"/>
        <v>43159</v>
      </c>
      <c r="K174" s="27">
        <v>-4.1599596242029993</v>
      </c>
      <c r="L174" s="46">
        <f t="shared" si="60"/>
        <v>2572429.1309248791</v>
      </c>
      <c r="M174" s="18"/>
      <c r="N174" s="10"/>
      <c r="O174" s="258"/>
      <c r="P174" s="20">
        <f t="shared" si="26"/>
        <v>43159</v>
      </c>
      <c r="Q174" s="45">
        <v>-3.8988633215172368</v>
      </c>
      <c r="R174" s="46">
        <f t="shared" si="29"/>
        <v>2421743.0348202884</v>
      </c>
      <c r="S174" s="18"/>
      <c r="T174" s="10"/>
      <c r="U174" s="258"/>
      <c r="V174" s="256"/>
      <c r="W174" s="43" t="s">
        <v>130</v>
      </c>
      <c r="X174" s="107">
        <v>-3.7370704037370617</v>
      </c>
      <c r="Y174" s="108">
        <v>21278276.989999998</v>
      </c>
      <c r="Z174" s="107">
        <v>-3.5301999999999998</v>
      </c>
      <c r="AA174" s="108">
        <v>16142490.529999999</v>
      </c>
      <c r="AB174" s="133"/>
      <c r="AC174" s="133"/>
      <c r="AD174" s="110">
        <f t="shared" si="61"/>
        <v>-3.6088</v>
      </c>
      <c r="AE174" s="111">
        <f t="shared" si="59"/>
        <v>37420767.519999996</v>
      </c>
      <c r="AF174" s="280"/>
    </row>
    <row r="175" spans="1:32" x14ac:dyDescent="0.25">
      <c r="A175" s="21">
        <v>43190</v>
      </c>
      <c r="B175" s="24">
        <f t="shared" si="30"/>
        <v>159</v>
      </c>
      <c r="C175" s="97" t="s">
        <v>129</v>
      </c>
      <c r="D175" s="76">
        <f t="shared" si="35"/>
        <v>-0.43540000000000001</v>
      </c>
      <c r="E175" s="47">
        <f t="shared" ref="E175" si="68">E174*D175/100+E174</f>
        <v>3366641.7384444359</v>
      </c>
      <c r="F175" s="256"/>
      <c r="G175" s="131">
        <f>(E175/E$172-1)*100</f>
        <v>-0.20027961410339357</v>
      </c>
      <c r="H175" s="49"/>
      <c r="I175" s="258"/>
      <c r="J175" s="20">
        <f t="shared" si="28"/>
        <v>43190</v>
      </c>
      <c r="K175" s="27">
        <v>-2.0704953594466229</v>
      </c>
      <c r="L175" s="46">
        <f t="shared" si="60"/>
        <v>2519167.1051440262</v>
      </c>
      <c r="M175" s="253"/>
      <c r="N175" s="131">
        <f>(L175/L$172-1)*100</f>
        <v>-0.82953778890870744</v>
      </c>
      <c r="O175" s="258"/>
      <c r="P175" s="20">
        <f t="shared" si="26"/>
        <v>43190</v>
      </c>
      <c r="Q175" s="45">
        <v>0.11478450789224663</v>
      </c>
      <c r="R175" s="46">
        <f t="shared" si="29"/>
        <v>2424522.8206452215</v>
      </c>
      <c r="S175" s="18"/>
      <c r="T175" s="131">
        <f>(R175/R$172-1)*100</f>
        <v>-0.59574612223337597</v>
      </c>
      <c r="U175" s="258"/>
      <c r="V175" s="256"/>
      <c r="W175" s="43" t="s">
        <v>130</v>
      </c>
      <c r="X175" s="107">
        <v>-0.41594454072790643</v>
      </c>
      <c r="Y175" s="108">
        <v>20822420.670000002</v>
      </c>
      <c r="Z175" s="107">
        <v>-0.55335000000000001</v>
      </c>
      <c r="AA175" s="108">
        <v>16053165.77</v>
      </c>
      <c r="AB175" s="133"/>
      <c r="AC175" s="133"/>
      <c r="AD175" s="110">
        <f t="shared" si="61"/>
        <v>-0.43540000000000001</v>
      </c>
      <c r="AE175" s="111">
        <f t="shared" si="59"/>
        <v>36875586.439999998</v>
      </c>
      <c r="AF175" s="256"/>
    </row>
    <row r="176" spans="1:32" x14ac:dyDescent="0.25">
      <c r="A176" s="21">
        <v>43220</v>
      </c>
      <c r="B176" s="24">
        <f t="shared" si="30"/>
        <v>160</v>
      </c>
      <c r="C176" s="97" t="s">
        <v>129</v>
      </c>
      <c r="D176" s="76">
        <f t="shared" si="35"/>
        <v>-0.78790000000000004</v>
      </c>
      <c r="E176" s="47">
        <f t="shared" ref="E176" si="69">E175*D176/100+E175</f>
        <v>3340115.968187232</v>
      </c>
      <c r="F176" s="253"/>
      <c r="G176" s="256"/>
      <c r="H176" s="49"/>
      <c r="I176" s="258"/>
      <c r="J176" s="20">
        <f t="shared" si="28"/>
        <v>43220</v>
      </c>
      <c r="K176" s="27">
        <v>1.0052949511522167</v>
      </c>
      <c r="L176" s="46">
        <f t="shared" si="60"/>
        <v>2544492.1648631264</v>
      </c>
      <c r="M176" s="253"/>
      <c r="N176" s="10"/>
      <c r="O176" s="258"/>
      <c r="P176" s="20">
        <f t="shared" si="26"/>
        <v>43220</v>
      </c>
      <c r="Q176" s="45">
        <v>6.4423968697948003E-2</v>
      </c>
      <c r="R176" s="46">
        <f t="shared" si="29"/>
        <v>2426084.7944682688</v>
      </c>
      <c r="S176" s="253"/>
      <c r="T176" s="10"/>
      <c r="U176" s="258"/>
      <c r="V176" s="256"/>
      <c r="W176" s="43" t="s">
        <v>130</v>
      </c>
      <c r="X176" s="107">
        <v>-0.9049773755656163</v>
      </c>
      <c r="Y176" s="108">
        <v>20159722.949999999</v>
      </c>
      <c r="Z176" s="107">
        <v>-0.72677999999999998</v>
      </c>
      <c r="AA176" s="108">
        <v>15923674.039999999</v>
      </c>
      <c r="AB176" s="133"/>
      <c r="AC176" s="133"/>
      <c r="AD176" s="110">
        <f t="shared" si="61"/>
        <v>-0.78790000000000004</v>
      </c>
      <c r="AE176" s="111">
        <f t="shared" si="59"/>
        <v>36083396.989999995</v>
      </c>
      <c r="AF176" s="256"/>
    </row>
    <row r="177" spans="1:34" x14ac:dyDescent="0.25">
      <c r="A177" s="21">
        <v>43251</v>
      </c>
      <c r="B177" s="24">
        <f t="shared" si="30"/>
        <v>161</v>
      </c>
      <c r="C177" s="97" t="s">
        <v>129</v>
      </c>
      <c r="D177" s="76">
        <f t="shared" si="35"/>
        <v>1.2399</v>
      </c>
      <c r="E177" s="47">
        <f t="shared" ref="E177" si="70">E176*D177/100+E176</f>
        <v>3381530.0660767853</v>
      </c>
      <c r="F177" s="253"/>
      <c r="G177" s="256"/>
      <c r="H177" s="49"/>
      <c r="I177" s="258"/>
      <c r="J177" s="20">
        <f t="shared" si="28"/>
        <v>43251</v>
      </c>
      <c r="K177" s="27">
        <v>0.19171716559374258</v>
      </c>
      <c r="L177" s="46">
        <f t="shared" ref="L177" si="71">L176*K177/100+L176</f>
        <v>2549370.3931203568</v>
      </c>
      <c r="M177" s="253"/>
      <c r="N177" s="10"/>
      <c r="O177" s="258"/>
      <c r="P177" s="20">
        <f t="shared" si="26"/>
        <v>43251</v>
      </c>
      <c r="Q177" s="45">
        <v>0.15923735596586983</v>
      </c>
      <c r="R177" s="46">
        <f t="shared" ref="R177:R195" si="72">R176*Q177/100+R176</f>
        <v>2429948.0277484702</v>
      </c>
      <c r="S177" s="253"/>
      <c r="T177" s="10"/>
      <c r="U177" s="258"/>
      <c r="V177" s="256"/>
      <c r="W177" s="43" t="s">
        <v>130</v>
      </c>
      <c r="X177" s="107">
        <v>1.2644889357218105</v>
      </c>
      <c r="Y177" s="108">
        <v>19672502.600000001</v>
      </c>
      <c r="Z177" s="107">
        <v>1.1202000000000001</v>
      </c>
      <c r="AA177" s="108">
        <v>16102046.717499999</v>
      </c>
      <c r="AB177" s="133"/>
      <c r="AC177" s="133"/>
      <c r="AD177" s="110">
        <f t="shared" ref="AD177:AD189" si="73">ROUND(Y176/AE176*(X177+0.84/12)+AA176/AE176*Z177,4)</f>
        <v>1.2399</v>
      </c>
      <c r="AE177" s="111">
        <f t="shared" si="59"/>
        <v>35774549.317500003</v>
      </c>
      <c r="AF177" s="256"/>
      <c r="AG177" s="256"/>
      <c r="AH177" s="256"/>
    </row>
    <row r="178" spans="1:34" x14ac:dyDescent="0.25">
      <c r="A178" s="21">
        <v>43281</v>
      </c>
      <c r="B178" s="24">
        <f t="shared" si="30"/>
        <v>162</v>
      </c>
      <c r="C178" s="97" t="s">
        <v>129</v>
      </c>
      <c r="D178" s="76">
        <f t="shared" si="35"/>
        <v>0.1002</v>
      </c>
      <c r="E178" s="47">
        <f t="shared" ref="E178" si="74">E177*D178/100+E177</f>
        <v>3384918.359202994</v>
      </c>
      <c r="F178" s="253"/>
      <c r="G178" s="131">
        <f>(E178/E$175-1)*100</f>
        <v>0.54287394318954796</v>
      </c>
      <c r="H178" s="49"/>
      <c r="I178" s="258"/>
      <c r="J178" s="20">
        <f t="shared" si="28"/>
        <v>43281</v>
      </c>
      <c r="K178" s="27">
        <v>-0.49960137775330743</v>
      </c>
      <c r="L178" s="46">
        <f t="shared" ref="L178" si="75">L177*K178/100+L177</f>
        <v>2536633.7035122928</v>
      </c>
      <c r="M178" s="253"/>
      <c r="N178" s="131">
        <f>(L178/L$175-1)*100</f>
        <v>0.69334814401953437</v>
      </c>
      <c r="O178" s="258"/>
      <c r="P178" s="20">
        <f t="shared" si="26"/>
        <v>43281</v>
      </c>
      <c r="Q178" s="45">
        <v>0.35740493042246702</v>
      </c>
      <c r="R178" s="46">
        <f t="shared" si="72"/>
        <v>2438632.7818063465</v>
      </c>
      <c r="S178" s="253"/>
      <c r="T178" s="131">
        <f>(R178/R$175-1)*100</f>
        <v>0.58196858536352369</v>
      </c>
      <c r="U178" s="258"/>
      <c r="V178" s="256"/>
      <c r="W178" s="43" t="s">
        <v>130</v>
      </c>
      <c r="X178" s="107">
        <v>-6.9372181755114726E-2</v>
      </c>
      <c r="Y178" s="108">
        <v>19437260.050000001</v>
      </c>
      <c r="Z178" s="107">
        <v>0.22195200000000001</v>
      </c>
      <c r="AA178" s="108">
        <v>16137785.5</v>
      </c>
      <c r="AB178" s="256"/>
      <c r="AC178" s="256"/>
      <c r="AD178" s="110">
        <f t="shared" si="73"/>
        <v>0.1002</v>
      </c>
      <c r="AE178" s="111">
        <f t="shared" ref="AE178:AE188" si="76">Y178+AA178</f>
        <v>35575045.549999997</v>
      </c>
      <c r="AF178" s="256"/>
      <c r="AG178"/>
      <c r="AH178" s="256"/>
    </row>
    <row r="179" spans="1:34" x14ac:dyDescent="0.25">
      <c r="A179" s="21">
        <v>43312</v>
      </c>
      <c r="B179" s="24">
        <f t="shared" ref="B179" si="77">IF(A179&gt;A178,1+B178,"-")</f>
        <v>163</v>
      </c>
      <c r="C179" s="97" t="s">
        <v>129</v>
      </c>
      <c r="D179" s="76">
        <f t="shared" si="35"/>
        <v>3.6760999999999999</v>
      </c>
      <c r="E179" s="47">
        <f t="shared" ref="E179" si="78">E178*D179/100+E178</f>
        <v>3509351.3430056553</v>
      </c>
      <c r="F179" s="253"/>
      <c r="G179" s="256"/>
      <c r="H179" s="49"/>
      <c r="I179" s="258"/>
      <c r="J179" s="20">
        <f t="shared" ref="J179" si="79">A179</f>
        <v>43312</v>
      </c>
      <c r="K179" s="27">
        <v>3.0499640500831338</v>
      </c>
      <c r="L179" s="46">
        <f t="shared" ref="L179" si="80">L178*K179/100+L178</f>
        <v>2614000.1195517103</v>
      </c>
      <c r="M179" s="253"/>
      <c r="N179" s="10"/>
      <c r="O179" s="258"/>
      <c r="P179" s="20">
        <f t="shared" si="26"/>
        <v>43312</v>
      </c>
      <c r="Q179" s="45">
        <v>3.12008798790544</v>
      </c>
      <c r="R179" s="46">
        <f t="shared" si="72"/>
        <v>2514720.2703006105</v>
      </c>
      <c r="S179" s="253"/>
      <c r="T179" s="10"/>
      <c r="U179" s="258"/>
      <c r="V179" s="256"/>
      <c r="W179" s="43" t="s">
        <v>130</v>
      </c>
      <c r="X179" s="107">
        <v>3.644567858382509</v>
      </c>
      <c r="Y179" s="108">
        <v>19910035.919999994</v>
      </c>
      <c r="Z179" s="107">
        <v>3.6297557999999999</v>
      </c>
      <c r="AA179" s="108">
        <v>16723547.710000005</v>
      </c>
      <c r="AB179" s="133"/>
      <c r="AC179" s="108"/>
      <c r="AD179" s="110">
        <f t="shared" si="73"/>
        <v>3.6760999999999999</v>
      </c>
      <c r="AE179" s="111">
        <f t="shared" si="76"/>
        <v>36633583.629999995</v>
      </c>
      <c r="AF179" s="256"/>
      <c r="AG179" s="281"/>
      <c r="AH179" s="256"/>
    </row>
    <row r="180" spans="1:34" x14ac:dyDescent="0.25">
      <c r="A180" s="21">
        <v>43343</v>
      </c>
      <c r="B180" s="24">
        <f t="shared" si="30"/>
        <v>164</v>
      </c>
      <c r="C180" s="97" t="s">
        <v>129</v>
      </c>
      <c r="D180" s="76">
        <f t="shared" si="35"/>
        <v>1.5966</v>
      </c>
      <c r="E180" s="47">
        <f t="shared" ref="E180" si="81">E179*D180/100+E179</f>
        <v>3565381.6465480835</v>
      </c>
      <c r="F180" s="253"/>
      <c r="G180" s="256"/>
      <c r="H180" s="256"/>
      <c r="I180" s="258"/>
      <c r="J180" s="20">
        <f t="shared" ref="J180" si="82">A180</f>
        <v>43343</v>
      </c>
      <c r="K180" s="27">
        <v>0.83616483852146717</v>
      </c>
      <c r="L180" s="46">
        <f t="shared" ref="L180" si="83">L179*K180/100+L179</f>
        <v>2635857.4694303107</v>
      </c>
      <c r="M180" s="253"/>
      <c r="N180" s="10"/>
      <c r="O180" s="258"/>
      <c r="P180" s="20">
        <f t="shared" si="26"/>
        <v>43343</v>
      </c>
      <c r="Q180" s="45">
        <v>1.5884201489315783</v>
      </c>
      <c r="R180" s="46">
        <f t="shared" si="72"/>
        <v>2554664.5937633319</v>
      </c>
      <c r="S180" s="253"/>
      <c r="T180" s="10"/>
      <c r="U180" s="258"/>
      <c r="V180" s="256"/>
      <c r="W180" s="43" t="s">
        <v>130</v>
      </c>
      <c r="X180" s="107">
        <v>1.4735432016075058</v>
      </c>
      <c r="Y180" s="108">
        <v>19561939.780000001</v>
      </c>
      <c r="Z180" s="107">
        <v>1.6597</v>
      </c>
      <c r="AA180" s="108">
        <v>16977039.560000002</v>
      </c>
      <c r="AB180" s="107"/>
      <c r="AC180" s="108"/>
      <c r="AD180" s="110">
        <f t="shared" si="73"/>
        <v>1.5966</v>
      </c>
      <c r="AE180" s="111">
        <f t="shared" si="76"/>
        <v>36538979.340000004</v>
      </c>
      <c r="AF180" s="256"/>
      <c r="AG180" s="267"/>
      <c r="AH180" s="282"/>
    </row>
    <row r="181" spans="1:34" x14ac:dyDescent="0.25">
      <c r="A181" s="21">
        <v>43373</v>
      </c>
      <c r="B181" s="24">
        <f t="shared" si="30"/>
        <v>165</v>
      </c>
      <c r="C181" s="97" t="s">
        <v>129</v>
      </c>
      <c r="D181" s="76">
        <f t="shared" ref="D181:D182" si="84">AD181</f>
        <v>1.5073000000000001</v>
      </c>
      <c r="E181" s="47">
        <f t="shared" ref="E181" si="85">E180*D181/100+E180</f>
        <v>3619122.6441065026</v>
      </c>
      <c r="F181" s="253"/>
      <c r="G181" s="131">
        <f>(E181/E$178-1)*100</f>
        <v>6.9190526934497232</v>
      </c>
      <c r="H181" s="256"/>
      <c r="I181" s="258"/>
      <c r="J181" s="20">
        <f t="shared" ref="J181" si="86">A181</f>
        <v>43373</v>
      </c>
      <c r="K181" s="27">
        <v>0.47908212501488806</v>
      </c>
      <c r="L181" s="46">
        <f t="shared" ref="L181" si="87">L180*K181/100+L180</f>
        <v>2648485.3914072211</v>
      </c>
      <c r="M181" s="253"/>
      <c r="N181" s="131">
        <f>(L181/L$178-1)*100</f>
        <v>4.4094536684605057</v>
      </c>
      <c r="O181" s="258"/>
      <c r="P181" s="20">
        <f t="shared" si="26"/>
        <v>43373</v>
      </c>
      <c r="Q181" s="45">
        <v>1.1218585068382076</v>
      </c>
      <c r="R181" s="46">
        <f t="shared" si="72"/>
        <v>2583324.3158296496</v>
      </c>
      <c r="S181" s="253"/>
      <c r="T181" s="131">
        <f>(R181/R$178-1)*100</f>
        <v>5.933305543285905</v>
      </c>
      <c r="U181" s="258"/>
      <c r="V181" s="256"/>
      <c r="W181" s="43" t="s">
        <v>130</v>
      </c>
      <c r="X181" s="107">
        <v>1.4191419141914181</v>
      </c>
      <c r="Y181" s="133">
        <v>19452300.050000004</v>
      </c>
      <c r="Z181" s="107">
        <v>1.5282629999999999</v>
      </c>
      <c r="AA181" s="133">
        <v>17236493.379999999</v>
      </c>
      <c r="AB181" s="107"/>
      <c r="AC181" s="108"/>
      <c r="AD181" s="110">
        <f t="shared" si="73"/>
        <v>1.5073000000000001</v>
      </c>
      <c r="AE181" s="111">
        <f t="shared" si="76"/>
        <v>36688793.430000007</v>
      </c>
      <c r="AF181" s="256"/>
      <c r="AG181" s="267"/>
      <c r="AH181" s="282"/>
    </row>
    <row r="182" spans="1:34" x14ac:dyDescent="0.25">
      <c r="A182" s="21">
        <v>43404</v>
      </c>
      <c r="B182" s="24">
        <f t="shared" si="30"/>
        <v>166</v>
      </c>
      <c r="C182" s="97" t="s">
        <v>129</v>
      </c>
      <c r="D182" s="76">
        <f t="shared" si="84"/>
        <v>-5.5579999999999998</v>
      </c>
      <c r="E182" s="47">
        <f t="shared" ref="E182" si="88">E181*D182/100+E181</f>
        <v>3417971.8075470631</v>
      </c>
      <c r="F182" s="253"/>
      <c r="G182" s="256"/>
      <c r="H182" s="256"/>
      <c r="I182" s="258"/>
      <c r="J182" s="20">
        <f t="shared" ref="J182" si="89">A182</f>
        <v>43404</v>
      </c>
      <c r="K182" s="27">
        <v>-7.4721107219412737</v>
      </c>
      <c r="L182" s="46">
        <f t="shared" ref="L182" si="90">L181*K182/100+L181</f>
        <v>2450587.630506834</v>
      </c>
      <c r="M182" s="253"/>
      <c r="N182" s="54"/>
      <c r="O182" s="258"/>
      <c r="P182" s="20">
        <f t="shared" si="26"/>
        <v>43404</v>
      </c>
      <c r="Q182" s="45">
        <v>-4.6730824974907446</v>
      </c>
      <c r="R182" s="46">
        <f t="shared" si="72"/>
        <v>2462603.4393731919</v>
      </c>
      <c r="S182" s="253"/>
      <c r="T182" s="54"/>
      <c r="U182" s="258"/>
      <c r="V182" s="256"/>
      <c r="W182" s="43" t="s">
        <v>130</v>
      </c>
      <c r="X182" s="107">
        <v>-5.7598438008460775</v>
      </c>
      <c r="Y182" s="133">
        <v>18322539.800000004</v>
      </c>
      <c r="Z182" s="107">
        <v>-5.4092860528719848</v>
      </c>
      <c r="AA182" s="133">
        <v>15707687.130000001</v>
      </c>
      <c r="AB182" s="107"/>
      <c r="AC182" s="108"/>
      <c r="AD182" s="110">
        <f t="shared" si="73"/>
        <v>-5.5579999999999998</v>
      </c>
      <c r="AE182" s="111">
        <f t="shared" si="76"/>
        <v>34030226.930000007</v>
      </c>
      <c r="AF182" s="256"/>
      <c r="AG182" s="267"/>
      <c r="AH182" s="282"/>
    </row>
    <row r="183" spans="1:34" x14ac:dyDescent="0.25">
      <c r="A183" s="21">
        <v>43434</v>
      </c>
      <c r="B183" s="24">
        <f t="shared" si="30"/>
        <v>167</v>
      </c>
      <c r="C183" s="97" t="s">
        <v>129</v>
      </c>
      <c r="D183" s="76">
        <f t="shared" ref="D183:D187" si="91">AD183</f>
        <v>3.6337999999999999</v>
      </c>
      <c r="E183" s="47">
        <f t="shared" ref="E183" si="92">E182*D183/100+E182</f>
        <v>3542174.0670897081</v>
      </c>
      <c r="F183" s="253"/>
      <c r="G183" s="256"/>
      <c r="H183" s="256"/>
      <c r="I183" s="258"/>
      <c r="J183" s="20">
        <f t="shared" ref="J183" si="93">A183</f>
        <v>43434</v>
      </c>
      <c r="K183" s="27">
        <v>1.5142311215893969</v>
      </c>
      <c r="L183" s="46">
        <f t="shared" ref="L183" si="94">L182*K183/100+L182</f>
        <v>2487695.1910697888</v>
      </c>
      <c r="M183" s="253"/>
      <c r="N183" s="54"/>
      <c r="O183" s="258"/>
      <c r="P183" s="20">
        <f t="shared" si="26"/>
        <v>43434</v>
      </c>
      <c r="Q183" s="45">
        <v>3.1622251975296889</v>
      </c>
      <c r="R183" s="46">
        <f t="shared" si="72"/>
        <v>2540476.5058482839</v>
      </c>
      <c r="S183" s="253"/>
      <c r="T183" s="54"/>
      <c r="U183" s="258"/>
      <c r="V183" s="256"/>
      <c r="W183" s="43" t="s">
        <v>130</v>
      </c>
      <c r="X183" s="107">
        <v>3.8328729281767933</v>
      </c>
      <c r="Y183" s="133">
        <v>19092665.049999997</v>
      </c>
      <c r="Z183" s="107">
        <v>3.3199422402806489</v>
      </c>
      <c r="AA183" s="133">
        <v>16229173.270000003</v>
      </c>
      <c r="AB183" s="107"/>
      <c r="AC183" s="108"/>
      <c r="AD183" s="110">
        <f t="shared" si="73"/>
        <v>3.6337999999999999</v>
      </c>
      <c r="AE183" s="111">
        <f t="shared" si="76"/>
        <v>35321838.32</v>
      </c>
      <c r="AF183" s="256"/>
      <c r="AG183" s="267"/>
      <c r="AH183" s="282"/>
    </row>
    <row r="184" spans="1:34" x14ac:dyDescent="0.25">
      <c r="A184" s="21">
        <v>43465</v>
      </c>
      <c r="B184" s="24">
        <f t="shared" ref="B184" si="95">IF(A184&gt;A183,1+B183,"-")</f>
        <v>168</v>
      </c>
      <c r="C184" s="97" t="s">
        <v>129</v>
      </c>
      <c r="D184" s="76">
        <f t="shared" si="91"/>
        <v>-6.8103999999999996</v>
      </c>
      <c r="E184" s="47">
        <f t="shared" ref="E184:E187" si="96">E183*D184/100+E183</f>
        <v>3300937.8444246305</v>
      </c>
      <c r="F184" s="253">
        <f>(E184/E$172-1)*100</f>
        <v>-2.147986189639095</v>
      </c>
      <c r="G184" s="131">
        <f>(E184/E$181-1)*100</f>
        <v>-8.7917661536011984</v>
      </c>
      <c r="H184" s="16">
        <f>STDEVP(D149:D184)*SQRT(12)</f>
        <v>8.9744584089143427</v>
      </c>
      <c r="I184" s="258"/>
      <c r="J184" s="20">
        <f t="shared" ref="J184" si="97">A184</f>
        <v>43465</v>
      </c>
      <c r="K184" s="27">
        <v>-6.9989559159407539</v>
      </c>
      <c r="L184" s="46">
        <f t="shared" ref="L184:L186" si="98">L183*K184/100+L183</f>
        <v>2313582.5013238359</v>
      </c>
      <c r="M184" s="253">
        <f>(L184/L$172-1)*100</f>
        <v>-8.9226571944063249</v>
      </c>
      <c r="N184" s="131">
        <f>(L184/L$181-1)*100</f>
        <v>-12.64507220504022</v>
      </c>
      <c r="O184" s="258"/>
      <c r="P184" s="20">
        <f t="shared" si="26"/>
        <v>43465</v>
      </c>
      <c r="Q184" s="45">
        <v>-4.9358324810405279</v>
      </c>
      <c r="R184" s="46">
        <f t="shared" si="72"/>
        <v>2415082.8412994207</v>
      </c>
      <c r="S184" s="253">
        <f>(R184/R$172-1)*100</f>
        <v>-0.98278067414619974</v>
      </c>
      <c r="T184" s="131">
        <f>(R184/R$181-1)*100</f>
        <v>-6.5125959407925542</v>
      </c>
      <c r="U184" s="258"/>
      <c r="V184" s="320">
        <f>STDEVP(Q149:Q184)*SQRT(12)</f>
        <v>8.303486009538231</v>
      </c>
      <c r="W184" s="43" t="s">
        <v>130</v>
      </c>
      <c r="X184" s="107">
        <v>-6.879372</v>
      </c>
      <c r="Y184" s="133">
        <v>17632437.830000002</v>
      </c>
      <c r="Z184" s="107">
        <v>-6.8116018703397563</v>
      </c>
      <c r="AA184" s="133">
        <v>15123706.600000001</v>
      </c>
      <c r="AB184" s="107"/>
      <c r="AC184" s="108"/>
      <c r="AD184" s="110">
        <f t="shared" si="73"/>
        <v>-6.8103999999999996</v>
      </c>
      <c r="AE184" s="111">
        <f t="shared" si="76"/>
        <v>32756144.430000003</v>
      </c>
      <c r="AF184" s="256"/>
      <c r="AG184" s="267"/>
      <c r="AH184" s="282"/>
    </row>
    <row r="185" spans="1:34" x14ac:dyDescent="0.25">
      <c r="A185" s="21">
        <v>43496</v>
      </c>
      <c r="B185" s="24">
        <f t="shared" si="30"/>
        <v>169</v>
      </c>
      <c r="C185" s="97" t="s">
        <v>129</v>
      </c>
      <c r="D185" s="76">
        <f t="shared" si="91"/>
        <v>5.5792000000000002</v>
      </c>
      <c r="E185" s="47">
        <f t="shared" si="96"/>
        <v>3485103.7686407696</v>
      </c>
      <c r="F185" s="256"/>
      <c r="G185" s="256"/>
      <c r="H185"/>
      <c r="I185" s="258"/>
      <c r="J185" s="20">
        <f t="shared" ref="J185" si="99">A185</f>
        <v>43496</v>
      </c>
      <c r="K185" s="27">
        <v>7.932141646624137</v>
      </c>
      <c r="L185" s="46">
        <f t="shared" si="98"/>
        <v>2497099.1424403521</v>
      </c>
      <c r="M185" s="18"/>
      <c r="N185" s="10"/>
      <c r="O185" s="258"/>
      <c r="P185" s="20">
        <f t="shared" si="26"/>
        <v>43496</v>
      </c>
      <c r="Q185" s="45">
        <v>4.9648972923875769</v>
      </c>
      <c r="R185" s="46">
        <f t="shared" si="72"/>
        <v>2534989.2238960126</v>
      </c>
      <c r="S185" s="18"/>
      <c r="T185" s="10"/>
      <c r="U185" s="258"/>
      <c r="V185" s="256"/>
      <c r="W185" s="43" t="s">
        <v>130</v>
      </c>
      <c r="X185" s="107">
        <v>5.5414704817095295</v>
      </c>
      <c r="Y185" s="133">
        <v>18474074.5</v>
      </c>
      <c r="Z185" s="107">
        <v>5.541634717</v>
      </c>
      <c r="AA185" s="133">
        <v>15945924.02</v>
      </c>
      <c r="AB185" s="107"/>
      <c r="AC185" s="108"/>
      <c r="AD185" s="110">
        <f t="shared" si="73"/>
        <v>5.5792000000000002</v>
      </c>
      <c r="AE185" s="111">
        <f t="shared" si="76"/>
        <v>34419998.519999996</v>
      </c>
      <c r="AF185" s="256"/>
      <c r="AG185" s="267"/>
      <c r="AH185" s="282"/>
    </row>
    <row r="186" spans="1:34" x14ac:dyDescent="0.25">
      <c r="A186" s="21">
        <v>43524</v>
      </c>
      <c r="B186" s="24">
        <f t="shared" si="30"/>
        <v>170</v>
      </c>
      <c r="C186" s="97" t="s">
        <v>129</v>
      </c>
      <c r="D186" s="76">
        <f t="shared" si="91"/>
        <v>3.9451999999999998</v>
      </c>
      <c r="E186" s="47">
        <f t="shared" si="96"/>
        <v>3622598.0825211853</v>
      </c>
      <c r="F186" s="256"/>
      <c r="G186" s="256"/>
      <c r="H186"/>
      <c r="I186" s="258"/>
      <c r="J186" s="20">
        <f t="shared" ref="J186" si="100">A186</f>
        <v>43524</v>
      </c>
      <c r="K186" s="27">
        <v>2.7255672855674291</v>
      </c>
      <c r="L186" s="46">
        <f t="shared" si="98"/>
        <v>2565159.259754891</v>
      </c>
      <c r="M186" s="253"/>
      <c r="N186" s="10"/>
      <c r="O186" s="258"/>
      <c r="P186" s="20">
        <f t="shared" si="26"/>
        <v>43524</v>
      </c>
      <c r="Q186" s="45">
        <v>2.7657101815265102</v>
      </c>
      <c r="R186" s="46">
        <f t="shared" si="72"/>
        <v>2605099.6789619047</v>
      </c>
      <c r="S186" s="18"/>
      <c r="T186" s="10"/>
      <c r="U186" s="258"/>
      <c r="V186" s="256"/>
      <c r="W186" s="43" t="s">
        <v>130</v>
      </c>
      <c r="X186" s="107">
        <v>3.9121482498284164</v>
      </c>
      <c r="Y186" s="133">
        <v>19109488.34</v>
      </c>
      <c r="Z186" s="107">
        <v>3.902351781054092</v>
      </c>
      <c r="AA186" s="133">
        <v>16568190.070000006</v>
      </c>
      <c r="AB186" s="107"/>
      <c r="AC186" s="108"/>
      <c r="AD186" s="110">
        <f t="shared" si="73"/>
        <v>3.9451999999999998</v>
      </c>
      <c r="AE186" s="111">
        <f t="shared" si="76"/>
        <v>35677678.410000004</v>
      </c>
      <c r="AF186" s="256"/>
      <c r="AG186" s="267"/>
      <c r="AH186" s="282"/>
    </row>
    <row r="187" spans="1:34" ht="16.5" thickBot="1" x14ac:dyDescent="0.3">
      <c r="A187" s="21">
        <v>43555</v>
      </c>
      <c r="B187" s="24">
        <f t="shared" si="30"/>
        <v>171</v>
      </c>
      <c r="C187" s="97" t="s">
        <v>129</v>
      </c>
      <c r="D187" s="76">
        <f t="shared" si="91"/>
        <v>1.8436999999999999</v>
      </c>
      <c r="E187" s="47">
        <f t="shared" si="96"/>
        <v>3689387.9233686281</v>
      </c>
      <c r="F187" s="253"/>
      <c r="G187" s="131">
        <f>(E187/E$184-1)*100</f>
        <v>11.767870140302694</v>
      </c>
      <c r="H187"/>
      <c r="I187" s="258"/>
      <c r="J187" s="20">
        <f t="shared" ref="J187" si="101">A187</f>
        <v>43555</v>
      </c>
      <c r="K187" s="27">
        <v>1.3291747259706461</v>
      </c>
      <c r="L187" s="46">
        <f t="shared" ref="L187" si="102">L186*K187/100+L186</f>
        <v>2599254.7083164486</v>
      </c>
      <c r="M187" s="253"/>
      <c r="N187" s="131">
        <f>(L187/L$184-1)*100</f>
        <v>12.347612710121659</v>
      </c>
      <c r="O187" s="258"/>
      <c r="P187" s="20">
        <f t="shared" si="26"/>
        <v>43555</v>
      </c>
      <c r="Q187" s="45">
        <v>2.0997431422921689</v>
      </c>
      <c r="R187" s="46">
        <f t="shared" si="72"/>
        <v>2659800.0808207826</v>
      </c>
      <c r="S187" s="253"/>
      <c r="T187" s="131">
        <f>(R187/R$184-1)*100</f>
        <v>10.132871441780168</v>
      </c>
      <c r="U187" s="258"/>
      <c r="V187" s="256"/>
      <c r="W187" s="43" t="s">
        <v>130</v>
      </c>
      <c r="X187" s="107">
        <v>1.7503302509907448</v>
      </c>
      <c r="Y187" s="133">
        <v>19789283.229999997</v>
      </c>
      <c r="Z187" s="107">
        <v>1.8706479023390399</v>
      </c>
      <c r="AA187" s="133">
        <v>16878122.57</v>
      </c>
      <c r="AB187" s="107"/>
      <c r="AC187" s="108"/>
      <c r="AD187" s="110">
        <f t="shared" si="73"/>
        <v>1.8436999999999999</v>
      </c>
      <c r="AE187" s="111">
        <f t="shared" si="76"/>
        <v>36667405.799999997</v>
      </c>
      <c r="AF187" s="256"/>
      <c r="AG187" s="267"/>
      <c r="AH187" s="282"/>
    </row>
    <row r="188" spans="1:34" x14ac:dyDescent="0.25">
      <c r="A188" s="21">
        <v>43585</v>
      </c>
      <c r="B188" s="24">
        <f t="shared" si="30"/>
        <v>172</v>
      </c>
      <c r="C188" s="97" t="s">
        <v>129</v>
      </c>
      <c r="D188" s="76">
        <f t="shared" ref="D188:D189" si="103">AD188</f>
        <v>2.9540000000000002</v>
      </c>
      <c r="E188" s="47">
        <f t="shared" ref="E188" si="104">E187*D188/100+E187</f>
        <v>3798372.4426249373</v>
      </c>
      <c r="F188" s="253"/>
      <c r="G188" s="256"/>
      <c r="H188"/>
      <c r="I188" s="258"/>
      <c r="J188" s="20">
        <f t="shared" ref="J188" si="105">A188</f>
        <v>43585</v>
      </c>
      <c r="K188" s="27">
        <v>3.4239396443720134</v>
      </c>
      <c r="L188" s="46">
        <f t="shared" ref="L188" si="106">L187*K188/100+L187</f>
        <v>2688251.6207327018</v>
      </c>
      <c r="M188" s="253"/>
      <c r="N188" s="10"/>
      <c r="O188" s="258"/>
      <c r="P188" s="20">
        <f t="shared" si="26"/>
        <v>43585</v>
      </c>
      <c r="Q188" s="45">
        <v>0.93638366927838645</v>
      </c>
      <c r="R188" s="46">
        <f t="shared" si="72"/>
        <v>2684706.0144130415</v>
      </c>
      <c r="S188" s="253"/>
      <c r="T188" s="10"/>
      <c r="U188" s="258"/>
      <c r="V188" s="256"/>
      <c r="W188" s="43" t="s">
        <v>130</v>
      </c>
      <c r="X188" s="107">
        <v>2.8886725089256755</v>
      </c>
      <c r="Y188" s="133">
        <v>20423187.789999999</v>
      </c>
      <c r="Z188" s="107">
        <v>2.9484258814660791</v>
      </c>
      <c r="AA188" s="133">
        <v>17359232.700000003</v>
      </c>
      <c r="AB188" s="324" t="s">
        <v>113</v>
      </c>
      <c r="AC188" s="325" t="s">
        <v>81</v>
      </c>
      <c r="AD188" s="110">
        <f t="shared" si="73"/>
        <v>2.9540000000000002</v>
      </c>
      <c r="AE188" s="111">
        <f t="shared" si="76"/>
        <v>37782420.490000002</v>
      </c>
      <c r="AF188" s="256"/>
      <c r="AG188" s="267"/>
      <c r="AH188" s="282"/>
    </row>
    <row r="189" spans="1:34" x14ac:dyDescent="0.25">
      <c r="A189" s="21">
        <v>43616</v>
      </c>
      <c r="B189" s="24">
        <f t="shared" si="30"/>
        <v>173</v>
      </c>
      <c r="C189" s="97" t="s">
        <v>129</v>
      </c>
      <c r="D189" s="76">
        <f t="shared" si="103"/>
        <v>-1.7283999999999999</v>
      </c>
      <c r="E189" s="47">
        <f t="shared" ref="E189" si="107">E188*D189/100+E188</f>
        <v>3732721.373326608</v>
      </c>
      <c r="F189" s="253"/>
      <c r="G189" s="131"/>
      <c r="H189"/>
      <c r="I189" s="258"/>
      <c r="J189" s="20">
        <f t="shared" ref="J189" si="108">A189</f>
        <v>43616</v>
      </c>
      <c r="K189" s="27">
        <v>-5.856421248835038</v>
      </c>
      <c r="L189" s="46">
        <f t="shared" ref="L189" si="109">L188*K189/100+L188</f>
        <v>2530816.2815939598</v>
      </c>
      <c r="M189" s="253"/>
      <c r="N189" s="131"/>
      <c r="O189" s="258"/>
      <c r="P189" s="20">
        <f t="shared" si="26"/>
        <v>43616</v>
      </c>
      <c r="Q189" s="45">
        <v>-1.0313721987883779</v>
      </c>
      <c r="R189" s="46">
        <f t="shared" si="72"/>
        <v>2657016.7029611859</v>
      </c>
      <c r="S189" s="253"/>
      <c r="T189" s="131"/>
      <c r="U189" s="258"/>
      <c r="V189" s="256"/>
      <c r="W189" s="43" t="s">
        <v>130</v>
      </c>
      <c r="X189" s="107">
        <v>-1.8927444794952615</v>
      </c>
      <c r="Y189" s="133">
        <v>20700370.749999996</v>
      </c>
      <c r="Z189" s="107">
        <v>-1.6173803948948393</v>
      </c>
      <c r="AA189" s="133">
        <v>12096728.620000003</v>
      </c>
      <c r="AB189" s="107"/>
      <c r="AC189" s="108">
        <v>6453582.1100000003</v>
      </c>
      <c r="AD189" s="110">
        <f t="shared" si="73"/>
        <v>-1.7283999999999999</v>
      </c>
      <c r="AE189" s="111">
        <f t="shared" ref="AE189:AE196" si="110">Y189+AA189+AC189</f>
        <v>39250681.479999997</v>
      </c>
      <c r="AF189" s="256"/>
      <c r="AG189" s="267"/>
      <c r="AH189" s="282"/>
    </row>
    <row r="190" spans="1:34" x14ac:dyDescent="0.25">
      <c r="A190" s="21">
        <v>43646</v>
      </c>
      <c r="B190" s="24">
        <f t="shared" si="30"/>
        <v>174</v>
      </c>
      <c r="C190" s="97" t="s">
        <v>131</v>
      </c>
      <c r="D190" s="76">
        <f t="shared" ref="D190" si="111">AD190</f>
        <v>4.5640000000000001</v>
      </c>
      <c r="E190" s="47">
        <f t="shared" ref="E190" si="112">E189*D190/100+E189</f>
        <v>3903082.7768052341</v>
      </c>
      <c r="F190" s="253"/>
      <c r="G190" s="131">
        <f>(E190/E$187-1)*100</f>
        <v>5.7921492094409555</v>
      </c>
      <c r="H190"/>
      <c r="I190" s="258"/>
      <c r="J190" s="20">
        <f t="shared" ref="J190" si="113">A190</f>
        <v>43646</v>
      </c>
      <c r="K190" s="27">
        <v>6.5977240000000004</v>
      </c>
      <c r="L190" s="46">
        <f t="shared" ref="L190" si="114">L189*K190/100+L189</f>
        <v>2697792.5548005919</v>
      </c>
      <c r="M190" s="253"/>
      <c r="N190" s="131">
        <f>(L190/L$187-1)*100</f>
        <v>3.7910038661800316</v>
      </c>
      <c r="O190" s="258"/>
      <c r="P190" s="20">
        <f t="shared" si="26"/>
        <v>43646</v>
      </c>
      <c r="Q190" s="45">
        <v>4.3560455235483158</v>
      </c>
      <c r="R190" s="46">
        <f t="shared" si="72"/>
        <v>2772757.5601104577</v>
      </c>
      <c r="S190" s="253"/>
      <c r="T190" s="131">
        <f>(R190/R$187-1)*100</f>
        <v>4.2468409601227552</v>
      </c>
      <c r="U190" s="258"/>
      <c r="V190" s="256"/>
      <c r="W190" s="43" t="s">
        <v>132</v>
      </c>
      <c r="X190" s="107">
        <v>4.4372990000000003</v>
      </c>
      <c r="Y190" s="133">
        <v>21749593.419999998</v>
      </c>
      <c r="Z190" s="107">
        <v>4.6449196113320879</v>
      </c>
      <c r="AA190" s="133">
        <v>12658611.939999998</v>
      </c>
      <c r="AB190" s="107">
        <v>4.5940956657325094</v>
      </c>
      <c r="AC190" s="108">
        <v>6750065.845999999</v>
      </c>
      <c r="AD190" s="110">
        <f t="shared" ref="AD190:AD195" si="115">ROUND(Y189/AE189*(X190+0.84/12)+(AA189/AE189*Z190)+(AC189/AE189*AB190),4)</f>
        <v>4.5640000000000001</v>
      </c>
      <c r="AE190" s="111">
        <f t="shared" si="110"/>
        <v>41158271.206</v>
      </c>
      <c r="AF190" s="256"/>
      <c r="AG190" s="267"/>
      <c r="AH190" s="282"/>
    </row>
    <row r="191" spans="1:34" x14ac:dyDescent="0.25">
      <c r="A191" s="21">
        <v>43677</v>
      </c>
      <c r="B191" s="24">
        <f t="shared" si="30"/>
        <v>175</v>
      </c>
      <c r="C191" s="97" t="s">
        <v>131</v>
      </c>
      <c r="D191" s="76">
        <f t="shared" ref="D191" si="116">AD191</f>
        <v>5.16E-2</v>
      </c>
      <c r="E191" s="47">
        <f t="shared" ref="E191" si="117">E190*D191/100+E190</f>
        <v>3905096.7675180659</v>
      </c>
      <c r="F191" s="253"/>
      <c r="G191" s="131"/>
      <c r="H191"/>
      <c r="I191" s="258"/>
      <c r="J191" s="20">
        <f t="shared" ref="J191" si="118">A191</f>
        <v>43677</v>
      </c>
      <c r="K191" s="27">
        <v>0.32810790000000001</v>
      </c>
      <c r="L191" s="46">
        <f t="shared" ref="L191" si="119">L190*K191/100+L190</f>
        <v>2706644.2252985043</v>
      </c>
      <c r="M191" s="253"/>
      <c r="N191" s="131"/>
      <c r="O191" s="258"/>
      <c r="P191" s="20">
        <f t="shared" si="26"/>
        <v>43677</v>
      </c>
      <c r="Q191" s="45">
        <v>0.24967827718830277</v>
      </c>
      <c r="R191" s="46">
        <f t="shared" si="72"/>
        <v>2779680.5334171499</v>
      </c>
      <c r="S191" s="253"/>
      <c r="T191" s="131"/>
      <c r="U191" s="258"/>
      <c r="V191" s="256"/>
      <c r="W191" s="43" t="s">
        <v>132</v>
      </c>
      <c r="X191" s="107">
        <v>-6.1576359999999997E-2</v>
      </c>
      <c r="Y191" s="133">
        <v>21542734.800000001</v>
      </c>
      <c r="Z191" s="107">
        <v>9.3469008290789107E-2</v>
      </c>
      <c r="AA191" s="133">
        <v>12656399.279999999</v>
      </c>
      <c r="AB191" s="107">
        <v>0.11230898903969648</v>
      </c>
      <c r="AC191" s="108">
        <v>6744852.6449999996</v>
      </c>
      <c r="AD191" s="110">
        <f t="shared" si="115"/>
        <v>5.16E-2</v>
      </c>
      <c r="AE191" s="111">
        <f t="shared" si="110"/>
        <v>40943986.724999994</v>
      </c>
      <c r="AF191" s="256"/>
      <c r="AG191" s="256"/>
      <c r="AH191" s="256"/>
    </row>
    <row r="192" spans="1:34" x14ac:dyDescent="0.25">
      <c r="A192" s="21">
        <v>43708</v>
      </c>
      <c r="B192" s="24">
        <f t="shared" si="30"/>
        <v>176</v>
      </c>
      <c r="C192" s="97" t="s">
        <v>131</v>
      </c>
      <c r="D192" s="76">
        <f t="shared" ref="D192:D194" si="120">AD192</f>
        <v>0.42570000000000002</v>
      </c>
      <c r="E192" s="47">
        <f t="shared" ref="E192" si="121">E191*D192/100+E191</f>
        <v>3921720.7644573902</v>
      </c>
      <c r="F192" s="253"/>
      <c r="G192" s="256"/>
      <c r="H192"/>
      <c r="I192" s="258"/>
      <c r="J192" s="20">
        <f t="shared" ref="J192" si="122">A192</f>
        <v>43708</v>
      </c>
      <c r="K192" s="27">
        <v>-2.3207909999999998</v>
      </c>
      <c r="L192" s="46">
        <f t="shared" ref="L192" si="123">L191*K192/100+L191</f>
        <v>2643828.669715757</v>
      </c>
      <c r="M192" s="253"/>
      <c r="N192" s="54"/>
      <c r="O192" s="258"/>
      <c r="P192" s="20">
        <f t="shared" si="26"/>
        <v>43708</v>
      </c>
      <c r="Q192" s="45">
        <v>1.4560961806742698</v>
      </c>
      <c r="R192" s="46">
        <f t="shared" si="72"/>
        <v>2820155.3554991833</v>
      </c>
      <c r="S192" s="253"/>
      <c r="T192" s="54"/>
      <c r="U192" s="258"/>
      <c r="V192" s="256"/>
      <c r="W192" s="43" t="s">
        <v>132</v>
      </c>
      <c r="X192" s="107">
        <v>0.49291430000000003</v>
      </c>
      <c r="Y192" s="133">
        <v>21489263.040000003</v>
      </c>
      <c r="Z192" s="107">
        <v>0.2735597955945579</v>
      </c>
      <c r="AA192" s="133">
        <v>12691022.100000001</v>
      </c>
      <c r="AB192" s="107">
        <v>0.27315304441972721</v>
      </c>
      <c r="AC192" s="133">
        <v>6763276.2900000028</v>
      </c>
      <c r="AD192" s="110">
        <f t="shared" si="115"/>
        <v>0.42570000000000002</v>
      </c>
      <c r="AE192" s="111">
        <f t="shared" si="110"/>
        <v>40943561.430000007</v>
      </c>
      <c r="AF192" s="256"/>
      <c r="AG192" s="256"/>
      <c r="AH192" s="256"/>
    </row>
    <row r="193" spans="1:32" x14ac:dyDescent="0.25">
      <c r="A193" s="21">
        <v>43738</v>
      </c>
      <c r="B193" s="24">
        <f t="shared" si="30"/>
        <v>177</v>
      </c>
      <c r="C193" s="97" t="s">
        <v>131</v>
      </c>
      <c r="D193" s="76">
        <f t="shared" si="120"/>
        <v>1.5269999999999999</v>
      </c>
      <c r="E193" s="47">
        <f t="shared" ref="E193" si="124">E192*D193/100+E192</f>
        <v>3981605.4405306545</v>
      </c>
      <c r="F193" s="253"/>
      <c r="G193" s="131">
        <f>(E193/E190-1)*100</f>
        <v>2.0118113864265208</v>
      </c>
      <c r="H193"/>
      <c r="I193" s="258"/>
      <c r="J193" s="20">
        <f t="shared" ref="J193" si="125">A193</f>
        <v>43738</v>
      </c>
      <c r="K193" s="27">
        <v>2.1464979999999998</v>
      </c>
      <c r="L193" s="46">
        <f t="shared" ref="L193" si="126">L192*K193/100+L192</f>
        <v>2700578.3992346325</v>
      </c>
      <c r="M193" s="253"/>
      <c r="N193" s="131">
        <f>(L193/L190-1)*100</f>
        <v>0.10326384914522979</v>
      </c>
      <c r="O193" s="258"/>
      <c r="P193" s="20">
        <f t="shared" si="26"/>
        <v>43738</v>
      </c>
      <c r="Q193" s="45">
        <v>1.1785595046831587</v>
      </c>
      <c r="R193" s="46">
        <f t="shared" si="72"/>
        <v>2853392.5644882498</v>
      </c>
      <c r="S193" s="253"/>
      <c r="T193" s="131">
        <f>(R193/R190-1)*100</f>
        <v>2.908115932594546</v>
      </c>
      <c r="U193" s="258"/>
      <c r="V193" s="256"/>
      <c r="W193" s="256"/>
      <c r="X193" s="107">
        <v>1.3795219999999999</v>
      </c>
      <c r="Y193" s="133">
        <v>21045555.34</v>
      </c>
      <c r="Z193" s="107">
        <v>1.6092210571440058</v>
      </c>
      <c r="AA193" s="133">
        <v>12895248.699999999</v>
      </c>
      <c r="AB193" s="107">
        <v>1.6187392811657597</v>
      </c>
      <c r="AC193" s="133">
        <v>6872756.0400000019</v>
      </c>
      <c r="AD193" s="110">
        <f t="shared" si="115"/>
        <v>1.5269999999999999</v>
      </c>
      <c r="AE193" s="111">
        <f t="shared" si="110"/>
        <v>40813560.079999998</v>
      </c>
      <c r="AF193" s="256"/>
    </row>
    <row r="194" spans="1:32" x14ac:dyDescent="0.25">
      <c r="A194" s="21">
        <v>43769</v>
      </c>
      <c r="B194" s="24">
        <f t="shared" si="30"/>
        <v>178</v>
      </c>
      <c r="C194" s="97" t="s">
        <v>131</v>
      </c>
      <c r="D194" s="76">
        <f t="shared" si="120"/>
        <v>7.6E-3</v>
      </c>
      <c r="E194" s="47">
        <f t="shared" ref="E194" si="127">E193*D194/100+E193</f>
        <v>3981908.0425441349</v>
      </c>
      <c r="F194" s="253"/>
      <c r="G194" s="131"/>
      <c r="H194"/>
      <c r="I194" s="258"/>
      <c r="J194" s="20">
        <f t="shared" ref="J194" si="128">A194</f>
        <v>43769</v>
      </c>
      <c r="K194" s="27">
        <v>2.762095</v>
      </c>
      <c r="L194" s="46">
        <f t="shared" ref="L194" si="129">L193*K194/100+L193</f>
        <v>2775170.9401709721</v>
      </c>
      <c r="M194" s="253"/>
      <c r="N194" s="131"/>
      <c r="O194" s="258"/>
      <c r="P194" s="20">
        <f t="shared" si="26"/>
        <v>43769</v>
      </c>
      <c r="Q194" s="45">
        <v>1.0793504400695297</v>
      </c>
      <c r="R194" s="46">
        <f t="shared" si="72"/>
        <v>2884190.669689965</v>
      </c>
      <c r="S194" s="253"/>
      <c r="T194" s="131"/>
      <c r="U194" s="258"/>
      <c r="V194" s="256"/>
      <c r="W194" s="256"/>
      <c r="X194" s="107">
        <v>-0.2116722</v>
      </c>
      <c r="Y194" s="133">
        <v>27554962.840000004</v>
      </c>
      <c r="Z194" s="107">
        <v>0.18</v>
      </c>
      <c r="AA194" s="133">
        <v>9405543.3000000026</v>
      </c>
      <c r="AB194" s="107">
        <v>0.14108033616479526</v>
      </c>
      <c r="AC194" s="133">
        <v>6869168.2299999986</v>
      </c>
      <c r="AD194" s="110">
        <f t="shared" si="115"/>
        <v>7.6E-3</v>
      </c>
      <c r="AE194" s="111">
        <f t="shared" si="110"/>
        <v>43829674.370000005</v>
      </c>
      <c r="AF194" s="256"/>
    </row>
    <row r="195" spans="1:32" x14ac:dyDescent="0.25">
      <c r="A195" s="21">
        <v>43799</v>
      </c>
      <c r="B195" s="24">
        <f t="shared" si="30"/>
        <v>179</v>
      </c>
      <c r="C195" s="97" t="s">
        <v>131</v>
      </c>
      <c r="D195" s="76">
        <f t="shared" ref="D195" si="130">AD195</f>
        <v>1.6137999999999999</v>
      </c>
      <c r="E195" s="47">
        <f t="shared" ref="E195" si="131">E194*D195/100+E194</f>
        <v>4046168.0745347124</v>
      </c>
      <c r="F195" s="253"/>
      <c r="G195" s="131"/>
      <c r="H195"/>
      <c r="I195" s="258"/>
      <c r="J195" s="20">
        <f t="shared" ref="J195" si="132">A195</f>
        <v>43799</v>
      </c>
      <c r="K195" s="27">
        <v>2.488449164891311</v>
      </c>
      <c r="L195" s="46">
        <f t="shared" ref="L195" si="133">L194*K195/100+L194</f>
        <v>2844229.6582559631</v>
      </c>
      <c r="M195" s="253"/>
      <c r="N195" s="131"/>
      <c r="O195" s="258"/>
      <c r="P195" s="20">
        <f t="shared" si="26"/>
        <v>43799</v>
      </c>
      <c r="Q195" s="45">
        <v>9.209117688141473E-2</v>
      </c>
      <c r="R195" s="46">
        <f t="shared" si="72"/>
        <v>2886846.7548211864</v>
      </c>
      <c r="S195" s="253"/>
      <c r="T195" s="131"/>
      <c r="U195" s="258"/>
      <c r="V195" s="256"/>
      <c r="W195" s="256"/>
      <c r="X195" s="107">
        <v>1.6060606060606095</v>
      </c>
      <c r="Y195" s="133">
        <v>28342017.02</v>
      </c>
      <c r="Z195" s="107">
        <v>1.46</v>
      </c>
      <c r="AA195" s="133">
        <v>6006305.3999999994</v>
      </c>
      <c r="AB195" s="107">
        <v>1.5747055011345878</v>
      </c>
      <c r="AC195" s="133">
        <v>6977337.3999999994</v>
      </c>
      <c r="AD195" s="110">
        <f t="shared" si="115"/>
        <v>1.6137999999999999</v>
      </c>
      <c r="AE195" s="111">
        <f t="shared" si="110"/>
        <v>41325659.82</v>
      </c>
      <c r="AF195" s="256"/>
    </row>
    <row r="196" spans="1:32" x14ac:dyDescent="0.25">
      <c r="A196" s="21">
        <v>43830</v>
      </c>
      <c r="B196" s="24">
        <f t="shared" si="30"/>
        <v>180</v>
      </c>
      <c r="C196" s="97" t="s">
        <v>131</v>
      </c>
      <c r="D196" s="76">
        <f t="shared" ref="D196" si="134">AD196</f>
        <v>2.2049609999999999</v>
      </c>
      <c r="E196" s="47">
        <f t="shared" ref="E196" si="135">E195*D196/100+E195</f>
        <v>4135384.5025726538</v>
      </c>
      <c r="F196" s="253">
        <f>(E196/E$184-1)*100</f>
        <v>25.279078173417457</v>
      </c>
      <c r="G196" s="131">
        <f>(E196/E193-1)*100</f>
        <v>3.862237590812212</v>
      </c>
      <c r="H196" s="16">
        <f>STDEVP(K161:K196)*SQRT(12)</f>
        <v>11.211956466063148</v>
      </c>
      <c r="I196" s="258"/>
      <c r="J196" s="20">
        <f t="shared" ref="J196" si="136">A196</f>
        <v>43830</v>
      </c>
      <c r="K196" s="27">
        <v>3.5623201575041645</v>
      </c>
      <c r="L196" s="46">
        <f t="shared" ref="L196" si="137">L195*K196/100+L195</f>
        <v>2945550.2246977272</v>
      </c>
      <c r="M196" s="253">
        <f>(L196/L$184-1)*100</f>
        <v>27.31554733891177</v>
      </c>
      <c r="N196" s="131">
        <f>(L196/L193-1)*100</f>
        <v>9.0710873467891862</v>
      </c>
      <c r="O196" s="258"/>
      <c r="P196" s="20">
        <f t="shared" si="26"/>
        <v>43830</v>
      </c>
      <c r="Q196" s="45">
        <v>1.8871198089818233</v>
      </c>
      <c r="R196" s="46">
        <f t="shared" ref="R196" si="138">R195*Q196/100+R195</f>
        <v>2941325.0117863659</v>
      </c>
      <c r="S196" s="253">
        <f>(R196/R$184-1)*100</f>
        <v>21.789818613584444</v>
      </c>
      <c r="T196" s="131">
        <f>(R196/R193-1)*100</f>
        <v>3.081680676976406</v>
      </c>
      <c r="U196" s="258"/>
      <c r="V196" s="320">
        <f>STDEVP(Q161:Q196)*SQRT(12)</f>
        <v>7.3828263020054568</v>
      </c>
      <c r="W196" s="256"/>
      <c r="X196" s="107">
        <v>2.1251359999999999</v>
      </c>
      <c r="Y196" s="133">
        <v>28649715.059999995</v>
      </c>
      <c r="Z196" s="107">
        <v>2.2332499645597128</v>
      </c>
      <c r="AA196" s="133">
        <v>5119549.5199999996</v>
      </c>
      <c r="AB196" s="107">
        <v>2.2205170986858036</v>
      </c>
      <c r="AC196" s="133">
        <v>7132270.3399999999</v>
      </c>
      <c r="AD196" s="110">
        <f>ROUND(Y195/AE195*(X196+0.84/12)+(AA195/AE195*Z196)+(AC195/AE195*AB196),6)</f>
        <v>2.2049609999999999</v>
      </c>
      <c r="AE196" s="111">
        <f t="shared" si="110"/>
        <v>40901534.920000002</v>
      </c>
      <c r="AF196" s="256"/>
    </row>
    <row r="197" spans="1:32" x14ac:dyDescent="0.25">
      <c r="A197" s="21">
        <v>43861</v>
      </c>
      <c r="B197" s="24">
        <f t="shared" si="30"/>
        <v>181</v>
      </c>
      <c r="C197" s="97" t="s">
        <v>131</v>
      </c>
      <c r="D197" s="76">
        <f t="shared" ref="D197:D199" si="139">AD197</f>
        <v>1.0734999999999999</v>
      </c>
      <c r="E197" s="47">
        <f t="shared" ref="E197:E199" si="140">E196*D197/100+E196</f>
        <v>4179777.8552077711</v>
      </c>
      <c r="F197" s="253"/>
      <c r="G197" s="131"/>
      <c r="H197"/>
      <c r="I197" s="258"/>
      <c r="J197" s="20">
        <f t="shared" ref="J197" si="141">A197</f>
        <v>43861</v>
      </c>
      <c r="K197" s="27">
        <v>-1.0770090000000001</v>
      </c>
      <c r="L197" s="46">
        <f t="shared" ref="L197" si="142">L196*K197/100+L196</f>
        <v>2913826.3836782123</v>
      </c>
      <c r="M197" s="253"/>
      <c r="N197" s="131"/>
      <c r="O197" s="258"/>
      <c r="P197" s="20">
        <f t="shared" si="26"/>
        <v>43861</v>
      </c>
      <c r="Q197" s="45">
        <v>1.4263776849507244</v>
      </c>
      <c r="R197" s="46">
        <f t="shared" ref="R197" si="143">R196*Q197/100+R196</f>
        <v>2983279.4153963607</v>
      </c>
      <c r="S197" s="253"/>
      <c r="T197" s="131"/>
      <c r="U197" s="258"/>
      <c r="V197" s="256"/>
      <c r="W197" s="256"/>
      <c r="X197" s="107">
        <v>0.96764439999999996</v>
      </c>
      <c r="Y197" s="133">
        <v>33761564.439999998</v>
      </c>
      <c r="Z197" s="107">
        <v>1.1399999999999999</v>
      </c>
      <c r="AA197" s="133">
        <v>5172171.6700000009</v>
      </c>
      <c r="AB197" s="107">
        <v>1.17</v>
      </c>
      <c r="AC197" s="133">
        <v>7203667.9470000006</v>
      </c>
      <c r="AD197" s="110">
        <f t="shared" ref="AD197:AD208" si="144">ROUND(Y196/AE196*(X197+0.84/12)+(AA196/AE196*Z197)+(AC196/AE196*AB197),4)</f>
        <v>1.0734999999999999</v>
      </c>
      <c r="AE197" s="111">
        <f t="shared" ref="AE197:AE208" si="145">Y197+AA197+AC197</f>
        <v>46137404.056999996</v>
      </c>
      <c r="AF197" s="256"/>
    </row>
    <row r="198" spans="1:32" x14ac:dyDescent="0.25">
      <c r="A198" s="21">
        <v>43890</v>
      </c>
      <c r="B198" s="24">
        <f t="shared" si="30"/>
        <v>182</v>
      </c>
      <c r="C198" s="97" t="s">
        <v>131</v>
      </c>
      <c r="D198" s="76">
        <f t="shared" si="139"/>
        <v>-7.3334000000000001</v>
      </c>
      <c r="E198" s="47">
        <f t="shared" si="140"/>
        <v>3873258.0259739645</v>
      </c>
      <c r="F198" s="253"/>
      <c r="G198" s="131"/>
      <c r="H198"/>
      <c r="I198" s="258"/>
      <c r="J198" s="20">
        <f t="shared" ref="J198" si="146">A198</f>
        <v>43890</v>
      </c>
      <c r="K198" s="27">
        <v>-8.0440470000000008</v>
      </c>
      <c r="L198" s="46">
        <f t="shared" ref="L198" si="147">L197*K198/100+L197</f>
        <v>2679436.8198767365</v>
      </c>
      <c r="M198" s="253"/>
      <c r="N198" s="256"/>
      <c r="O198" s="258"/>
      <c r="P198" s="20">
        <f t="shared" si="26"/>
        <v>43890</v>
      </c>
      <c r="Q198" s="45">
        <v>-7.653139991081706</v>
      </c>
      <c r="R198" s="46">
        <f t="shared" ref="R198" si="148">R197*Q198/100+R197</f>
        <v>2754964.8654109533</v>
      </c>
      <c r="S198" s="253"/>
      <c r="T198" s="256"/>
      <c r="U198" s="258"/>
      <c r="V198" s="256"/>
      <c r="W198" s="256"/>
      <c r="X198" s="107">
        <v>-7.277628</v>
      </c>
      <c r="Y198" s="133">
        <v>30871542.510000002</v>
      </c>
      <c r="Z198" s="107">
        <v>-7.56</v>
      </c>
      <c r="AA198" s="133">
        <v>4706365.9799999995</v>
      </c>
      <c r="AB198" s="107">
        <v>-7.76</v>
      </c>
      <c r="AC198" s="133">
        <v>6647942.8714999985</v>
      </c>
      <c r="AD198" s="110">
        <f t="shared" si="144"/>
        <v>-7.3334000000000001</v>
      </c>
      <c r="AE198" s="111">
        <f t="shared" si="145"/>
        <v>42225851.361500002</v>
      </c>
      <c r="AF198" s="256"/>
    </row>
    <row r="199" spans="1:32" x14ac:dyDescent="0.25">
      <c r="A199" s="21">
        <v>43921</v>
      </c>
      <c r="B199" s="24">
        <f t="shared" ref="B199:B200" si="149">IF(A199&gt;A198,1+B198,"-")</f>
        <v>183</v>
      </c>
      <c r="C199" s="97" t="s">
        <v>131</v>
      </c>
      <c r="D199" s="76">
        <f t="shared" si="139"/>
        <v>-13.818199999999999</v>
      </c>
      <c r="E199" s="47">
        <f t="shared" si="140"/>
        <v>3338043.4854288301</v>
      </c>
      <c r="F199" s="253"/>
      <c r="G199" s="131">
        <f t="shared" ref="G199" si="150">(E199/E196-1)*100</f>
        <v>-19.280940300661086</v>
      </c>
      <c r="H199"/>
      <c r="I199" s="258"/>
      <c r="J199" s="20">
        <f t="shared" ref="J199" si="151">A199</f>
        <v>43921</v>
      </c>
      <c r="K199" s="27">
        <v>-13.440240284830459</v>
      </c>
      <c r="L199" s="46">
        <f t="shared" ref="L199" si="152">L198*K199/100+L198</f>
        <v>2319314.073005083</v>
      </c>
      <c r="M199" s="253"/>
      <c r="N199" s="131">
        <f>(L199/L196-1)*100</f>
        <v>-21.260413298738058</v>
      </c>
      <c r="O199" s="258"/>
      <c r="P199" s="20">
        <f t="shared" si="26"/>
        <v>43921</v>
      </c>
      <c r="Q199" s="45">
        <v>-10.186571421120906</v>
      </c>
      <c r="R199" s="46">
        <f t="shared" ref="R199" si="153">R198*Q199/100+R198</f>
        <v>2474328.4017690793</v>
      </c>
      <c r="S199" s="253"/>
      <c r="T199" s="131">
        <f>(R199/R196-1)*100</f>
        <v>-15.877082884276827</v>
      </c>
      <c r="U199" s="258"/>
      <c r="V199" s="256"/>
      <c r="W199" s="256"/>
      <c r="X199" s="107">
        <v>-13.921189999999999</v>
      </c>
      <c r="Y199" s="133">
        <v>29459261.709999997</v>
      </c>
      <c r="Z199" s="107">
        <v>-13.67</v>
      </c>
      <c r="AA199" s="133">
        <v>4120139.4299999997</v>
      </c>
      <c r="AB199" s="107">
        <v>-13.77</v>
      </c>
      <c r="AC199" s="133">
        <v>5715754.5431999993</v>
      </c>
      <c r="AD199" s="110">
        <f t="shared" si="144"/>
        <v>-13.818199999999999</v>
      </c>
      <c r="AE199" s="111">
        <f t="shared" si="145"/>
        <v>39295155.683200002</v>
      </c>
      <c r="AF199" s="256"/>
    </row>
    <row r="200" spans="1:32" x14ac:dyDescent="0.25">
      <c r="A200" s="21">
        <v>43951</v>
      </c>
      <c r="B200" s="24">
        <f t="shared" si="149"/>
        <v>184</v>
      </c>
      <c r="C200" s="97" t="s">
        <v>131</v>
      </c>
      <c r="D200" s="76">
        <f t="shared" ref="D200:D202" si="154">AD200</f>
        <v>8.0314999999999994</v>
      </c>
      <c r="E200" s="47">
        <f t="shared" ref="E200:E202" si="155">E199*D200/100+E199</f>
        <v>3606138.4479610464</v>
      </c>
      <c r="F200" s="256"/>
      <c r="G200" s="256"/>
      <c r="H200"/>
      <c r="I200" s="258"/>
      <c r="J200" s="20">
        <f t="shared" ref="J200" si="156">A200</f>
        <v>43951</v>
      </c>
      <c r="K200" s="27">
        <v>10.78213</v>
      </c>
      <c r="L200" s="46">
        <f t="shared" ref="L200" si="157">L199*K200/100+L199</f>
        <v>2569385.5314647858</v>
      </c>
      <c r="M200" s="253"/>
      <c r="N200" s="131"/>
      <c r="O200" s="258"/>
      <c r="P200" s="20">
        <f t="shared" si="26"/>
        <v>43951</v>
      </c>
      <c r="Q200" s="45">
        <v>7.565603501768968</v>
      </c>
      <c r="R200" s="46">
        <f t="shared" ref="R200" si="158">R199*Q200/100+R199</f>
        <v>2661526.2779785851</v>
      </c>
      <c r="S200" s="253"/>
      <c r="T200" s="131"/>
      <c r="U200" s="258"/>
      <c r="V200" s="256"/>
      <c r="W200" s="256"/>
      <c r="X200" s="107">
        <v>8.0675419999999995</v>
      </c>
      <c r="Y200" s="133">
        <v>40981878.379999995</v>
      </c>
      <c r="Z200" s="107">
        <v>6.97</v>
      </c>
      <c r="AA200" s="133">
        <v>4409940.6700000009</v>
      </c>
      <c r="AB200" s="240">
        <v>8.25</v>
      </c>
      <c r="AC200" s="133">
        <v>6155638.4400000023</v>
      </c>
      <c r="AD200" s="110">
        <f t="shared" si="144"/>
        <v>8.0314999999999994</v>
      </c>
      <c r="AE200" s="111">
        <f t="shared" si="145"/>
        <v>51547457.490000002</v>
      </c>
      <c r="AF200" s="256"/>
    </row>
    <row r="201" spans="1:32" x14ac:dyDescent="0.25">
      <c r="A201" s="21">
        <v>43982</v>
      </c>
      <c r="B201" s="24">
        <f t="shared" si="30"/>
        <v>185</v>
      </c>
      <c r="C201" s="97" t="s">
        <v>131</v>
      </c>
      <c r="D201" s="76">
        <f t="shared" si="154"/>
        <v>3.7397999999999998</v>
      </c>
      <c r="E201" s="47">
        <f t="shared" si="155"/>
        <v>3741000.8136378936</v>
      </c>
      <c r="F201" s="256"/>
      <c r="G201" s="256"/>
      <c r="H201"/>
      <c r="I201" s="258"/>
      <c r="J201" s="20">
        <f t="shared" ref="J201" si="159">A201</f>
        <v>43982</v>
      </c>
      <c r="K201" s="27">
        <v>4.406822</v>
      </c>
      <c r="L201" s="46">
        <f t="shared" ref="L201" si="160">L200*K201/100+L200</f>
        <v>2682613.7783301929</v>
      </c>
      <c r="M201" s="253"/>
      <c r="N201" s="131"/>
      <c r="O201" s="258"/>
      <c r="P201" s="20">
        <f t="shared" si="26"/>
        <v>43982</v>
      </c>
      <c r="Q201" s="45">
        <v>2.2675633674621283</v>
      </c>
      <c r="R201" s="46">
        <f t="shared" ref="R201" si="161">R200*Q201/100+R200</f>
        <v>2721878.0728734056</v>
      </c>
      <c r="S201" s="253"/>
      <c r="T201" s="131"/>
      <c r="U201" s="258"/>
      <c r="V201" s="256"/>
      <c r="W201" s="256"/>
      <c r="X201" s="107">
        <v>3.6805560000000002</v>
      </c>
      <c r="Y201" s="133">
        <v>44021799.290000007</v>
      </c>
      <c r="Z201" s="107">
        <v>3.5978536191961528</v>
      </c>
      <c r="AA201" s="133">
        <v>4568603.879999999</v>
      </c>
      <c r="AB201" s="240">
        <v>3.77</v>
      </c>
      <c r="AC201" s="133">
        <v>6386784.0600000005</v>
      </c>
      <c r="AD201" s="110">
        <f t="shared" si="144"/>
        <v>3.7397999999999998</v>
      </c>
      <c r="AE201" s="111">
        <f t="shared" si="145"/>
        <v>54977187.230000004</v>
      </c>
      <c r="AF201" s="256"/>
    </row>
    <row r="202" spans="1:32" x14ac:dyDescent="0.25">
      <c r="A202" s="21">
        <v>44012</v>
      </c>
      <c r="B202" s="24">
        <f t="shared" si="30"/>
        <v>186</v>
      </c>
      <c r="C202" s="97" t="s">
        <v>131</v>
      </c>
      <c r="D202" s="76">
        <f t="shared" si="154"/>
        <v>0.65269999999999995</v>
      </c>
      <c r="E202" s="47">
        <f t="shared" si="155"/>
        <v>3765418.325948508</v>
      </c>
      <c r="F202" s="253"/>
      <c r="G202" s="131">
        <f>(E202/E199-1)*100</f>
        <v>12.803153775115494</v>
      </c>
      <c r="H202"/>
      <c r="I202" s="258"/>
      <c r="J202" s="20">
        <f t="shared" ref="J202" si="162">A202</f>
        <v>44012</v>
      </c>
      <c r="K202" s="27">
        <v>3.2419301230355577</v>
      </c>
      <c r="L202" s="46">
        <f t="shared" ref="L202" si="163">L201*K202/100+L201</f>
        <v>2769582.2424945817</v>
      </c>
      <c r="M202" s="253"/>
      <c r="N202" s="131">
        <f>(L202/L199-1)*100</f>
        <v>19.413850617743055</v>
      </c>
      <c r="O202" s="258"/>
      <c r="P202" s="20">
        <f t="shared" si="26"/>
        <v>44012</v>
      </c>
      <c r="Q202" s="45">
        <v>-5.3534040552333746E-2</v>
      </c>
      <c r="R202" s="46">
        <f t="shared" ref="R202" si="164">R201*Q202/100+R201</f>
        <v>2720420.9415620887</v>
      </c>
      <c r="S202" s="253"/>
      <c r="T202" s="131">
        <f>(R202/R199-1)*100</f>
        <v>9.9458317504281126</v>
      </c>
      <c r="U202" s="258"/>
      <c r="V202" s="256"/>
      <c r="W202" s="256"/>
      <c r="X202" s="107">
        <v>0.56932349999999998</v>
      </c>
      <c r="Y202" s="133">
        <v>49114434.909999996</v>
      </c>
      <c r="Z202" s="107">
        <v>0.65956363894697223</v>
      </c>
      <c r="AA202" s="133">
        <v>4598736.7299999995</v>
      </c>
      <c r="AB202" s="107">
        <v>0.74</v>
      </c>
      <c r="AC202" s="133">
        <v>6433354.1900000004</v>
      </c>
      <c r="AD202" s="110">
        <f t="shared" si="144"/>
        <v>0.65269999999999995</v>
      </c>
      <c r="AE202" s="111">
        <f t="shared" si="145"/>
        <v>60146525.829999991</v>
      </c>
      <c r="AF202" s="256"/>
    </row>
    <row r="203" spans="1:32" x14ac:dyDescent="0.25">
      <c r="A203" s="21">
        <v>44043</v>
      </c>
      <c r="B203" s="24">
        <f t="shared" ref="B203:B206" si="165">IF(A203&gt;A202,1+B202,"-")</f>
        <v>187</v>
      </c>
      <c r="C203" s="97" t="s">
        <v>131</v>
      </c>
      <c r="D203" s="76">
        <f t="shared" ref="D203:D205" si="166">AD203</f>
        <v>4.5662000000000003</v>
      </c>
      <c r="E203" s="47">
        <f t="shared" ref="E203:E205" si="167">E202*D203/100+E202</f>
        <v>3937354.8575479686</v>
      </c>
      <c r="F203" s="253"/>
      <c r="G203" s="256"/>
      <c r="H203"/>
      <c r="I203" s="258"/>
      <c r="J203" s="20">
        <f t="shared" ref="J203" si="168">A203</f>
        <v>44043</v>
      </c>
      <c r="K203" s="27">
        <v>5.3293939999999997</v>
      </c>
      <c r="L203" s="46">
        <f t="shared" ref="L203" si="169">L202*K203/100+L202</f>
        <v>2917184.1923511536</v>
      </c>
      <c r="M203" s="253"/>
      <c r="N203" s="131"/>
      <c r="O203" s="258"/>
      <c r="P203" s="20">
        <f t="shared" si="26"/>
        <v>44043</v>
      </c>
      <c r="Q203" s="45">
        <v>3.9367460689935303</v>
      </c>
      <c r="R203" s="46">
        <f t="shared" ref="R203" si="170">R202*Q203/100+R202</f>
        <v>2827517.0060391109</v>
      </c>
      <c r="S203" s="253"/>
      <c r="T203" s="131"/>
      <c r="U203" s="258"/>
      <c r="V203" s="256"/>
      <c r="W203" s="256"/>
      <c r="X203" s="107">
        <v>4.4955040000000004</v>
      </c>
      <c r="Y203" s="133">
        <v>52417082.200000003</v>
      </c>
      <c r="Z203" s="107">
        <v>4.47</v>
      </c>
      <c r="AA203" s="133">
        <v>4799678.1700000009</v>
      </c>
      <c r="AB203" s="240">
        <v>4.6399999999999997</v>
      </c>
      <c r="AC203" s="133">
        <v>6719765.4999999981</v>
      </c>
      <c r="AD203" s="110">
        <f t="shared" si="144"/>
        <v>4.5662000000000003</v>
      </c>
      <c r="AE203" s="111">
        <f t="shared" si="145"/>
        <v>63936525.870000005</v>
      </c>
      <c r="AF203" s="256"/>
    </row>
    <row r="204" spans="1:32" x14ac:dyDescent="0.25">
      <c r="A204" s="21">
        <v>44074</v>
      </c>
      <c r="B204" s="24">
        <f t="shared" si="165"/>
        <v>188</v>
      </c>
      <c r="C204" s="97" t="s">
        <v>131</v>
      </c>
      <c r="D204" s="76">
        <f t="shared" si="166"/>
        <v>5.0312999999999999</v>
      </c>
      <c r="E204" s="47">
        <f t="shared" si="167"/>
        <v>4135454.9924957794</v>
      </c>
      <c r="F204" s="256"/>
      <c r="G204" s="256"/>
      <c r="H204"/>
      <c r="I204" s="258"/>
      <c r="J204" s="20">
        <f t="shared" ref="J204" si="171">A204</f>
        <v>44074</v>
      </c>
      <c r="K204" s="27">
        <v>6.1644670000000001</v>
      </c>
      <c r="L204" s="46">
        <f t="shared" ref="L204" si="172">L203*K204/100+L203</f>
        <v>3097013.049217857</v>
      </c>
      <c r="M204" s="253"/>
      <c r="N204" s="131"/>
      <c r="O204" s="258"/>
      <c r="P204" s="20">
        <f t="shared" si="26"/>
        <v>44074</v>
      </c>
      <c r="Q204" s="45">
        <v>2.254575747448758</v>
      </c>
      <c r="R204" s="46">
        <f t="shared" ref="R204" si="173">R203*Q204/100+R203</f>
        <v>2891265.518712258</v>
      </c>
      <c r="S204" s="253"/>
      <c r="T204" s="131"/>
      <c r="U204" s="258"/>
      <c r="V204" s="256"/>
      <c r="W204" s="256"/>
      <c r="X204" s="107">
        <v>4.9394520000000002</v>
      </c>
      <c r="Y204" s="133">
        <v>58188592.600000001</v>
      </c>
      <c r="Z204" s="107">
        <v>5.1241848159165189</v>
      </c>
      <c r="AA204" s="133">
        <v>5045622.5500000007</v>
      </c>
      <c r="AB204" s="240">
        <v>5.1357478173903965</v>
      </c>
      <c r="AC204" s="133">
        <v>7064875.7100000009</v>
      </c>
      <c r="AD204" s="110">
        <f t="shared" si="144"/>
        <v>5.0312999999999999</v>
      </c>
      <c r="AE204" s="111">
        <f t="shared" si="145"/>
        <v>70299090.860000014</v>
      </c>
      <c r="AF204" s="256"/>
    </row>
    <row r="205" spans="1:32" x14ac:dyDescent="0.25">
      <c r="A205" s="21">
        <v>44104</v>
      </c>
      <c r="B205" s="24">
        <f t="shared" si="165"/>
        <v>189</v>
      </c>
      <c r="C205" s="97" t="s">
        <v>131</v>
      </c>
      <c r="D205" s="76">
        <f t="shared" si="166"/>
        <v>-2.5716000000000001</v>
      </c>
      <c r="E205" s="47">
        <f t="shared" si="167"/>
        <v>4029107.6319087581</v>
      </c>
      <c r="F205" s="253"/>
      <c r="G205" s="131">
        <f>(E205/E202-1)*100</f>
        <v>7.0029219368030526</v>
      </c>
      <c r="H205"/>
      <c r="I205" s="258"/>
      <c r="J205" s="20">
        <f t="shared" ref="J205" si="174">A205</f>
        <v>44104</v>
      </c>
      <c r="K205" s="27">
        <v>-3.1833709846272513</v>
      </c>
      <c r="L205" s="46">
        <f t="shared" ref="L205" si="175">L204*K205/100+L204</f>
        <v>2998423.634418936</v>
      </c>
      <c r="M205" s="253"/>
      <c r="N205" s="131">
        <f>(L205/L202-1)*100</f>
        <v>8.2626682253073458</v>
      </c>
      <c r="O205" s="258"/>
      <c r="P205" s="20">
        <f t="shared" si="26"/>
        <v>44104</v>
      </c>
      <c r="Q205" s="45">
        <v>-1.2630988982933076</v>
      </c>
      <c r="R205" s="46">
        <f t="shared" ref="R205" si="176">R204*Q205/100+R204</f>
        <v>2854745.9757986693</v>
      </c>
      <c r="S205" s="253"/>
      <c r="T205" s="131">
        <f>(R205/R202-1)*100</f>
        <v>4.9376562349005448</v>
      </c>
      <c r="U205" s="258"/>
      <c r="V205" s="256"/>
      <c r="W205" s="256"/>
      <c r="X205" s="107">
        <v>-2.6419679999999999</v>
      </c>
      <c r="Y205" s="133">
        <v>57170363.299999997</v>
      </c>
      <c r="Z205" s="107">
        <v>-2.5714176737219709</v>
      </c>
      <c r="AA205" s="133">
        <v>4915878.5199999996</v>
      </c>
      <c r="AB205" s="240">
        <v>-2.5689606930113347</v>
      </c>
      <c r="AC205" s="133">
        <v>6883381.8299999954</v>
      </c>
      <c r="AD205" s="110">
        <f t="shared" si="144"/>
        <v>-2.5716000000000001</v>
      </c>
      <c r="AE205" s="111">
        <f t="shared" si="145"/>
        <v>68969623.649999991</v>
      </c>
      <c r="AF205" s="256"/>
    </row>
    <row r="206" spans="1:32" x14ac:dyDescent="0.25">
      <c r="A206" s="21">
        <v>44135</v>
      </c>
      <c r="B206" s="24">
        <f t="shared" si="165"/>
        <v>190</v>
      </c>
      <c r="C206" s="97" t="s">
        <v>131</v>
      </c>
      <c r="D206" s="76">
        <f t="shared" ref="D206:D208" si="177">AD206</f>
        <v>-3.0800999999999998</v>
      </c>
      <c r="E206" s="47">
        <f t="shared" ref="E206:E208" si="178">E205*D206/100+E205</f>
        <v>3905007.0877383365</v>
      </c>
      <c r="F206" s="256"/>
      <c r="G206" s="256"/>
      <c r="H206"/>
      <c r="I206" s="258"/>
      <c r="J206" s="20">
        <f t="shared" ref="J206" si="179">A206</f>
        <v>44135</v>
      </c>
      <c r="K206" s="27">
        <v>-2.4079459999999999</v>
      </c>
      <c r="L206" s="46">
        <f t="shared" ref="L206" si="180">L205*K206/100+L205</f>
        <v>2926223.2124508908</v>
      </c>
      <c r="M206" s="253"/>
      <c r="N206" s="256"/>
      <c r="O206" s="258"/>
      <c r="P206" s="20">
        <f t="shared" si="26"/>
        <v>44135</v>
      </c>
      <c r="Q206" s="45">
        <v>-2.5946069859809406</v>
      </c>
      <c r="R206" s="46">
        <f t="shared" ref="R206" si="181">R205*Q206/100+R205</f>
        <v>2780676.537278587</v>
      </c>
      <c r="S206" s="253"/>
      <c r="T206" s="256"/>
      <c r="U206" s="258"/>
      <c r="V206" s="256"/>
      <c r="W206" s="256"/>
      <c r="X206" s="107">
        <v>-3.1503429999999999</v>
      </c>
      <c r="Y206" s="133">
        <v>56536450.039999999</v>
      </c>
      <c r="Z206" s="107">
        <v>-3.09</v>
      </c>
      <c r="AA206" s="133">
        <v>4759356.9700000007</v>
      </c>
      <c r="AB206" s="240">
        <v>-3.0705895522480082</v>
      </c>
      <c r="AC206" s="133">
        <v>6659315.4599999981</v>
      </c>
      <c r="AD206" s="110">
        <f t="shared" si="144"/>
        <v>-3.0800999999999998</v>
      </c>
      <c r="AE206" s="111">
        <f t="shared" si="145"/>
        <v>67955122.469999999</v>
      </c>
      <c r="AF206" s="256"/>
    </row>
    <row r="207" spans="1:32" x14ac:dyDescent="0.25">
      <c r="A207" s="21">
        <v>44165</v>
      </c>
      <c r="B207" s="24">
        <f t="shared" ref="B207:B209" si="182">IF(A207&gt;A206,1+B206,"-")</f>
        <v>191</v>
      </c>
      <c r="C207" s="97" t="s">
        <v>131</v>
      </c>
      <c r="D207" s="76">
        <f t="shared" si="177"/>
        <v>7.8699000000000003</v>
      </c>
      <c r="E207" s="47">
        <f t="shared" si="178"/>
        <v>4212327.2405362558</v>
      </c>
      <c r="F207" s="256"/>
      <c r="G207" s="256"/>
      <c r="H207"/>
      <c r="I207" s="258"/>
      <c r="J207" s="20">
        <f t="shared" ref="J207" si="183">A207</f>
        <v>44165</v>
      </c>
      <c r="K207" s="27">
        <v>12.362284519542568</v>
      </c>
      <c r="L207" s="46">
        <f t="shared" ref="L207" si="184">L206*K207/100+L206</f>
        <v>3287971.2516509686</v>
      </c>
      <c r="M207" s="253"/>
      <c r="N207" s="256"/>
      <c r="O207" s="258"/>
      <c r="P207" s="20">
        <f t="shared" si="26"/>
        <v>44165</v>
      </c>
      <c r="Q207" s="45">
        <v>6.7624349894346301</v>
      </c>
      <c r="R207" s="46">
        <f t="shared" ref="R207" si="185">R206*Q207/100+R206</f>
        <v>2968717.9803785132</v>
      </c>
      <c r="S207" s="253"/>
      <c r="T207" s="256"/>
      <c r="U207" s="258"/>
      <c r="V207" s="256"/>
      <c r="W207" s="256"/>
      <c r="X207" s="107">
        <v>7.761674718196458</v>
      </c>
      <c r="Y207" s="133">
        <v>83496555.450000003</v>
      </c>
      <c r="Z207" s="107">
        <v>8.0513601399392556</v>
      </c>
      <c r="AA207" s="133">
        <v>5142549.9399999995</v>
      </c>
      <c r="AB207" s="240">
        <v>8.0648630212211021</v>
      </c>
      <c r="AC207" s="133">
        <v>7196380.0689999992</v>
      </c>
      <c r="AD207" s="110">
        <f t="shared" si="144"/>
        <v>7.8699000000000003</v>
      </c>
      <c r="AE207" s="111">
        <f t="shared" si="145"/>
        <v>95835485.459000006</v>
      </c>
      <c r="AF207" s="256"/>
    </row>
    <row r="208" spans="1:32" x14ac:dyDescent="0.25">
      <c r="A208" s="21">
        <v>44196</v>
      </c>
      <c r="B208" s="24">
        <f t="shared" si="182"/>
        <v>192</v>
      </c>
      <c r="C208" s="97" t="s">
        <v>131</v>
      </c>
      <c r="D208" s="76">
        <f t="shared" si="177"/>
        <v>3.1328999999999998</v>
      </c>
      <c r="E208" s="47">
        <f t="shared" si="178"/>
        <v>4344295.2406550162</v>
      </c>
      <c r="F208" s="253">
        <f>(E208/E$196-1)*100</f>
        <v>5.0517850988801127</v>
      </c>
      <c r="G208" s="131">
        <f>(E208/E205-1)*100</f>
        <v>7.8227646799532202</v>
      </c>
      <c r="H208" s="16">
        <f>STDEVP(K173:K208)*SQRT(12)</f>
        <v>18.122315335880316</v>
      </c>
      <c r="I208" s="258"/>
      <c r="J208" s="20">
        <f t="shared" ref="J208" si="186">A208</f>
        <v>44196</v>
      </c>
      <c r="K208" s="27">
        <v>4.6630419999999999</v>
      </c>
      <c r="L208" s="46">
        <f t="shared" ref="L208:L213" si="187">L207*K208/100+L207</f>
        <v>3441290.7320633791</v>
      </c>
      <c r="M208" s="253">
        <f>(L208/L$196-1)*100</f>
        <v>16.830149532300865</v>
      </c>
      <c r="N208" s="131">
        <f>(L208/L205-1)*100</f>
        <v>14.769997560076797</v>
      </c>
      <c r="O208" s="258"/>
      <c r="P208" s="20">
        <f t="shared" si="26"/>
        <v>44196</v>
      </c>
      <c r="Q208" s="45">
        <v>2.4457747215660861</v>
      </c>
      <c r="R208" s="46">
        <f t="shared" ref="R208" si="188">R207*Q208/100+R207</f>
        <v>3041326.1342971982</v>
      </c>
      <c r="S208" s="253">
        <f>(R208/R$196-1)*100</f>
        <v>3.3998664584876437</v>
      </c>
      <c r="T208" s="131">
        <f>(R208/R205-1)*100</f>
        <v>6.5357884757619944</v>
      </c>
      <c r="U208" s="258"/>
      <c r="V208" s="320">
        <f>STDEVP(Q173:Q208)*SQRT(12)</f>
        <v>12.285653074341065</v>
      </c>
      <c r="W208" s="256"/>
      <c r="X208" s="107">
        <v>3.0509200000000001</v>
      </c>
      <c r="Y208" s="133">
        <v>87559534.089999989</v>
      </c>
      <c r="Z208" s="107">
        <v>3.1968603497898096</v>
      </c>
      <c r="AA208" s="133">
        <v>5306950.08</v>
      </c>
      <c r="AB208" s="240">
        <v>3.2259197791987706</v>
      </c>
      <c r="AC208" s="133">
        <v>7428529.5609999988</v>
      </c>
      <c r="AD208" s="110">
        <f t="shared" si="144"/>
        <v>3.1328999999999998</v>
      </c>
      <c r="AE208" s="111">
        <f t="shared" si="145"/>
        <v>100295013.73099999</v>
      </c>
      <c r="AF208" s="256"/>
    </row>
    <row r="209" spans="1:32" x14ac:dyDescent="0.25">
      <c r="A209" s="21">
        <v>44227</v>
      </c>
      <c r="B209" s="24">
        <f t="shared" si="182"/>
        <v>193</v>
      </c>
      <c r="C209" s="97" t="s">
        <v>131</v>
      </c>
      <c r="D209" s="76">
        <f t="shared" ref="D209:D211" si="189">AD209</f>
        <v>-1.9450000000000001</v>
      </c>
      <c r="E209" s="47">
        <f t="shared" ref="E209:E211" si="190">E208*D209/100+E208</f>
        <v>4259798.6982242763</v>
      </c>
      <c r="F209" s="256"/>
      <c r="G209" s="256"/>
      <c r="H209" s="256"/>
      <c r="I209" s="258"/>
      <c r="J209" s="20">
        <f t="shared" ref="J209" si="191">A209</f>
        <v>44227</v>
      </c>
      <c r="K209" s="27">
        <v>-0.44216030000000001</v>
      </c>
      <c r="L209" s="46">
        <f t="shared" si="187"/>
        <v>3426074.7106386153</v>
      </c>
      <c r="M209" s="256"/>
      <c r="N209" s="256"/>
      <c r="O209" s="258"/>
      <c r="P209" s="20">
        <f t="shared" si="26"/>
        <v>44227</v>
      </c>
      <c r="Q209" s="45">
        <v>-1.5846854121498177</v>
      </c>
      <c r="R209" s="46">
        <f t="shared" ref="R209:R211" si="192">R208*Q209/100+R208</f>
        <v>2993130.6827110904</v>
      </c>
      <c r="S209" s="256"/>
      <c r="T209" s="256"/>
      <c r="U209" s="258"/>
      <c r="V209" s="256"/>
      <c r="W209" s="256"/>
      <c r="X209" s="107">
        <v>-2.0140099999999999</v>
      </c>
      <c r="Y209" s="133">
        <v>84319104.859999999</v>
      </c>
      <c r="Z209" s="107">
        <v>-1.9578060669999999</v>
      </c>
      <c r="AA209" s="133">
        <v>5198019.0899999961</v>
      </c>
      <c r="AB209" s="240">
        <v>-1.9470168800000001</v>
      </c>
      <c r="AC209" s="133">
        <v>7270684.1200000001</v>
      </c>
      <c r="AD209" s="110">
        <f>ROUND(Y208/AE208*(X209+0.84/12)+(AA208/AE208*Z209)+(AC208/AE208*AB209),4)</f>
        <v>-1.9450000000000001</v>
      </c>
      <c r="AE209" s="111">
        <f>Y209+AC209</f>
        <v>91589788.980000004</v>
      </c>
      <c r="AF209" s="256"/>
    </row>
    <row r="210" spans="1:32" x14ac:dyDescent="0.25">
      <c r="A210" s="21">
        <v>44255</v>
      </c>
      <c r="B210" s="24">
        <f t="shared" ref="B210:B212" si="193">IF(A210&gt;A209,1+B209,"-")</f>
        <v>194</v>
      </c>
      <c r="C210" s="97" t="s">
        <v>330</v>
      </c>
      <c r="D210" s="76">
        <f t="shared" si="189"/>
        <v>0.21870000000000001</v>
      </c>
      <c r="E210" s="47">
        <f t="shared" si="190"/>
        <v>4269114.877977293</v>
      </c>
      <c r="F210" s="256"/>
      <c r="G210" s="256"/>
      <c r="H210" s="256"/>
      <c r="I210" s="258"/>
      <c r="J210" s="20">
        <f t="shared" ref="J210" si="194">A210</f>
        <v>44255</v>
      </c>
      <c r="K210" s="27">
        <v>2.348236</v>
      </c>
      <c r="L210" s="46">
        <f t="shared" si="187"/>
        <v>3506527.0303807273</v>
      </c>
      <c r="M210" s="253"/>
      <c r="N210" s="256"/>
      <c r="O210" s="258"/>
      <c r="P210" s="20">
        <f t="shared" si="26"/>
        <v>44255</v>
      </c>
      <c r="Q210" s="45">
        <v>-1.1630529999999999</v>
      </c>
      <c r="R210" s="46">
        <f t="shared" si="192"/>
        <v>2958318.9865118987</v>
      </c>
      <c r="S210" s="253"/>
      <c r="T210" s="256"/>
      <c r="U210" s="258"/>
      <c r="V210" s="256"/>
      <c r="W210" s="256"/>
      <c r="X210" s="107">
        <v>0.14894250000000001</v>
      </c>
      <c r="Y210" s="133">
        <v>92600703.159999996</v>
      </c>
      <c r="Z210" s="107"/>
      <c r="AA210" s="133"/>
      <c r="AB210" s="240">
        <v>0.2161736054</v>
      </c>
      <c r="AC210" s="133">
        <v>7286401.415</v>
      </c>
      <c r="AD210" s="110">
        <f>ROUND(Y209/AE209*(X210+0.84/12)+(AC209/AE209*AB210),4)</f>
        <v>0.21870000000000001</v>
      </c>
      <c r="AE210" s="111">
        <f t="shared" ref="AE210:AE221" si="195">Y210+AC210</f>
        <v>99887104.575000003</v>
      </c>
      <c r="AF210" s="256" t="s">
        <v>334</v>
      </c>
    </row>
    <row r="211" spans="1:32" x14ac:dyDescent="0.25">
      <c r="A211" s="21">
        <v>44286</v>
      </c>
      <c r="B211" s="24">
        <f t="shared" si="193"/>
        <v>195</v>
      </c>
      <c r="C211" s="97" t="s">
        <v>330</v>
      </c>
      <c r="D211" s="76">
        <f t="shared" si="189"/>
        <v>2.6608000000000001</v>
      </c>
      <c r="E211" s="47">
        <f t="shared" si="190"/>
        <v>4382707.4866505126</v>
      </c>
      <c r="F211" s="253"/>
      <c r="G211" s="131">
        <f>(E211/E208-1)*100</f>
        <v>0.88419971175128786</v>
      </c>
      <c r="H211" s="256"/>
      <c r="I211" s="258"/>
      <c r="J211" s="20">
        <f t="shared" ref="J211" si="196">A211</f>
        <v>44286</v>
      </c>
      <c r="K211" s="27">
        <v>2.7345459999999999</v>
      </c>
      <c r="L211" s="46">
        <f t="shared" si="187"/>
        <v>3602414.6250289222</v>
      </c>
      <c r="M211" s="253"/>
      <c r="N211" s="131">
        <f>(L211/L208-1)*100</f>
        <v>4.6820773224508727</v>
      </c>
      <c r="O211" s="258"/>
      <c r="P211" s="20">
        <f t="shared" si="26"/>
        <v>44286</v>
      </c>
      <c r="Q211" s="45">
        <v>4.7067930000000002</v>
      </c>
      <c r="R211" s="46">
        <f t="shared" si="192"/>
        <v>3097560.9374867119</v>
      </c>
      <c r="S211" s="253"/>
      <c r="T211" s="131">
        <f>(R211/R208-1)*100</f>
        <v>1.8490224562025981</v>
      </c>
      <c r="U211" s="258"/>
      <c r="V211" s="256"/>
      <c r="W211" s="256"/>
      <c r="X211" s="107">
        <v>2.587745</v>
      </c>
      <c r="Y211" s="133">
        <v>97179910.680000007</v>
      </c>
      <c r="Z211" s="107"/>
      <c r="AA211" s="133"/>
      <c r="AB211" s="240">
        <v>2.7002676449999998</v>
      </c>
      <c r="AC211" s="133">
        <v>7483153.7599999988</v>
      </c>
      <c r="AD211" s="110">
        <f t="shared" ref="AD211:AD215" si="197">ROUND(Y210/AE210*(X211+0.84/12)+(AC210/AE210*AB211),4)</f>
        <v>2.6608000000000001</v>
      </c>
      <c r="AE211" s="111">
        <f t="shared" si="195"/>
        <v>104663064.44000001</v>
      </c>
      <c r="AF211" s="256"/>
    </row>
    <row r="212" spans="1:32" x14ac:dyDescent="0.25">
      <c r="A212" s="21">
        <v>44316</v>
      </c>
      <c r="B212" s="24">
        <f t="shared" si="193"/>
        <v>196</v>
      </c>
      <c r="C212" s="97" t="s">
        <v>330</v>
      </c>
      <c r="D212" s="76">
        <f t="shared" ref="D212:D213" si="198">AD212</f>
        <v>4.1872999999999996</v>
      </c>
      <c r="E212" s="47">
        <f t="shared" ref="E212:E213" si="199">E211*D212/100+E211</f>
        <v>4566224.5972390296</v>
      </c>
      <c r="F212" s="256"/>
      <c r="G212" s="256"/>
      <c r="H212" s="256"/>
      <c r="I212" s="258"/>
      <c r="J212" s="20">
        <f t="shared" ref="J212" si="200">A212</f>
        <v>44316</v>
      </c>
      <c r="K212" s="27">
        <v>4.4090100000000003</v>
      </c>
      <c r="L212" s="46">
        <f t="shared" si="187"/>
        <v>3761245.4460879099</v>
      </c>
      <c r="M212" s="256"/>
      <c r="N212" s="256"/>
      <c r="O212" s="258"/>
      <c r="P212" s="20">
        <f t="shared" si="26"/>
        <v>44316</v>
      </c>
      <c r="Q212" s="45">
        <v>2.7670539999999999</v>
      </c>
      <c r="R212" s="46">
        <f t="shared" ref="R212:R213" si="201">R211*Q212/100+R211</f>
        <v>3183272.1213098755</v>
      </c>
      <c r="S212" s="253"/>
      <c r="T212" s="256"/>
      <c r="U212" s="258"/>
      <c r="V212" s="256"/>
      <c r="W212" s="256"/>
      <c r="X212" s="107">
        <v>4.1171360000000004</v>
      </c>
      <c r="Y212" s="133">
        <v>103297189.34</v>
      </c>
      <c r="Z212" s="107"/>
      <c r="AA212" s="133"/>
      <c r="AB212" s="240">
        <v>4.1900000000000004</v>
      </c>
      <c r="AC212" s="133">
        <v>7782996.5300000003</v>
      </c>
      <c r="AD212" s="110">
        <f t="shared" si="197"/>
        <v>4.1872999999999996</v>
      </c>
      <c r="AE212" s="111">
        <f t="shared" si="195"/>
        <v>111080185.87</v>
      </c>
      <c r="AF212" s="256"/>
    </row>
    <row r="213" spans="1:32" x14ac:dyDescent="0.25">
      <c r="A213" s="21">
        <v>44347</v>
      </c>
      <c r="B213" s="24">
        <f t="shared" ref="B213:B273" si="202">IF(A213&gt;A212,1+B212,"-")</f>
        <v>197</v>
      </c>
      <c r="C213" s="97" t="s">
        <v>330</v>
      </c>
      <c r="D213" s="76">
        <f t="shared" si="198"/>
        <v>1.1787000000000001</v>
      </c>
      <c r="E213" s="47">
        <f t="shared" si="199"/>
        <v>4620046.6865666863</v>
      </c>
      <c r="F213" s="253"/>
      <c r="G213" s="256"/>
      <c r="H213" s="256"/>
      <c r="I213" s="258"/>
      <c r="J213" s="20">
        <f t="shared" ref="J213" si="203">A213</f>
        <v>44347</v>
      </c>
      <c r="K213" s="27">
        <v>1.6038460000000001</v>
      </c>
      <c r="L213" s="46">
        <f t="shared" si="187"/>
        <v>3821570.0307251732</v>
      </c>
      <c r="M213" s="253"/>
      <c r="N213" s="256"/>
      <c r="O213" s="258"/>
      <c r="P213" s="20">
        <f t="shared" si="26"/>
        <v>44347</v>
      </c>
      <c r="Q213" s="45">
        <v>1.8857821167551705</v>
      </c>
      <c r="R213" s="46">
        <f t="shared" si="201"/>
        <v>3243301.6977011901</v>
      </c>
      <c r="S213" s="253"/>
      <c r="T213" s="256"/>
      <c r="U213" s="258"/>
      <c r="V213" s="256"/>
      <c r="W213" s="256"/>
      <c r="X213" s="107">
        <v>1.113896</v>
      </c>
      <c r="Y213" s="133">
        <v>104302281.73999999</v>
      </c>
      <c r="Z213" s="107"/>
      <c r="AA213" s="133"/>
      <c r="AB213" s="240">
        <v>1.1100000000000001</v>
      </c>
      <c r="AC213" s="133">
        <v>7869532.9199999981</v>
      </c>
      <c r="AD213" s="110">
        <f t="shared" si="197"/>
        <v>1.1787000000000001</v>
      </c>
      <c r="AE213" s="111">
        <f t="shared" si="195"/>
        <v>112171814.66</v>
      </c>
      <c r="AF213" s="256"/>
    </row>
    <row r="214" spans="1:32" x14ac:dyDescent="0.25">
      <c r="A214" s="21">
        <v>44377</v>
      </c>
      <c r="B214" s="24">
        <f t="shared" si="202"/>
        <v>198</v>
      </c>
      <c r="C214" s="97" t="s">
        <v>330</v>
      </c>
      <c r="D214" s="76">
        <f t="shared" ref="D214" si="204">AD214</f>
        <v>1.7764</v>
      </c>
      <c r="E214" s="47">
        <f t="shared" ref="E214" si="205">E213*D214/100+E213</f>
        <v>4702117.195906857</v>
      </c>
      <c r="F214" s="253"/>
      <c r="G214" s="131">
        <f>(E214/E211-1)*100</f>
        <v>7.287954083845416</v>
      </c>
      <c r="H214" s="256"/>
      <c r="I214" s="258"/>
      <c r="J214" s="20">
        <f t="shared" ref="J214" si="206">A214</f>
        <v>44377</v>
      </c>
      <c r="K214" s="27">
        <v>1.35379</v>
      </c>
      <c r="L214" s="46">
        <f t="shared" ref="L214" si="207">L213*K214/100+L213</f>
        <v>3873306.0636441275</v>
      </c>
      <c r="M214" s="253"/>
      <c r="N214" s="131">
        <f>(L214/L211-1)*100</f>
        <v>7.5197184891794722</v>
      </c>
      <c r="O214" s="258"/>
      <c r="P214" s="20">
        <f t="shared" si="26"/>
        <v>44377</v>
      </c>
      <c r="Q214" s="45">
        <v>0.69622417643923351</v>
      </c>
      <c r="R214" s="46">
        <f t="shared" ref="R214" si="208">R213*Q214/100+R213</f>
        <v>3265882.3482354498</v>
      </c>
      <c r="S214" s="253"/>
      <c r="T214" s="131">
        <f>(R214/R211-1)*100</f>
        <v>5.4339983666410019</v>
      </c>
      <c r="U214" s="258"/>
      <c r="V214" s="256"/>
      <c r="W214" s="256"/>
      <c r="X214" s="107">
        <v>1.707519</v>
      </c>
      <c r="Y214" s="133">
        <v>106553487.91</v>
      </c>
      <c r="Z214" s="107"/>
      <c r="AA214" s="133"/>
      <c r="AB214" s="240">
        <v>1.76169</v>
      </c>
      <c r="AC214" s="133">
        <v>8008169.9500000011</v>
      </c>
      <c r="AD214" s="110">
        <f t="shared" si="197"/>
        <v>1.7764</v>
      </c>
      <c r="AE214" s="111">
        <f t="shared" si="195"/>
        <v>114561657.86</v>
      </c>
      <c r="AF214" s="256"/>
    </row>
    <row r="215" spans="1:32" x14ac:dyDescent="0.25">
      <c r="A215" s="21">
        <v>44408</v>
      </c>
      <c r="B215" s="24">
        <f t="shared" si="202"/>
        <v>199</v>
      </c>
      <c r="C215" s="97" t="s">
        <v>330</v>
      </c>
      <c r="D215" s="76">
        <f t="shared" ref="D215:D217" si="209">AD215</f>
        <v>1.4047000000000001</v>
      </c>
      <c r="E215" s="47">
        <f t="shared" ref="E215" si="210">E214*D215/100+E214</f>
        <v>4768167.8361577606</v>
      </c>
      <c r="F215" s="253"/>
      <c r="G215" s="256"/>
      <c r="H215" s="256"/>
      <c r="I215" s="258"/>
      <c r="J215" s="20">
        <f t="shared" ref="J215" si="211">A215</f>
        <v>44408</v>
      </c>
      <c r="K215" s="27">
        <v>0.71776589999999996</v>
      </c>
      <c r="L215" s="46">
        <f t="shared" ref="L215" si="212">L214*K215/100+L214</f>
        <v>3901107.3337715971</v>
      </c>
      <c r="M215" s="253"/>
      <c r="N215" s="256"/>
      <c r="O215" s="258"/>
      <c r="P215" s="20">
        <f t="shared" si="26"/>
        <v>44408</v>
      </c>
      <c r="Q215" s="45">
        <v>1.6058762145677741</v>
      </c>
      <c r="R215" s="46">
        <f t="shared" ref="R215" si="213">R214*Q215/100+R214</f>
        <v>3318328.3760615303</v>
      </c>
      <c r="S215" s="253"/>
      <c r="T215" s="256"/>
      <c r="U215" s="258"/>
      <c r="V215" s="256"/>
      <c r="W215" s="256"/>
      <c r="X215" s="107">
        <v>1.3268345518548659</v>
      </c>
      <c r="Y215" s="133">
        <v>107109363.21000001</v>
      </c>
      <c r="Z215" s="107"/>
      <c r="AA215" s="256"/>
      <c r="AB215" s="240">
        <v>1.5092973649999999</v>
      </c>
      <c r="AC215" s="133">
        <v>8114177.1100000013</v>
      </c>
      <c r="AD215" s="110">
        <f t="shared" si="197"/>
        <v>1.4047000000000001</v>
      </c>
      <c r="AE215" s="111">
        <f t="shared" si="195"/>
        <v>115223540.32000001</v>
      </c>
      <c r="AF215" s="256"/>
    </row>
    <row r="216" spans="1:32" x14ac:dyDescent="0.25">
      <c r="A216" s="21">
        <v>44439</v>
      </c>
      <c r="B216" s="24">
        <f t="shared" si="202"/>
        <v>200</v>
      </c>
      <c r="C216" s="97" t="s">
        <v>330</v>
      </c>
      <c r="D216" s="76">
        <f t="shared" si="209"/>
        <v>2.5015000000000001</v>
      </c>
      <c r="E216" s="47">
        <f t="shared" ref="E216:E217" si="214">E215*D216/100+E215</f>
        <v>4887443.5545792468</v>
      </c>
      <c r="F216" s="253"/>
      <c r="G216" s="256"/>
      <c r="H216" s="256"/>
      <c r="I216" s="258"/>
      <c r="J216" s="20">
        <f t="shared" ref="J216:J217" si="215">A216</f>
        <v>44439</v>
      </c>
      <c r="K216" s="27">
        <v>2.535803</v>
      </c>
      <c r="L216" s="46">
        <f t="shared" ref="L216" si="216">L215*K216/100+L215</f>
        <v>4000031.7305745971</v>
      </c>
      <c r="M216" s="253"/>
      <c r="N216" s="256"/>
      <c r="O216" s="258"/>
      <c r="P216" s="20">
        <f t="shared" si="26"/>
        <v>44439</v>
      </c>
      <c r="Q216" s="45">
        <v>2.2169819999999998</v>
      </c>
      <c r="R216" s="46">
        <f t="shared" ref="R216" si="217">R215*Q216/100+R215</f>
        <v>3391895.1188597069</v>
      </c>
      <c r="S216" s="253"/>
      <c r="T216" s="256"/>
      <c r="U216" s="258"/>
      <c r="V216" s="256"/>
      <c r="W216" s="256"/>
      <c r="X216" s="107">
        <v>2.4318550000000001</v>
      </c>
      <c r="Y216" s="133">
        <v>112138096.16999999</v>
      </c>
      <c r="Z216" s="107"/>
      <c r="AA216" s="256"/>
      <c r="AB216" s="240">
        <v>2.4962883759385894</v>
      </c>
      <c r="AC216" s="133">
        <v>8316730.370000001</v>
      </c>
      <c r="AD216" s="110">
        <f t="shared" ref="AD216:AD221" si="218">ROUND(Y215/AE215*(X216+0.84/12)+(AC215/AE215*AB216),4)</f>
        <v>2.5015000000000001</v>
      </c>
      <c r="AE216" s="111">
        <f t="shared" si="195"/>
        <v>120454826.53999999</v>
      </c>
      <c r="AF216" s="256"/>
    </row>
    <row r="217" spans="1:32" x14ac:dyDescent="0.25">
      <c r="A217" s="21">
        <v>44469</v>
      </c>
      <c r="B217" s="24">
        <f t="shared" ref="B217:B223" si="219">IF(A217&gt;A216,1+B216,"-")</f>
        <v>201</v>
      </c>
      <c r="C217" s="97" t="s">
        <v>330</v>
      </c>
      <c r="D217" s="76">
        <f t="shared" si="209"/>
        <v>-3.7179000000000002</v>
      </c>
      <c r="E217" s="47">
        <f t="shared" si="214"/>
        <v>4705733.290663545</v>
      </c>
      <c r="F217" s="253"/>
      <c r="G217" s="131">
        <f>(E217/E214-1)*100</f>
        <v>7.6903543787376627E-2</v>
      </c>
      <c r="H217" s="256"/>
      <c r="I217" s="258"/>
      <c r="J217" s="20">
        <f t="shared" si="215"/>
        <v>44469</v>
      </c>
      <c r="K217" s="27">
        <v>-4.080425</v>
      </c>
      <c r="L217" s="46">
        <f t="shared" ref="L217" si="220">L216*K217/100+L216</f>
        <v>3836813.4358322988</v>
      </c>
      <c r="M217" s="253"/>
      <c r="N217" s="131">
        <f>(L217/L214-1)*100</f>
        <v>-0.94215709298983707</v>
      </c>
      <c r="O217" s="258"/>
      <c r="P217" s="20">
        <f t="shared" si="26"/>
        <v>44469</v>
      </c>
      <c r="Q217" s="45">
        <v>-3.5062980000000001</v>
      </c>
      <c r="R217" s="46">
        <f t="shared" ref="R217" si="221">R216*Q217/100+R216</f>
        <v>3272965.1681450312</v>
      </c>
      <c r="S217" s="253"/>
      <c r="T217" s="131">
        <f>(R217/R214-1)*100</f>
        <v>0.21687308832201158</v>
      </c>
      <c r="U217" s="258"/>
      <c r="V217" s="256"/>
      <c r="W217" s="256"/>
      <c r="X217" s="107">
        <v>-3.7829380000000001</v>
      </c>
      <c r="Y217" s="133">
        <v>109774769.88</v>
      </c>
      <c r="Z217" s="107"/>
      <c r="AA217" s="256"/>
      <c r="AB217" s="240">
        <v>-3.7852439119052645</v>
      </c>
      <c r="AC217" s="133">
        <v>8001921.8399999999</v>
      </c>
      <c r="AD217" s="110">
        <f t="shared" si="218"/>
        <v>-3.7179000000000002</v>
      </c>
      <c r="AE217" s="111">
        <f t="shared" si="195"/>
        <v>117776691.72</v>
      </c>
      <c r="AF217" s="256"/>
    </row>
    <row r="218" spans="1:32" x14ac:dyDescent="0.25">
      <c r="A218" s="21">
        <v>44500</v>
      </c>
      <c r="B218" s="24">
        <f t="shared" si="219"/>
        <v>202</v>
      </c>
      <c r="C218" s="97" t="s">
        <v>330</v>
      </c>
      <c r="D218" s="76">
        <f t="shared" ref="D218:D221" si="222">AD218</f>
        <v>5.9665999999999997</v>
      </c>
      <c r="E218" s="47">
        <f t="shared" ref="E218" si="223">E217*D218/100+E217</f>
        <v>4986505.573184276</v>
      </c>
      <c r="F218" s="253"/>
      <c r="G218" s="256"/>
      <c r="H218" s="256"/>
      <c r="I218" s="258"/>
      <c r="J218" s="20">
        <f t="shared" ref="J218" si="224">A218</f>
        <v>44500</v>
      </c>
      <c r="K218" s="27">
        <v>5.1259629999999996</v>
      </c>
      <c r="L218" s="46">
        <f t="shared" ref="L218" si="225">L217*K218/100+L217</f>
        <v>4033487.0729320911</v>
      </c>
      <c r="M218" s="253"/>
      <c r="N218" s="256"/>
      <c r="O218" s="258"/>
      <c r="P218" s="20">
        <f t="shared" si="26"/>
        <v>44500</v>
      </c>
      <c r="Q218" s="45">
        <v>2.5486770000000001</v>
      </c>
      <c r="R218" s="46">
        <f t="shared" ref="R218" si="226">R217*Q218/100+R217</f>
        <v>3356382.4786035549</v>
      </c>
      <c r="S218" s="253"/>
      <c r="T218" s="256"/>
      <c r="U218" s="258"/>
      <c r="V218" s="256"/>
      <c r="W218" s="256"/>
      <c r="X218" s="107">
        <v>5.8839480000000002</v>
      </c>
      <c r="Y218" s="133">
        <v>116815163.88</v>
      </c>
      <c r="Z218" s="107"/>
      <c r="AA218" s="256"/>
      <c r="AB218" s="240">
        <v>6.1395907999999997</v>
      </c>
      <c r="AC218" s="133">
        <v>8477785.3599999957</v>
      </c>
      <c r="AD218" s="110">
        <f t="shared" si="218"/>
        <v>5.9665999999999997</v>
      </c>
      <c r="AE218" s="111">
        <f t="shared" si="195"/>
        <v>125292949.23999999</v>
      </c>
      <c r="AF218" s="256"/>
    </row>
    <row r="219" spans="1:32" x14ac:dyDescent="0.25">
      <c r="A219" s="21">
        <v>44530</v>
      </c>
      <c r="B219" s="24">
        <f t="shared" si="219"/>
        <v>203</v>
      </c>
      <c r="C219" s="97" t="s">
        <v>330</v>
      </c>
      <c r="D219" s="76">
        <f t="shared" si="222"/>
        <v>-1.9825999999999999</v>
      </c>
      <c r="E219" s="47">
        <f t="shared" ref="E219" si="227">E218*D219/100+E218</f>
        <v>4887643.1136903241</v>
      </c>
      <c r="F219" s="253"/>
      <c r="G219" s="256"/>
      <c r="H219" s="256"/>
      <c r="I219" s="258"/>
      <c r="J219" s="20">
        <f t="shared" ref="J219" si="228">A219</f>
        <v>44530</v>
      </c>
      <c r="K219" s="27">
        <v>-2.3772950000000002</v>
      </c>
      <c r="L219" s="46">
        <f t="shared" ref="L219" si="229">L218*K219/100+L218</f>
        <v>3937599.18642163</v>
      </c>
      <c r="M219" s="253"/>
      <c r="N219" s="256"/>
      <c r="O219" s="258"/>
      <c r="P219" s="20">
        <f t="shared" si="26"/>
        <v>44530</v>
      </c>
      <c r="Q219" s="45">
        <v>-1.904134</v>
      </c>
      <c r="R219" s="46">
        <f t="shared" ref="R219" si="230">R218*Q219/100+R218</f>
        <v>3292472.4586584219</v>
      </c>
      <c r="S219" s="253"/>
      <c r="T219" s="256"/>
      <c r="U219" s="258"/>
      <c r="V219" s="256"/>
      <c r="W219" s="256"/>
      <c r="X219" s="107">
        <v>-2.0486559999999998</v>
      </c>
      <c r="Y219" s="133">
        <v>114371590.67</v>
      </c>
      <c r="Z219" s="107"/>
      <c r="AA219" s="256"/>
      <c r="AB219" s="240">
        <v>-2.0363917304931078</v>
      </c>
      <c r="AC219" s="133">
        <v>8305144.4400000004</v>
      </c>
      <c r="AD219" s="110">
        <f t="shared" si="218"/>
        <v>-1.9825999999999999</v>
      </c>
      <c r="AE219" s="111">
        <f t="shared" si="195"/>
        <v>122676735.11</v>
      </c>
      <c r="AF219" s="256"/>
    </row>
    <row r="220" spans="1:32" x14ac:dyDescent="0.25">
      <c r="A220" s="21">
        <v>44561</v>
      </c>
      <c r="B220" s="24">
        <f t="shared" si="219"/>
        <v>204</v>
      </c>
      <c r="C220" s="97" t="s">
        <v>330</v>
      </c>
      <c r="D220" s="76">
        <f t="shared" si="222"/>
        <v>3.9641999999999999</v>
      </c>
      <c r="E220" s="47">
        <f t="shared" ref="E220" si="231">E219*D220/100+E219</f>
        <v>5081399.0620032363</v>
      </c>
      <c r="F220" s="253">
        <f t="shared" ref="F220" si="232">(E220/E$208-1)*100</f>
        <v>16.967166836411486</v>
      </c>
      <c r="G220" s="131">
        <f>(E220/E217-1)*100</f>
        <v>7.9831505131205516</v>
      </c>
      <c r="H220" s="256"/>
      <c r="I220" s="258"/>
      <c r="J220" s="20">
        <f t="shared" ref="J220" si="233">A220</f>
        <v>44561</v>
      </c>
      <c r="K220" s="27">
        <v>4.0393689999999998</v>
      </c>
      <c r="L220" s="46">
        <f t="shared" ref="L220" si="234">L219*K220/100+L219</f>
        <v>4096653.3473021975</v>
      </c>
      <c r="M220" s="253">
        <f>(L220/L$208-1)*100</f>
        <v>19.044093227364911</v>
      </c>
      <c r="N220" s="131">
        <f>(L220/L217-1)*100</f>
        <v>6.7722842357471391</v>
      </c>
      <c r="O220" s="258"/>
      <c r="P220" s="20">
        <f t="shared" si="26"/>
        <v>44561</v>
      </c>
      <c r="Q220" s="45">
        <v>5.7531400000000001</v>
      </c>
      <c r="R220" s="46">
        <f t="shared" ref="R220" si="235">R219*Q220/100+R219</f>
        <v>3481893.0086664832</v>
      </c>
      <c r="S220" s="253">
        <f t="shared" ref="S220" si="236">(R220/R$208-1)*100</f>
        <v>14.486012183993967</v>
      </c>
      <c r="T220" s="131">
        <f>(R220/R217-1)*100</f>
        <v>6.3834422240387934</v>
      </c>
      <c r="U220" s="258"/>
      <c r="V220" s="320">
        <f>STDEVP(Q185:Q220)*SQRT(12)</f>
        <v>11.997987250294592</v>
      </c>
      <c r="W220" s="256"/>
      <c r="X220" s="107">
        <v>3.8881679999999998</v>
      </c>
      <c r="Y220" s="133">
        <v>125206392.76000001</v>
      </c>
      <c r="Z220" s="107"/>
      <c r="AA220" s="256"/>
      <c r="AB220" s="240">
        <v>4.0479635535393497</v>
      </c>
      <c r="AC220" s="133">
        <v>8641333.6600000001</v>
      </c>
      <c r="AD220" s="110">
        <f t="shared" si="218"/>
        <v>3.9641999999999999</v>
      </c>
      <c r="AE220" s="111">
        <f t="shared" si="195"/>
        <v>133847726.42</v>
      </c>
      <c r="AF220" s="256"/>
    </row>
    <row r="221" spans="1:32" x14ac:dyDescent="0.25">
      <c r="A221" s="21">
        <v>44592</v>
      </c>
      <c r="B221" s="24">
        <f t="shared" si="219"/>
        <v>205</v>
      </c>
      <c r="C221" s="97" t="s">
        <v>330</v>
      </c>
      <c r="D221" s="76">
        <f t="shared" si="222"/>
        <v>-2.2763</v>
      </c>
      <c r="E221" s="47">
        <f t="shared" ref="E221" si="237">E220*D221/100+E220</f>
        <v>4965731.1751548564</v>
      </c>
      <c r="F221" s="256"/>
      <c r="G221" s="256"/>
      <c r="H221" s="256"/>
      <c r="I221" s="258"/>
      <c r="J221" s="20">
        <f t="shared" ref="J221:J222" si="238">A221</f>
        <v>44592</v>
      </c>
      <c r="K221" s="27">
        <v>-4.8918509999999999</v>
      </c>
      <c r="L221" s="46">
        <f t="shared" ref="L221:L222" si="239">L220*K221/100+L220</f>
        <v>3896251.1695656613</v>
      </c>
      <c r="M221" s="256"/>
      <c r="N221" s="256"/>
      <c r="O221" s="258"/>
      <c r="P221" s="20">
        <f t="shared" si="26"/>
        <v>44592</v>
      </c>
      <c r="Q221" s="45">
        <v>-4.8988990000000001</v>
      </c>
      <c r="R221" s="46">
        <f t="shared" ref="R221:R222" si="240">R220*Q221/100+R220</f>
        <v>3311318.5868838509</v>
      </c>
      <c r="S221" s="256"/>
      <c r="T221" s="256"/>
      <c r="U221" s="258"/>
      <c r="V221" s="256"/>
      <c r="W221" s="256"/>
      <c r="X221" s="107">
        <v>-2.3507660000000001</v>
      </c>
      <c r="Y221" s="133">
        <v>123239266.24999999</v>
      </c>
      <c r="Z221" s="107"/>
      <c r="AA221" s="256"/>
      <c r="AB221" s="240">
        <v>-2.2120549999999999</v>
      </c>
      <c r="AC221" s="133">
        <v>8434409.6400000025</v>
      </c>
      <c r="AD221" s="110">
        <f t="shared" si="218"/>
        <v>-2.2763</v>
      </c>
      <c r="AE221" s="111">
        <f t="shared" si="195"/>
        <v>131673675.88999999</v>
      </c>
      <c r="AF221" s="256"/>
    </row>
    <row r="222" spans="1:32" x14ac:dyDescent="0.25">
      <c r="A222" s="21">
        <v>44620</v>
      </c>
      <c r="B222" s="24">
        <f t="shared" si="219"/>
        <v>206</v>
      </c>
      <c r="C222" s="97" t="s">
        <v>330</v>
      </c>
      <c r="D222" s="76">
        <f t="shared" ref="D222:D223" si="241">AD222</f>
        <v>-2.9018000000000002</v>
      </c>
      <c r="E222" s="47">
        <f t="shared" ref="E222" si="242">E221*D222/100+E221</f>
        <v>4821635.5879142126</v>
      </c>
      <c r="F222" s="253"/>
      <c r="G222" s="256"/>
      <c r="H222" s="256"/>
      <c r="I222" s="258"/>
      <c r="J222" s="20">
        <f t="shared" si="238"/>
        <v>44620</v>
      </c>
      <c r="K222" s="27">
        <v>-2.5484659999999999</v>
      </c>
      <c r="L222" s="46">
        <f t="shared" si="239"/>
        <v>3796956.5332346782</v>
      </c>
      <c r="M222" s="253"/>
      <c r="N222" s="256"/>
      <c r="O222" s="258"/>
      <c r="P222" s="20">
        <f t="shared" si="26"/>
        <v>44620</v>
      </c>
      <c r="Q222" s="45">
        <v>-1.5370600000000001</v>
      </c>
      <c r="R222" s="46">
        <f t="shared" si="240"/>
        <v>3260421.6334122941</v>
      </c>
      <c r="S222" s="256"/>
      <c r="T222" s="256"/>
      <c r="U222" s="258"/>
      <c r="V222" s="256"/>
      <c r="W222" s="256"/>
      <c r="X222" s="107">
        <v>-2.9753850000000002</v>
      </c>
      <c r="Y222" s="133">
        <v>120614796.03</v>
      </c>
      <c r="Z222" s="107"/>
      <c r="AA222" s="256"/>
      <c r="AB222" s="240">
        <v>-2.849453</v>
      </c>
      <c r="AC222" s="133">
        <v>8194075.0628000004</v>
      </c>
      <c r="AD222" s="110">
        <f t="shared" ref="AD222" si="243">ROUND(Y221/AE221*(X222+0.84/12)+(AC221/AE221*AB222),4)</f>
        <v>-2.9018000000000002</v>
      </c>
      <c r="AE222" s="111">
        <f t="shared" ref="AE222" si="244">Y222+AC222</f>
        <v>128808871.09280001</v>
      </c>
      <c r="AF222" s="256"/>
    </row>
    <row r="223" spans="1:32" x14ac:dyDescent="0.25">
      <c r="A223" s="21">
        <v>44651</v>
      </c>
      <c r="B223" s="24">
        <f t="shared" si="219"/>
        <v>207</v>
      </c>
      <c r="C223" s="97" t="s">
        <v>330</v>
      </c>
      <c r="D223" s="76">
        <f t="shared" si="241"/>
        <v>2.6631999999999998</v>
      </c>
      <c r="E223" s="47">
        <f t="shared" ref="E223" si="245">E222*D223/100+E222</f>
        <v>4950045.3868915439</v>
      </c>
      <c r="F223" s="253"/>
      <c r="G223" s="131">
        <f>(E223/E220-1)*100</f>
        <v>-2.5849903443700195</v>
      </c>
      <c r="H223" s="256"/>
      <c r="I223" s="258"/>
      <c r="J223" s="20">
        <f t="shared" ref="J223" si="246">A223</f>
        <v>44651</v>
      </c>
      <c r="K223" s="27">
        <v>2.23217</v>
      </c>
      <c r="L223" s="46">
        <f t="shared" ref="L223" si="247">L222*K223/100+L222</f>
        <v>3881711.0578825828</v>
      </c>
      <c r="M223" s="253"/>
      <c r="N223" s="131">
        <f>(L223/L220-1)*100</f>
        <v>-5.2467775815388968</v>
      </c>
      <c r="O223" s="258"/>
      <c r="P223" s="20">
        <f t="shared" si="26"/>
        <v>44651</v>
      </c>
      <c r="Q223" s="45">
        <v>3.7015509999999998</v>
      </c>
      <c r="R223" s="46">
        <f t="shared" ref="R223" si="248">R222*Q223/100+R222</f>
        <v>3381107.8029880831</v>
      </c>
      <c r="S223" s="253"/>
      <c r="T223" s="131">
        <f>(R223/R220-1)*100</f>
        <v>-2.8945520562390747</v>
      </c>
      <c r="U223" s="258"/>
      <c r="V223" s="256"/>
      <c r="W223" s="256"/>
      <c r="X223" s="107">
        <v>2.5926960000000001</v>
      </c>
      <c r="Y223" s="133">
        <v>127102627.34</v>
      </c>
      <c r="Z223" s="107"/>
      <c r="AA223" s="256"/>
      <c r="AB223" s="240">
        <v>2.6712959999999999</v>
      </c>
      <c r="AC223" s="133">
        <v>8412963.0574999973</v>
      </c>
      <c r="AD223" s="110">
        <f t="shared" ref="AD223" si="249">ROUND(Y222/AE222*(X223+0.84/12)+(AC222/AE222*AB223),4)</f>
        <v>2.6631999999999998</v>
      </c>
      <c r="AE223" s="111">
        <f t="shared" ref="AE223" si="250">Y223+AC223</f>
        <v>135515590.39750001</v>
      </c>
      <c r="AF223" s="256"/>
    </row>
    <row r="224" spans="1:32" x14ac:dyDescent="0.25">
      <c r="A224" s="21">
        <v>44681</v>
      </c>
      <c r="B224" s="24">
        <f t="shared" ref="B224:B231" si="251">IF(A224&gt;A223,1+B223,"-")</f>
        <v>208</v>
      </c>
      <c r="C224" s="97" t="s">
        <v>330</v>
      </c>
      <c r="D224" s="76">
        <f t="shared" ref="D224:D227" si="252">AD224</f>
        <v>-5.9966999999999997</v>
      </c>
      <c r="E224" s="47">
        <f t="shared" ref="E224" si="253">E223*D224/100+E223</f>
        <v>4653206.0151758185</v>
      </c>
      <c r="F224" s="253"/>
      <c r="G224" s="131"/>
      <c r="H224" s="256"/>
      <c r="I224" s="258"/>
      <c r="J224" s="20">
        <f t="shared" ref="J224" si="254">A224</f>
        <v>44681</v>
      </c>
      <c r="K224" s="27">
        <v>-7.9712139999999998</v>
      </c>
      <c r="L224" s="46">
        <f t="shared" ref="L224" si="255">L223*K224/100+L223</f>
        <v>3572291.5625970983</v>
      </c>
      <c r="M224" s="253"/>
      <c r="N224" s="131"/>
      <c r="O224" s="258"/>
      <c r="P224" s="20">
        <f t="shared" si="26"/>
        <v>44681</v>
      </c>
      <c r="Q224" s="45">
        <v>-4.2598269999999996</v>
      </c>
      <c r="R224" s="46">
        <f t="shared" ref="R224" si="256">R223*Q224/100+R223</f>
        <v>3237078.45989729</v>
      </c>
      <c r="S224" s="253"/>
      <c r="T224" s="131"/>
      <c r="U224" s="258"/>
      <c r="V224" s="256"/>
      <c r="W224" s="256"/>
      <c r="X224" s="107">
        <v>-6.0597830000000004</v>
      </c>
      <c r="Y224" s="133">
        <v>120106940.45999999</v>
      </c>
      <c r="Z224" s="107"/>
      <c r="AA224" s="256"/>
      <c r="AB224" s="240">
        <v>-6.1004100000000001</v>
      </c>
      <c r="AC224" s="133">
        <v>7884271.6600000001</v>
      </c>
      <c r="AD224" s="110">
        <f t="shared" ref="AD224" si="257">ROUND(Y223/AE223*(X224+0.84/12)+(AC223/AE223*AB224),4)</f>
        <v>-5.9966999999999997</v>
      </c>
      <c r="AE224" s="111">
        <f t="shared" ref="AE224" si="258">Y224+AC224</f>
        <v>127991212.11999999</v>
      </c>
      <c r="AF224" s="256"/>
    </row>
    <row r="225" spans="1:31" x14ac:dyDescent="0.25">
      <c r="A225" s="21">
        <v>44712</v>
      </c>
      <c r="B225" s="24">
        <f t="shared" si="251"/>
        <v>209</v>
      </c>
      <c r="C225" s="97" t="s">
        <v>330</v>
      </c>
      <c r="D225" s="76">
        <f t="shared" si="252"/>
        <v>1.0449999999999999</v>
      </c>
      <c r="E225" s="47">
        <f t="shared" ref="E225" si="259">E224*D225/100+E224</f>
        <v>4701832.018034406</v>
      </c>
      <c r="F225" s="253"/>
      <c r="G225" s="131"/>
      <c r="H225" s="256"/>
      <c r="I225" s="258"/>
      <c r="J225" s="20">
        <f t="shared" ref="J225" si="260">A225</f>
        <v>44712</v>
      </c>
      <c r="K225" s="27">
        <v>0.1835774</v>
      </c>
      <c r="L225" s="46">
        <f t="shared" ref="L225" si="261">L224*K225/100+L224</f>
        <v>3578849.4825681336</v>
      </c>
      <c r="M225" s="253"/>
      <c r="N225" s="131"/>
      <c r="O225" s="258"/>
      <c r="P225" s="20">
        <f t="shared" si="26"/>
        <v>44712</v>
      </c>
      <c r="Q225" s="45">
        <v>-1.062646</v>
      </c>
      <c r="R225" s="46">
        <f t="shared" ref="R225" si="262">R224*Q225/100+R224</f>
        <v>3202679.7751263296</v>
      </c>
      <c r="S225" s="253"/>
      <c r="T225" s="131"/>
      <c r="U225" s="258"/>
      <c r="V225" s="256"/>
      <c r="W225" s="256"/>
      <c r="X225" s="107">
        <v>0.98351169999999999</v>
      </c>
      <c r="Y225" s="133">
        <v>121806708.87</v>
      </c>
      <c r="Z225" s="107"/>
      <c r="AA225" s="256"/>
      <c r="AB225" s="240">
        <v>0.91599958000000004</v>
      </c>
      <c r="AC225" s="133">
        <v>7956491.5554999989</v>
      </c>
      <c r="AD225" s="110">
        <f t="shared" ref="AD225" si="263">ROUND(Y224/AE224*(X225+0.84/12)+(AC224/AE224*AB225),4)</f>
        <v>1.0449999999999999</v>
      </c>
      <c r="AE225" s="111">
        <f t="shared" ref="AE225" si="264">Y225+AC225</f>
        <v>129763200.42550001</v>
      </c>
    </row>
    <row r="226" spans="1:31" x14ac:dyDescent="0.25">
      <c r="A226" s="21">
        <v>44742</v>
      </c>
      <c r="B226" s="24">
        <f t="shared" si="251"/>
        <v>210</v>
      </c>
      <c r="C226" s="97" t="s">
        <v>330</v>
      </c>
      <c r="D226" s="76">
        <f t="shared" si="252"/>
        <v>-5.6927000000000003</v>
      </c>
      <c r="E226" s="47">
        <f t="shared" ref="E226" si="265">E225*D226/100+E225</f>
        <v>4434170.8267437611</v>
      </c>
      <c r="F226" s="253"/>
      <c r="G226" s="131">
        <f>(E226/E223-1)*100</f>
        <v>-10.421612729327601</v>
      </c>
      <c r="H226" s="256"/>
      <c r="I226" s="258"/>
      <c r="J226" s="20">
        <f t="shared" ref="J226" si="266">A226</f>
        <v>44742</v>
      </c>
      <c r="K226" s="27">
        <v>-8.3909459999999996</v>
      </c>
      <c r="L226" s="46">
        <f t="shared" ref="L226" si="267">L225*K226/100+L225</f>
        <v>3278550.1550645623</v>
      </c>
      <c r="M226" s="253"/>
      <c r="N226" s="131">
        <f>(L226/L223-1)*100</f>
        <v>-15.538531689348256</v>
      </c>
      <c r="O226" s="258"/>
      <c r="P226" s="20">
        <f t="shared" si="26"/>
        <v>44742</v>
      </c>
      <c r="Q226" s="45">
        <v>-4.0701739999999997</v>
      </c>
      <c r="R226" s="46">
        <f t="shared" ref="R226" si="268">R225*Q226/100+R225</f>
        <v>3072325.1356158792</v>
      </c>
      <c r="S226" s="253"/>
      <c r="T226" s="131">
        <f>(R226/R223-1)*100</f>
        <v>-9.1325886474046936</v>
      </c>
      <c r="U226" s="258"/>
      <c r="V226" s="256"/>
      <c r="W226" s="256"/>
      <c r="X226" s="107">
        <v>-5.757663</v>
      </c>
      <c r="Y226" s="133">
        <v>116598519.52</v>
      </c>
      <c r="Z226" s="107"/>
      <c r="AA226" s="256"/>
      <c r="AB226" s="240">
        <v>-5.7692417699999998</v>
      </c>
      <c r="AC226" s="133">
        <v>7497462.3211000003</v>
      </c>
      <c r="AD226" s="110">
        <f t="shared" ref="AD226:AD227" si="269">ROUND(Y225/AE225*(X226+0.84/12)+(AC225/AE225*AB226),4)</f>
        <v>-5.6927000000000003</v>
      </c>
      <c r="AE226" s="111">
        <f t="shared" ref="AE226:AE227" si="270">Y226+AC226</f>
        <v>124095981.84109999</v>
      </c>
    </row>
    <row r="227" spans="1:31" x14ac:dyDescent="0.25">
      <c r="A227" s="21">
        <v>44773</v>
      </c>
      <c r="B227" s="24">
        <f t="shared" si="251"/>
        <v>211</v>
      </c>
      <c r="C227" s="97" t="s">
        <v>330</v>
      </c>
      <c r="D227" s="76">
        <f t="shared" si="252"/>
        <v>5.2363999999999997</v>
      </c>
      <c r="E227" s="47">
        <f t="shared" ref="E227" si="271">E226*D227/100+E226</f>
        <v>4666361.7479153713</v>
      </c>
      <c r="F227" s="253"/>
      <c r="G227" s="256"/>
      <c r="H227" s="256"/>
      <c r="I227" s="258"/>
      <c r="J227" s="20">
        <f t="shared" ref="J227" si="272">A227</f>
        <v>44773</v>
      </c>
      <c r="K227" s="27">
        <v>7.0209169999999999</v>
      </c>
      <c r="L227" s="46">
        <f t="shared" ref="L227" si="273">L226*K227/100+L226</f>
        <v>3508734.4402550166</v>
      </c>
      <c r="M227" s="253"/>
      <c r="N227" s="256"/>
      <c r="O227" s="258"/>
      <c r="P227" s="20">
        <f t="shared" si="26"/>
        <v>44773</v>
      </c>
      <c r="Q227" s="45">
        <v>3.076047</v>
      </c>
      <c r="R227" s="46">
        <f t="shared" ref="R227" si="274">R226*Q227/100+R226</f>
        <v>3166831.3007802372</v>
      </c>
      <c r="S227" s="253"/>
      <c r="U227" s="258"/>
      <c r="X227" s="107">
        <v>5.167173</v>
      </c>
      <c r="Y227" s="133">
        <v>123900572.04000001</v>
      </c>
      <c r="Z227" s="107"/>
      <c r="AA227" s="256"/>
      <c r="AB227" s="240">
        <v>5.2237</v>
      </c>
      <c r="AC227" s="133">
        <v>7874494.4000000004</v>
      </c>
      <c r="AD227" s="110">
        <f t="shared" si="269"/>
        <v>5.2363999999999997</v>
      </c>
      <c r="AE227" s="111">
        <f t="shared" si="270"/>
        <v>131775066.44000001</v>
      </c>
    </row>
    <row r="228" spans="1:31" x14ac:dyDescent="0.25">
      <c r="A228" s="21">
        <v>44804</v>
      </c>
      <c r="B228" s="24">
        <f t="shared" si="251"/>
        <v>212</v>
      </c>
      <c r="C228" s="97" t="s">
        <v>330</v>
      </c>
      <c r="D228" s="76">
        <f t="shared" ref="D228:D229" si="275">AD228</f>
        <v>-4.0895999999999999</v>
      </c>
      <c r="E228" s="47">
        <f t="shared" ref="E228" si="276">E227*D228/100+E227</f>
        <v>4475526.2178726243</v>
      </c>
      <c r="F228" s="253"/>
      <c r="G228" s="256"/>
      <c r="H228" s="256"/>
      <c r="I228" s="258"/>
      <c r="J228" s="20">
        <f t="shared" ref="J228" si="277">A228</f>
        <v>44804</v>
      </c>
      <c r="K228" s="27">
        <v>-3.639303</v>
      </c>
      <c r="L228" s="46">
        <f t="shared" ref="L228" si="278">L227*K228/100+L227</f>
        <v>3381040.9625087827</v>
      </c>
      <c r="M228" s="253"/>
      <c r="N228" s="256"/>
      <c r="O228" s="258"/>
      <c r="P228" s="20">
        <f t="shared" si="26"/>
        <v>44804</v>
      </c>
      <c r="Q228" s="45">
        <v>-2.1229930000000001</v>
      </c>
      <c r="R228" s="46">
        <f t="shared" ref="R228" si="279">R227*Q228/100+R227</f>
        <v>3099599.693942864</v>
      </c>
      <c r="S228" s="253"/>
      <c r="U228" s="258"/>
      <c r="X228" s="107">
        <v>-4.1618490000000001</v>
      </c>
      <c r="Y228" s="133">
        <v>117880698.11</v>
      </c>
      <c r="Z228" s="107"/>
      <c r="AA228" s="256"/>
      <c r="AB228" s="240">
        <v>-4.0537599999999996</v>
      </c>
      <c r="AC228" s="133">
        <v>7555185.6870330004</v>
      </c>
      <c r="AD228" s="110">
        <f t="shared" ref="AD228" si="280">ROUND(Y227/AE227*(X228+0.84/12)+(AC227/AE227*AB228),4)</f>
        <v>-4.0895999999999999</v>
      </c>
      <c r="AE228" s="111">
        <f t="shared" ref="AE228" si="281">Y228+AC228</f>
        <v>125435883.797033</v>
      </c>
    </row>
    <row r="229" spans="1:31" x14ac:dyDescent="0.25">
      <c r="A229" s="21">
        <v>44834</v>
      </c>
      <c r="B229" s="24">
        <f t="shared" si="251"/>
        <v>213</v>
      </c>
      <c r="C229" s="97" t="s">
        <v>330</v>
      </c>
      <c r="D229" s="76">
        <f t="shared" si="275"/>
        <v>-7.7401</v>
      </c>
      <c r="E229" s="47">
        <f t="shared" ref="E229" si="282">E228*D229/100+E228</f>
        <v>4129116.0130830654</v>
      </c>
      <c r="F229" s="253"/>
      <c r="G229" s="131">
        <f>(E229/E226-1)*100</f>
        <v>-6.8796360262176286</v>
      </c>
      <c r="H229" s="256"/>
      <c r="I229" s="258"/>
      <c r="J229" s="20">
        <f t="shared" ref="J229" si="283">A229</f>
        <v>44834</v>
      </c>
      <c r="K229" s="27">
        <v>-9.5221459999999993</v>
      </c>
      <c r="L229" s="46">
        <f t="shared" ref="L229" si="284">L228*K229/100+L228</f>
        <v>3059093.3057388915</v>
      </c>
      <c r="M229" s="253"/>
      <c r="N229" s="131">
        <f>(L229/L226-1)*100</f>
        <v>-6.6937163973734943</v>
      </c>
      <c r="O229" s="258"/>
      <c r="P229" s="20">
        <f t="shared" si="26"/>
        <v>44834</v>
      </c>
      <c r="Q229" s="45">
        <v>-6.7019080000000004</v>
      </c>
      <c r="R229" s="46">
        <f t="shared" ref="R229" si="285">R228*Q229/100+R228</f>
        <v>2891867.3740865318</v>
      </c>
      <c r="S229" s="253"/>
      <c r="T229" s="131">
        <f>(R229/R226-1)*100</f>
        <v>-5.873654433165088</v>
      </c>
      <c r="U229" s="258"/>
      <c r="X229" s="107">
        <v>-7.8106150000000003</v>
      </c>
      <c r="Y229" s="133">
        <v>110572453.41</v>
      </c>
      <c r="Z229" s="107"/>
      <c r="AB229" s="240">
        <v>-7.7316047015187195</v>
      </c>
      <c r="AC229" s="133">
        <v>6970898.1512479996</v>
      </c>
      <c r="AD229" s="110">
        <f t="shared" ref="AD229:AD230" si="286">ROUND(Y228/AE228*(X229+0.84/12)+(AC228/AE228*AB229),4)</f>
        <v>-7.7401</v>
      </c>
      <c r="AE229" s="111">
        <f t="shared" ref="AE229:AE230" si="287">Y229+AC229</f>
        <v>117543351.56124799</v>
      </c>
    </row>
    <row r="230" spans="1:31" x14ac:dyDescent="0.25">
      <c r="A230" s="21">
        <v>44865</v>
      </c>
      <c r="B230" s="24">
        <f t="shared" si="251"/>
        <v>214</v>
      </c>
      <c r="C230" s="97" t="s">
        <v>330</v>
      </c>
      <c r="D230" s="76">
        <f t="shared" ref="D230" si="288">AD230</f>
        <v>6.9131999999999998</v>
      </c>
      <c r="E230" s="47">
        <f t="shared" ref="E230" si="289">E229*D230/100+E229</f>
        <v>4414570.0612995243</v>
      </c>
      <c r="F230" s="253"/>
      <c r="G230" s="131"/>
      <c r="H230" s="256"/>
      <c r="I230" s="258"/>
      <c r="J230" s="20">
        <f t="shared" ref="J230" si="290">A230</f>
        <v>44865</v>
      </c>
      <c r="K230" s="27">
        <v>6.0588069999999998</v>
      </c>
      <c r="L230" s="46">
        <f t="shared" ref="L230" si="291">L229*K230/100+L229</f>
        <v>3244437.865083531</v>
      </c>
      <c r="M230" s="253"/>
      <c r="N230" s="131"/>
      <c r="O230" s="258"/>
      <c r="P230" s="20">
        <f t="shared" si="26"/>
        <v>44865</v>
      </c>
      <c r="Q230" s="45">
        <v>4.180364</v>
      </c>
      <c r="R230" s="46">
        <f t="shared" ref="R230" si="292">R229*Q230/100+R229</f>
        <v>3012757.9567205906</v>
      </c>
      <c r="S230" s="253"/>
      <c r="T230" s="131"/>
      <c r="U230" s="258"/>
      <c r="X230" s="107">
        <v>6.8367680000000002</v>
      </c>
      <c r="Y230" s="133">
        <v>121323458.78</v>
      </c>
      <c r="Z230" s="107"/>
      <c r="AB230" s="240">
        <v>7.0145382999999999</v>
      </c>
      <c r="AC230" s="133">
        <v>6970898.1515000006</v>
      </c>
      <c r="AD230" s="110">
        <f t="shared" si="286"/>
        <v>6.9131999999999998</v>
      </c>
      <c r="AE230" s="111">
        <f t="shared" si="287"/>
        <v>128294356.9315</v>
      </c>
    </row>
    <row r="231" spans="1:31" x14ac:dyDescent="0.25">
      <c r="A231" s="21">
        <v>44895</v>
      </c>
      <c r="B231" s="24">
        <f t="shared" si="251"/>
        <v>215</v>
      </c>
      <c r="C231" s="97" t="s">
        <v>330</v>
      </c>
      <c r="D231" s="76">
        <f t="shared" ref="D231" si="293">AD231</f>
        <v>6.2511999999999999</v>
      </c>
      <c r="E231" s="47">
        <f t="shared" ref="E231:E237" si="294">E230*D231/100+E230</f>
        <v>4690533.6649714801</v>
      </c>
      <c r="F231" s="253"/>
      <c r="G231" s="131"/>
      <c r="H231" s="256"/>
      <c r="I231" s="258"/>
      <c r="J231" s="20">
        <f t="shared" ref="J231" si="295">A231</f>
        <v>44895</v>
      </c>
      <c r="K231" s="27">
        <v>7.8056330000000003</v>
      </c>
      <c r="L231" s="46">
        <f t="shared" ref="L231:L237" si="296">L230*K231/100+L230</f>
        <v>3497686.7777449866</v>
      </c>
      <c r="M231" s="253"/>
      <c r="N231" s="131"/>
      <c r="O231" s="258"/>
      <c r="P231" s="20">
        <f t="shared" si="26"/>
        <v>44895</v>
      </c>
      <c r="Q231" s="45">
        <v>6.2927</v>
      </c>
      <c r="R231" s="46">
        <f t="shared" ref="R231:R237" si="297">R230*Q231/100+R230</f>
        <v>3202341.7766631474</v>
      </c>
      <c r="S231" s="253"/>
      <c r="T231" s="131"/>
      <c r="U231" s="258"/>
      <c r="X231" s="107">
        <v>6.1849360000000004</v>
      </c>
      <c r="Y231" s="133">
        <v>130150422.5</v>
      </c>
      <c r="Z231" s="107"/>
      <c r="AB231" s="240">
        <v>6.1863432999999999</v>
      </c>
      <c r="AC231" s="133">
        <v>7905796.7212490002</v>
      </c>
      <c r="AD231" s="110">
        <f t="shared" ref="AD231" si="298">ROUND(Y230/AE230*(X231+0.84/12)+(AC230/AE230*AB231),4)</f>
        <v>6.2511999999999999</v>
      </c>
      <c r="AE231" s="111">
        <f t="shared" ref="AE231" si="299">Y231+AC231</f>
        <v>138056219.22124901</v>
      </c>
    </row>
    <row r="232" spans="1:31" x14ac:dyDescent="0.25">
      <c r="A232" s="21">
        <v>44926</v>
      </c>
      <c r="B232" s="24">
        <f t="shared" ref="B232:B237" si="300">IF(A232&gt;A231,1+B231,"-")</f>
        <v>216</v>
      </c>
      <c r="C232" s="97" t="s">
        <v>330</v>
      </c>
      <c r="D232" s="76">
        <v>-5.0053468376241721</v>
      </c>
      <c r="E232" s="47">
        <f t="shared" si="294"/>
        <v>4455756.186504133</v>
      </c>
      <c r="F232" s="253">
        <f>(E232/E$220-1)*100</f>
        <v>-12.312413724350479</v>
      </c>
      <c r="G232" s="131">
        <f>(E232/E229-1)*100</f>
        <v>7.9106562369793298</v>
      </c>
      <c r="H232" s="256"/>
      <c r="I232" s="258"/>
      <c r="J232" s="20">
        <f t="shared" ref="J232:J237" si="301">A232</f>
        <v>44926</v>
      </c>
      <c r="K232" s="27">
        <v>-3.8958050000000002</v>
      </c>
      <c r="L232" s="46">
        <f t="shared" si="296"/>
        <v>3361423.7213732586</v>
      </c>
      <c r="M232" s="253">
        <f>(L232/L$220-1)*100</f>
        <v>-17.947079325447824</v>
      </c>
      <c r="N232" s="131">
        <f>(L232/L229-1)*100</f>
        <v>9.8830073298906029</v>
      </c>
      <c r="O232" s="258"/>
      <c r="P232" s="20">
        <f t="shared" si="26"/>
        <v>44926</v>
      </c>
      <c r="Q232" s="45">
        <v>-1.943875</v>
      </c>
      <c r="R232" s="46">
        <f t="shared" si="297"/>
        <v>3140092.2554520369</v>
      </c>
      <c r="S232" s="253">
        <f>(R232/R$220-1)*100</f>
        <v>-9.8165208512639328</v>
      </c>
      <c r="T232" s="131">
        <f>(R232/R229-1)*100</f>
        <v>8.5835499784603151</v>
      </c>
      <c r="U232" s="258"/>
      <c r="V232" s="320">
        <f>STDEVP(Q197:Q232)*SQRT(12)</f>
        <v>14.156142096844693</v>
      </c>
      <c r="X232" s="107">
        <v>-5.0768690000000003</v>
      </c>
      <c r="Y232" s="133">
        <v>124172139.81999999</v>
      </c>
    </row>
    <row r="233" spans="1:31" x14ac:dyDescent="0.25">
      <c r="A233" s="21">
        <v>44957</v>
      </c>
      <c r="B233" s="24">
        <f t="shared" si="300"/>
        <v>217</v>
      </c>
      <c r="C233" s="97" t="s">
        <v>330</v>
      </c>
      <c r="D233" s="76">
        <v>6.6684536521078721</v>
      </c>
      <c r="E233" s="47">
        <f t="shared" si="294"/>
        <v>4752886.2226520907</v>
      </c>
      <c r="F233" s="256"/>
      <c r="G233" s="256"/>
      <c r="H233" s="256"/>
      <c r="I233" s="258"/>
      <c r="J233" s="20">
        <f t="shared" si="301"/>
        <v>44957</v>
      </c>
      <c r="K233" s="27">
        <v>7.1951999999999998</v>
      </c>
      <c r="L233" s="46">
        <f t="shared" si="296"/>
        <v>3603284.8809735072</v>
      </c>
      <c r="M233" s="256"/>
      <c r="N233" s="256"/>
      <c r="O233" s="258"/>
      <c r="P233" s="20">
        <f t="shared" ref="P233:P268" si="302">$A233</f>
        <v>44957</v>
      </c>
      <c r="Q233" s="45">
        <v>1.7564</v>
      </c>
      <c r="R233" s="46">
        <f t="shared" si="297"/>
        <v>3195244.8358267965</v>
      </c>
      <c r="S233" s="256"/>
      <c r="T233" s="256"/>
      <c r="U233" s="258"/>
      <c r="W233" s="319"/>
      <c r="X233" s="107">
        <v>6.5975489999999999</v>
      </c>
      <c r="Y233" s="133">
        <v>132276117.22</v>
      </c>
    </row>
    <row r="234" spans="1:31" x14ac:dyDescent="0.25">
      <c r="A234" s="21">
        <v>44985</v>
      </c>
      <c r="B234" s="24">
        <f t="shared" si="300"/>
        <v>218</v>
      </c>
      <c r="C234" s="97" t="s">
        <v>330</v>
      </c>
      <c r="D234" s="76">
        <v>-3.1415559766686876</v>
      </c>
      <c r="E234" s="47">
        <f t="shared" si="294"/>
        <v>4603571.6414601011</v>
      </c>
      <c r="F234" s="256"/>
      <c r="G234" s="256"/>
      <c r="H234" s="256"/>
      <c r="I234" s="258"/>
      <c r="J234" s="20">
        <f t="shared" si="301"/>
        <v>44985</v>
      </c>
      <c r="K234" s="27">
        <v>-2.8328000000000002</v>
      </c>
      <c r="L234" s="46">
        <f t="shared" si="296"/>
        <v>3501211.0268652895</v>
      </c>
      <c r="M234" s="256"/>
      <c r="N234" s="256"/>
      <c r="O234" s="258"/>
      <c r="P234" s="20">
        <f t="shared" si="302"/>
        <v>44985</v>
      </c>
      <c r="Q234" s="45">
        <v>-3.738</v>
      </c>
      <c r="R234" s="46">
        <f t="shared" si="297"/>
        <v>3075806.5838635908</v>
      </c>
      <c r="S234" s="256"/>
      <c r="T234" s="256"/>
      <c r="U234" s="258"/>
      <c r="W234" s="319"/>
      <c r="X234" s="107">
        <v>-3.2124959999999998</v>
      </c>
      <c r="Y234" s="133">
        <v>129694381.34</v>
      </c>
    </row>
    <row r="235" spans="1:31" x14ac:dyDescent="0.25">
      <c r="A235" s="21">
        <v>45016</v>
      </c>
      <c r="B235" s="24">
        <f t="shared" si="300"/>
        <v>219</v>
      </c>
      <c r="C235" s="97" t="s">
        <v>330</v>
      </c>
      <c r="D235" s="76">
        <v>1.9567662266374102</v>
      </c>
      <c r="E235" s="47">
        <f t="shared" si="294"/>
        <v>4693652.7765592495</v>
      </c>
      <c r="F235" s="256"/>
      <c r="G235" s="131">
        <f>(E235/E232-1)*100</f>
        <v>5.3390845481104288</v>
      </c>
      <c r="H235" s="256"/>
      <c r="I235" s="258"/>
      <c r="J235" s="20">
        <f t="shared" si="301"/>
        <v>45016</v>
      </c>
      <c r="K235" s="27">
        <v>3.1547999999999998</v>
      </c>
      <c r="L235" s="46">
        <f t="shared" si="296"/>
        <v>3611667.2323408355</v>
      </c>
      <c r="M235" s="256"/>
      <c r="N235" s="131">
        <f>(L235/L232-1)*100</f>
        <v>7.4445690787635632</v>
      </c>
      <c r="O235" s="258"/>
      <c r="P235" s="20">
        <f t="shared" si="302"/>
        <v>45016</v>
      </c>
      <c r="Q235" s="45">
        <v>3.8073999999999999</v>
      </c>
      <c r="R235" s="46">
        <f t="shared" si="297"/>
        <v>3192914.8437376134</v>
      </c>
      <c r="S235" s="256"/>
      <c r="T235" s="131">
        <f>(R235/R232-1)*100</f>
        <v>1.6821986103708442</v>
      </c>
      <c r="U235" s="258"/>
      <c r="X235" s="107">
        <v>1.8879410000000001</v>
      </c>
      <c r="Y235" s="133">
        <v>132762287.52</v>
      </c>
    </row>
    <row r="236" spans="1:31" x14ac:dyDescent="0.25">
      <c r="A236" s="21">
        <v>45046</v>
      </c>
      <c r="B236" s="24">
        <f t="shared" si="300"/>
        <v>220</v>
      </c>
      <c r="C236" s="97" t="s">
        <v>330</v>
      </c>
      <c r="D236" s="76">
        <v>1.5725506870097283</v>
      </c>
      <c r="E236" s="47">
        <f t="shared" si="294"/>
        <v>4767462.8455428835</v>
      </c>
      <c r="F236" s="256"/>
      <c r="G236" s="256"/>
      <c r="H236" s="256"/>
      <c r="I236" s="258"/>
      <c r="J236" s="20">
        <f t="shared" si="301"/>
        <v>45046</v>
      </c>
      <c r="K236" s="27">
        <v>1.4809000000000001</v>
      </c>
      <c r="L236" s="46">
        <f t="shared" si="296"/>
        <v>3665152.412384571</v>
      </c>
      <c r="M236" s="256"/>
      <c r="N236" s="256"/>
      <c r="O236" s="258"/>
      <c r="P236" s="20">
        <f t="shared" si="302"/>
        <v>45046</v>
      </c>
      <c r="Q236" s="45">
        <v>2.8603000000000001</v>
      </c>
      <c r="R236" s="46">
        <f t="shared" si="297"/>
        <v>3284241.7870130404</v>
      </c>
      <c r="S236" s="256"/>
      <c r="T236" s="256"/>
      <c r="U236" s="258"/>
      <c r="X236" s="107">
        <v>1.4943219999999999</v>
      </c>
      <c r="Y236" s="133">
        <v>135657427.25999999</v>
      </c>
    </row>
    <row r="237" spans="1:31" x14ac:dyDescent="0.25">
      <c r="A237" s="21">
        <v>45077</v>
      </c>
      <c r="B237" s="24">
        <f t="shared" si="300"/>
        <v>221</v>
      </c>
      <c r="C237" s="97" t="s">
        <v>330</v>
      </c>
      <c r="D237" s="76">
        <v>-2.6831842464369489</v>
      </c>
      <c r="E237" s="47">
        <f t="shared" si="294"/>
        <v>4639543.0335165421</v>
      </c>
      <c r="F237" s="253"/>
      <c r="G237" s="256"/>
      <c r="H237" s="256"/>
      <c r="I237" s="258"/>
      <c r="J237" s="20">
        <f t="shared" si="301"/>
        <v>45077</v>
      </c>
      <c r="K237" s="27">
        <v>-1.0115000000000001</v>
      </c>
      <c r="L237" s="46">
        <f t="shared" si="296"/>
        <v>3628079.3957333011</v>
      </c>
      <c r="M237" s="253"/>
      <c r="N237" s="256"/>
      <c r="O237" s="258"/>
      <c r="P237" s="20">
        <f t="shared" si="302"/>
        <v>45077</v>
      </c>
      <c r="Q237" s="45">
        <v>-3.1490999999999998</v>
      </c>
      <c r="R237" s="46">
        <f t="shared" si="297"/>
        <v>3180817.7288982128</v>
      </c>
      <c r="S237" s="253"/>
      <c r="T237" s="256"/>
      <c r="U237" s="258"/>
      <c r="X237" s="107">
        <v>-2.7385160000000002</v>
      </c>
      <c r="Y237" s="133">
        <v>132622291.59000002</v>
      </c>
    </row>
    <row r="238" spans="1:31" x14ac:dyDescent="0.25">
      <c r="A238" s="21">
        <v>45107</v>
      </c>
      <c r="B238" s="24">
        <f t="shared" ref="B238:B241" si="303">IF(A238&gt;A237,1+B237,"-")</f>
        <v>222</v>
      </c>
      <c r="C238" s="97" t="s">
        <v>330</v>
      </c>
      <c r="D238" s="76">
        <v>4.419375097358782</v>
      </c>
      <c r="E238" s="47">
        <f t="shared" ref="E238" si="304">E237*D238/100+E237</f>
        <v>4844581.8429710167</v>
      </c>
      <c r="F238" s="253"/>
      <c r="G238" s="131">
        <f>(E238/E235-1)*100</f>
        <v>3.2155993124486804</v>
      </c>
      <c r="H238" s="256"/>
      <c r="I238" s="258"/>
      <c r="J238" s="20">
        <f t="shared" ref="J238" si="305">A238</f>
        <v>45107</v>
      </c>
      <c r="K238" s="27">
        <v>5.8438999999999997</v>
      </c>
      <c r="L238" s="46">
        <f t="shared" ref="L238" si="306">L237*K238/100+L237</f>
        <v>3840100.7275405596</v>
      </c>
      <c r="M238" s="253"/>
      <c r="N238" s="131">
        <f>(L238/L235-1)*100</f>
        <v>6.3248765875827617</v>
      </c>
      <c r="O238" s="258"/>
      <c r="P238" s="20">
        <f t="shared" si="302"/>
        <v>45107</v>
      </c>
      <c r="Q238" s="45">
        <v>2.7199</v>
      </c>
      <c r="R238" s="46">
        <f t="shared" ref="R238" si="307">R237*Q238/100+R237</f>
        <v>3267332.7903065151</v>
      </c>
      <c r="S238" s="253"/>
      <c r="T238" s="131">
        <f>(R238/R235-1)*100</f>
        <v>2.3307213067351507</v>
      </c>
      <c r="U238" s="258"/>
      <c r="X238" s="107">
        <v>4.3293980000000003</v>
      </c>
      <c r="Y238" s="133">
        <v>139662136.13000003</v>
      </c>
    </row>
    <row r="239" spans="1:31" x14ac:dyDescent="0.25">
      <c r="A239" s="21">
        <v>45138</v>
      </c>
      <c r="B239" s="24">
        <f t="shared" si="303"/>
        <v>223</v>
      </c>
      <c r="C239" s="97" t="s">
        <v>330</v>
      </c>
      <c r="D239" s="76">
        <v>1.1483673688421965</v>
      </c>
      <c r="E239" s="47">
        <f t="shared" ref="E239" si="308">E238*D239/100+E238</f>
        <v>4900215.44001255</v>
      </c>
      <c r="F239" s="253"/>
      <c r="G239" s="131"/>
      <c r="H239" s="256"/>
      <c r="I239" s="258"/>
      <c r="J239" s="20">
        <f t="shared" ref="J239" si="309">A239</f>
        <v>45138</v>
      </c>
      <c r="K239" s="27">
        <v>3.6905999999999999</v>
      </c>
      <c r="L239" s="46">
        <f t="shared" ref="L239" si="310">L238*K239/100+L238</f>
        <v>3981823.4849911714</v>
      </c>
      <c r="M239" s="253"/>
      <c r="N239" s="131"/>
      <c r="O239" s="258"/>
      <c r="P239" s="20">
        <f t="shared" si="302"/>
        <v>45138</v>
      </c>
      <c r="Q239" s="45">
        <v>1.6835</v>
      </c>
      <c r="R239" s="46">
        <f t="shared" ref="R239" si="311">R238*Q239/100+R238</f>
        <v>3322338.3378313254</v>
      </c>
      <c r="S239" s="253"/>
      <c r="T239" s="131"/>
      <c r="U239" s="258"/>
      <c r="X239" s="107">
        <v>1.073709</v>
      </c>
      <c r="Y239" s="133">
        <v>143213060.07999998</v>
      </c>
    </row>
    <row r="240" spans="1:31" x14ac:dyDescent="0.25">
      <c r="A240" s="21">
        <v>45169</v>
      </c>
      <c r="B240" s="24">
        <f t="shared" si="303"/>
        <v>224</v>
      </c>
      <c r="C240" s="97" t="s">
        <v>330</v>
      </c>
      <c r="D240" s="76">
        <v>-2.0007244223140175</v>
      </c>
      <c r="E240" s="47">
        <f t="shared" ref="E240" si="312">E239*D240/100+E239</f>
        <v>4802175.6329582166</v>
      </c>
      <c r="F240" s="253"/>
      <c r="G240" s="131"/>
      <c r="H240" s="256"/>
      <c r="I240" s="258"/>
      <c r="J240" s="20">
        <f t="shared" ref="J240" si="313">A240</f>
        <v>45169</v>
      </c>
      <c r="K240" s="27">
        <v>-2.7650000000000001</v>
      </c>
      <c r="L240" s="46">
        <f t="shared" ref="L240" si="314">L239*K240/100+L239</f>
        <v>3871726.0656311656</v>
      </c>
      <c r="M240" s="253"/>
      <c r="N240" s="131"/>
      <c r="O240" s="258"/>
      <c r="P240" s="20">
        <f t="shared" si="302"/>
        <v>45169</v>
      </c>
      <c r="Q240" s="45">
        <v>-1.8962000000000001</v>
      </c>
      <c r="R240" s="46">
        <f t="shared" ref="R240" si="315">R239*Q240/100+R239</f>
        <v>3259340.1582693676</v>
      </c>
      <c r="S240" s="253"/>
      <c r="T240" s="131"/>
      <c r="U240" s="258"/>
      <c r="X240" s="107">
        <v>-2.067183</v>
      </c>
      <c r="Y240" s="133">
        <v>149383110.11000001</v>
      </c>
    </row>
    <row r="241" spans="1:25" x14ac:dyDescent="0.25">
      <c r="A241" s="21">
        <v>45199</v>
      </c>
      <c r="B241" s="24">
        <f t="shared" si="303"/>
        <v>225</v>
      </c>
      <c r="C241" s="97" t="s">
        <v>330</v>
      </c>
      <c r="D241" s="76">
        <v>-2.2444274492501615</v>
      </c>
      <c r="E241" s="47">
        <f t="shared" ref="E241" si="316">E240*D241/100+E240</f>
        <v>4694394.2848908994</v>
      </c>
      <c r="F241" s="253"/>
      <c r="G241" s="131">
        <f>(E241/E238-1)*100</f>
        <v>-3.1001139612910844</v>
      </c>
      <c r="H241" s="256"/>
      <c r="I241" s="258"/>
      <c r="J241" s="20">
        <f t="shared" ref="J241" si="317">A241</f>
        <v>45199</v>
      </c>
      <c r="K241" s="27">
        <v>-4.0971000000000002</v>
      </c>
      <c r="L241" s="46">
        <f t="shared" ref="L241" si="318">L240*K241/100+L240</f>
        <v>3713097.5769961909</v>
      </c>
      <c r="M241" s="253"/>
      <c r="N241" s="131">
        <f>(L241/L238-1)*100</f>
        <v>-3.3072869582176145</v>
      </c>
      <c r="O241" s="258"/>
      <c r="P241" s="20">
        <f t="shared" si="302"/>
        <v>45199</v>
      </c>
      <c r="Q241" s="45">
        <v>-2.1179999999999999</v>
      </c>
      <c r="R241" s="46">
        <f t="shared" ref="R241" si="319">R240*Q241/100+R240</f>
        <v>3190307.3337172223</v>
      </c>
      <c r="S241" s="253"/>
      <c r="T241" s="131">
        <f>(R241/R238-1)*100</f>
        <v>-2.3574414218781481</v>
      </c>
      <c r="U241" s="258"/>
      <c r="V241" s="61"/>
      <c r="X241" s="107">
        <v>-2.316036</v>
      </c>
      <c r="Y241" s="133">
        <v>145941174.63000003</v>
      </c>
    </row>
    <row r="242" spans="1:25" x14ac:dyDescent="0.25">
      <c r="A242" s="21">
        <v>45230</v>
      </c>
      <c r="B242" s="24">
        <f t="shared" ref="B242:B245" si="320">IF(A242&gt;A241,1+B241,"-")</f>
        <v>226</v>
      </c>
      <c r="C242" s="97" t="s">
        <v>330</v>
      </c>
      <c r="D242" s="76">
        <v>-1.2443623587775126</v>
      </c>
      <c r="E242" s="47">
        <f t="shared" ref="E242:E243" si="321">E241*D242/100+E241</f>
        <v>4635979.009437114</v>
      </c>
      <c r="F242" s="253"/>
      <c r="G242" s="131"/>
      <c r="H242" s="256"/>
      <c r="I242" s="258"/>
      <c r="J242" s="20">
        <f t="shared" ref="J242:J243" si="322">A242</f>
        <v>45230</v>
      </c>
      <c r="K242" s="27">
        <v>-2.9870000000000001</v>
      </c>
      <c r="L242" s="46">
        <f t="shared" ref="L242:L243" si="323">L241*K242/100+L241</f>
        <v>3602187.3523713145</v>
      </c>
      <c r="M242" s="253"/>
      <c r="N242" s="131"/>
      <c r="O242" s="258"/>
      <c r="P242" s="20">
        <f t="shared" si="302"/>
        <v>45230</v>
      </c>
      <c r="Q242" s="45">
        <v>-1.6892</v>
      </c>
      <c r="R242" s="46">
        <f t="shared" ref="R242:R243" si="324">R241*Q242/100+R241</f>
        <v>3136416.6622360712</v>
      </c>
      <c r="S242" s="253"/>
      <c r="T242" s="131"/>
      <c r="U242" s="258"/>
      <c r="V242" s="61"/>
      <c r="X242" s="107">
        <v>-1.3205279999999999</v>
      </c>
      <c r="Y242" s="133">
        <v>145507607.59000003</v>
      </c>
    </row>
    <row r="243" spans="1:25" x14ac:dyDescent="0.25">
      <c r="A243" s="21">
        <v>45260</v>
      </c>
      <c r="B243" s="24">
        <f t="shared" si="320"/>
        <v>227</v>
      </c>
      <c r="C243" s="97" t="s">
        <v>330</v>
      </c>
      <c r="D243" s="76">
        <v>5.9887544830788322</v>
      </c>
      <c r="E243" s="47">
        <f t="shared" si="321"/>
        <v>4913616.410199373</v>
      </c>
      <c r="F243" s="253"/>
      <c r="G243" s="131"/>
      <c r="H243" s="256"/>
      <c r="I243" s="258"/>
      <c r="J243" s="20">
        <f t="shared" si="322"/>
        <v>45260</v>
      </c>
      <c r="K243" s="27">
        <v>9.2788260000000005</v>
      </c>
      <c r="L243" s="46">
        <f t="shared" si="323"/>
        <v>3936428.0489918557</v>
      </c>
      <c r="M243" s="253"/>
      <c r="N243" s="131"/>
      <c r="O243" s="258"/>
      <c r="P243" s="20">
        <f t="shared" si="302"/>
        <v>45260</v>
      </c>
      <c r="Q243" s="45">
        <v>5.0140750000000001</v>
      </c>
      <c r="R243" s="46">
        <f t="shared" si="324"/>
        <v>3293678.9459930845</v>
      </c>
      <c r="S243" s="253"/>
      <c r="T243" s="131"/>
      <c r="U243" s="258"/>
      <c r="V243" s="61"/>
      <c r="X243" s="107">
        <v>5.9306570000000001</v>
      </c>
      <c r="Y243" s="133">
        <v>154066010.01999998</v>
      </c>
    </row>
    <row r="244" spans="1:25" x14ac:dyDescent="0.25">
      <c r="A244" s="21">
        <v>45291</v>
      </c>
      <c r="B244" s="24">
        <f t="shared" si="320"/>
        <v>228</v>
      </c>
      <c r="C244" s="97" t="s">
        <v>330</v>
      </c>
      <c r="D244" s="76">
        <v>3.7169089155897908</v>
      </c>
      <c r="E244" s="47">
        <f t="shared" ref="E244" si="325">E243*D244/100+E243</f>
        <v>5096251.0566279562</v>
      </c>
      <c r="F244" s="253">
        <f t="shared" ref="F244" si="326">(E244/E$232-1)*100</f>
        <v>14.374549309133954</v>
      </c>
      <c r="G244" s="131">
        <f>(E244/E241-1)*100</f>
        <v>8.56035405953115</v>
      </c>
      <c r="H244" s="256"/>
      <c r="I244" s="258"/>
      <c r="J244" s="20">
        <f t="shared" ref="J244" si="327">A244</f>
        <v>45291</v>
      </c>
      <c r="K244" s="27">
        <v>4.8394820000000003</v>
      </c>
      <c r="L244" s="46">
        <f t="shared" ref="L244" si="328">L243*K244/100+L243</f>
        <v>4126930.7758657676</v>
      </c>
      <c r="M244" s="253">
        <f t="shared" ref="M244" si="329">(L244/L$232-1)*100</f>
        <v>22.773298398089857</v>
      </c>
      <c r="N244" s="131">
        <f>(L244/L241-1)*100</f>
        <v>11.14522821682371</v>
      </c>
      <c r="O244" s="258"/>
      <c r="P244" s="20">
        <f t="shared" si="302"/>
        <v>45291</v>
      </c>
      <c r="Q244" s="45">
        <v>3.2473839999999998</v>
      </c>
      <c r="R244" s="46">
        <f t="shared" ref="R244" si="330">R243*Q244/100+R243</f>
        <v>3400637.3490966326</v>
      </c>
      <c r="S244" s="253">
        <f t="shared" ref="S244" si="331">(R244/R$232-1)*100</f>
        <v>8.2973706645790521</v>
      </c>
      <c r="T244" s="131">
        <f>(R244/R241-1)*100</f>
        <v>6.5927822425290161</v>
      </c>
      <c r="U244" s="258"/>
      <c r="V244" s="320">
        <f>STDEVP(Q209:Q244)*SQRT(12)</f>
        <v>11.518818915230099</v>
      </c>
      <c r="X244" s="107">
        <v>3.6380789999999998</v>
      </c>
      <c r="Y244" s="133">
        <v>158993905.19999999</v>
      </c>
    </row>
    <row r="245" spans="1:25" x14ac:dyDescent="0.25">
      <c r="A245" s="21">
        <v>45322</v>
      </c>
      <c r="B245" s="24">
        <f t="shared" si="320"/>
        <v>229</v>
      </c>
      <c r="C245" s="97" t="s">
        <v>330</v>
      </c>
      <c r="D245" s="76">
        <v>0.99786426958395258</v>
      </c>
      <c r="E245" s="47">
        <f t="shared" ref="E245" si="332">E244*D245/100+E244</f>
        <v>5147104.725010341</v>
      </c>
      <c r="F245" s="253"/>
      <c r="G245" s="131"/>
      <c r="H245" s="256"/>
      <c r="I245" s="258"/>
      <c r="J245" s="20">
        <f t="shared" ref="J245" si="333">A245</f>
        <v>45322</v>
      </c>
      <c r="K245" s="27">
        <v>0.60940530000000004</v>
      </c>
      <c r="L245" s="46">
        <f t="shared" ref="L245" si="334">L244*K245/100+L244</f>
        <v>4152080.5107412245</v>
      </c>
      <c r="M245" s="253"/>
      <c r="N245" s="131"/>
      <c r="O245" s="258"/>
      <c r="P245" s="20">
        <f t="shared" si="302"/>
        <v>45322</v>
      </c>
      <c r="Q245" s="45">
        <v>1.3183180000000001</v>
      </c>
      <c r="R245" s="46">
        <f t="shared" ref="R245" si="335">R244*Q245/100+R244</f>
        <v>3445468.5633844961</v>
      </c>
      <c r="S245" s="253"/>
      <c r="T245" s="131"/>
      <c r="U245" s="258"/>
      <c r="X245" s="107">
        <v>0.92592589999999997</v>
      </c>
      <c r="Y245" s="133">
        <v>162527120.91000003</v>
      </c>
    </row>
    <row r="246" spans="1:25" x14ac:dyDescent="0.25">
      <c r="A246" s="21">
        <v>45351</v>
      </c>
      <c r="B246" s="24">
        <f t="shared" ref="B246:B248" si="336">IF(A246&gt;A245,1+B245,"-")</f>
        <v>230</v>
      </c>
      <c r="C246" s="97" t="s">
        <v>330</v>
      </c>
      <c r="D246" s="76">
        <v>2.764046210589004</v>
      </c>
      <c r="E246" s="47">
        <f t="shared" ref="E246:E247" si="337">E245*D246/100+E245</f>
        <v>5289373.0781170372</v>
      </c>
      <c r="F246" s="253"/>
      <c r="G246" s="131"/>
      <c r="H246" s="256"/>
      <c r="I246" s="258"/>
      <c r="J246" s="20">
        <f t="shared" ref="J246:J247" si="338">A246</f>
        <v>45351</v>
      </c>
      <c r="K246" s="27">
        <v>4.3309620000000004</v>
      </c>
      <c r="L246" s="46">
        <f t="shared" ref="L246:L247" si="339">L245*K246/100+L245</f>
        <v>4331905.539870833</v>
      </c>
      <c r="M246" s="253"/>
      <c r="N246" s="131"/>
      <c r="O246" s="258"/>
      <c r="P246" s="20">
        <f t="shared" si="302"/>
        <v>45351</v>
      </c>
      <c r="Q246" s="45">
        <v>1.509868</v>
      </c>
      <c r="R246" s="46">
        <f t="shared" ref="R246:R247" si="340">R245*Q246/100+R245</f>
        <v>3497490.5906730983</v>
      </c>
      <c r="S246" s="253"/>
      <c r="T246" s="131"/>
      <c r="U246" s="258"/>
      <c r="X246" s="107">
        <v>2.6966920000000001</v>
      </c>
      <c r="Y246" s="133">
        <v>159039016.85999992</v>
      </c>
    </row>
    <row r="247" spans="1:25" x14ac:dyDescent="0.25">
      <c r="A247" s="21">
        <v>45382</v>
      </c>
      <c r="B247" s="24">
        <f t="shared" si="336"/>
        <v>231</v>
      </c>
      <c r="C247" s="97" t="s">
        <v>330</v>
      </c>
      <c r="D247" s="76">
        <v>3.1532220903994572</v>
      </c>
      <c r="E247" s="47">
        <f t="shared" si="337"/>
        <v>5456158.7584598651</v>
      </c>
      <c r="F247" s="253"/>
      <c r="G247" s="131">
        <f>(E247/E244-1)*100</f>
        <v>7.0622050961133276</v>
      </c>
      <c r="H247" s="256"/>
      <c r="I247" s="258"/>
      <c r="J247" s="20">
        <f t="shared" si="338"/>
        <v>45382</v>
      </c>
      <c r="K247" s="27">
        <v>3.2044410000000001</v>
      </c>
      <c r="L247" s="46">
        <f t="shared" si="339"/>
        <v>4470718.8970717257</v>
      </c>
      <c r="M247" s="253"/>
      <c r="N247" s="131">
        <f>(L247/L244-1)*100</f>
        <v>8.3303583189819008</v>
      </c>
      <c r="O247" s="258"/>
      <c r="P247" s="20">
        <f t="shared" si="302"/>
        <v>45382</v>
      </c>
      <c r="Q247" s="45">
        <v>1.9413100000000001</v>
      </c>
      <c r="R247" s="46">
        <f t="shared" si="340"/>
        <v>3565387.7252588943</v>
      </c>
      <c r="S247" s="253"/>
      <c r="T247" s="131">
        <f>(R247/R244-1)*100</f>
        <v>4.8446911343259513</v>
      </c>
      <c r="U247" s="258"/>
      <c r="X247" s="107">
        <v>3.0860859999999999</v>
      </c>
      <c r="Y247" s="133">
        <v>105884485.57000004</v>
      </c>
    </row>
    <row r="248" spans="1:25" x14ac:dyDescent="0.25">
      <c r="A248" s="21">
        <v>45412</v>
      </c>
      <c r="B248" s="24">
        <f t="shared" si="336"/>
        <v>232</v>
      </c>
      <c r="C248" s="97" t="s">
        <v>330</v>
      </c>
      <c r="D248" s="76">
        <v>-2.5710239003672513</v>
      </c>
      <c r="E248" s="47">
        <f t="shared" ref="E248:E250" si="341">E247*D248/100+E247</f>
        <v>5315879.612737881</v>
      </c>
      <c r="F248" s="253"/>
      <c r="G248" s="131"/>
      <c r="H248" s="256"/>
      <c r="I248" s="258"/>
      <c r="J248" s="20">
        <f t="shared" ref="J248:J250" si="342">A248</f>
        <v>45412</v>
      </c>
      <c r="K248" s="27">
        <v>-3.262016</v>
      </c>
      <c r="L248" s="46">
        <f t="shared" ref="L248:L250" si="343">L247*K248/100+L247</f>
        <v>4324883.3313342221</v>
      </c>
      <c r="M248" s="253"/>
      <c r="N248" s="131"/>
      <c r="O248" s="258"/>
      <c r="P248" s="20">
        <f t="shared" si="302"/>
        <v>45412</v>
      </c>
      <c r="Q248" s="45">
        <v>-2.5968499999999999</v>
      </c>
      <c r="R248" s="46">
        <f t="shared" ref="R248:R250" si="344">R247*Q248/100+R247</f>
        <v>3472799.9541155086</v>
      </c>
      <c r="S248" s="253"/>
      <c r="T248" s="131"/>
      <c r="U248" s="258"/>
      <c r="X248" s="107">
        <v>-2.6523110000000001</v>
      </c>
      <c r="Y248" s="133">
        <v>105884485.57000004</v>
      </c>
    </row>
    <row r="249" spans="1:25" x14ac:dyDescent="0.25">
      <c r="A249" s="21">
        <v>45443</v>
      </c>
      <c r="B249" s="24">
        <f t="shared" ref="B249:B253" si="345">IF(A249&gt;A248,1+B248,"-")</f>
        <v>233</v>
      </c>
      <c r="C249" s="97" t="s">
        <v>330</v>
      </c>
      <c r="D249" s="76">
        <v>2.3062300727677543</v>
      </c>
      <c r="E249" s="47">
        <f t="shared" si="341"/>
        <v>5438476.0269989725</v>
      </c>
      <c r="F249" s="253"/>
      <c r="G249" s="131"/>
      <c r="H249" s="256"/>
      <c r="I249" s="258"/>
      <c r="J249" s="20">
        <f t="shared" si="342"/>
        <v>45443</v>
      </c>
      <c r="K249" s="27">
        <v>4.1195639999999996</v>
      </c>
      <c r="L249" s="46">
        <f t="shared" si="343"/>
        <v>4503049.6680938676</v>
      </c>
      <c r="M249" s="253"/>
      <c r="N249" s="131"/>
      <c r="O249" s="258"/>
      <c r="P249" s="20">
        <f t="shared" si="302"/>
        <v>45443</v>
      </c>
      <c r="Q249" s="45">
        <v>1.8897520000000001</v>
      </c>
      <c r="R249" s="46">
        <f t="shared" si="344"/>
        <v>3538427.2607044056</v>
      </c>
      <c r="S249" s="253"/>
      <c r="T249" s="131"/>
      <c r="U249" s="258"/>
      <c r="X249" s="107">
        <v>2.2120310000000001</v>
      </c>
      <c r="Y249" s="133">
        <v>105884485.57000004</v>
      </c>
    </row>
    <row r="250" spans="1:25" x14ac:dyDescent="0.25">
      <c r="A250" s="21">
        <v>45473</v>
      </c>
      <c r="B250" s="24">
        <f t="shared" si="345"/>
        <v>234</v>
      </c>
      <c r="C250" s="97" t="s">
        <v>330</v>
      </c>
      <c r="D250" s="76">
        <v>0.29304903650031</v>
      </c>
      <c r="E250" s="47">
        <f t="shared" si="341"/>
        <v>5454413.4285963932</v>
      </c>
      <c r="F250" s="253"/>
      <c r="G250" s="131">
        <f t="shared" ref="G250" si="346">(E250/E247-1)*100</f>
        <v>-3.1988252921810734E-2</v>
      </c>
      <c r="H250" s="256"/>
      <c r="I250" s="258"/>
      <c r="J250" s="20">
        <f t="shared" si="342"/>
        <v>45473</v>
      </c>
      <c r="K250" s="27">
        <v>2.2624209999999998</v>
      </c>
      <c r="L250" s="46">
        <f t="shared" si="343"/>
        <v>4604927.6094252532</v>
      </c>
      <c r="M250" s="253"/>
      <c r="N250" s="131">
        <f t="shared" ref="N250" si="347">(L250/L247-1)*100</f>
        <v>3.0019492489548494</v>
      </c>
      <c r="O250" s="258"/>
      <c r="P250" s="20">
        <f t="shared" si="302"/>
        <v>45473</v>
      </c>
      <c r="Q250" s="45">
        <v>1.229474</v>
      </c>
      <c r="R250" s="46">
        <f t="shared" si="344"/>
        <v>3581931.3038836783</v>
      </c>
      <c r="S250" s="253"/>
      <c r="T250" s="131">
        <f t="shared" ref="T250" si="348">(R250/R247-1)*100</f>
        <v>0.46400503674766114</v>
      </c>
      <c r="U250" s="258"/>
      <c r="V250" s="320"/>
      <c r="X250" s="107">
        <v>0.21113750000000001</v>
      </c>
      <c r="Y250" s="133">
        <v>105884485.57000004</v>
      </c>
    </row>
    <row r="251" spans="1:25" x14ac:dyDescent="0.25">
      <c r="A251" s="21">
        <v>45504</v>
      </c>
      <c r="B251" s="24">
        <f t="shared" si="345"/>
        <v>235</v>
      </c>
      <c r="C251" s="97" t="s">
        <v>330</v>
      </c>
      <c r="D251" s="76">
        <v>2.6325542624837084</v>
      </c>
      <c r="E251" s="47">
        <f t="shared" ref="E251:E253" si="349">E250*D251/100+E250</f>
        <v>5598003.8218043912</v>
      </c>
      <c r="F251" s="253"/>
      <c r="G251" s="131"/>
      <c r="H251" s="256"/>
      <c r="I251" s="258"/>
      <c r="J251" s="20">
        <f t="shared" ref="J251:J253" si="350">A251</f>
        <v>45504</v>
      </c>
      <c r="K251" s="27">
        <v>1.643608</v>
      </c>
      <c r="L251" s="46">
        <f t="shared" ref="L251:L253" si="351">L250*K251/100+L250</f>
        <v>4680614.5680079758</v>
      </c>
      <c r="M251" s="253"/>
      <c r="N251" s="131"/>
      <c r="O251" s="258"/>
      <c r="P251" s="20">
        <f t="shared" si="302"/>
        <v>45504</v>
      </c>
      <c r="Q251" s="45">
        <v>4.0605929999999999</v>
      </c>
      <c r="R251" s="46">
        <f t="shared" ref="R251:R253" si="352">R250*Q251/100+R250</f>
        <v>3727378.9556739875</v>
      </c>
      <c r="S251" s="253"/>
      <c r="T251" s="131"/>
      <c r="U251" s="258"/>
      <c r="V251" s="320"/>
      <c r="X251" s="107">
        <v>2.5546479999999998</v>
      </c>
      <c r="Y251" s="133"/>
    </row>
    <row r="252" spans="1:25" x14ac:dyDescent="0.25">
      <c r="A252" s="21">
        <v>45535</v>
      </c>
      <c r="B252" s="24">
        <f t="shared" si="345"/>
        <v>236</v>
      </c>
      <c r="C252" s="97" t="s">
        <v>330</v>
      </c>
      <c r="D252" s="76">
        <v>3.7140227881264121</v>
      </c>
      <c r="E252" s="47">
        <f t="shared" si="349"/>
        <v>5805914.9594263937</v>
      </c>
      <c r="F252" s="253"/>
      <c r="G252" s="131"/>
      <c r="H252" s="256"/>
      <c r="I252" s="258"/>
      <c r="J252" s="20">
        <f t="shared" si="350"/>
        <v>45535</v>
      </c>
      <c r="K252" s="27">
        <v>2.5737969999999999</v>
      </c>
      <c r="L252" s="46">
        <f t="shared" si="351"/>
        <v>4801084.0853409283</v>
      </c>
      <c r="M252" s="253"/>
      <c r="N252" s="131"/>
      <c r="O252" s="258"/>
      <c r="P252" s="20">
        <f t="shared" si="302"/>
        <v>45535</v>
      </c>
      <c r="Q252" s="45">
        <v>4.6167090000000002</v>
      </c>
      <c r="R252" s="46">
        <f t="shared" si="352"/>
        <v>3899461.1953846943</v>
      </c>
      <c r="S252" s="253"/>
      <c r="T252" s="131"/>
      <c r="U252" s="258"/>
      <c r="V252" s="320"/>
      <c r="X252" s="107">
        <v>3.646636</v>
      </c>
      <c r="Y252" s="133"/>
    </row>
    <row r="253" spans="1:25" x14ac:dyDescent="0.25">
      <c r="A253" s="21">
        <v>45565</v>
      </c>
      <c r="B253" s="24">
        <f t="shared" si="345"/>
        <v>237</v>
      </c>
      <c r="C253" s="97" t="s">
        <v>422</v>
      </c>
      <c r="D253" s="76">
        <v>2.044598999999999E-2</v>
      </c>
      <c r="E253" s="47">
        <f t="shared" si="349"/>
        <v>5807102.0362184066</v>
      </c>
      <c r="F253" s="253"/>
      <c r="G253" s="131">
        <f t="shared" ref="G253" si="353">(E253/E250-1)*100</f>
        <v>6.4661143171314883</v>
      </c>
      <c r="H253" s="256"/>
      <c r="I253" s="258"/>
      <c r="J253" s="20">
        <f t="shared" si="350"/>
        <v>45565</v>
      </c>
      <c r="K253" s="27">
        <v>2.3676279999999998</v>
      </c>
      <c r="L253" s="46">
        <f t="shared" si="351"/>
        <v>4914755.8964490043</v>
      </c>
      <c r="M253" s="253"/>
      <c r="N253" s="131">
        <f t="shared" ref="N253" si="354">(L253/L250-1)*100</f>
        <v>6.7281901758803331</v>
      </c>
      <c r="O253" s="258"/>
      <c r="P253" s="20">
        <f t="shared" si="302"/>
        <v>45565</v>
      </c>
      <c r="Q253" s="45">
        <v>1.028713</v>
      </c>
      <c r="R253" s="46">
        <f t="shared" si="352"/>
        <v>3939575.459631572</v>
      </c>
      <c r="S253" s="253"/>
      <c r="T253" s="131">
        <f t="shared" ref="T253" si="355">(R253/R250-1)*100</f>
        <v>9.9846737808768395</v>
      </c>
      <c r="U253" s="258"/>
      <c r="V253" s="320"/>
      <c r="X253" s="107">
        <v>-4.9554010000000003E-2</v>
      </c>
      <c r="Y253" s="133"/>
    </row>
    <row r="254" spans="1:25" x14ac:dyDescent="0.25">
      <c r="A254" s="21">
        <v>45596</v>
      </c>
      <c r="B254" s="24">
        <f t="shared" ref="B254:B258" si="356">IF(A254&gt;A253,1+B253,"-")</f>
        <v>238</v>
      </c>
      <c r="C254" s="97" t="s">
        <v>422</v>
      </c>
      <c r="D254" s="76">
        <f>X254+(0.84/12)</f>
        <v>-3.4005010000000002</v>
      </c>
      <c r="E254" s="47">
        <f t="shared" ref="E254:E258" si="357">E253*D254/100+E253</f>
        <v>5609631.4734057793</v>
      </c>
      <c r="F254" s="253"/>
      <c r="G254" s="131"/>
      <c r="H254" s="256"/>
      <c r="I254" s="258"/>
      <c r="J254" s="20">
        <f t="shared" ref="J254:J258" si="358">A254</f>
        <v>45596</v>
      </c>
      <c r="K254" s="27">
        <v>-2.2116310000000001</v>
      </c>
      <c r="L254" s="46">
        <f t="shared" ref="L254:L258" si="359">L253*K254/100+L253</f>
        <v>4806059.6314688101</v>
      </c>
      <c r="M254" s="253"/>
      <c r="N254" s="131"/>
      <c r="O254" s="258"/>
      <c r="P254" s="20">
        <f t="shared" si="302"/>
        <v>45596</v>
      </c>
      <c r="Q254" s="45">
        <v>-2.4867189999999999</v>
      </c>
      <c r="R254" s="46">
        <f t="shared" ref="R254:R258" si="360">R253*Q254/100+R253</f>
        <v>3841609.2881575762</v>
      </c>
      <c r="S254" s="253"/>
      <c r="T254" s="131"/>
      <c r="U254" s="258"/>
      <c r="V254" s="320"/>
      <c r="X254" s="107">
        <v>-3.4705010000000001</v>
      </c>
    </row>
    <row r="255" spans="1:25" x14ac:dyDescent="0.25">
      <c r="A255" s="21">
        <v>45626</v>
      </c>
      <c r="B255" s="24">
        <f t="shared" si="356"/>
        <v>239</v>
      </c>
      <c r="C255" s="97" t="s">
        <v>422</v>
      </c>
      <c r="D255" s="76">
        <f t="shared" ref="D255" si="361">X255+(0.84/12)</f>
        <v>4.0504829999999998</v>
      </c>
      <c r="E255" s="47">
        <f t="shared" si="357"/>
        <v>5836848.6425987296</v>
      </c>
      <c r="F255" s="253"/>
      <c r="G255" s="131"/>
      <c r="H255" s="256"/>
      <c r="I255" s="258"/>
      <c r="J255" s="20">
        <f t="shared" si="358"/>
        <v>45626</v>
      </c>
      <c r="K255" s="27">
        <v>3.7734209999999999</v>
      </c>
      <c r="L255" s="46">
        <f t="shared" si="359"/>
        <v>4987412.4948751768</v>
      </c>
      <c r="M255" s="253"/>
      <c r="N255" s="131"/>
      <c r="O255" s="258"/>
      <c r="P255" s="20">
        <f t="shared" si="302"/>
        <v>45626</v>
      </c>
      <c r="Q255" s="45">
        <v>2.9571960000000002</v>
      </c>
      <c r="R255" s="46">
        <f t="shared" si="360"/>
        <v>3955213.2043626006</v>
      </c>
      <c r="S255" s="253"/>
      <c r="T255" s="131"/>
      <c r="U255" s="258"/>
      <c r="V255" s="320"/>
      <c r="X255" s="107">
        <v>3.980483</v>
      </c>
    </row>
    <row r="256" spans="1:25" x14ac:dyDescent="0.25">
      <c r="A256" s="21">
        <v>45657</v>
      </c>
      <c r="B256" s="24">
        <f t="shared" si="356"/>
        <v>240</v>
      </c>
      <c r="C256" s="97" t="s">
        <v>422</v>
      </c>
      <c r="D256" s="76">
        <f>X256+(0.84/12)</f>
        <v>-3.8378730000000001</v>
      </c>
      <c r="E256" s="47">
        <f t="shared" si="357"/>
        <v>5612837.804493566</v>
      </c>
      <c r="F256" s="253">
        <f t="shared" ref="F256" si="362">(E256/E$244-1)*100</f>
        <v>10.136603203520767</v>
      </c>
      <c r="G256" s="131">
        <f t="shared" ref="G256" si="363">(E256/E253-1)*100</f>
        <v>-3.3452870384097055</v>
      </c>
      <c r="H256" s="320">
        <f>STDEVP(D221:D256)*SQRT(12)</f>
        <v>13.473873231492714</v>
      </c>
      <c r="I256" s="258"/>
      <c r="J256" s="20">
        <f t="shared" si="358"/>
        <v>45657</v>
      </c>
      <c r="K256" s="27">
        <v>-2.33378</v>
      </c>
      <c r="L256" s="46">
        <f t="shared" si="359"/>
        <v>4871017.2595522786</v>
      </c>
      <c r="M256" s="253">
        <f t="shared" ref="M256" si="364">(L256/L$244-1)*100</f>
        <v>18.030020954989556</v>
      </c>
      <c r="N256" s="131">
        <f t="shared" ref="N256" si="365">(L256/L253-1)*100</f>
        <v>-0.88994525502940069</v>
      </c>
      <c r="O256" s="258"/>
      <c r="P256" s="20">
        <f t="shared" si="302"/>
        <v>45657</v>
      </c>
      <c r="Q256" s="45">
        <v>-3.7643550000000001</v>
      </c>
      <c r="R256" s="46">
        <f t="shared" si="360"/>
        <v>3806324.9383435166</v>
      </c>
      <c r="S256" s="253">
        <f t="shared" ref="S256" si="366">(R256/R$244-1)*100</f>
        <v>11.929751620079498</v>
      </c>
      <c r="T256" s="131">
        <f t="shared" ref="T256" si="367">(R256/R253-1)*100</f>
        <v>-3.3823573797090556</v>
      </c>
      <c r="U256" s="258"/>
      <c r="V256" s="320">
        <f t="shared" ref="V256" si="368">STDEVP(Q221:Q256)*SQRT(12)</f>
        <v>11.349687724652766</v>
      </c>
      <c r="X256" s="107">
        <v>-3.9078729999999999</v>
      </c>
    </row>
    <row r="257" spans="1:24" x14ac:dyDescent="0.25">
      <c r="A257" s="21">
        <v>45688</v>
      </c>
      <c r="B257" s="24">
        <f t="shared" si="356"/>
        <v>241</v>
      </c>
      <c r="C257" s="97" t="s">
        <v>422</v>
      </c>
      <c r="D257" s="76">
        <f t="shared" ref="D257:D265" si="369">X257+(0.84/12)</f>
        <v>2.5939619999999999</v>
      </c>
      <c r="E257" s="47">
        <f t="shared" si="357"/>
        <v>5758432.684263763</v>
      </c>
      <c r="F257" s="253"/>
      <c r="G257" s="131"/>
      <c r="H257" s="256"/>
      <c r="I257" s="258"/>
      <c r="J257" s="20">
        <f t="shared" si="358"/>
        <v>45688</v>
      </c>
      <c r="K257" s="27">
        <v>3.3814129999999998</v>
      </c>
      <c r="L257" s="46">
        <f t="shared" si="359"/>
        <v>5035726.470399023</v>
      </c>
      <c r="M257" s="253"/>
      <c r="N257" s="131"/>
      <c r="O257" s="258"/>
      <c r="P257" s="20">
        <f t="shared" si="302"/>
        <v>45688</v>
      </c>
      <c r="Q257" s="45">
        <v>2.6802619999999999</v>
      </c>
      <c r="R257" s="46">
        <f t="shared" si="360"/>
        <v>3908344.4192624614</v>
      </c>
      <c r="S257" s="253"/>
      <c r="T257" s="131"/>
      <c r="U257" s="258"/>
      <c r="V257" s="320"/>
      <c r="X257" s="107">
        <v>2.523962</v>
      </c>
    </row>
    <row r="258" spans="1:24" x14ac:dyDescent="0.25">
      <c r="A258" s="21">
        <v>45716</v>
      </c>
      <c r="B258" s="24">
        <f t="shared" si="356"/>
        <v>242</v>
      </c>
      <c r="C258" s="97" t="s">
        <v>422</v>
      </c>
      <c r="D258" s="76">
        <f t="shared" si="369"/>
        <v>1.3476570000000001</v>
      </c>
      <c r="E258" s="47">
        <f t="shared" si="357"/>
        <v>5836036.6054235315</v>
      </c>
      <c r="F258" s="253"/>
      <c r="G258" s="131"/>
      <c r="H258" s="256"/>
      <c r="I258" s="258"/>
      <c r="J258" s="20">
        <f t="shared" si="358"/>
        <v>45716</v>
      </c>
      <c r="K258" s="27">
        <v>-0.57200150000000005</v>
      </c>
      <c r="L258" s="46">
        <f t="shared" si="359"/>
        <v>5006922.0394524438</v>
      </c>
      <c r="M258" s="253"/>
      <c r="N258" s="131"/>
      <c r="O258" s="258"/>
      <c r="P258" s="20">
        <f t="shared" si="302"/>
        <v>45716</v>
      </c>
      <c r="Q258" s="45">
        <v>2.4719690000000001</v>
      </c>
      <c r="R258" s="46">
        <f t="shared" si="360"/>
        <v>4004957.4817198594</v>
      </c>
      <c r="S258" s="253"/>
      <c r="T258" s="131"/>
      <c r="U258" s="258"/>
      <c r="V258" s="320"/>
      <c r="X258" s="107">
        <v>1.277657</v>
      </c>
    </row>
    <row r="259" spans="1:24" x14ac:dyDescent="0.25">
      <c r="A259" s="21">
        <v>45747</v>
      </c>
      <c r="B259" s="24">
        <f t="shared" ref="B259:B261" si="370">IF(A259&gt;A258,1+B258,"-")</f>
        <v>243</v>
      </c>
      <c r="C259" s="97" t="s">
        <v>422</v>
      </c>
      <c r="D259" s="76">
        <f t="shared" si="369"/>
        <v>0.50076920000000003</v>
      </c>
      <c r="E259" s="47">
        <f t="shared" ref="E259:E261" si="371">E258*D259/100+E258</f>
        <v>5865261.6792442184</v>
      </c>
      <c r="F259" s="253"/>
      <c r="G259" s="131">
        <f t="shared" ref="G259" si="372">(E259/E256-1)*100</f>
        <v>4.4972593818507489</v>
      </c>
      <c r="H259" s="256"/>
      <c r="I259" s="258"/>
      <c r="J259" s="20">
        <f t="shared" ref="J259:J261" si="373">A259</f>
        <v>45747</v>
      </c>
      <c r="K259" s="27">
        <v>-3.8918849999999998</v>
      </c>
      <c r="L259" s="46">
        <f t="shared" ref="L259:L261" si="374">L258*K259/100+L258</f>
        <v>4812058.3916373001</v>
      </c>
      <c r="M259" s="253"/>
      <c r="N259" s="131">
        <f t="shared" ref="N259" si="375">(L259/L256-1)*100</f>
        <v>-1.2104015398294421</v>
      </c>
      <c r="O259" s="258"/>
      <c r="P259" s="20">
        <f t="shared" si="302"/>
        <v>45747</v>
      </c>
      <c r="Q259" s="45">
        <v>1.072357</v>
      </c>
      <c r="R259" s="46">
        <f t="shared" ref="R259:R261" si="376">R258*Q259/100+R258</f>
        <v>4047904.9236221062</v>
      </c>
      <c r="S259" s="253"/>
      <c r="T259" s="131">
        <f t="shared" ref="T259" si="377">(R259/R256-1)*100</f>
        <v>6.346804048309207</v>
      </c>
      <c r="U259" s="258"/>
      <c r="V259" s="320"/>
      <c r="X259" s="107">
        <v>0.43076920000000002</v>
      </c>
    </row>
    <row r="260" spans="1:24" x14ac:dyDescent="0.25">
      <c r="A260" s="21">
        <v>45777</v>
      </c>
      <c r="B260" s="24">
        <f t="shared" si="370"/>
        <v>244</v>
      </c>
      <c r="C260" s="97" t="s">
        <v>422</v>
      </c>
      <c r="D260" s="76">
        <f t="shared" si="369"/>
        <v>-2.1911760000000002E-2</v>
      </c>
      <c r="E260" s="47">
        <f t="shared" si="371"/>
        <v>5863976.4971816903</v>
      </c>
      <c r="F260" s="253"/>
      <c r="G260" s="131"/>
      <c r="H260" s="256"/>
      <c r="I260" s="258"/>
      <c r="J260" s="20">
        <f t="shared" si="373"/>
        <v>45777</v>
      </c>
      <c r="K260" s="27">
        <v>0.97781580000000001</v>
      </c>
      <c r="L260" s="46">
        <f t="shared" si="374"/>
        <v>4859111.4588959552</v>
      </c>
      <c r="M260" s="253"/>
      <c r="N260" s="131"/>
      <c r="O260" s="258"/>
      <c r="P260" s="20">
        <f t="shared" si="302"/>
        <v>45777</v>
      </c>
      <c r="Q260" s="45">
        <v>0.76429170000000002</v>
      </c>
      <c r="R260" s="46">
        <f t="shared" si="376"/>
        <v>4078842.7249772414</v>
      </c>
      <c r="S260" s="253"/>
      <c r="T260" s="131"/>
      <c r="U260" s="258"/>
      <c r="X260" s="107">
        <v>-9.1911759999999995E-2</v>
      </c>
    </row>
    <row r="261" spans="1:24" x14ac:dyDescent="0.25">
      <c r="A261" s="21">
        <v>45808</v>
      </c>
      <c r="B261" s="24">
        <f t="shared" si="370"/>
        <v>245</v>
      </c>
      <c r="C261" s="97" t="s">
        <v>422</v>
      </c>
      <c r="D261" s="76">
        <f t="shared" si="369"/>
        <v>2.0019230000000001</v>
      </c>
      <c r="E261" s="47">
        <f t="shared" si="371"/>
        <v>5981368.7913933648</v>
      </c>
      <c r="F261" s="253"/>
      <c r="G261" s="131"/>
      <c r="H261" s="256"/>
      <c r="I261" s="258"/>
      <c r="J261" s="20">
        <f t="shared" si="373"/>
        <v>45808</v>
      </c>
      <c r="K261" s="27">
        <v>5.8145300000000004</v>
      </c>
      <c r="L261" s="46">
        <f t="shared" si="374"/>
        <v>5141645.9524068981</v>
      </c>
      <c r="M261" s="253"/>
      <c r="N261" s="131"/>
      <c r="O261" s="258"/>
      <c r="P261" s="20">
        <f t="shared" si="302"/>
        <v>45808</v>
      </c>
      <c r="Q261" s="45">
        <v>1.281803</v>
      </c>
      <c r="R261" s="46">
        <f t="shared" si="376"/>
        <v>4131125.4533912814</v>
      </c>
      <c r="S261" s="253"/>
      <c r="T261" s="131"/>
      <c r="U261" s="258"/>
      <c r="X261" s="107">
        <v>1.9319230000000001</v>
      </c>
    </row>
    <row r="262" spans="1:24" x14ac:dyDescent="0.25">
      <c r="A262" s="21">
        <v>45838</v>
      </c>
      <c r="B262" s="24">
        <f t="shared" ref="B262:B264" si="378">IF(A262&gt;A261,1+B261,"-")</f>
        <v>246</v>
      </c>
      <c r="C262" s="97" t="s">
        <v>422</v>
      </c>
      <c r="D262" s="76">
        <f t="shared" si="369"/>
        <v>1.1229480000000001</v>
      </c>
      <c r="E262" s="47">
        <f t="shared" ref="E262:E264" si="379">E261*D262/100+E261</f>
        <v>6048536.4526089411</v>
      </c>
      <c r="F262" s="253"/>
      <c r="G262" s="131">
        <f t="shared" ref="G262" si="380">(E262/E259-1)*100</f>
        <v>3.1247501541711076</v>
      </c>
      <c r="H262" s="256"/>
      <c r="I262" s="258"/>
      <c r="J262" s="20">
        <f t="shared" ref="J262:J264" si="381">A262</f>
        <v>45838</v>
      </c>
      <c r="K262" s="27">
        <v>4.5320140000000002</v>
      </c>
      <c r="L262" s="46">
        <f t="shared" ref="L262:L264" si="382">L261*K262/100+L261</f>
        <v>5374666.0668004118</v>
      </c>
      <c r="M262" s="253"/>
      <c r="N262" s="131">
        <f t="shared" ref="N262" si="383">(L262/L259-1)*100</f>
        <v>11.691621949992271</v>
      </c>
      <c r="O262" s="258"/>
      <c r="P262" s="20">
        <f t="shared" si="302"/>
        <v>45838</v>
      </c>
      <c r="Q262" s="45">
        <v>1.0078929999999999</v>
      </c>
      <c r="R262" s="46">
        <f t="shared" ref="R262:R264" si="384">R261*Q262/100+R261</f>
        <v>4172762.7776572304</v>
      </c>
      <c r="S262" s="253"/>
      <c r="T262" s="131">
        <f t="shared" ref="T262" si="385">(R262/R259-1)*100</f>
        <v>3.0845055995880388</v>
      </c>
      <c r="U262" s="258"/>
      <c r="X262" s="107">
        <v>1.052948</v>
      </c>
    </row>
    <row r="263" spans="1:24" x14ac:dyDescent="0.25">
      <c r="A263" s="21">
        <v>45869</v>
      </c>
      <c r="B263" s="24">
        <f t="shared" si="378"/>
        <v>247</v>
      </c>
      <c r="C263" s="97" t="s">
        <v>422</v>
      </c>
      <c r="D263" s="76">
        <f t="shared" si="369"/>
        <v>-2.5795980000000003</v>
      </c>
      <c r="E263" s="47">
        <f t="shared" si="379"/>
        <v>5892508.5272481702</v>
      </c>
      <c r="F263" s="253"/>
      <c r="G263" s="131"/>
      <c r="H263" s="256"/>
      <c r="I263" s="258"/>
      <c r="J263" s="20">
        <f t="shared" si="381"/>
        <v>45869</v>
      </c>
      <c r="K263" s="27">
        <v>1.3846879999999999</v>
      </c>
      <c r="L263" s="46">
        <f t="shared" si="382"/>
        <v>5449088.4228674695</v>
      </c>
      <c r="M263" s="253"/>
      <c r="N263" s="131"/>
      <c r="O263" s="258"/>
      <c r="P263" s="20">
        <f t="shared" si="302"/>
        <v>45869</v>
      </c>
      <c r="Q263" s="45">
        <v>-1.6278600000000001</v>
      </c>
      <c r="R263" s="46">
        <f t="shared" si="384"/>
        <v>4104836.0415048595</v>
      </c>
      <c r="S263" s="253"/>
      <c r="T263" s="131"/>
      <c r="U263" s="258"/>
      <c r="X263" s="107">
        <v>-2.6495980000000001</v>
      </c>
    </row>
    <row r="264" spans="1:24" x14ac:dyDescent="0.25">
      <c r="A264" s="21">
        <v>45900</v>
      </c>
      <c r="B264" s="24">
        <f t="shared" si="378"/>
        <v>248</v>
      </c>
      <c r="C264" s="97" t="s">
        <v>422</v>
      </c>
      <c r="D264" s="76">
        <f t="shared" si="369"/>
        <v>2.3329969999999998</v>
      </c>
      <c r="E264" s="47">
        <f t="shared" si="379"/>
        <v>6029980.5744136143</v>
      </c>
      <c r="F264" s="253"/>
      <c r="G264" s="131"/>
      <c r="H264" s="256"/>
      <c r="I264" s="258"/>
      <c r="J264" s="20">
        <f t="shared" si="381"/>
        <v>45900</v>
      </c>
      <c r="K264" s="27">
        <v>2.5172910000000002</v>
      </c>
      <c r="L264" s="46">
        <f t="shared" si="382"/>
        <v>5586257.835318354</v>
      </c>
      <c r="M264" s="253"/>
      <c r="N264" s="131"/>
      <c r="O264" s="258"/>
      <c r="P264" s="20">
        <f t="shared" si="302"/>
        <v>45900</v>
      </c>
      <c r="Q264" s="45">
        <v>2.3530319999999998</v>
      </c>
      <c r="R264" s="46">
        <f t="shared" si="384"/>
        <v>4201424.1471090019</v>
      </c>
      <c r="S264" s="253"/>
      <c r="T264" s="131"/>
      <c r="U264" s="258"/>
      <c r="X264" s="107">
        <v>2.2629969999999999</v>
      </c>
    </row>
    <row r="265" spans="1:24" x14ac:dyDescent="0.25">
      <c r="A265" s="21">
        <v>45930</v>
      </c>
      <c r="B265" s="24">
        <f t="shared" ref="B265:B267" si="386">IF(A265&gt;A264,1+B264,"-")</f>
        <v>249</v>
      </c>
      <c r="C265" s="97" t="s">
        <v>422</v>
      </c>
      <c r="D265" s="76">
        <f t="shared" si="369"/>
        <v>3.3295689999999998</v>
      </c>
      <c r="E265" s="47">
        <f t="shared" ref="E265:E267" si="387">E264*D265/100+E264</f>
        <v>6230752.938325312</v>
      </c>
      <c r="F265" s="253"/>
      <c r="G265" s="131">
        <f t="shared" ref="G265" si="388">(E265/E262-1)*100</f>
        <v>3.012571506248829</v>
      </c>
      <c r="H265" s="256"/>
      <c r="I265" s="258"/>
      <c r="J265" s="20">
        <f t="shared" ref="J265:J267" si="389">A265</f>
        <v>45930</v>
      </c>
      <c r="K265" s="27">
        <v>3.6652930000000001</v>
      </c>
      <c r="L265" s="46">
        <f t="shared" ref="L265:L267" si="390">L264*K265/100+L264</f>
        <v>5791010.5527182287</v>
      </c>
      <c r="M265" s="253"/>
      <c r="N265" s="131">
        <f t="shared" ref="N265" si="391">(L265/L262-1)*100</f>
        <v>7.7464251870380973</v>
      </c>
      <c r="O265" s="258"/>
      <c r="P265" s="20">
        <f t="shared" si="302"/>
        <v>45930</v>
      </c>
      <c r="Q265" s="45">
        <v>0.53214649999999997</v>
      </c>
      <c r="R265" s="46">
        <f t="shared" ref="R265:R267" si="392">R264*Q265/100+R264</f>
        <v>4223781.8786579976</v>
      </c>
      <c r="S265" s="253"/>
      <c r="T265" s="131">
        <f t="shared" ref="T265" si="393">(R265/R262-1)*100</f>
        <v>1.2226695769514073</v>
      </c>
      <c r="U265" s="258"/>
      <c r="X265" s="107">
        <v>3.2595689999999999</v>
      </c>
    </row>
    <row r="266" spans="1:24" x14ac:dyDescent="0.25">
      <c r="A266" s="21">
        <v>45961</v>
      </c>
      <c r="B266" s="24">
        <f t="shared" si="386"/>
        <v>250</v>
      </c>
      <c r="C266" s="97" t="s">
        <v>422</v>
      </c>
      <c r="D266" s="76">
        <f t="shared" ref="D266:D268" si="394">X266+(0.84/12)</f>
        <v>-1.9282619999999999</v>
      </c>
      <c r="E266" s="47">
        <f t="shared" si="387"/>
        <v>6110607.697101702</v>
      </c>
      <c r="F266" s="253"/>
      <c r="G266" s="131"/>
      <c r="H266" s="256"/>
      <c r="I266" s="258"/>
      <c r="J266" s="20">
        <f t="shared" si="389"/>
        <v>45961</v>
      </c>
      <c r="K266" s="27">
        <v>2.2553679999999998</v>
      </c>
      <c r="L266" s="46">
        <f t="shared" si="390"/>
        <v>5921619.1516008591</v>
      </c>
      <c r="M266" s="253"/>
      <c r="N266" s="131"/>
      <c r="O266" s="258"/>
      <c r="P266" s="20">
        <f t="shared" si="302"/>
        <v>45961</v>
      </c>
      <c r="Q266" s="45">
        <v>-1.4094850000000001</v>
      </c>
      <c r="R266" s="46">
        <f t="shared" si="392"/>
        <v>4164248.306645595</v>
      </c>
      <c r="S266" s="253"/>
      <c r="T266" s="131"/>
      <c r="U266" s="258"/>
      <c r="X266" s="107">
        <v>-1.998262</v>
      </c>
    </row>
    <row r="267" spans="1:24" x14ac:dyDescent="0.25">
      <c r="A267" s="21">
        <v>45991</v>
      </c>
      <c r="B267" s="24">
        <f t="shared" si="386"/>
        <v>251</v>
      </c>
      <c r="C267" s="97" t="s">
        <v>422</v>
      </c>
      <c r="D267" s="76">
        <f t="shared" si="394"/>
        <v>3.1137349999999997</v>
      </c>
      <c r="E267" s="47">
        <f t="shared" si="387"/>
        <v>6300875.827679052</v>
      </c>
      <c r="F267" s="253"/>
      <c r="G267" s="131"/>
      <c r="H267" s="256"/>
      <c r="I267" s="258"/>
      <c r="J267" s="20">
        <f t="shared" si="389"/>
        <v>45991</v>
      </c>
      <c r="K267" s="27">
        <v>1.873611E-2</v>
      </c>
      <c r="L267" s="46">
        <f t="shared" si="390"/>
        <v>5922728.6326788841</v>
      </c>
      <c r="M267" s="253"/>
      <c r="N267" s="131"/>
      <c r="O267" s="258"/>
      <c r="P267" s="20">
        <f t="shared" si="302"/>
        <v>45991</v>
      </c>
      <c r="Q267" s="45">
        <v>2.3607</v>
      </c>
      <c r="R267" s="46">
        <f t="shared" si="392"/>
        <v>4262553.7164205778</v>
      </c>
      <c r="S267" s="253"/>
      <c r="T267" s="131"/>
      <c r="U267" s="258"/>
      <c r="X267" s="107">
        <v>3.0437349999999999</v>
      </c>
    </row>
    <row r="268" spans="1:24" x14ac:dyDescent="0.25">
      <c r="A268" s="21">
        <v>46022</v>
      </c>
      <c r="B268" s="24">
        <f t="shared" ref="B268" si="395">IF(A268&gt;A267,1+B267,"-")</f>
        <v>252</v>
      </c>
      <c r="C268" s="97" t="s">
        <v>422</v>
      </c>
      <c r="D268" s="76">
        <f t="shared" si="394"/>
        <v>0.35737099999999999</v>
      </c>
      <c r="E268" s="47">
        <f t="shared" ref="E268" si="396">E267*D268/100+E267</f>
        <v>6323393.3306331867</v>
      </c>
      <c r="F268" s="253">
        <f>(E268/E$256-1)*100</f>
        <v>12.659470144866102</v>
      </c>
      <c r="G268" s="131">
        <f t="shared" ref="G268" si="397">(E268/E265-1)*100</f>
        <v>1.48682499891859</v>
      </c>
      <c r="H268" s="320">
        <f>STDEVP(D233:D268)*SQRT(12)</f>
        <v>9.2530616016851681</v>
      </c>
      <c r="I268" s="258"/>
      <c r="J268" s="20">
        <f t="shared" ref="J268" si="398">A268</f>
        <v>46022</v>
      </c>
      <c r="K268" s="27">
        <v>1.0703</v>
      </c>
      <c r="L268" s="46">
        <f t="shared" ref="L268" si="399">L267*K268/100+L267</f>
        <v>5986119.5972344466</v>
      </c>
      <c r="M268" s="253">
        <f>(L268/L$256-1)*100</f>
        <v>22.892596725979629</v>
      </c>
      <c r="N268" s="131">
        <f t="shared" ref="N268" si="400">(L268/L265-1)*100</f>
        <v>3.3691709372664969</v>
      </c>
      <c r="O268" s="258"/>
      <c r="P268" s="20">
        <f t="shared" si="302"/>
        <v>46022</v>
      </c>
      <c r="Q268" s="45">
        <v>-0.68503060000000005</v>
      </c>
      <c r="R268" s="46">
        <f t="shared" ref="R268" si="401">R267*Q268/100+R267</f>
        <v>4233353.9191216594</v>
      </c>
      <c r="S268" s="253">
        <f>(R268/R$256-1)*100</f>
        <v>11.21893132339833</v>
      </c>
      <c r="T268" s="131">
        <f t="shared" ref="T268" si="402">(R268/R265-1)*100</f>
        <v>0.22662250889486923</v>
      </c>
      <c r="U268" s="258"/>
      <c r="V268" s="320">
        <f t="shared" ref="V268" si="403">STDEVP(Q233:Q268)*SQRT(12)</f>
        <v>8.1967833030717649</v>
      </c>
      <c r="X268" s="107">
        <v>0.28737099999999999</v>
      </c>
    </row>
    <row r="269" spans="1:24" x14ac:dyDescent="0.25">
      <c r="B269" s="24" t="str">
        <f t="shared" si="202"/>
        <v>-</v>
      </c>
      <c r="C269" s="257"/>
      <c r="D269" s="257"/>
      <c r="E269" s="283"/>
      <c r="F269" s="256"/>
      <c r="G269" s="256"/>
      <c r="H269" s="256"/>
      <c r="I269" s="256"/>
      <c r="L269" s="27"/>
      <c r="M269" s="256"/>
      <c r="N269" s="256"/>
      <c r="O269" s="256"/>
      <c r="P269" s="256"/>
      <c r="Q269" s="27"/>
    </row>
    <row r="270" spans="1:24" x14ac:dyDescent="0.25">
      <c r="B270" s="24" t="str">
        <f t="shared" si="202"/>
        <v>-</v>
      </c>
      <c r="C270" s="257"/>
      <c r="D270" s="257"/>
      <c r="E270" s="283"/>
      <c r="F270" s="256"/>
      <c r="G270" s="256"/>
      <c r="H270" s="256"/>
      <c r="I270" s="256"/>
      <c r="J270" t="s">
        <v>111</v>
      </c>
      <c r="K270" s="29">
        <f>_xll.BDP(J$270&amp;" US EQUITY","cust trr return holding per","cust trr start dt",TEXT($A262,"YYYYMMDD"),"cust trr end dt",TEXT($A263,"YYYYMMDD"))</f>
        <v>-2.6495980000000001</v>
      </c>
      <c r="L270" s="27"/>
      <c r="M270" s="256"/>
      <c r="N270" s="256"/>
      <c r="O270" s="256"/>
      <c r="P270" s="256"/>
      <c r="Q270" s="27"/>
    </row>
    <row r="271" spans="1:24" x14ac:dyDescent="0.25">
      <c r="B271" s="24" t="str">
        <f t="shared" si="202"/>
        <v>-</v>
      </c>
      <c r="C271" s="257"/>
      <c r="D271" s="257"/>
      <c r="E271" s="283"/>
      <c r="F271" s="256"/>
      <c r="G271" s="256"/>
      <c r="H271" s="256"/>
      <c r="I271" s="256"/>
      <c r="J271" t="s">
        <v>133</v>
      </c>
      <c r="K271" s="29">
        <f>_xll.BDP(J$271&amp;" INDEX","cust trr return holding per","cust trr start dt",TEXT($A257,"YYYYMMDD"),"cust trr end dt",TEXT($A258,"YYYYMMDD"))</f>
        <v>-0.57200150000000005</v>
      </c>
      <c r="L271" s="27"/>
      <c r="M271" s="256"/>
      <c r="N271" s="256"/>
      <c r="O271" s="256"/>
      <c r="P271" s="256"/>
      <c r="Q271" s="27"/>
    </row>
    <row r="272" spans="1:24" x14ac:dyDescent="0.25">
      <c r="B272" s="24" t="str">
        <f t="shared" si="202"/>
        <v>-</v>
      </c>
      <c r="C272" s="257"/>
      <c r="D272" s="257"/>
      <c r="E272" s="283"/>
      <c r="F272" s="256"/>
      <c r="G272" s="256"/>
      <c r="H272" s="256"/>
      <c r="I272" s="256"/>
      <c r="J272" s="256" t="s">
        <v>329</v>
      </c>
      <c r="K272" s="29">
        <f>_xll.BDP(J$272&amp;" INDEX","cust trr return holding per","cust trr start dt",TEXT($A246,"YYYYMMDD"),"cust trr end dt",TEXT($A247,"YYYYMMDD"))</f>
        <v>1.9464090000000001</v>
      </c>
      <c r="L272" s="256"/>
      <c r="M272" s="256"/>
      <c r="N272" s="256"/>
      <c r="O272" s="256"/>
      <c r="P272" s="256"/>
      <c r="Q272" s="27"/>
    </row>
    <row r="273" spans="2:17" x14ac:dyDescent="0.25">
      <c r="B273" s="24" t="str">
        <f t="shared" si="202"/>
        <v>-</v>
      </c>
      <c r="C273" s="257"/>
      <c r="D273" s="257"/>
      <c r="E273" s="283"/>
      <c r="F273" s="256"/>
      <c r="G273" s="256"/>
      <c r="H273" s="256"/>
      <c r="I273" s="256"/>
      <c r="J273" s="256"/>
      <c r="K273" s="27"/>
      <c r="L273" s="256"/>
      <c r="M273" s="256"/>
      <c r="N273" s="256"/>
      <c r="O273" s="256"/>
      <c r="P273" s="256"/>
      <c r="Q273" s="27"/>
    </row>
    <row r="274" spans="2:17" x14ac:dyDescent="0.25">
      <c r="B274" s="24" t="str">
        <f t="shared" ref="B274:B337" si="404">IF(A274&gt;A273,1+B273,"-")</f>
        <v>-</v>
      </c>
      <c r="C274" s="257"/>
      <c r="D274" s="257"/>
      <c r="E274" s="283"/>
      <c r="F274" s="256"/>
      <c r="G274" s="256"/>
      <c r="H274" s="256"/>
      <c r="I274" s="256"/>
      <c r="J274" s="256"/>
      <c r="K274" s="27"/>
      <c r="L274" s="256"/>
      <c r="M274" s="256"/>
      <c r="N274" s="256"/>
      <c r="O274" s="256"/>
      <c r="P274" s="256"/>
      <c r="Q274" s="27"/>
    </row>
    <row r="275" spans="2:17" x14ac:dyDescent="0.25">
      <c r="B275" s="24" t="str">
        <f t="shared" si="404"/>
        <v>-</v>
      </c>
      <c r="C275" s="257"/>
      <c r="D275" s="257"/>
      <c r="E275" s="283"/>
      <c r="F275" s="256"/>
      <c r="G275" s="256"/>
      <c r="H275" s="256"/>
      <c r="I275" s="256"/>
      <c r="J275" s="256"/>
      <c r="K275" s="27"/>
      <c r="L275" s="256"/>
      <c r="M275" s="256"/>
      <c r="N275" s="256"/>
      <c r="O275" s="256"/>
      <c r="P275" s="256"/>
      <c r="Q275" s="27"/>
    </row>
    <row r="276" spans="2:17" x14ac:dyDescent="0.25">
      <c r="B276" s="24" t="str">
        <f t="shared" si="404"/>
        <v>-</v>
      </c>
      <c r="C276" s="257"/>
      <c r="D276" s="257"/>
      <c r="E276" s="283"/>
      <c r="F276" s="256"/>
      <c r="G276" s="256"/>
      <c r="H276" s="256"/>
      <c r="I276" s="256"/>
      <c r="J276" s="256"/>
      <c r="K276" s="27"/>
      <c r="L276" s="256"/>
      <c r="M276" s="256"/>
      <c r="N276" s="256"/>
      <c r="O276" s="256"/>
      <c r="P276" s="256"/>
      <c r="Q276" s="27"/>
    </row>
    <row r="277" spans="2:17" x14ac:dyDescent="0.25">
      <c r="B277" s="24" t="str">
        <f t="shared" si="404"/>
        <v>-</v>
      </c>
      <c r="C277" s="257"/>
      <c r="D277" s="257"/>
      <c r="E277" s="283"/>
      <c r="F277" s="256"/>
      <c r="G277" s="256"/>
      <c r="H277" s="256"/>
      <c r="I277" s="256"/>
      <c r="J277" s="256"/>
      <c r="K277" s="27"/>
      <c r="L277" s="256"/>
      <c r="M277" s="256"/>
      <c r="N277" s="256"/>
      <c r="O277" s="256"/>
      <c r="P277" s="256"/>
      <c r="Q277" s="27"/>
    </row>
    <row r="278" spans="2:17" x14ac:dyDescent="0.25">
      <c r="B278" s="24" t="str">
        <f t="shared" si="404"/>
        <v>-</v>
      </c>
      <c r="C278" s="257"/>
      <c r="D278" s="257"/>
      <c r="E278" s="283"/>
      <c r="F278" s="256"/>
      <c r="G278" s="256"/>
      <c r="H278" s="256"/>
      <c r="I278" s="256"/>
      <c r="J278" s="256"/>
      <c r="K278" s="27"/>
      <c r="L278" s="256"/>
      <c r="M278" s="256"/>
      <c r="N278" s="256"/>
      <c r="O278" s="256"/>
      <c r="P278" s="256"/>
      <c r="Q278" s="27"/>
    </row>
    <row r="279" spans="2:17" x14ac:dyDescent="0.25">
      <c r="B279" s="24" t="str">
        <f t="shared" si="404"/>
        <v>-</v>
      </c>
      <c r="C279" s="257"/>
      <c r="D279" s="257"/>
      <c r="E279" s="283"/>
      <c r="F279" s="256"/>
      <c r="G279" s="256"/>
      <c r="H279" s="256"/>
      <c r="I279" s="256"/>
      <c r="J279" s="256"/>
      <c r="K279" s="27"/>
      <c r="L279" s="256"/>
      <c r="M279" s="256"/>
      <c r="N279" s="256"/>
      <c r="O279" s="256"/>
      <c r="P279" s="256"/>
      <c r="Q279" s="27"/>
    </row>
    <row r="280" spans="2:17" x14ac:dyDescent="0.25">
      <c r="B280" s="24" t="str">
        <f t="shared" si="404"/>
        <v>-</v>
      </c>
      <c r="C280" s="257"/>
      <c r="D280" s="257"/>
      <c r="E280" s="283"/>
      <c r="F280" s="256"/>
      <c r="G280" s="256"/>
      <c r="H280" s="256"/>
      <c r="I280" s="256"/>
      <c r="J280" s="256"/>
      <c r="K280" s="27"/>
      <c r="L280" s="256"/>
      <c r="M280" s="256"/>
      <c r="N280" s="256"/>
      <c r="O280" s="256"/>
      <c r="P280" s="256"/>
      <c r="Q280" s="27"/>
    </row>
    <row r="281" spans="2:17" x14ac:dyDescent="0.25">
      <c r="B281" s="24" t="str">
        <f t="shared" si="404"/>
        <v>-</v>
      </c>
      <c r="C281" s="257"/>
      <c r="D281" s="257"/>
      <c r="E281" s="283"/>
      <c r="F281" s="256"/>
      <c r="G281" s="256"/>
      <c r="H281" s="256"/>
      <c r="I281" s="256"/>
      <c r="J281" s="256"/>
      <c r="K281" s="27"/>
      <c r="L281" s="256"/>
      <c r="M281" s="256"/>
      <c r="N281" s="256"/>
      <c r="O281" s="256"/>
      <c r="P281" s="256"/>
      <c r="Q281" s="27"/>
    </row>
    <row r="282" spans="2:17" x14ac:dyDescent="0.25">
      <c r="B282" s="24" t="str">
        <f t="shared" si="404"/>
        <v>-</v>
      </c>
      <c r="C282" s="257"/>
      <c r="D282" s="257"/>
      <c r="E282" s="283"/>
      <c r="F282" s="256"/>
      <c r="G282" s="256"/>
      <c r="H282" s="256"/>
      <c r="I282" s="256"/>
      <c r="J282" s="256"/>
      <c r="K282" s="27"/>
      <c r="L282" s="256"/>
      <c r="M282" s="256"/>
      <c r="N282" s="256"/>
      <c r="O282" s="256"/>
      <c r="P282" s="256"/>
      <c r="Q282" s="27"/>
    </row>
    <row r="283" spans="2:17" x14ac:dyDescent="0.25">
      <c r="B283" s="24" t="str">
        <f t="shared" si="404"/>
        <v>-</v>
      </c>
      <c r="C283" s="257"/>
      <c r="D283" s="257"/>
      <c r="E283" s="283"/>
      <c r="F283" s="256"/>
      <c r="G283" s="256"/>
      <c r="H283" s="256"/>
      <c r="I283" s="256"/>
      <c r="J283" s="256"/>
      <c r="K283" s="27"/>
      <c r="L283" s="256"/>
      <c r="M283" s="256"/>
      <c r="N283" s="256"/>
      <c r="O283" s="256"/>
      <c r="P283" s="256"/>
      <c r="Q283" s="27"/>
    </row>
    <row r="284" spans="2:17" x14ac:dyDescent="0.25">
      <c r="B284" s="24" t="str">
        <f t="shared" si="404"/>
        <v>-</v>
      </c>
      <c r="C284" s="257"/>
      <c r="D284" s="257"/>
      <c r="E284" s="283"/>
      <c r="F284" s="256"/>
      <c r="G284" s="256"/>
      <c r="H284" s="256"/>
      <c r="I284" s="256"/>
      <c r="J284" s="256"/>
      <c r="K284" s="27"/>
      <c r="L284" s="256"/>
      <c r="M284" s="256"/>
      <c r="N284" s="256"/>
      <c r="O284" s="256"/>
      <c r="P284" s="256"/>
      <c r="Q284" s="27"/>
    </row>
    <row r="285" spans="2:17" x14ac:dyDescent="0.25">
      <c r="B285" s="24" t="str">
        <f t="shared" si="404"/>
        <v>-</v>
      </c>
      <c r="C285" s="257"/>
      <c r="D285" s="257"/>
      <c r="E285" s="283"/>
      <c r="F285" s="256"/>
      <c r="G285" s="256"/>
      <c r="H285" s="256"/>
      <c r="I285" s="256"/>
      <c r="J285" s="256"/>
      <c r="K285" s="27"/>
      <c r="L285" s="256"/>
      <c r="M285" s="256"/>
      <c r="N285" s="256"/>
      <c r="O285" s="256"/>
      <c r="P285" s="256"/>
      <c r="Q285" s="27"/>
    </row>
    <row r="286" spans="2:17" x14ac:dyDescent="0.25">
      <c r="B286" s="24" t="str">
        <f t="shared" si="404"/>
        <v>-</v>
      </c>
      <c r="C286" s="257"/>
      <c r="D286" s="257"/>
      <c r="E286" s="283"/>
      <c r="F286" s="256"/>
      <c r="G286" s="256"/>
      <c r="H286" s="256"/>
      <c r="I286" s="256"/>
      <c r="J286" s="256"/>
      <c r="K286" s="27"/>
      <c r="L286" s="256"/>
      <c r="M286" s="256"/>
      <c r="N286" s="256"/>
      <c r="O286" s="256"/>
      <c r="P286" s="256"/>
      <c r="Q286" s="27"/>
    </row>
    <row r="287" spans="2:17" x14ac:dyDescent="0.25">
      <c r="B287" s="24" t="str">
        <f t="shared" si="404"/>
        <v>-</v>
      </c>
      <c r="C287" s="257"/>
      <c r="D287" s="257"/>
      <c r="E287" s="283"/>
      <c r="F287" s="256"/>
      <c r="G287" s="256"/>
      <c r="H287" s="256"/>
      <c r="I287" s="256"/>
      <c r="J287" s="256"/>
      <c r="K287" s="27"/>
      <c r="L287" s="256"/>
      <c r="M287" s="256"/>
      <c r="N287" s="256"/>
      <c r="O287" s="256"/>
      <c r="P287" s="256"/>
      <c r="Q287" s="27"/>
    </row>
    <row r="288" spans="2:17" x14ac:dyDescent="0.25">
      <c r="B288" s="24" t="str">
        <f t="shared" si="404"/>
        <v>-</v>
      </c>
      <c r="C288" s="257"/>
      <c r="D288" s="257"/>
      <c r="E288" s="283"/>
      <c r="F288" s="256"/>
      <c r="G288" s="256"/>
      <c r="H288" s="256"/>
      <c r="I288" s="256"/>
      <c r="J288" s="256"/>
      <c r="K288" s="27"/>
      <c r="L288" s="256"/>
      <c r="M288" s="256"/>
      <c r="N288" s="256"/>
      <c r="O288" s="256"/>
      <c r="P288" s="256"/>
      <c r="Q288" s="27"/>
    </row>
    <row r="289" spans="2:17" x14ac:dyDescent="0.25">
      <c r="B289" s="24" t="str">
        <f t="shared" si="404"/>
        <v>-</v>
      </c>
      <c r="C289" s="257"/>
      <c r="D289" s="257"/>
      <c r="E289" s="283"/>
      <c r="F289" s="256"/>
      <c r="G289" s="256"/>
      <c r="H289" s="256"/>
      <c r="I289" s="256"/>
      <c r="J289" s="256"/>
      <c r="K289" s="27"/>
      <c r="L289" s="256"/>
      <c r="M289" s="256"/>
      <c r="N289" s="256"/>
      <c r="O289" s="256"/>
      <c r="P289" s="256"/>
      <c r="Q289" s="27"/>
    </row>
    <row r="290" spans="2:17" x14ac:dyDescent="0.25">
      <c r="B290" s="24" t="str">
        <f t="shared" si="404"/>
        <v>-</v>
      </c>
      <c r="C290" s="257"/>
      <c r="D290" s="257"/>
      <c r="E290" s="283"/>
      <c r="F290" s="256"/>
      <c r="G290" s="256"/>
      <c r="H290" s="256"/>
      <c r="I290" s="256"/>
      <c r="J290" s="256"/>
      <c r="K290" s="27"/>
      <c r="L290" s="256"/>
      <c r="M290" s="256"/>
      <c r="N290" s="256"/>
      <c r="O290" s="256"/>
      <c r="P290" s="256"/>
      <c r="Q290" s="27"/>
    </row>
    <row r="291" spans="2:17" x14ac:dyDescent="0.25">
      <c r="B291" s="24" t="str">
        <f t="shared" si="404"/>
        <v>-</v>
      </c>
      <c r="C291" s="257"/>
      <c r="D291" s="257"/>
      <c r="E291" s="283"/>
      <c r="F291" s="256"/>
      <c r="G291" s="256"/>
      <c r="H291" s="256"/>
      <c r="I291" s="256"/>
      <c r="J291" s="256"/>
      <c r="K291" s="27"/>
      <c r="L291" s="256"/>
      <c r="M291" s="256"/>
      <c r="N291" s="256"/>
      <c r="O291" s="256"/>
      <c r="P291" s="256"/>
      <c r="Q291" s="27"/>
    </row>
    <row r="292" spans="2:17" x14ac:dyDescent="0.25">
      <c r="B292" s="24" t="str">
        <f t="shared" si="404"/>
        <v>-</v>
      </c>
      <c r="C292" s="257"/>
      <c r="D292" s="257"/>
      <c r="E292" s="283"/>
      <c r="F292" s="256"/>
      <c r="G292" s="256"/>
      <c r="H292" s="256"/>
      <c r="I292" s="256"/>
      <c r="J292" s="256"/>
      <c r="K292" s="256"/>
      <c r="L292" s="256"/>
      <c r="M292" s="256"/>
      <c r="N292" s="256"/>
      <c r="O292" s="256"/>
      <c r="P292" s="256"/>
      <c r="Q292" s="256"/>
    </row>
    <row r="293" spans="2:17" x14ac:dyDescent="0.25">
      <c r="B293" s="24" t="str">
        <f t="shared" si="404"/>
        <v>-</v>
      </c>
      <c r="C293" s="257"/>
      <c r="D293" s="257"/>
      <c r="E293" s="283"/>
      <c r="F293" s="256"/>
      <c r="G293" s="256"/>
      <c r="H293" s="256"/>
      <c r="I293" s="256"/>
      <c r="J293" s="256"/>
      <c r="K293" s="256"/>
      <c r="L293" s="256"/>
      <c r="M293" s="256"/>
      <c r="N293" s="256"/>
      <c r="O293" s="256"/>
      <c r="P293" s="256"/>
      <c r="Q293" s="256"/>
    </row>
    <row r="294" spans="2:17" x14ac:dyDescent="0.25">
      <c r="B294" s="24" t="str">
        <f t="shared" si="404"/>
        <v>-</v>
      </c>
      <c r="C294" s="257"/>
      <c r="D294" s="257"/>
      <c r="E294" s="283"/>
      <c r="F294" s="256"/>
      <c r="G294" s="256"/>
      <c r="H294" s="256"/>
      <c r="I294" s="256"/>
      <c r="J294" s="256"/>
      <c r="K294" s="256"/>
      <c r="L294" s="256"/>
      <c r="M294" s="256"/>
      <c r="N294" s="256"/>
      <c r="O294" s="256"/>
      <c r="P294" s="256"/>
      <c r="Q294" s="256"/>
    </row>
    <row r="295" spans="2:17" x14ac:dyDescent="0.25">
      <c r="B295" s="24" t="str">
        <f t="shared" si="404"/>
        <v>-</v>
      </c>
      <c r="C295" s="257"/>
      <c r="D295" s="257"/>
      <c r="E295" s="283"/>
      <c r="F295" s="256"/>
      <c r="G295" s="256"/>
      <c r="H295" s="256"/>
      <c r="I295" s="256"/>
      <c r="J295" s="256"/>
      <c r="K295" s="256"/>
      <c r="L295" s="256"/>
      <c r="M295" s="256"/>
      <c r="N295" s="256"/>
      <c r="O295" s="256"/>
      <c r="P295" s="256"/>
      <c r="Q295" s="256"/>
    </row>
    <row r="296" spans="2:17" x14ac:dyDescent="0.25">
      <c r="B296" s="24" t="str">
        <f t="shared" si="404"/>
        <v>-</v>
      </c>
      <c r="C296" s="257"/>
      <c r="D296" s="257"/>
      <c r="E296" s="283"/>
      <c r="F296" s="256"/>
      <c r="G296" s="256"/>
      <c r="H296" s="256"/>
      <c r="I296" s="256"/>
      <c r="J296" s="256"/>
      <c r="K296" s="256"/>
      <c r="L296" s="256"/>
      <c r="M296" s="256"/>
      <c r="N296" s="256"/>
      <c r="O296" s="256"/>
      <c r="P296" s="256"/>
      <c r="Q296" s="256"/>
    </row>
    <row r="297" spans="2:17" x14ac:dyDescent="0.25">
      <c r="B297" s="24" t="str">
        <f t="shared" si="404"/>
        <v>-</v>
      </c>
      <c r="C297" s="257"/>
      <c r="D297" s="257"/>
      <c r="E297" s="283"/>
      <c r="F297" s="256"/>
      <c r="G297" s="256"/>
      <c r="H297" s="256"/>
      <c r="I297" s="256"/>
      <c r="J297" s="256"/>
      <c r="K297" s="256"/>
      <c r="L297" s="256"/>
      <c r="M297" s="256"/>
      <c r="N297" s="256"/>
      <c r="O297" s="256"/>
      <c r="P297" s="256"/>
      <c r="Q297" s="256"/>
    </row>
    <row r="298" spans="2:17" x14ac:dyDescent="0.25">
      <c r="B298" s="24" t="str">
        <f t="shared" si="404"/>
        <v>-</v>
      </c>
      <c r="C298" s="257"/>
      <c r="D298" s="257"/>
      <c r="E298" s="283"/>
      <c r="F298" s="256"/>
      <c r="G298" s="256"/>
      <c r="H298" s="256"/>
      <c r="I298" s="256"/>
      <c r="J298" s="256"/>
      <c r="K298" s="256"/>
      <c r="L298" s="256"/>
      <c r="M298" s="256"/>
      <c r="N298" s="256"/>
      <c r="O298" s="256"/>
      <c r="P298" s="256"/>
      <c r="Q298" s="256"/>
    </row>
    <row r="299" spans="2:17" x14ac:dyDescent="0.25">
      <c r="B299" s="24" t="str">
        <f t="shared" si="404"/>
        <v>-</v>
      </c>
      <c r="C299" s="257"/>
      <c r="D299" s="257"/>
      <c r="E299" s="283"/>
      <c r="F299" s="256"/>
      <c r="G299" s="256"/>
      <c r="H299" s="256"/>
      <c r="I299" s="256"/>
      <c r="J299" s="256"/>
      <c r="K299" s="256"/>
      <c r="L299" s="256"/>
      <c r="M299" s="256"/>
      <c r="N299" s="256"/>
      <c r="O299" s="256"/>
      <c r="P299" s="256"/>
      <c r="Q299" s="256"/>
    </row>
    <row r="300" spans="2:17" x14ac:dyDescent="0.25">
      <c r="B300" s="24" t="str">
        <f t="shared" si="404"/>
        <v>-</v>
      </c>
      <c r="C300" s="257"/>
      <c r="D300" s="257"/>
      <c r="E300" s="283"/>
      <c r="F300" s="256"/>
      <c r="G300" s="256"/>
      <c r="H300" s="256"/>
      <c r="I300" s="256"/>
      <c r="J300" s="256"/>
      <c r="K300" s="256"/>
      <c r="L300" s="256"/>
      <c r="M300" s="256"/>
      <c r="N300" s="256"/>
      <c r="O300" s="256"/>
      <c r="P300" s="256"/>
      <c r="Q300" s="256"/>
    </row>
    <row r="301" spans="2:17" x14ac:dyDescent="0.25">
      <c r="B301" s="24" t="str">
        <f t="shared" si="404"/>
        <v>-</v>
      </c>
      <c r="C301" s="257"/>
      <c r="D301" s="257"/>
      <c r="E301" s="283"/>
      <c r="F301" s="256"/>
      <c r="G301" s="256"/>
      <c r="H301" s="256"/>
      <c r="I301" s="256"/>
      <c r="J301" s="256"/>
      <c r="K301" s="256"/>
      <c r="L301" s="256"/>
      <c r="M301" s="256"/>
      <c r="N301" s="256"/>
      <c r="O301" s="256"/>
      <c r="P301" s="256"/>
      <c r="Q301" s="256"/>
    </row>
    <row r="302" spans="2:17" x14ac:dyDescent="0.25">
      <c r="B302" s="24" t="str">
        <f t="shared" si="404"/>
        <v>-</v>
      </c>
      <c r="C302" s="257"/>
      <c r="D302" s="257"/>
      <c r="E302" s="283"/>
      <c r="F302" s="256"/>
      <c r="G302" s="256"/>
      <c r="H302" s="256"/>
      <c r="I302" s="256"/>
      <c r="J302" s="256"/>
      <c r="K302" s="256"/>
      <c r="L302" s="256"/>
      <c r="M302" s="256"/>
      <c r="N302" s="256"/>
      <c r="O302" s="256"/>
      <c r="P302" s="256"/>
      <c r="Q302" s="256"/>
    </row>
    <row r="303" spans="2:17" x14ac:dyDescent="0.25">
      <c r="B303" s="24" t="str">
        <f t="shared" si="404"/>
        <v>-</v>
      </c>
      <c r="C303" s="257"/>
      <c r="D303" s="257"/>
      <c r="E303" s="283"/>
      <c r="F303" s="256"/>
      <c r="G303" s="256"/>
      <c r="H303" s="256"/>
      <c r="I303" s="256"/>
      <c r="J303" s="256"/>
      <c r="K303" s="256"/>
      <c r="L303" s="256"/>
      <c r="M303" s="256"/>
      <c r="N303" s="256"/>
      <c r="O303" s="256"/>
      <c r="P303" s="256"/>
      <c r="Q303" s="256"/>
    </row>
    <row r="304" spans="2:17" x14ac:dyDescent="0.25">
      <c r="B304" s="24" t="str">
        <f t="shared" si="404"/>
        <v>-</v>
      </c>
      <c r="C304" s="257"/>
      <c r="D304" s="257"/>
      <c r="E304" s="283"/>
      <c r="F304" s="256"/>
      <c r="G304" s="256"/>
      <c r="H304" s="256"/>
      <c r="I304" s="256"/>
      <c r="J304" s="256"/>
      <c r="K304" s="256"/>
      <c r="L304" s="256"/>
      <c r="M304" s="256"/>
      <c r="N304" s="256"/>
      <c r="O304" s="256"/>
      <c r="P304" s="256"/>
      <c r="Q304" s="256"/>
    </row>
    <row r="305" spans="2:2" x14ac:dyDescent="0.25">
      <c r="B305" s="24" t="str">
        <f t="shared" si="404"/>
        <v>-</v>
      </c>
    </row>
    <row r="306" spans="2:2" x14ac:dyDescent="0.25">
      <c r="B306" s="24" t="str">
        <f t="shared" si="404"/>
        <v>-</v>
      </c>
    </row>
    <row r="307" spans="2:2" x14ac:dyDescent="0.25">
      <c r="B307" s="24" t="str">
        <f t="shared" si="404"/>
        <v>-</v>
      </c>
    </row>
    <row r="308" spans="2:2" x14ac:dyDescent="0.25">
      <c r="B308" s="24" t="str">
        <f t="shared" si="404"/>
        <v>-</v>
      </c>
    </row>
    <row r="309" spans="2:2" x14ac:dyDescent="0.25">
      <c r="B309" s="24" t="str">
        <f t="shared" si="404"/>
        <v>-</v>
      </c>
    </row>
    <row r="310" spans="2:2" x14ac:dyDescent="0.25">
      <c r="B310" s="24" t="str">
        <f t="shared" si="404"/>
        <v>-</v>
      </c>
    </row>
    <row r="311" spans="2:2" x14ac:dyDescent="0.25">
      <c r="B311" s="24" t="str">
        <f t="shared" si="404"/>
        <v>-</v>
      </c>
    </row>
    <row r="312" spans="2:2" x14ac:dyDescent="0.25">
      <c r="B312" s="24" t="str">
        <f t="shared" si="404"/>
        <v>-</v>
      </c>
    </row>
    <row r="313" spans="2:2" x14ac:dyDescent="0.25">
      <c r="B313" s="24" t="str">
        <f t="shared" si="404"/>
        <v>-</v>
      </c>
    </row>
    <row r="314" spans="2:2" x14ac:dyDescent="0.25">
      <c r="B314" s="24" t="str">
        <f t="shared" si="404"/>
        <v>-</v>
      </c>
    </row>
    <row r="315" spans="2:2" x14ac:dyDescent="0.25">
      <c r="B315" s="24" t="str">
        <f t="shared" si="404"/>
        <v>-</v>
      </c>
    </row>
    <row r="316" spans="2:2" x14ac:dyDescent="0.25">
      <c r="B316" s="24" t="str">
        <f t="shared" si="404"/>
        <v>-</v>
      </c>
    </row>
    <row r="317" spans="2:2" x14ac:dyDescent="0.25">
      <c r="B317" s="24" t="str">
        <f t="shared" si="404"/>
        <v>-</v>
      </c>
    </row>
    <row r="318" spans="2:2" x14ac:dyDescent="0.25">
      <c r="B318" s="24" t="str">
        <f t="shared" si="404"/>
        <v>-</v>
      </c>
    </row>
    <row r="319" spans="2:2" x14ac:dyDescent="0.25">
      <c r="B319" s="24" t="str">
        <f t="shared" si="404"/>
        <v>-</v>
      </c>
    </row>
    <row r="320" spans="2:2" x14ac:dyDescent="0.25">
      <c r="B320" s="24" t="str">
        <f t="shared" si="404"/>
        <v>-</v>
      </c>
    </row>
    <row r="321" spans="2:2" x14ac:dyDescent="0.25">
      <c r="B321" s="24" t="str">
        <f t="shared" si="404"/>
        <v>-</v>
      </c>
    </row>
    <row r="322" spans="2:2" x14ac:dyDescent="0.25">
      <c r="B322" s="24" t="str">
        <f t="shared" si="404"/>
        <v>-</v>
      </c>
    </row>
    <row r="323" spans="2:2" x14ac:dyDescent="0.25">
      <c r="B323" s="24" t="str">
        <f t="shared" si="404"/>
        <v>-</v>
      </c>
    </row>
    <row r="324" spans="2:2" x14ac:dyDescent="0.25">
      <c r="B324" s="24" t="str">
        <f t="shared" si="404"/>
        <v>-</v>
      </c>
    </row>
    <row r="325" spans="2:2" x14ac:dyDescent="0.25">
      <c r="B325" s="24" t="str">
        <f t="shared" si="404"/>
        <v>-</v>
      </c>
    </row>
    <row r="326" spans="2:2" x14ac:dyDescent="0.25">
      <c r="B326" s="24" t="str">
        <f t="shared" si="404"/>
        <v>-</v>
      </c>
    </row>
    <row r="327" spans="2:2" x14ac:dyDescent="0.25">
      <c r="B327" s="24" t="str">
        <f t="shared" si="404"/>
        <v>-</v>
      </c>
    </row>
    <row r="328" spans="2:2" x14ac:dyDescent="0.25">
      <c r="B328" s="24" t="str">
        <f t="shared" si="404"/>
        <v>-</v>
      </c>
    </row>
    <row r="329" spans="2:2" x14ac:dyDescent="0.25">
      <c r="B329" s="24" t="str">
        <f t="shared" si="404"/>
        <v>-</v>
      </c>
    </row>
    <row r="330" spans="2:2" x14ac:dyDescent="0.25">
      <c r="B330" s="24" t="str">
        <f t="shared" si="404"/>
        <v>-</v>
      </c>
    </row>
    <row r="331" spans="2:2" x14ac:dyDescent="0.25">
      <c r="B331" s="24" t="str">
        <f t="shared" si="404"/>
        <v>-</v>
      </c>
    </row>
    <row r="332" spans="2:2" x14ac:dyDescent="0.25">
      <c r="B332" s="24" t="str">
        <f t="shared" si="404"/>
        <v>-</v>
      </c>
    </row>
    <row r="333" spans="2:2" x14ac:dyDescent="0.25">
      <c r="B333" s="24" t="str">
        <f t="shared" si="404"/>
        <v>-</v>
      </c>
    </row>
    <row r="334" spans="2:2" x14ac:dyDescent="0.25">
      <c r="B334" s="24" t="str">
        <f t="shared" si="404"/>
        <v>-</v>
      </c>
    </row>
    <row r="335" spans="2:2" x14ac:dyDescent="0.25">
      <c r="B335" s="24" t="str">
        <f t="shared" si="404"/>
        <v>-</v>
      </c>
    </row>
    <row r="336" spans="2:2" x14ac:dyDescent="0.25">
      <c r="B336" s="24" t="str">
        <f t="shared" si="404"/>
        <v>-</v>
      </c>
    </row>
    <row r="337" spans="2:2" x14ac:dyDescent="0.25">
      <c r="B337" s="24" t="str">
        <f t="shared" si="404"/>
        <v>-</v>
      </c>
    </row>
    <row r="338" spans="2:2" x14ac:dyDescent="0.25">
      <c r="B338" s="24" t="str">
        <f t="shared" ref="B338:B401" si="405">IF(A338&gt;A337,1+B337,"-")</f>
        <v>-</v>
      </c>
    </row>
    <row r="339" spans="2:2" x14ac:dyDescent="0.25">
      <c r="B339" s="24" t="str">
        <f t="shared" si="405"/>
        <v>-</v>
      </c>
    </row>
    <row r="340" spans="2:2" x14ac:dyDescent="0.25">
      <c r="B340" s="24" t="str">
        <f t="shared" si="405"/>
        <v>-</v>
      </c>
    </row>
    <row r="341" spans="2:2" x14ac:dyDescent="0.25">
      <c r="B341" s="24" t="str">
        <f t="shared" si="405"/>
        <v>-</v>
      </c>
    </row>
    <row r="342" spans="2:2" x14ac:dyDescent="0.25">
      <c r="B342" s="24" t="str">
        <f t="shared" si="405"/>
        <v>-</v>
      </c>
    </row>
    <row r="343" spans="2:2" x14ac:dyDescent="0.25">
      <c r="B343" s="24" t="str">
        <f t="shared" si="405"/>
        <v>-</v>
      </c>
    </row>
    <row r="344" spans="2:2" x14ac:dyDescent="0.25">
      <c r="B344" s="24" t="str">
        <f t="shared" si="405"/>
        <v>-</v>
      </c>
    </row>
    <row r="345" spans="2:2" x14ac:dyDescent="0.25">
      <c r="B345" s="24" t="str">
        <f t="shared" si="405"/>
        <v>-</v>
      </c>
    </row>
    <row r="346" spans="2:2" x14ac:dyDescent="0.25">
      <c r="B346" s="24" t="str">
        <f t="shared" si="405"/>
        <v>-</v>
      </c>
    </row>
    <row r="347" spans="2:2" x14ac:dyDescent="0.25">
      <c r="B347" s="24" t="str">
        <f t="shared" si="405"/>
        <v>-</v>
      </c>
    </row>
    <row r="348" spans="2:2" x14ac:dyDescent="0.25">
      <c r="B348" s="24" t="str">
        <f t="shared" si="405"/>
        <v>-</v>
      </c>
    </row>
    <row r="349" spans="2:2" x14ac:dyDescent="0.25">
      <c r="B349" s="24" t="str">
        <f t="shared" si="405"/>
        <v>-</v>
      </c>
    </row>
    <row r="350" spans="2:2" x14ac:dyDescent="0.25">
      <c r="B350" s="24" t="str">
        <f t="shared" si="405"/>
        <v>-</v>
      </c>
    </row>
    <row r="351" spans="2:2" x14ac:dyDescent="0.25">
      <c r="B351" s="24" t="str">
        <f t="shared" si="405"/>
        <v>-</v>
      </c>
    </row>
    <row r="352" spans="2:2" x14ac:dyDescent="0.25">
      <c r="B352" s="24" t="str">
        <f t="shared" si="405"/>
        <v>-</v>
      </c>
    </row>
    <row r="353" spans="2:2" x14ac:dyDescent="0.25">
      <c r="B353" s="24" t="str">
        <f t="shared" si="405"/>
        <v>-</v>
      </c>
    </row>
    <row r="354" spans="2:2" x14ac:dyDescent="0.25">
      <c r="B354" s="24" t="str">
        <f t="shared" si="405"/>
        <v>-</v>
      </c>
    </row>
    <row r="355" spans="2:2" x14ac:dyDescent="0.25">
      <c r="B355" s="24" t="str">
        <f t="shared" si="405"/>
        <v>-</v>
      </c>
    </row>
    <row r="356" spans="2:2" x14ac:dyDescent="0.25">
      <c r="B356" s="24" t="str">
        <f t="shared" si="405"/>
        <v>-</v>
      </c>
    </row>
    <row r="357" spans="2:2" x14ac:dyDescent="0.25">
      <c r="B357" s="24" t="str">
        <f t="shared" si="405"/>
        <v>-</v>
      </c>
    </row>
    <row r="358" spans="2:2" x14ac:dyDescent="0.25">
      <c r="B358" s="24" t="str">
        <f t="shared" si="405"/>
        <v>-</v>
      </c>
    </row>
    <row r="359" spans="2:2" x14ac:dyDescent="0.25">
      <c r="B359" s="24" t="str">
        <f t="shared" si="405"/>
        <v>-</v>
      </c>
    </row>
    <row r="360" spans="2:2" x14ac:dyDescent="0.25">
      <c r="B360" s="24" t="str">
        <f t="shared" si="405"/>
        <v>-</v>
      </c>
    </row>
    <row r="361" spans="2:2" x14ac:dyDescent="0.25">
      <c r="B361" s="24" t="str">
        <f t="shared" si="405"/>
        <v>-</v>
      </c>
    </row>
    <row r="362" spans="2:2" x14ac:dyDescent="0.25">
      <c r="B362" s="24" t="str">
        <f t="shared" si="405"/>
        <v>-</v>
      </c>
    </row>
    <row r="363" spans="2:2" x14ac:dyDescent="0.25">
      <c r="B363" s="24" t="str">
        <f t="shared" si="405"/>
        <v>-</v>
      </c>
    </row>
    <row r="364" spans="2:2" x14ac:dyDescent="0.25">
      <c r="B364" s="24" t="str">
        <f t="shared" si="405"/>
        <v>-</v>
      </c>
    </row>
    <row r="365" spans="2:2" x14ac:dyDescent="0.25">
      <c r="B365" s="24" t="str">
        <f t="shared" si="405"/>
        <v>-</v>
      </c>
    </row>
    <row r="366" spans="2:2" x14ac:dyDescent="0.25">
      <c r="B366" s="24" t="str">
        <f t="shared" si="405"/>
        <v>-</v>
      </c>
    </row>
    <row r="367" spans="2:2" x14ac:dyDescent="0.25">
      <c r="B367" s="24" t="str">
        <f t="shared" si="405"/>
        <v>-</v>
      </c>
    </row>
    <row r="368" spans="2:2" x14ac:dyDescent="0.25">
      <c r="B368" s="24" t="str">
        <f t="shared" si="405"/>
        <v>-</v>
      </c>
    </row>
    <row r="369" spans="2:2" x14ac:dyDescent="0.25">
      <c r="B369" s="24" t="str">
        <f t="shared" si="405"/>
        <v>-</v>
      </c>
    </row>
    <row r="370" spans="2:2" x14ac:dyDescent="0.25">
      <c r="B370" s="24" t="str">
        <f t="shared" si="405"/>
        <v>-</v>
      </c>
    </row>
    <row r="371" spans="2:2" x14ac:dyDescent="0.25">
      <c r="B371" s="24" t="str">
        <f t="shared" si="405"/>
        <v>-</v>
      </c>
    </row>
    <row r="372" spans="2:2" x14ac:dyDescent="0.25">
      <c r="B372" s="24" t="str">
        <f t="shared" si="405"/>
        <v>-</v>
      </c>
    </row>
    <row r="373" spans="2:2" x14ac:dyDescent="0.25">
      <c r="B373" s="24" t="str">
        <f t="shared" si="405"/>
        <v>-</v>
      </c>
    </row>
    <row r="374" spans="2:2" x14ac:dyDescent="0.25">
      <c r="B374" s="24" t="str">
        <f t="shared" si="405"/>
        <v>-</v>
      </c>
    </row>
    <row r="375" spans="2:2" x14ac:dyDescent="0.25">
      <c r="B375" s="24" t="str">
        <f t="shared" si="405"/>
        <v>-</v>
      </c>
    </row>
    <row r="376" spans="2:2" x14ac:dyDescent="0.25">
      <c r="B376" s="24" t="str">
        <f t="shared" si="405"/>
        <v>-</v>
      </c>
    </row>
    <row r="377" spans="2:2" x14ac:dyDescent="0.25">
      <c r="B377" s="24" t="str">
        <f t="shared" si="405"/>
        <v>-</v>
      </c>
    </row>
    <row r="378" spans="2:2" x14ac:dyDescent="0.25">
      <c r="B378" s="24" t="str">
        <f t="shared" si="405"/>
        <v>-</v>
      </c>
    </row>
    <row r="379" spans="2:2" x14ac:dyDescent="0.25">
      <c r="B379" s="24" t="str">
        <f t="shared" si="405"/>
        <v>-</v>
      </c>
    </row>
    <row r="380" spans="2:2" x14ac:dyDescent="0.25">
      <c r="B380" s="24" t="str">
        <f t="shared" si="405"/>
        <v>-</v>
      </c>
    </row>
    <row r="381" spans="2:2" x14ac:dyDescent="0.25">
      <c r="B381" s="24" t="str">
        <f t="shared" si="405"/>
        <v>-</v>
      </c>
    </row>
    <row r="382" spans="2:2" x14ac:dyDescent="0.25">
      <c r="B382" s="24" t="str">
        <f t="shared" si="405"/>
        <v>-</v>
      </c>
    </row>
    <row r="383" spans="2:2" x14ac:dyDescent="0.25">
      <c r="B383" s="24" t="str">
        <f t="shared" si="405"/>
        <v>-</v>
      </c>
    </row>
    <row r="384" spans="2:2" x14ac:dyDescent="0.25">
      <c r="B384" s="24" t="str">
        <f t="shared" si="405"/>
        <v>-</v>
      </c>
    </row>
    <row r="385" spans="2:2" x14ac:dyDescent="0.25">
      <c r="B385" s="24" t="str">
        <f t="shared" si="405"/>
        <v>-</v>
      </c>
    </row>
    <row r="386" spans="2:2" x14ac:dyDescent="0.25">
      <c r="B386" s="24" t="str">
        <f t="shared" si="405"/>
        <v>-</v>
      </c>
    </row>
    <row r="387" spans="2:2" x14ac:dyDescent="0.25">
      <c r="B387" s="24" t="str">
        <f t="shared" si="405"/>
        <v>-</v>
      </c>
    </row>
    <row r="388" spans="2:2" x14ac:dyDescent="0.25">
      <c r="B388" s="24" t="str">
        <f t="shared" si="405"/>
        <v>-</v>
      </c>
    </row>
    <row r="389" spans="2:2" x14ac:dyDescent="0.25">
      <c r="B389" s="24" t="str">
        <f t="shared" si="405"/>
        <v>-</v>
      </c>
    </row>
    <row r="390" spans="2:2" x14ac:dyDescent="0.25">
      <c r="B390" s="24" t="str">
        <f t="shared" si="405"/>
        <v>-</v>
      </c>
    </row>
    <row r="391" spans="2:2" x14ac:dyDescent="0.25">
      <c r="B391" s="24" t="str">
        <f t="shared" si="405"/>
        <v>-</v>
      </c>
    </row>
    <row r="392" spans="2:2" x14ac:dyDescent="0.25">
      <c r="B392" s="24" t="str">
        <f t="shared" si="405"/>
        <v>-</v>
      </c>
    </row>
    <row r="393" spans="2:2" x14ac:dyDescent="0.25">
      <c r="B393" s="24" t="str">
        <f t="shared" si="405"/>
        <v>-</v>
      </c>
    </row>
    <row r="394" spans="2:2" x14ac:dyDescent="0.25">
      <c r="B394" s="24" t="str">
        <f t="shared" si="405"/>
        <v>-</v>
      </c>
    </row>
    <row r="395" spans="2:2" x14ac:dyDescent="0.25">
      <c r="B395" s="24" t="str">
        <f t="shared" si="405"/>
        <v>-</v>
      </c>
    </row>
    <row r="396" spans="2:2" x14ac:dyDescent="0.25">
      <c r="B396" s="24" t="str">
        <f t="shared" si="405"/>
        <v>-</v>
      </c>
    </row>
    <row r="397" spans="2:2" x14ac:dyDescent="0.25">
      <c r="B397" s="24" t="str">
        <f t="shared" si="405"/>
        <v>-</v>
      </c>
    </row>
    <row r="398" spans="2:2" x14ac:dyDescent="0.25">
      <c r="B398" s="24" t="str">
        <f t="shared" si="405"/>
        <v>-</v>
      </c>
    </row>
    <row r="399" spans="2:2" x14ac:dyDescent="0.25">
      <c r="B399" s="24" t="str">
        <f t="shared" si="405"/>
        <v>-</v>
      </c>
    </row>
    <row r="400" spans="2:2" x14ac:dyDescent="0.25">
      <c r="B400" s="24" t="str">
        <f t="shared" si="405"/>
        <v>-</v>
      </c>
    </row>
    <row r="401" spans="2:2" x14ac:dyDescent="0.25">
      <c r="B401" s="24" t="str">
        <f t="shared" si="405"/>
        <v>-</v>
      </c>
    </row>
    <row r="402" spans="2:2" x14ac:dyDescent="0.25">
      <c r="B402" s="24" t="str">
        <f t="shared" ref="B402:B465" si="406">IF(A402&gt;A401,1+B401,"-")</f>
        <v>-</v>
      </c>
    </row>
    <row r="403" spans="2:2" x14ac:dyDescent="0.25">
      <c r="B403" s="24" t="str">
        <f t="shared" si="406"/>
        <v>-</v>
      </c>
    </row>
    <row r="404" spans="2:2" x14ac:dyDescent="0.25">
      <c r="B404" s="24" t="str">
        <f t="shared" si="406"/>
        <v>-</v>
      </c>
    </row>
    <row r="405" spans="2:2" x14ac:dyDescent="0.25">
      <c r="B405" s="24" t="str">
        <f t="shared" si="406"/>
        <v>-</v>
      </c>
    </row>
    <row r="406" spans="2:2" x14ac:dyDescent="0.25">
      <c r="B406" s="24" t="str">
        <f t="shared" si="406"/>
        <v>-</v>
      </c>
    </row>
    <row r="407" spans="2:2" x14ac:dyDescent="0.25">
      <c r="B407" s="24" t="str">
        <f t="shared" si="406"/>
        <v>-</v>
      </c>
    </row>
    <row r="408" spans="2:2" x14ac:dyDescent="0.25">
      <c r="B408" s="24" t="str">
        <f t="shared" si="406"/>
        <v>-</v>
      </c>
    </row>
    <row r="409" spans="2:2" x14ac:dyDescent="0.25">
      <c r="B409" s="24" t="str">
        <f t="shared" si="406"/>
        <v>-</v>
      </c>
    </row>
    <row r="410" spans="2:2" x14ac:dyDescent="0.25">
      <c r="B410" s="24" t="str">
        <f t="shared" si="406"/>
        <v>-</v>
      </c>
    </row>
    <row r="411" spans="2:2" x14ac:dyDescent="0.25">
      <c r="B411" s="24" t="str">
        <f t="shared" si="406"/>
        <v>-</v>
      </c>
    </row>
    <row r="412" spans="2:2" x14ac:dyDescent="0.25">
      <c r="B412" s="24" t="str">
        <f t="shared" si="406"/>
        <v>-</v>
      </c>
    </row>
    <row r="413" spans="2:2" x14ac:dyDescent="0.25">
      <c r="B413" s="24" t="str">
        <f t="shared" si="406"/>
        <v>-</v>
      </c>
    </row>
    <row r="414" spans="2:2" x14ac:dyDescent="0.25">
      <c r="B414" s="24" t="str">
        <f t="shared" si="406"/>
        <v>-</v>
      </c>
    </row>
    <row r="415" spans="2:2" x14ac:dyDescent="0.25">
      <c r="B415" s="24" t="str">
        <f t="shared" si="406"/>
        <v>-</v>
      </c>
    </row>
    <row r="416" spans="2:2" x14ac:dyDescent="0.25">
      <c r="B416" s="24" t="str">
        <f t="shared" si="406"/>
        <v>-</v>
      </c>
    </row>
    <row r="417" spans="2:2" x14ac:dyDescent="0.25">
      <c r="B417" s="24" t="str">
        <f t="shared" si="406"/>
        <v>-</v>
      </c>
    </row>
    <row r="418" spans="2:2" x14ac:dyDescent="0.25">
      <c r="B418" s="24" t="str">
        <f t="shared" si="406"/>
        <v>-</v>
      </c>
    </row>
    <row r="419" spans="2:2" x14ac:dyDescent="0.25">
      <c r="B419" s="24" t="str">
        <f t="shared" si="406"/>
        <v>-</v>
      </c>
    </row>
    <row r="420" spans="2:2" x14ac:dyDescent="0.25">
      <c r="B420" s="24" t="str">
        <f t="shared" si="406"/>
        <v>-</v>
      </c>
    </row>
    <row r="421" spans="2:2" x14ac:dyDescent="0.25">
      <c r="B421" s="24" t="str">
        <f t="shared" si="406"/>
        <v>-</v>
      </c>
    </row>
    <row r="422" spans="2:2" x14ac:dyDescent="0.25">
      <c r="B422" s="24" t="str">
        <f t="shared" si="406"/>
        <v>-</v>
      </c>
    </row>
    <row r="423" spans="2:2" x14ac:dyDescent="0.25">
      <c r="B423" s="24" t="str">
        <f t="shared" si="406"/>
        <v>-</v>
      </c>
    </row>
    <row r="424" spans="2:2" x14ac:dyDescent="0.25">
      <c r="B424" s="24" t="str">
        <f t="shared" si="406"/>
        <v>-</v>
      </c>
    </row>
    <row r="425" spans="2:2" x14ac:dyDescent="0.25">
      <c r="B425" s="24" t="str">
        <f t="shared" si="406"/>
        <v>-</v>
      </c>
    </row>
    <row r="426" spans="2:2" x14ac:dyDescent="0.25">
      <c r="B426" s="24" t="str">
        <f t="shared" si="406"/>
        <v>-</v>
      </c>
    </row>
    <row r="427" spans="2:2" x14ac:dyDescent="0.25">
      <c r="B427" s="24" t="str">
        <f t="shared" si="406"/>
        <v>-</v>
      </c>
    </row>
    <row r="428" spans="2:2" x14ac:dyDescent="0.25">
      <c r="B428" s="24" t="str">
        <f t="shared" si="406"/>
        <v>-</v>
      </c>
    </row>
    <row r="429" spans="2:2" x14ac:dyDescent="0.25">
      <c r="B429" s="24" t="str">
        <f t="shared" si="406"/>
        <v>-</v>
      </c>
    </row>
    <row r="430" spans="2:2" x14ac:dyDescent="0.25">
      <c r="B430" s="24" t="str">
        <f t="shared" si="406"/>
        <v>-</v>
      </c>
    </row>
    <row r="431" spans="2:2" x14ac:dyDescent="0.25">
      <c r="B431" s="24" t="str">
        <f t="shared" si="406"/>
        <v>-</v>
      </c>
    </row>
    <row r="432" spans="2:2" x14ac:dyDescent="0.25">
      <c r="B432" s="24" t="str">
        <f t="shared" si="406"/>
        <v>-</v>
      </c>
    </row>
    <row r="433" spans="2:2" x14ac:dyDescent="0.25">
      <c r="B433" s="24" t="str">
        <f t="shared" si="406"/>
        <v>-</v>
      </c>
    </row>
    <row r="434" spans="2:2" x14ac:dyDescent="0.25">
      <c r="B434" s="24" t="str">
        <f t="shared" si="406"/>
        <v>-</v>
      </c>
    </row>
    <row r="435" spans="2:2" x14ac:dyDescent="0.25">
      <c r="B435" s="24" t="str">
        <f t="shared" si="406"/>
        <v>-</v>
      </c>
    </row>
    <row r="436" spans="2:2" x14ac:dyDescent="0.25">
      <c r="B436" s="24" t="str">
        <f t="shared" si="406"/>
        <v>-</v>
      </c>
    </row>
    <row r="437" spans="2:2" x14ac:dyDescent="0.25">
      <c r="B437" s="24" t="str">
        <f t="shared" si="406"/>
        <v>-</v>
      </c>
    </row>
    <row r="438" spans="2:2" x14ac:dyDescent="0.25">
      <c r="B438" s="24" t="str">
        <f t="shared" si="406"/>
        <v>-</v>
      </c>
    </row>
    <row r="439" spans="2:2" x14ac:dyDescent="0.25">
      <c r="B439" s="24" t="str">
        <f t="shared" si="406"/>
        <v>-</v>
      </c>
    </row>
    <row r="440" spans="2:2" x14ac:dyDescent="0.25">
      <c r="B440" s="24" t="str">
        <f t="shared" si="406"/>
        <v>-</v>
      </c>
    </row>
    <row r="441" spans="2:2" x14ac:dyDescent="0.25">
      <c r="B441" s="24" t="str">
        <f t="shared" si="406"/>
        <v>-</v>
      </c>
    </row>
    <row r="442" spans="2:2" x14ac:dyDescent="0.25">
      <c r="B442" s="24" t="str">
        <f t="shared" si="406"/>
        <v>-</v>
      </c>
    </row>
    <row r="443" spans="2:2" x14ac:dyDescent="0.25">
      <c r="B443" s="24" t="str">
        <f t="shared" si="406"/>
        <v>-</v>
      </c>
    </row>
    <row r="444" spans="2:2" x14ac:dyDescent="0.25">
      <c r="B444" s="24" t="str">
        <f t="shared" si="406"/>
        <v>-</v>
      </c>
    </row>
    <row r="445" spans="2:2" x14ac:dyDescent="0.25">
      <c r="B445" s="24" t="str">
        <f t="shared" si="406"/>
        <v>-</v>
      </c>
    </row>
    <row r="446" spans="2:2" x14ac:dyDescent="0.25">
      <c r="B446" s="24" t="str">
        <f t="shared" si="406"/>
        <v>-</v>
      </c>
    </row>
    <row r="447" spans="2:2" x14ac:dyDescent="0.25">
      <c r="B447" s="24" t="str">
        <f t="shared" si="406"/>
        <v>-</v>
      </c>
    </row>
    <row r="448" spans="2:2" x14ac:dyDescent="0.25">
      <c r="B448" s="24" t="str">
        <f t="shared" si="406"/>
        <v>-</v>
      </c>
    </row>
    <row r="449" spans="2:2" x14ac:dyDescent="0.25">
      <c r="B449" s="24" t="str">
        <f t="shared" si="406"/>
        <v>-</v>
      </c>
    </row>
    <row r="450" spans="2:2" x14ac:dyDescent="0.25">
      <c r="B450" s="24" t="str">
        <f t="shared" si="406"/>
        <v>-</v>
      </c>
    </row>
    <row r="451" spans="2:2" x14ac:dyDescent="0.25">
      <c r="B451" s="24" t="str">
        <f t="shared" si="406"/>
        <v>-</v>
      </c>
    </row>
    <row r="452" spans="2:2" x14ac:dyDescent="0.25">
      <c r="B452" s="24" t="str">
        <f t="shared" si="406"/>
        <v>-</v>
      </c>
    </row>
    <row r="453" spans="2:2" x14ac:dyDescent="0.25">
      <c r="B453" s="24" t="str">
        <f t="shared" si="406"/>
        <v>-</v>
      </c>
    </row>
    <row r="454" spans="2:2" x14ac:dyDescent="0.25">
      <c r="B454" s="24" t="str">
        <f t="shared" si="406"/>
        <v>-</v>
      </c>
    </row>
    <row r="455" spans="2:2" x14ac:dyDescent="0.25">
      <c r="B455" s="24" t="str">
        <f t="shared" si="406"/>
        <v>-</v>
      </c>
    </row>
    <row r="456" spans="2:2" x14ac:dyDescent="0.25">
      <c r="B456" s="24" t="str">
        <f t="shared" si="406"/>
        <v>-</v>
      </c>
    </row>
    <row r="457" spans="2:2" x14ac:dyDescent="0.25">
      <c r="B457" s="24" t="str">
        <f t="shared" si="406"/>
        <v>-</v>
      </c>
    </row>
    <row r="458" spans="2:2" x14ac:dyDescent="0.25">
      <c r="B458" s="24" t="str">
        <f t="shared" si="406"/>
        <v>-</v>
      </c>
    </row>
    <row r="459" spans="2:2" x14ac:dyDescent="0.25">
      <c r="B459" s="24" t="str">
        <f t="shared" si="406"/>
        <v>-</v>
      </c>
    </row>
    <row r="460" spans="2:2" x14ac:dyDescent="0.25">
      <c r="B460" s="24" t="str">
        <f t="shared" si="406"/>
        <v>-</v>
      </c>
    </row>
    <row r="461" spans="2:2" x14ac:dyDescent="0.25">
      <c r="B461" s="24" t="str">
        <f t="shared" si="406"/>
        <v>-</v>
      </c>
    </row>
    <row r="462" spans="2:2" x14ac:dyDescent="0.25">
      <c r="B462" s="24" t="str">
        <f t="shared" si="406"/>
        <v>-</v>
      </c>
    </row>
    <row r="463" spans="2:2" x14ac:dyDescent="0.25">
      <c r="B463" s="24" t="str">
        <f t="shared" si="406"/>
        <v>-</v>
      </c>
    </row>
    <row r="464" spans="2:2" x14ac:dyDescent="0.25">
      <c r="B464" s="24" t="str">
        <f t="shared" si="406"/>
        <v>-</v>
      </c>
    </row>
    <row r="465" spans="2:2" x14ac:dyDescent="0.25">
      <c r="B465" s="24" t="str">
        <f t="shared" si="406"/>
        <v>-</v>
      </c>
    </row>
    <row r="466" spans="2:2" x14ac:dyDescent="0.25">
      <c r="B466" s="24" t="str">
        <f t="shared" ref="B466:B506" si="407">IF(A466&gt;A465,1+B465,"-")</f>
        <v>-</v>
      </c>
    </row>
    <row r="467" spans="2:2" x14ac:dyDescent="0.25">
      <c r="B467" s="24" t="str">
        <f t="shared" si="407"/>
        <v>-</v>
      </c>
    </row>
    <row r="468" spans="2:2" x14ac:dyDescent="0.25">
      <c r="B468" s="24" t="str">
        <f t="shared" si="407"/>
        <v>-</v>
      </c>
    </row>
    <row r="469" spans="2:2" x14ac:dyDescent="0.25">
      <c r="B469" s="24" t="str">
        <f t="shared" si="407"/>
        <v>-</v>
      </c>
    </row>
    <row r="470" spans="2:2" x14ac:dyDescent="0.25">
      <c r="B470" s="24" t="str">
        <f t="shared" si="407"/>
        <v>-</v>
      </c>
    </row>
    <row r="471" spans="2:2" x14ac:dyDescent="0.25">
      <c r="B471" s="24" t="str">
        <f t="shared" si="407"/>
        <v>-</v>
      </c>
    </row>
    <row r="472" spans="2:2" x14ac:dyDescent="0.25">
      <c r="B472" s="24" t="str">
        <f t="shared" si="407"/>
        <v>-</v>
      </c>
    </row>
    <row r="473" spans="2:2" x14ac:dyDescent="0.25">
      <c r="B473" s="24" t="str">
        <f t="shared" si="407"/>
        <v>-</v>
      </c>
    </row>
    <row r="474" spans="2:2" x14ac:dyDescent="0.25">
      <c r="B474" s="24" t="str">
        <f t="shared" si="407"/>
        <v>-</v>
      </c>
    </row>
    <row r="475" spans="2:2" x14ac:dyDescent="0.25">
      <c r="B475" s="24" t="str">
        <f t="shared" si="407"/>
        <v>-</v>
      </c>
    </row>
    <row r="476" spans="2:2" x14ac:dyDescent="0.25">
      <c r="B476" s="24" t="str">
        <f t="shared" si="407"/>
        <v>-</v>
      </c>
    </row>
    <row r="477" spans="2:2" x14ac:dyDescent="0.25">
      <c r="B477" s="24" t="str">
        <f t="shared" si="407"/>
        <v>-</v>
      </c>
    </row>
    <row r="478" spans="2:2" x14ac:dyDescent="0.25">
      <c r="B478" s="24" t="str">
        <f t="shared" si="407"/>
        <v>-</v>
      </c>
    </row>
    <row r="479" spans="2:2" x14ac:dyDescent="0.25">
      <c r="B479" s="24" t="str">
        <f t="shared" si="407"/>
        <v>-</v>
      </c>
    </row>
    <row r="480" spans="2:2" x14ac:dyDescent="0.25">
      <c r="B480" s="24" t="str">
        <f t="shared" si="407"/>
        <v>-</v>
      </c>
    </row>
    <row r="481" spans="2:2" x14ac:dyDescent="0.25">
      <c r="B481" s="24" t="str">
        <f t="shared" si="407"/>
        <v>-</v>
      </c>
    </row>
    <row r="482" spans="2:2" x14ac:dyDescent="0.25">
      <c r="B482" s="24" t="str">
        <f t="shared" si="407"/>
        <v>-</v>
      </c>
    </row>
    <row r="483" spans="2:2" x14ac:dyDescent="0.25">
      <c r="B483" s="24" t="str">
        <f t="shared" si="407"/>
        <v>-</v>
      </c>
    </row>
    <row r="484" spans="2:2" x14ac:dyDescent="0.25">
      <c r="B484" s="24" t="str">
        <f t="shared" si="407"/>
        <v>-</v>
      </c>
    </row>
    <row r="485" spans="2:2" x14ac:dyDescent="0.25">
      <c r="B485" s="24" t="str">
        <f t="shared" si="407"/>
        <v>-</v>
      </c>
    </row>
    <row r="486" spans="2:2" x14ac:dyDescent="0.25">
      <c r="B486" s="24" t="str">
        <f t="shared" si="407"/>
        <v>-</v>
      </c>
    </row>
    <row r="487" spans="2:2" x14ac:dyDescent="0.25">
      <c r="B487" s="24" t="str">
        <f t="shared" si="407"/>
        <v>-</v>
      </c>
    </row>
    <row r="488" spans="2:2" x14ac:dyDescent="0.25">
      <c r="B488" s="24" t="str">
        <f t="shared" si="407"/>
        <v>-</v>
      </c>
    </row>
    <row r="489" spans="2:2" x14ac:dyDescent="0.25">
      <c r="B489" s="24" t="str">
        <f t="shared" si="407"/>
        <v>-</v>
      </c>
    </row>
    <row r="490" spans="2:2" x14ac:dyDescent="0.25">
      <c r="B490" s="24" t="str">
        <f t="shared" si="407"/>
        <v>-</v>
      </c>
    </row>
    <row r="491" spans="2:2" x14ac:dyDescent="0.25">
      <c r="B491" s="24" t="str">
        <f t="shared" si="407"/>
        <v>-</v>
      </c>
    </row>
    <row r="492" spans="2:2" x14ac:dyDescent="0.25">
      <c r="B492" s="24" t="str">
        <f t="shared" si="407"/>
        <v>-</v>
      </c>
    </row>
    <row r="493" spans="2:2" x14ac:dyDescent="0.25">
      <c r="B493" s="24" t="str">
        <f t="shared" si="407"/>
        <v>-</v>
      </c>
    </row>
    <row r="494" spans="2:2" x14ac:dyDescent="0.25">
      <c r="B494" s="24" t="str">
        <f t="shared" si="407"/>
        <v>-</v>
      </c>
    </row>
    <row r="495" spans="2:2" x14ac:dyDescent="0.25">
      <c r="B495" s="24" t="str">
        <f t="shared" si="407"/>
        <v>-</v>
      </c>
    </row>
    <row r="496" spans="2:2" x14ac:dyDescent="0.25">
      <c r="B496" s="24" t="str">
        <f t="shared" si="407"/>
        <v>-</v>
      </c>
    </row>
    <row r="497" spans="2:2" x14ac:dyDescent="0.25">
      <c r="B497" s="24" t="str">
        <f t="shared" si="407"/>
        <v>-</v>
      </c>
    </row>
    <row r="498" spans="2:2" x14ac:dyDescent="0.25">
      <c r="B498" s="24" t="str">
        <f t="shared" si="407"/>
        <v>-</v>
      </c>
    </row>
    <row r="499" spans="2:2" x14ac:dyDescent="0.25">
      <c r="B499" s="24" t="str">
        <f t="shared" si="407"/>
        <v>-</v>
      </c>
    </row>
    <row r="500" spans="2:2" x14ac:dyDescent="0.25">
      <c r="B500" s="24" t="str">
        <f t="shared" si="407"/>
        <v>-</v>
      </c>
    </row>
    <row r="501" spans="2:2" x14ac:dyDescent="0.25">
      <c r="B501" s="24" t="str">
        <f t="shared" si="407"/>
        <v>-</v>
      </c>
    </row>
    <row r="502" spans="2:2" x14ac:dyDescent="0.25">
      <c r="B502" s="24" t="str">
        <f t="shared" si="407"/>
        <v>-</v>
      </c>
    </row>
    <row r="503" spans="2:2" x14ac:dyDescent="0.25">
      <c r="B503" s="24" t="str">
        <f t="shared" si="407"/>
        <v>-</v>
      </c>
    </row>
    <row r="504" spans="2:2" x14ac:dyDescent="0.25">
      <c r="B504" s="24" t="str">
        <f t="shared" si="407"/>
        <v>-</v>
      </c>
    </row>
    <row r="505" spans="2:2" x14ac:dyDescent="0.25">
      <c r="B505" s="24" t="str">
        <f t="shared" si="407"/>
        <v>-</v>
      </c>
    </row>
    <row r="506" spans="2:2" x14ac:dyDescent="0.25">
      <c r="B506" s="24" t="str">
        <f t="shared" si="407"/>
        <v>-</v>
      </c>
    </row>
  </sheetData>
  <mergeCells count="11">
    <mergeCell ref="AB188:AC188"/>
    <mergeCell ref="Z165:AA165"/>
    <mergeCell ref="X132:Y132"/>
    <mergeCell ref="Z132:AA132"/>
    <mergeCell ref="AD132:AE132"/>
    <mergeCell ref="X148:Y148"/>
    <mergeCell ref="Z148:AA148"/>
    <mergeCell ref="AD148:AE148"/>
    <mergeCell ref="X15:Y15"/>
    <mergeCell ref="Z15:AA15"/>
    <mergeCell ref="AB15:AC15"/>
  </mergeCells>
  <pageMargins left="0.75" right="0.75" top="1" bottom="1" header="0.5" footer="0.5"/>
  <ignoredErrors>
    <ignoredError sqref="AD196" formula="1"/>
  </ignoredErrors>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G506"/>
  <sheetViews>
    <sheetView zoomScaleNormal="100" workbookViewId="0">
      <pane xSplit="2" ySplit="15" topLeftCell="C250" activePane="bottomRight" state="frozen"/>
      <selection pane="topRight" activeCell="L16" sqref="L16:L53"/>
      <selection pane="bottomLeft" activeCell="L16" sqref="L16:L53"/>
      <selection pane="bottomRight" activeCell="F268" sqref="F268"/>
    </sheetView>
  </sheetViews>
  <sheetFormatPr defaultColWidth="11" defaultRowHeight="15.75" x14ac:dyDescent="0.25"/>
  <cols>
    <col min="1" max="1" width="13.125" style="145" customWidth="1"/>
    <col min="2" max="2" width="4.5" style="146" customWidth="1"/>
    <col min="3" max="3" width="30.625" style="146" customWidth="1"/>
    <col min="4" max="4" width="10.125" style="146" bestFit="1" customWidth="1"/>
    <col min="5" max="5" width="11.625" style="148" bestFit="1" customWidth="1"/>
    <col min="6" max="6" width="7" style="145" bestFit="1" customWidth="1"/>
    <col min="7" max="7" width="9.125" style="145" bestFit="1" customWidth="1"/>
    <col min="8" max="8" width="10.125" style="145" bestFit="1" customWidth="1"/>
    <col min="9" max="9" width="1.625" style="145" customWidth="1"/>
    <col min="10" max="10" width="12.5" style="145" customWidth="1"/>
    <col min="11" max="11" width="10.125" style="145" bestFit="1" customWidth="1"/>
    <col min="12" max="12" width="13.625" style="145" bestFit="1" customWidth="1"/>
    <col min="13" max="13" width="7.125" style="145" bestFit="1" customWidth="1"/>
    <col min="14" max="14" width="9.125" style="145" bestFit="1" customWidth="1"/>
    <col min="15" max="15" width="1.625" style="145" customWidth="1"/>
    <col min="16" max="16" width="12.125" style="145" customWidth="1"/>
    <col min="17" max="17" width="10.125" style="145" bestFit="1" customWidth="1"/>
    <col min="18" max="18" width="13.625" style="145" bestFit="1" customWidth="1"/>
    <col min="19" max="19" width="7.5" style="145" bestFit="1" customWidth="1"/>
    <col min="20" max="20" width="9.125" style="145" bestFit="1" customWidth="1"/>
    <col min="21" max="21" width="2" style="145" customWidth="1"/>
    <col min="22" max="22" width="6.625" style="145" customWidth="1"/>
    <col min="23" max="31" width="11" style="145"/>
    <col min="32" max="32" width="11.5" style="145" bestFit="1" customWidth="1"/>
    <col min="33" max="16384" width="11" style="145"/>
  </cols>
  <sheetData>
    <row r="1" spans="1:23" x14ac:dyDescent="0.25">
      <c r="A1" s="256"/>
      <c r="B1" s="257"/>
      <c r="C1" s="7" t="s">
        <v>134</v>
      </c>
      <c r="D1" s="13"/>
      <c r="E1" s="14"/>
      <c r="F1" s="7"/>
      <c r="G1" s="256"/>
      <c r="H1" s="256"/>
      <c r="I1" s="258"/>
      <c r="J1" s="7" t="s">
        <v>110</v>
      </c>
      <c r="K1" s="13"/>
      <c r="L1" s="13"/>
      <c r="M1" s="14"/>
      <c r="N1" s="15"/>
      <c r="O1" s="258"/>
      <c r="P1" s="7" t="s">
        <v>290</v>
      </c>
      <c r="Q1" s="13"/>
      <c r="R1" s="13"/>
      <c r="S1" s="14"/>
      <c r="T1" s="15"/>
      <c r="U1" s="258"/>
      <c r="V1" s="256"/>
      <c r="W1" s="256"/>
    </row>
    <row r="2" spans="1:23" x14ac:dyDescent="0.25">
      <c r="A2" s="256"/>
      <c r="B2" s="257"/>
      <c r="C2" s="7"/>
      <c r="D2" s="16"/>
      <c r="E2" s="16"/>
      <c r="F2" s="16"/>
      <c r="G2" s="16"/>
      <c r="H2" s="16"/>
      <c r="I2" s="258"/>
      <c r="J2" s="256"/>
      <c r="K2" s="16"/>
      <c r="L2" s="259"/>
      <c r="M2" s="16"/>
      <c r="N2" s="16"/>
      <c r="O2" s="258"/>
      <c r="P2" s="256"/>
      <c r="Q2" s="16"/>
      <c r="R2" s="259"/>
      <c r="S2" s="16"/>
      <c r="T2" s="16"/>
      <c r="U2" s="258"/>
      <c r="V2" s="256"/>
      <c r="W2" s="256"/>
    </row>
    <row r="3" spans="1:23" x14ac:dyDescent="0.25">
      <c r="A3" s="256"/>
      <c r="B3" s="257"/>
      <c r="C3" s="7"/>
      <c r="D3" s="191"/>
      <c r="E3" s="16"/>
      <c r="F3" s="16"/>
      <c r="G3" s="16"/>
      <c r="H3" s="16"/>
      <c r="I3" s="258"/>
      <c r="J3" s="256"/>
      <c r="K3" s="16"/>
      <c r="L3" s="16"/>
      <c r="M3" s="16"/>
      <c r="N3" s="16"/>
      <c r="O3" s="258"/>
      <c r="P3" s="43"/>
      <c r="Q3" s="42"/>
      <c r="R3" s="16"/>
      <c r="S3" s="256"/>
      <c r="T3" s="16"/>
      <c r="U3" s="258"/>
      <c r="V3" s="256"/>
      <c r="W3" s="260"/>
    </row>
    <row r="4" spans="1:23" x14ac:dyDescent="0.25">
      <c r="A4" s="256"/>
      <c r="B4" s="257"/>
      <c r="C4" s="7"/>
      <c r="D4" s="16" t="s">
        <v>41</v>
      </c>
      <c r="E4" s="257" t="s">
        <v>42</v>
      </c>
      <c r="F4" s="17" t="s">
        <v>43</v>
      </c>
      <c r="G4" s="35" t="s">
        <v>44</v>
      </c>
      <c r="H4" s="17" t="s">
        <v>45</v>
      </c>
      <c r="I4" s="258"/>
      <c r="J4" s="256"/>
      <c r="K4" s="257" t="s">
        <v>41</v>
      </c>
      <c r="L4" s="17" t="s">
        <v>43</v>
      </c>
      <c r="M4" s="17" t="s">
        <v>45</v>
      </c>
      <c r="N4" s="35"/>
      <c r="O4" s="258"/>
      <c r="P4" s="256"/>
      <c r="Q4" s="257" t="s">
        <v>41</v>
      </c>
      <c r="R4" s="257" t="s">
        <v>42</v>
      </c>
      <c r="S4" s="17" t="s">
        <v>43</v>
      </c>
      <c r="T4" s="17" t="s">
        <v>45</v>
      </c>
      <c r="U4" s="40"/>
      <c r="V4" s="256"/>
      <c r="W4" s="256"/>
    </row>
    <row r="5" spans="1:23" x14ac:dyDescent="0.25">
      <c r="A5" s="256"/>
      <c r="B5" s="23">
        <v>12</v>
      </c>
      <c r="C5" s="7" t="s">
        <v>7</v>
      </c>
      <c r="D5" s="16">
        <f t="array" aca="1" ref="D5" ca="1">IFERROR((GEOMEAN(1+OFFSET(D$16,MAX($B$16:$B$506)-$B$5+1,0,$B$5,1)/100)^$B$5-1)*100,"N/A")</f>
        <v>11.725899385235161</v>
      </c>
      <c r="E5" s="259">
        <f t="shared" ref="E5:E13" ca="1" si="0">IFERROR(D5-$K5,"N/A")</f>
        <v>-11.166697340744468</v>
      </c>
      <c r="F5" s="16">
        <f ca="1">IFERROR(SLOPE(OFFSET(D$16,MAX($B$16:$B$506)-$B$5+1,0,$B$5,1),OFFSET($K$16,MAX($B$16:$B$506)-$B$5+1,0,$B$5,1)),"N/A")</f>
        <v>0.1633753141538172</v>
      </c>
      <c r="G5" s="16">
        <f t="array" aca="1" ref="G5" ca="1">IFERROR(INTERCEPT(OFFSET(D$16,MAX($B$16:$B$506)-$B$5+1,0,$B$5,1),OFFSET($K$16,MAX($B$16:$B$506)-$B$5+1,0,$B$5,1))*12,"N/A")</f>
        <v>7.8751895357938704</v>
      </c>
      <c r="H5" s="16">
        <f ca="1">IFERROR(STDEVP(OFFSET(D$16,MAX($B$16:$B$506)-$B$5+1,0,$B$5,1))*SQRT(12),"N/A")</f>
        <v>6.2003629319860387</v>
      </c>
      <c r="I5" s="258"/>
      <c r="J5" s="7" t="s">
        <v>7</v>
      </c>
      <c r="K5" s="16">
        <f t="array" aca="1" ref="K5" ca="1">IFERROR((GEOMEAN(1+OFFSET(K$16,MAX($B$16:$B$506)-$B$5+1,0,$B$5,1)/100)^$B$5-1)*100,"N/A")</f>
        <v>22.892596725979629</v>
      </c>
      <c r="L5" s="16">
        <f ca="1">IFERROR(SLOPE(OFFSET(K$16,MAX($B$16:$B$506)-$B$5+1,0,$B$5,1),OFFSET($K$16,MAX($B$16:$B$506)-$B$5+1,0,$B$5,1)),"N/A")</f>
        <v>1</v>
      </c>
      <c r="M5" s="16">
        <f ca="1">IFERROR(STDEVP(OFFSET(K$16,MAX($B$16:$B$506)-$B$5+1,0,$B$5,1))*SQRT(12),"N/A")</f>
        <v>8.5348447090690573</v>
      </c>
      <c r="N5" s="16"/>
      <c r="O5" s="258"/>
      <c r="P5" s="7" t="s">
        <v>7</v>
      </c>
      <c r="Q5" s="16">
        <f t="array" aca="1" ref="Q5" ca="1">IFERROR((GEOMEAN(1+OFFSET(Q$16,MAX($B$16:$B$506)-$B$5+1,0,$B$5,1)/100)^$B$5-1)*100,"N/A")</f>
        <v>11.218931323398218</v>
      </c>
      <c r="R5" s="259">
        <f ca="1">IFERROR(Q5-$K5,"N/A")</f>
        <v>-11.673665402581411</v>
      </c>
      <c r="S5" s="16">
        <f ca="1">IFERROR(SLOPE(OFFSET(Q$16,MAX($B$16:$B$506)-$B$5+1,0,$B$5,1),OFFSET($K$16,MAX($B$16:$B$506)-$B$5+1,0,$B$5,1)),"N/A")</f>
        <v>-1.4363083445637834E-2</v>
      </c>
      <c r="T5" s="16">
        <f ca="1">IFERROR(STDEVP(OFFSET(Q$16,MAX($B$16:$B$506)-$B$5+1,0,$B$5,1))*SQRT(12),"N/A")</f>
        <v>4.9459416598055759</v>
      </c>
      <c r="U5" s="40"/>
      <c r="V5" s="256"/>
      <c r="W5" s="256"/>
    </row>
    <row r="6" spans="1:23" x14ac:dyDescent="0.25">
      <c r="A6" s="256"/>
      <c r="B6" s="257"/>
      <c r="C6" s="7" t="s">
        <v>46</v>
      </c>
      <c r="D6" s="16">
        <f t="array" aca="1" ref="D6" ca="1">IFERROR((GEOMEAN(1+OFFSET(D$16,MAX($B$16:$B$506)-11,0,12,1)/100)^12-1)*100,"N/A")</f>
        <v>11.725899385235161</v>
      </c>
      <c r="E6" s="259">
        <f t="shared" ca="1" si="0"/>
        <v>-11.166697340744468</v>
      </c>
      <c r="F6" s="16">
        <f ca="1">IFERROR(SLOPE(OFFSET(D$16,MAX($B$16:$B$506)-11,0,12,1),OFFSET(K$16,MAX($B$16:$B$506)-11,0,12,1)),"N/A")</f>
        <v>0.1633753141538172</v>
      </c>
      <c r="G6" s="16">
        <f ca="1">IFERROR(INTERCEPT(OFFSET($D$16,MAX($B$16:$B$506)-11,0,12,1),OFFSET($K$16,MAX($B$16:$B$506)-11,0,12,1))*12,"N/A")</f>
        <v>7.8751895357938704</v>
      </c>
      <c r="H6" s="16">
        <f ca="1">IFERROR(STDEVP(OFFSET(D$16,MAX($B$16:$B$506)-11,0,12,1))*SQRT(12),"N/A")</f>
        <v>6.2003629319860387</v>
      </c>
      <c r="I6" s="258"/>
      <c r="J6" s="7" t="s">
        <v>46</v>
      </c>
      <c r="K6" s="16">
        <f t="array" aca="1" ref="K6" ca="1">IFERROR((GEOMEAN(1+OFFSET(K$16,MAX($B$16:$B$506)-11,0,12,1)/100)^12-1)*100,"N/A")</f>
        <v>22.892596725979629</v>
      </c>
      <c r="L6" s="16">
        <f ca="1">IFERROR(SLOPE(OFFSET(K$16,MAX($B$16:$B$506)-11,0,12,1),OFFSET(K$16,MAX($B$16:$B$506)-11,0,12,1)),"N/A")</f>
        <v>1</v>
      </c>
      <c r="M6" s="16">
        <f ca="1">IFERROR(STDEVP(OFFSET(K$16,MAX($B$16:$B$506)-11,0,12,1))*SQRT(12),"N/A")</f>
        <v>8.5348447090690573</v>
      </c>
      <c r="N6" s="16"/>
      <c r="O6" s="258"/>
      <c r="P6" s="7" t="s">
        <v>46</v>
      </c>
      <c r="Q6" s="16">
        <f t="array" aca="1" ref="Q6" ca="1">IFERROR((GEOMEAN(1+OFFSET(Q$16,MAX($B$16:$B$506)-11,0,12,1)/100)^12-1)*100,"N/A")</f>
        <v>11.218931323398218</v>
      </c>
      <c r="R6" s="259">
        <f t="shared" ref="R6:R13" ca="1" si="1">IFERROR(Q6-$K6,"N/A")</f>
        <v>-11.673665402581411</v>
      </c>
      <c r="S6" s="16">
        <f ca="1">IFERROR(SLOPE(OFFSET(Q$16,MAX($B$16:$B$506)-11,0,12,1),OFFSET($K$16,MAX($B$16:$B$506)-11,0,12,1)),"N/A")</f>
        <v>-1.4363083445637834E-2</v>
      </c>
      <c r="T6" s="16">
        <f ca="1">IFERROR(STDEVP(OFFSET(Q$16,MAX($B$16:$B$506)-11,0,12,1))*SQRT(12),"N/A")</f>
        <v>4.9459416598055759</v>
      </c>
      <c r="U6" s="261"/>
      <c r="V6" s="256"/>
      <c r="W6" s="256"/>
    </row>
    <row r="7" spans="1:23" x14ac:dyDescent="0.25">
      <c r="A7" s="256"/>
      <c r="B7" s="257"/>
      <c r="C7" s="7" t="s">
        <v>47</v>
      </c>
      <c r="D7" s="16">
        <f t="array" aca="1" ref="D7" ca="1">IFERROR((GEOMEAN(1+OFFSET(D$16,MAX($B$16:$B$506)-23,0,24,1)/100)^12-1)*100,"N/A")</f>
        <v>10.465805005878392</v>
      </c>
      <c r="E7" s="259">
        <f t="shared" ca="1" si="0"/>
        <v>-9.9709658192330455</v>
      </c>
      <c r="F7" s="16">
        <f ca="1">IFERROR(SLOPE(OFFSET(D$16,MAX($B$16:$B$506)-23,0,24,1),OFFSET($K$16,MAX($B$16:$B$506)-23,0,24,1)),"N/A")</f>
        <v>0.56239859545879445</v>
      </c>
      <c r="G7" s="16">
        <f ca="1">IFERROR(INTERCEPT(OFFSET(D$16,MAX($B$16:$B$506)-23,0,24,1),OFFSET($K$16,MAX($B$16:$B$506)-23,0,24,1))*12,"N/A")</f>
        <v>-0.44456278372171454</v>
      </c>
      <c r="H7" s="16">
        <f ca="1">IFERROR(STDEVP(OFFSET(D$16,MAX($B$16:$B$506)-23,0,24,1))*SQRT(12),"N/A")</f>
        <v>7.87980245631912</v>
      </c>
      <c r="I7" s="258"/>
      <c r="J7" s="7" t="s">
        <v>47</v>
      </c>
      <c r="K7" s="16">
        <f t="array" aca="1" ref="K7" ca="1">IFERROR((GEOMEAN(1+OFFSET(K$16,MAX($B$16:$B$506)-23,0,24,1)/100)^12-1)*100,"N/A")</f>
        <v>20.436770825111438</v>
      </c>
      <c r="L7" s="16">
        <f ca="1">IFERROR(SLOPE(OFFSET(K$16,MAX($B$16:$B$506)-23,0,24,1),OFFSET($K$16,MAX($B$16:$B$506)-23,0,24,1)),"N/A")</f>
        <v>1</v>
      </c>
      <c r="M7" s="16">
        <f ca="1">IFERROR(STDEVP(OFFSET(K$16,MAX($B$16:$B$506)-23,0,24,1))*SQRT(12),"N/A")</f>
        <v>8.6852357293007856</v>
      </c>
      <c r="N7" s="16"/>
      <c r="O7" s="258"/>
      <c r="P7" s="7" t="s">
        <v>47</v>
      </c>
      <c r="Q7" s="16">
        <f t="array" aca="1" ref="Q7" ca="1">IFERROR((GEOMEAN(1+OFFSET(Q$16,MAX($B$16:$B$506)-23,0,24,1)/100)^12-1)*100,"N/A")</f>
        <v>11.573775406583021</v>
      </c>
      <c r="R7" s="259">
        <f t="shared" ca="1" si="1"/>
        <v>-8.862995418528417</v>
      </c>
      <c r="S7" s="16">
        <f ca="1">IFERROR(SLOPE(OFFSET(Q$16,MAX($B$16:$B$506)-23,0,24,1),OFFSET($K$16,MAX($B$16:$B$506)-23,0,24,1)),"N/A")</f>
        <v>0.40552780610387351</v>
      </c>
      <c r="T7" s="16">
        <f ca="1">IFERROR(STDEVP(OFFSET(Q$16,MAX($B$16:$B$506)-23,0,24,1))*SQRT(12),"N/A")</f>
        <v>7.0941341305178938</v>
      </c>
      <c r="U7" s="261"/>
      <c r="V7" s="256"/>
      <c r="W7" s="256"/>
    </row>
    <row r="8" spans="1:23" s="187" customFormat="1" x14ac:dyDescent="0.25">
      <c r="A8" s="262"/>
      <c r="B8" s="263"/>
      <c r="C8" s="85" t="s">
        <v>48</v>
      </c>
      <c r="D8" s="184">
        <f t="array" aca="1" ref="D8" ca="1">IFERROR((GEOMEAN(1+OFFSET(D$16,MAX($B$16:$B$506)-35,0,36,1)/100)^12-1)*100,"N/A")</f>
        <v>11.445626091994221</v>
      </c>
      <c r="E8" s="264">
        <f t="shared" ca="1" si="0"/>
        <v>-9.7650042182755534</v>
      </c>
      <c r="F8" s="184">
        <f ca="1">IFERROR(SLOPE(OFFSET(D$16,MAX($B$16:$B$506)-35,0,36,1),OFFSET(K$16,MAX($B$16:$B$506)-35,0,36,1)),"N/A")</f>
        <v>0.66538058506167486</v>
      </c>
      <c r="G8" s="184">
        <f ca="1">IFERROR(INTERCEPT(OFFSET($D$16,MAX($B$16:$B$506)-35,0,36,1),OFFSET($K$16,MAX($B$16:$B$506)-35,0,36,1))*12,"N/A")</f>
        <v>-2.0017410603604424</v>
      </c>
      <c r="H8" s="184">
        <f ca="1">IFERROR(STDEVP(OFFSET(D$16,MAX($B$16:$B$506)-35,0,36,1))*SQRT(12),"N/A")</f>
        <v>9.2530861604775687</v>
      </c>
      <c r="I8" s="262"/>
      <c r="J8" s="85" t="s">
        <v>48</v>
      </c>
      <c r="K8" s="184">
        <f t="array" aca="1" ref="K8" ca="1">IFERROR((GEOMEAN(1+OFFSET(K$16,MAX($B$16:$B$506)-35,0,36,1)/100)^12-1)*100,"N/A")</f>
        <v>21.210630310269774</v>
      </c>
      <c r="L8" s="184">
        <f ca="1">IFERROR(SLOPE(OFFSET(K$16,MAX($B$16:$B$506)-35,0,36,1),OFFSET(K$16,MAX($B$16:$B$506)-35,0,36,1)),"N/A")</f>
        <v>1</v>
      </c>
      <c r="M8" s="184">
        <f ca="1">IFERROR(STDEVP(OFFSET(K$16,MAX($B$16:$B$506)-35,0,36,1))*SQRT(12),"N/A")</f>
        <v>11.184856848552503</v>
      </c>
      <c r="N8" s="184"/>
      <c r="O8" s="262"/>
      <c r="P8" s="85" t="s">
        <v>48</v>
      </c>
      <c r="Q8" s="184">
        <f t="array" aca="1" ref="Q8" ca="1">IFERROR((GEOMEAN(1+OFFSET(Q$16,MAX($B$16:$B$506)-35,0,36,1)/100)^12-1)*100,"N/A")</f>
        <v>10.470772286509655</v>
      </c>
      <c r="R8" s="264">
        <f t="shared" ca="1" si="1"/>
        <v>-10.739858023760119</v>
      </c>
      <c r="S8" s="184">
        <f ca="1">IFERROR(SLOPE(OFFSET(Q$16,MAX($B$16:$B$506)-35,0,36,1),OFFSET($K$16,MAX($B$16:$B$506)-35,0,36,1)),"N/A")</f>
        <v>0.50975685229640988</v>
      </c>
      <c r="T8" s="184">
        <f ca="1">IFERROR(STDEVP(OFFSET(Q$16,MAX($B$16:$B$506)-35,0,36,1))*SQRT(12),"N/A")</f>
        <v>8.1967833030717649</v>
      </c>
      <c r="U8" s="265"/>
      <c r="V8" s="262"/>
      <c r="W8" s="262"/>
    </row>
    <row r="9" spans="1:23" x14ac:dyDescent="0.25">
      <c r="A9" s="256"/>
      <c r="B9" s="257"/>
      <c r="C9" s="7" t="s">
        <v>49</v>
      </c>
      <c r="D9" s="16">
        <f t="array" aca="1" ref="D9" ca="1">IFERROR((GEOMEAN(1+OFFSET(D$16,MAX($B$16:$B$506)-47,0,48,1)/100)^12-1)*100,"N/A")</f>
        <v>4.7401616367962918</v>
      </c>
      <c r="E9" s="259">
        <f t="shared" ca="1" si="0"/>
        <v>-5.205739532073884</v>
      </c>
      <c r="F9" s="16">
        <f ca="1">IFERROR(SLOPE(OFFSET(D$16,MAX($B$16:$B$506)-47,0,48,1),OFFSET($K$16,MAX($B$16:$B$506)-47,0,48,1)),"N/A")</f>
        <v>0.73769712334375626</v>
      </c>
      <c r="G9" s="16">
        <f ca="1">IFERROR(INTERCEPT(OFFSET(D$16,MAX($B$16:$B$506)-47,0,48,1),OFFSET($K$16,MAX($B$16:$B$506)-47,0,48,1))*12,"N/A")</f>
        <v>-2.4557185065719906</v>
      </c>
      <c r="H9" s="16">
        <f ca="1">IFERROR(STDEVP(OFFSET(D$16,MAX($B$16:$B$506)-47,0,48,1))*SQRT(12),"N/A")</f>
        <v>12.112077920258049</v>
      </c>
      <c r="I9" s="258"/>
      <c r="J9" s="7" t="s">
        <v>49</v>
      </c>
      <c r="K9" s="16">
        <f t="array" aca="1" ref="K9" ca="1">IFERROR((GEOMEAN(1+OFFSET(K$16,MAX($B$16:$B$506)-47,0,48,1)/100)^12-1)*100,"N/A")</f>
        <v>9.9459011688701757</v>
      </c>
      <c r="L9" s="16">
        <f ca="1">IFERROR(SLOPE(OFFSET(K$16,MAX($B$16:$B$506)-47,0,48,1),OFFSET($K$16,MAX($B$16:$B$506)-47,0,48,1)),"N/A")</f>
        <v>1</v>
      </c>
      <c r="M9" s="16">
        <f ca="1">IFERROR(STDEVP(OFFSET(K$16,MAX($B$16:$B$506)-47,0,48,1))*SQRT(12),"N/A")</f>
        <v>14.775176496205656</v>
      </c>
      <c r="N9" s="16"/>
      <c r="O9" s="258"/>
      <c r="P9" s="7" t="s">
        <v>49</v>
      </c>
      <c r="Q9" s="16">
        <f t="array" aca="1" ref="Q9" ca="1">IFERROR((GEOMEAN(1+OFFSET(Q$16,MAX($B$16:$B$506)-47,0,48,1)/100)^12-1)*100,"N/A")</f>
        <v>5.0067673891798226</v>
      </c>
      <c r="R9" s="259">
        <f t="shared" ca="1" si="1"/>
        <v>-4.9391337796903532</v>
      </c>
      <c r="S9" s="16">
        <f ca="1">IFERROR(SLOPE(OFFSET(Q$16,MAX($B$16:$B$506)-47,0,48,1),OFFSET($K$16,MAX($B$16:$B$506)-47,0,48,1)),"N/A")</f>
        <v>0.57609940754433264</v>
      </c>
      <c r="T9" s="16">
        <f ca="1">IFERROR(STDEVP(OFFSET(Q$16,MAX($B$16:$B$506)-47,0,48,1))*SQRT(12),"N/A")</f>
        <v>10.175138040926212</v>
      </c>
      <c r="U9" s="261"/>
      <c r="V9" s="256"/>
      <c r="W9" s="256"/>
    </row>
    <row r="10" spans="1:23" x14ac:dyDescent="0.25">
      <c r="A10" s="256"/>
      <c r="B10" s="257"/>
      <c r="C10" s="7" t="s">
        <v>50</v>
      </c>
      <c r="D10" s="16">
        <f t="array" aca="1" ref="D10" ca="1">IFERROR((GEOMEAN(1+OFFSET(D$16,MAX($B$16:$B$506)-59,0,60,1)/100)^12-1)*100,"N/A")</f>
        <v>6.9026703164352332</v>
      </c>
      <c r="E10" s="259">
        <f t="shared" ca="1" si="0"/>
        <v>-4.8054656374471927</v>
      </c>
      <c r="F10" s="16">
        <f ca="1">IFERROR(SLOPE(OFFSET(D$16,MAX($B$16:$B$506)-59,0,60,1),OFFSET(K$16,MAX($B$16:$B$506)-59,0,60,1)),"N/A")</f>
        <v>0.7613683024037684</v>
      </c>
      <c r="G10" s="16">
        <f ca="1">IFERROR(INTERCEPT(OFFSET($D$16,MAX($B$16:$B$506)-59,0,60,1),OFFSET($K$16,MAX($B$16:$B$506)-59,0,60,1))*12,"N/A")</f>
        <v>-1.8257864055367836</v>
      </c>
      <c r="H10" s="16">
        <f ca="1">IFERROR(STDEVP(OFFSET(D$16,MAX($B$16:$B$506)-59,0,60,1))*SQRT(12),"N/A")</f>
        <v>11.677007567905116</v>
      </c>
      <c r="I10" s="258"/>
      <c r="J10" s="7" t="s">
        <v>50</v>
      </c>
      <c r="K10" s="16">
        <f t="array" aca="1" ref="K10" ca="1">IFERROR((GEOMEAN(1+OFFSET(K$16,MAX($B$16:$B$506)-59,0,60,1)/100)^12-1)*100,"N/A")</f>
        <v>11.708135953882426</v>
      </c>
      <c r="L10" s="16">
        <f ca="1">IFERROR(SLOPE(OFFSET(K$16,MAX($B$16:$B$506)-59,0,60,1),OFFSET(K$16,MAX($B$16:$B$506)-59,0,60,1)),"N/A")</f>
        <v>1</v>
      </c>
      <c r="M10" s="16">
        <f ca="1">IFERROR(STDEVP(OFFSET(K$16,MAX($B$16:$B$506)-59,0,60,1))*SQRT(12),"N/A")</f>
        <v>13.847691822532402</v>
      </c>
      <c r="N10" s="16"/>
      <c r="O10" s="258"/>
      <c r="P10" s="7" t="s">
        <v>50</v>
      </c>
      <c r="Q10" s="16">
        <f t="array" aca="1" ref="Q10" ca="1">IFERROR((GEOMEAN(1+OFFSET(Q$16,MAX($B$16:$B$506)-59,0,60,1)/100)^12-1)*100,"N/A")</f>
        <v>6.8376475718262997</v>
      </c>
      <c r="R10" s="259">
        <f t="shared" ca="1" si="1"/>
        <v>-4.8704883820561262</v>
      </c>
      <c r="S10" s="16">
        <f ca="1">IFERROR(SLOPE(OFFSET(Q$16,MAX($B$16:$B$506)-59,0,60,1),OFFSET($K$16,MAX($B$16:$B$506)-59,0,60,1)),"N/A")</f>
        <v>0.59992682717725565</v>
      </c>
      <c r="T10" s="16">
        <f ca="1">IFERROR(STDEVP(OFFSET(Q$16,MAX($B$16:$B$506)-59,0,60,1))*SQRT(12),"N/A")</f>
        <v>10.034055096180756</v>
      </c>
      <c r="U10" s="261"/>
      <c r="V10" s="256"/>
      <c r="W10" s="256"/>
    </row>
    <row r="11" spans="1:23" x14ac:dyDescent="0.25">
      <c r="A11" s="256"/>
      <c r="B11" s="257"/>
      <c r="C11" s="7" t="s">
        <v>51</v>
      </c>
      <c r="D11" s="16">
        <f t="array" aca="1" ref="D11" ca="1">IFERROR((GEOMEAN(1+OFFSET(D$16,MAX($B$16:$B$506)-119,0,120,1)/100)^12-1)*100,"N/A")</f>
        <v>8.9218932811961018</v>
      </c>
      <c r="E11" s="259">
        <f t="shared" ca="1" si="0"/>
        <v>-3.3710831478195331</v>
      </c>
      <c r="F11" s="16">
        <f ca="1">IF(D11="N/A","N/A",IFERROR(SLOPE(OFFSET(D$16,MAX($B$16:$B$506)-119,0,120,1),OFFSET(K$16,MAX($B$16:$B$506)-119,0,120,1)),"N/A"))</f>
        <v>0.7545954804777093</v>
      </c>
      <c r="G11" s="16">
        <f ca="1">IF(D11="N/A","N/A",IFERROR(INTERCEPT(OFFSET($D$16,MAX($B$16:$B$506)-119,0,120,1),OFFSET($K$16,MAX($B$16:$B$506)-119,0,120,1))*12,"N/A"))</f>
        <v>-0.2725147352565882</v>
      </c>
      <c r="H11" s="16">
        <f ca="1">IFERROR(STDEVP(OFFSET(D$16,MAX($B$16:$B$506)-119,0,120,1))*SQRT(12),"N/A")</f>
        <v>12.003121554837932</v>
      </c>
      <c r="I11" s="258"/>
      <c r="J11" s="7" t="s">
        <v>51</v>
      </c>
      <c r="K11" s="16">
        <f t="array" aca="1" ref="K11" ca="1">IFERROR((GEOMEAN(1+OFFSET(K$16,MAX($B$16:$B$506)-119,0,120,1)/100)^12-1)*100,"N/A")</f>
        <v>12.292976429015635</v>
      </c>
      <c r="L11" s="16">
        <f ca="1">IF(D11="N/A","N/A",IFERROR(SLOPE(OFFSET(K$16,MAX($B$16:$B$506)-119,0,120,1),OFFSET(K$16,MAX($B$16:$B$506)-119,0,120,1)),"N/A"))</f>
        <v>1</v>
      </c>
      <c r="M11" s="16">
        <f ca="1">IFERROR(STDEVP(OFFSET(K$16,MAX($B$16:$B$506)-119,0,120,1))*SQRT(12),"N/A")</f>
        <v>14.41240880218395</v>
      </c>
      <c r="N11" s="16"/>
      <c r="O11" s="258"/>
      <c r="P11" s="7" t="s">
        <v>51</v>
      </c>
      <c r="Q11" s="16">
        <f t="array" aca="1" ref="Q11" ca="1">IFERROR((GEOMEAN(1+OFFSET(Q$16,MAX($B$16:$B$506)-119,0,120,1)/100)^12-1)*100,"N/A")</f>
        <v>8.3313348915827525</v>
      </c>
      <c r="R11" s="259">
        <f t="shared" ca="1" si="1"/>
        <v>-3.9616415374328824</v>
      </c>
      <c r="S11" s="16">
        <f ca="1">IF(D11="N/A","N/A",IFERROR(SLOPE(OFFSET(Q$16,MAX($B$16:$B$506)-119,0,120,1),OFFSET($K$16,MAX($B$16:$B$506)-119,0,120,1)),"N/A"))</f>
        <v>0.613557559593083</v>
      </c>
      <c r="T11" s="16">
        <f ca="1">IFERROR(STDEVP(OFFSET(Q$16,MAX($B$16:$B$506)-119,0,120,1))*SQRT(12),"N/A")</f>
        <v>10.30070542534537</v>
      </c>
      <c r="U11" s="261"/>
      <c r="V11" s="256"/>
      <c r="W11" s="256"/>
    </row>
    <row r="12" spans="1:23" x14ac:dyDescent="0.25">
      <c r="A12" s="256"/>
      <c r="B12" s="257"/>
      <c r="C12" s="7" t="s">
        <v>52</v>
      </c>
      <c r="D12" s="16">
        <f t="array" aca="1" ref="D12" ca="1">IFERROR((GEOMEAN(1+OFFSET(D$16,1,0,MAX($B$16:$B$506),1)/100)^12-1)*100,"N/A")</f>
        <v>8.8146698943635027</v>
      </c>
      <c r="E12" s="259">
        <f t="shared" ca="1" si="0"/>
        <v>-8.0075370547062263E-2</v>
      </c>
      <c r="F12" s="16">
        <f ca="1">IFERROR(SLOPE(OFFSET(D$16,1,0,MAX($B$16:$B$506),1),OFFSET(K$16,1,0,MAX($B$16:$B$506),1)),"N/A")</f>
        <v>0.63711400943814278</v>
      </c>
      <c r="G12" s="16">
        <f ca="1">IFERROR(INTERCEPT(OFFSET($D$16,1,0,MAX($B$16:$B$506),1),OFFSET($K$16,1,0,MAX($B$16:$B$506),1))*12,"N/A")</f>
        <v>2.8924257955228363</v>
      </c>
      <c r="H12" s="16">
        <f ca="1">IFERROR(STDEVP(OFFSET(D$16,1,0,MAX($B$16:$B$506),1))*SQRT(12),"N/A")</f>
        <v>11.169509441757153</v>
      </c>
      <c r="I12" s="258"/>
      <c r="J12" s="7" t="s">
        <v>52</v>
      </c>
      <c r="K12" s="16">
        <f t="array" aca="1" ref="K12" ca="1">IFERROR((GEOMEAN(1+OFFSET(K$16,1,0,MAX($B$16:$B$506),1)/100)^12-1)*100,"N/A")</f>
        <v>8.8947452649105649</v>
      </c>
      <c r="L12" s="16">
        <f ca="1">IFERROR(SLOPE(OFFSET(K$16,1,0,MAX($B$16:$B$506),1),OFFSET(K$16,1,0,MAX($B$16:$B$506),1)),"N/A")</f>
        <v>1</v>
      </c>
      <c r="M12" s="16">
        <f ca="1">IFERROR(STDEVP(OFFSET(K$16,1,0,MAX($B$16:$B$506),1))*SQRT(12),"N/A")</f>
        <v>15.404454996032364</v>
      </c>
      <c r="N12" s="16"/>
      <c r="O12" s="258"/>
      <c r="P12" s="7" t="s">
        <v>52</v>
      </c>
      <c r="Q12" s="16">
        <f t="array" aca="1" ref="Q12" ca="1">IFERROR((GEOMEAN(1+OFFSET(Q$16,1,0,MAX($B$16:$B$506),1)/100)^12-1)*100,"N/A")</f>
        <v>7.1129851157490265</v>
      </c>
      <c r="R12" s="259">
        <f t="shared" ca="1" si="1"/>
        <v>-1.7817601491615385</v>
      </c>
      <c r="S12" s="16">
        <f ca="1">IFERROR(SLOPE(OFFSET(Q$16,1,0,MAX($B$16:$B$506),1),OFFSET($K$16,1,0,MAX($B$16:$B$506),1)),"N/A")</f>
        <v>0.61427714347201134</v>
      </c>
      <c r="T12" s="16">
        <f ca="1">IFERROR(STDEVP(OFFSET(Q$16,1,0,MAX($B$16:$B$506),1))*SQRT(12),"N/A")</f>
        <v>10.594349869055417</v>
      </c>
      <c r="U12" s="261"/>
      <c r="V12" s="256"/>
      <c r="W12" s="256"/>
    </row>
    <row r="13" spans="1:23" x14ac:dyDescent="0.25">
      <c r="A13" s="256"/>
      <c r="B13" s="257"/>
      <c r="C13" s="7" t="s">
        <v>55</v>
      </c>
      <c r="D13" s="16" cm="1">
        <f t="array" aca="1" ref="D13" ca="1">IFERROR((GEOMEAN(1+OFFSET(D$102,1,0,MAX($B$16:$B$506)-86,1)/100)^(MIN(COUNTA(OFFSET(D$102,1,0,MAX($B$16:$B$506)-86,1)),12))-1)*100,"N/A")</f>
        <v>9.4899054641681921</v>
      </c>
      <c r="E13" s="259">
        <f t="shared" ca="1" si="0"/>
        <v>-1.5435679125880277</v>
      </c>
      <c r="F13" s="16">
        <f ca="1">IFERROR(SLOPE(OFFSET(D$102,1,0,MAX($B$16:$B$506)-86,1),OFFSET($K$102,1,0,MAX($B$16:$B$506)-86,1)),"N/A")</f>
        <v>0.72453863323992829</v>
      </c>
      <c r="G13" s="16">
        <f ca="1">IFERROR(INTERCEPT(OFFSET(D$102,1,0,MAX($B$16:$B$506)-86,1),OFFSET($K$102,1,0,MAX($B$16:$B$506)-86,1))*12,"N/A")</f>
        <v>1.4325452348783432</v>
      </c>
      <c r="H13" s="16">
        <f ca="1">IFERROR(STDEVP(OFFSET(D$102,1,0,MAX($B$16:$B$506)-86,1))*SQRT(12),"N/A")</f>
        <v>11.090191461974408</v>
      </c>
      <c r="I13" s="258"/>
      <c r="J13" s="7" t="s">
        <v>55</v>
      </c>
      <c r="K13" s="16" cm="1">
        <f t="array" aca="1" ref="K13" ca="1">IFERROR((GEOMEAN(1+OFFSET(K$102,1,0,MAX($B$16:$B$506)-86,1)/100)^(MIN(COUNTA(OFFSET(K$102,1,0,MAX($B$16:$B$506)-86,1)),12))-1)*100,"N/A")</f>
        <v>11.03347337675622</v>
      </c>
      <c r="L13" s="16">
        <f ca="1">IFERROR(SLOPE(OFFSET(K$102,1,0,MAX($B$16:$B$506)-86,1),OFFSET($K$102,1,0,MAX($B$16:$B$506)-86,1)),"N/A")</f>
        <v>1</v>
      </c>
      <c r="M13" s="16">
        <f ca="1">IFERROR(STDEVP(OFFSET(K$102,1,0,MAX($B$16:$B$506)-86,1))*SQRT(12),"N/A")</f>
        <v>13.597561510321876</v>
      </c>
      <c r="N13" s="16"/>
      <c r="O13" s="258"/>
      <c r="P13" s="7" t="s">
        <v>55</v>
      </c>
      <c r="Q13" s="16" cm="1">
        <f t="array" aca="1" ref="Q13" ca="1">IFERROR((GEOMEAN(1+OFFSET(Q$102,1,0,MAX($B$16:$B$506)-86,1)/100)^(MIN(COUNTA(OFFSET(Q$102,1,0,MAX($B$16:$B$506)-86,1)),12))-1)*100,"N/A")</f>
        <v>8.6484818691080498</v>
      </c>
      <c r="R13" s="259">
        <f t="shared" ca="1" si="1"/>
        <v>-2.38499150764817</v>
      </c>
      <c r="S13" s="16">
        <f ca="1">IFERROR(SLOPE(OFFSET(Q$102,1,0,MAX($B$16:$B$506)-86,1),OFFSET($K$102,1,0,MAX($B$16:$B$506)-86,1)),"N/A")</f>
        <v>0.61877705743032707</v>
      </c>
      <c r="T13" s="16">
        <f ca="1">IFERROR(STDEVP(OFFSET(Q$102,1,0,MAX($B$16:$B$506)-86,1))*SQRT(12),"N/A")</f>
        <v>9.8596386684820878</v>
      </c>
      <c r="U13" s="261"/>
      <c r="V13" s="256"/>
      <c r="W13" s="256"/>
    </row>
    <row r="14" spans="1:23" x14ac:dyDescent="0.25">
      <c r="A14" s="7"/>
      <c r="B14" s="257"/>
      <c r="C14" s="17"/>
      <c r="D14" s="25"/>
      <c r="E14" s="18"/>
      <c r="F14" s="8"/>
      <c r="G14" s="256"/>
      <c r="H14" s="256"/>
      <c r="I14" s="258"/>
      <c r="J14" s="7"/>
      <c r="K14" s="16"/>
      <c r="L14" s="16"/>
      <c r="M14" s="18"/>
      <c r="N14" s="10"/>
      <c r="O14" s="258"/>
      <c r="P14" s="7"/>
      <c r="Q14" s="16"/>
      <c r="R14" s="16"/>
      <c r="S14" s="18"/>
      <c r="T14" s="10"/>
      <c r="U14" s="258"/>
      <c r="V14" s="256"/>
      <c r="W14" s="256"/>
    </row>
    <row r="15" spans="1:23" x14ac:dyDescent="0.25">
      <c r="A15" s="7" t="s">
        <v>69</v>
      </c>
      <c r="B15" s="257" t="s">
        <v>70</v>
      </c>
      <c r="C15" s="13" t="s">
        <v>71</v>
      </c>
      <c r="D15" s="19" t="s">
        <v>89</v>
      </c>
      <c r="E15" s="13" t="s">
        <v>73</v>
      </c>
      <c r="F15" s="9" t="s">
        <v>74</v>
      </c>
      <c r="G15" s="9" t="s">
        <v>75</v>
      </c>
      <c r="H15" s="33"/>
      <c r="I15" s="266"/>
      <c r="J15" s="7" t="s">
        <v>69</v>
      </c>
      <c r="K15" s="33" t="s">
        <v>41</v>
      </c>
      <c r="L15" s="13" t="s">
        <v>73</v>
      </c>
      <c r="M15" s="9" t="s">
        <v>74</v>
      </c>
      <c r="N15" s="9" t="s">
        <v>75</v>
      </c>
      <c r="O15" s="266"/>
      <c r="P15" s="13" t="s">
        <v>69</v>
      </c>
      <c r="Q15" s="33" t="s">
        <v>41</v>
      </c>
      <c r="R15" s="13" t="s">
        <v>73</v>
      </c>
      <c r="S15" s="13" t="s">
        <v>74</v>
      </c>
      <c r="T15" s="13" t="s">
        <v>75</v>
      </c>
      <c r="U15" s="266"/>
      <c r="V15" s="256"/>
      <c r="W15" s="256"/>
    </row>
    <row r="16" spans="1:23" x14ac:dyDescent="0.25">
      <c r="A16" s="20">
        <v>38352</v>
      </c>
      <c r="B16" s="257">
        <v>0</v>
      </c>
      <c r="C16" s="96"/>
      <c r="D16" s="11"/>
      <c r="E16" s="48">
        <v>1000000</v>
      </c>
      <c r="F16" s="8"/>
      <c r="G16" s="256"/>
      <c r="H16" s="256"/>
      <c r="I16" s="258"/>
      <c r="J16" s="20">
        <f t="shared" ref="J16:J47" si="2">A16</f>
        <v>38352</v>
      </c>
      <c r="K16" s="16"/>
      <c r="L16" s="48">
        <v>1000000</v>
      </c>
      <c r="M16" s="7"/>
      <c r="N16" s="256"/>
      <c r="O16" s="258"/>
      <c r="P16" s="20">
        <f>$A16</f>
        <v>38352</v>
      </c>
      <c r="Q16" s="16"/>
      <c r="R16" s="48">
        <v>1000000</v>
      </c>
      <c r="S16" s="7"/>
      <c r="T16" s="256"/>
      <c r="U16" s="258"/>
      <c r="V16" s="256"/>
      <c r="W16" s="256"/>
    </row>
    <row r="17" spans="1:21" x14ac:dyDescent="0.25">
      <c r="A17" s="20">
        <v>38383</v>
      </c>
      <c r="B17" s="24">
        <f>IF(A17&gt;A16,1+B16,"-")</f>
        <v>1</v>
      </c>
      <c r="C17" s="96" t="s">
        <v>77</v>
      </c>
      <c r="D17" s="27">
        <v>-0.26113427698899999</v>
      </c>
      <c r="E17" s="46">
        <f t="shared" ref="E17:E80" si="3">E16*D17/100+E16</f>
        <v>997388.65723011002</v>
      </c>
      <c r="F17" s="10"/>
      <c r="G17" s="256"/>
      <c r="H17" s="256"/>
      <c r="I17" s="258"/>
      <c r="J17" s="20">
        <f t="shared" si="2"/>
        <v>38383</v>
      </c>
      <c r="K17" s="27">
        <f>'Global (Gross)'!K17</f>
        <v>-2.1081822016026983</v>
      </c>
      <c r="L17" s="46">
        <f t="shared" ref="L17:L80" si="4">L16*K17/100+L16</f>
        <v>978918.17798397306</v>
      </c>
      <c r="M17" s="15"/>
      <c r="N17" s="256"/>
      <c r="O17" s="258"/>
      <c r="P17" s="20">
        <f t="shared" ref="P17:P80" si="5">$A17</f>
        <v>38383</v>
      </c>
      <c r="Q17" s="45">
        <f>'Global (Gross)'!Q17</f>
        <v>-1.810609972386233</v>
      </c>
      <c r="R17" s="46">
        <f t="shared" ref="R17:R80" si="6">R16*Q17/100+R16</f>
        <v>981893.90027613763</v>
      </c>
      <c r="S17" s="15"/>
      <c r="T17" s="256"/>
      <c r="U17" s="258"/>
    </row>
    <row r="18" spans="1:21" x14ac:dyDescent="0.25">
      <c r="A18" s="20">
        <v>38411</v>
      </c>
      <c r="B18" s="24">
        <f t="shared" ref="B18:B81" si="7">IF(A18&gt;A17,1+B17,"-")</f>
        <v>2</v>
      </c>
      <c r="C18" s="96" t="s">
        <v>77</v>
      </c>
      <c r="D18" s="27">
        <v>4.33</v>
      </c>
      <c r="E18" s="46">
        <f t="shared" si="3"/>
        <v>1040575.5860881738</v>
      </c>
      <c r="F18" s="8"/>
      <c r="G18" s="256"/>
      <c r="H18" s="256"/>
      <c r="I18" s="258"/>
      <c r="J18" s="20">
        <f t="shared" si="2"/>
        <v>38411</v>
      </c>
      <c r="K18" s="27">
        <f>'Global (Gross)'!K18</f>
        <v>3.5050398209404219</v>
      </c>
      <c r="L18" s="46">
        <f t="shared" si="4"/>
        <v>1013229.6499367357</v>
      </c>
      <c r="M18" s="7"/>
      <c r="N18" s="256"/>
      <c r="O18" s="258"/>
      <c r="P18" s="20">
        <f t="shared" si="5"/>
        <v>38411</v>
      </c>
      <c r="Q18" s="45">
        <f>'Global (Gross)'!Q18</f>
        <v>3.1152469904999256</v>
      </c>
      <c r="R18" s="46">
        <f t="shared" si="6"/>
        <v>1012482.3204543923</v>
      </c>
      <c r="S18" s="7"/>
      <c r="T18" s="256"/>
      <c r="U18" s="258"/>
    </row>
    <row r="19" spans="1:21" x14ac:dyDescent="0.25">
      <c r="A19" s="20">
        <v>38442</v>
      </c>
      <c r="B19" s="24">
        <f t="shared" si="7"/>
        <v>3</v>
      </c>
      <c r="C19" s="96" t="s">
        <v>77</v>
      </c>
      <c r="D19" s="27">
        <v>-1.05</v>
      </c>
      <c r="E19" s="46">
        <f t="shared" si="3"/>
        <v>1029649.5424342479</v>
      </c>
      <c r="F19" s="8"/>
      <c r="G19" s="49">
        <f>(E19/E16-1)*100</f>
        <v>2.9649542434248</v>
      </c>
      <c r="H19" s="49"/>
      <c r="I19" s="258"/>
      <c r="J19" s="20">
        <f t="shared" si="2"/>
        <v>38442</v>
      </c>
      <c r="K19" s="27">
        <f>'Global (Gross)'!K19</f>
        <v>-2.152668149231959</v>
      </c>
      <c r="L19" s="46">
        <f t="shared" si="4"/>
        <v>991418.17798397318</v>
      </c>
      <c r="M19" s="7"/>
      <c r="N19" s="49">
        <f>(L19/L16-1)*100</f>
        <v>-0.85818220160268632</v>
      </c>
      <c r="O19" s="258"/>
      <c r="P19" s="20">
        <f t="shared" si="5"/>
        <v>38442</v>
      </c>
      <c r="Q19" s="45">
        <f>'Global (Gross)'!Q19</f>
        <v>-1.781635956451368</v>
      </c>
      <c r="R19" s="46">
        <f t="shared" si="6"/>
        <v>994443.57138046378</v>
      </c>
      <c r="S19" s="7"/>
      <c r="T19" s="49">
        <f>(R19/R16-1)*100</f>
        <v>-0.55564286195362023</v>
      </c>
      <c r="U19" s="258"/>
    </row>
    <row r="20" spans="1:21" x14ac:dyDescent="0.25">
      <c r="A20" s="20">
        <v>38472</v>
      </c>
      <c r="B20" s="24">
        <f t="shared" si="7"/>
        <v>4</v>
      </c>
      <c r="C20" s="96" t="s">
        <v>77</v>
      </c>
      <c r="D20" s="27">
        <v>0.38</v>
      </c>
      <c r="E20" s="46">
        <f t="shared" si="3"/>
        <v>1033562.210695498</v>
      </c>
      <c r="F20" s="8"/>
      <c r="G20" s="256"/>
      <c r="H20" s="256"/>
      <c r="I20" s="258"/>
      <c r="J20" s="20">
        <f t="shared" si="2"/>
        <v>38472</v>
      </c>
      <c r="K20" s="27">
        <f>'Global (Gross)'!K20</f>
        <v>-2.1392996199991408</v>
      </c>
      <c r="L20" s="46">
        <f t="shared" si="4"/>
        <v>970208.77266975958</v>
      </c>
      <c r="M20" s="7"/>
      <c r="N20" s="256"/>
      <c r="O20" s="258"/>
      <c r="P20" s="20">
        <f t="shared" si="5"/>
        <v>38472</v>
      </c>
      <c r="Q20" s="45">
        <f>'Global (Gross)'!Q20</f>
        <v>-0.24720344053006976</v>
      </c>
      <c r="R20" s="46">
        <f t="shared" si="6"/>
        <v>991985.27265788114</v>
      </c>
      <c r="S20" s="7"/>
      <c r="T20" s="256"/>
      <c r="U20" s="258"/>
    </row>
    <row r="21" spans="1:21" x14ac:dyDescent="0.25">
      <c r="A21" s="20">
        <v>38503</v>
      </c>
      <c r="B21" s="24">
        <f t="shared" si="7"/>
        <v>5</v>
      </c>
      <c r="C21" s="96" t="s">
        <v>77</v>
      </c>
      <c r="D21" s="27">
        <v>1.64</v>
      </c>
      <c r="E21" s="46">
        <f t="shared" si="3"/>
        <v>1050512.6309509042</v>
      </c>
      <c r="F21" s="8"/>
      <c r="G21" s="256"/>
      <c r="H21" s="256"/>
      <c r="I21" s="258"/>
      <c r="J21" s="20">
        <f t="shared" si="2"/>
        <v>38503</v>
      </c>
      <c r="K21" s="27">
        <f>'Global (Gross)'!K21</f>
        <v>1.9416121644463786</v>
      </c>
      <c r="L21" s="46">
        <f t="shared" si="4"/>
        <v>989046.46422044153</v>
      </c>
      <c r="M21" s="7"/>
      <c r="N21" s="256"/>
      <c r="O21" s="258"/>
      <c r="P21" s="20">
        <f t="shared" si="5"/>
        <v>38503</v>
      </c>
      <c r="Q21" s="45">
        <f>'Global (Gross)'!Q21</f>
        <v>3.5078984293661498E-2</v>
      </c>
      <c r="R21" s="46">
        <f t="shared" si="6"/>
        <v>992333.25101587223</v>
      </c>
      <c r="S21" s="7"/>
      <c r="T21" s="256"/>
      <c r="U21" s="258"/>
    </row>
    <row r="22" spans="1:21" x14ac:dyDescent="0.25">
      <c r="A22" s="20">
        <v>38533</v>
      </c>
      <c r="B22" s="24">
        <f t="shared" si="7"/>
        <v>6</v>
      </c>
      <c r="C22" s="96" t="s">
        <v>77</v>
      </c>
      <c r="D22" s="27">
        <v>1.1200000000000001</v>
      </c>
      <c r="E22" s="46">
        <f t="shared" si="3"/>
        <v>1062278.3724175543</v>
      </c>
      <c r="F22" s="8"/>
      <c r="G22" s="49">
        <f>(E22/E19-1)*100</f>
        <v>3.1689257984000019</v>
      </c>
      <c r="H22" s="49"/>
      <c r="I22" s="258"/>
      <c r="J22" s="20">
        <f t="shared" si="2"/>
        <v>38533</v>
      </c>
      <c r="K22" s="27">
        <f>'Global (Gross)'!K22</f>
        <v>1.0632774645660035</v>
      </c>
      <c r="L22" s="46">
        <f t="shared" si="4"/>
        <v>999562.77238858433</v>
      </c>
      <c r="M22" s="7"/>
      <c r="N22" s="49">
        <f>(L22/L19-1)*100</f>
        <v>0.8215094886774299</v>
      </c>
      <c r="O22" s="258"/>
      <c r="P22" s="20">
        <f t="shared" si="5"/>
        <v>38533</v>
      </c>
      <c r="Q22" s="45">
        <f>'Global (Gross)'!Q22</f>
        <v>1.1526758141692086</v>
      </c>
      <c r="R22" s="46">
        <f t="shared" si="6"/>
        <v>1003771.6363962912</v>
      </c>
      <c r="S22" s="7"/>
      <c r="T22" s="49">
        <f>(R22/R19-1)*100</f>
        <v>0.93801853461412676</v>
      </c>
      <c r="U22" s="258"/>
    </row>
    <row r="23" spans="1:21" x14ac:dyDescent="0.25">
      <c r="A23" s="20">
        <v>38564</v>
      </c>
      <c r="B23" s="24">
        <f t="shared" si="7"/>
        <v>7</v>
      </c>
      <c r="C23" s="96" t="s">
        <v>77</v>
      </c>
      <c r="D23" s="27">
        <v>3.05</v>
      </c>
      <c r="E23" s="46">
        <f t="shared" si="3"/>
        <v>1094677.8627762897</v>
      </c>
      <c r="F23" s="8"/>
      <c r="G23" s="256"/>
      <c r="H23" s="256"/>
      <c r="I23" s="258"/>
      <c r="J23" s="20">
        <f t="shared" si="2"/>
        <v>38564</v>
      </c>
      <c r="K23" s="27">
        <f>'Global (Gross)'!K23</f>
        <v>3.7250927932780935</v>
      </c>
      <c r="L23" s="46">
        <f t="shared" si="4"/>
        <v>1036797.4131871222</v>
      </c>
      <c r="M23" s="7"/>
      <c r="N23" s="256"/>
      <c r="O23" s="258"/>
      <c r="P23" s="20">
        <f t="shared" si="5"/>
        <v>38564</v>
      </c>
      <c r="Q23" s="45">
        <f>'Global (Gross)'!Q23</f>
        <v>2.4300507705039047</v>
      </c>
      <c r="R23" s="46">
        <f t="shared" si="6"/>
        <v>1028163.796780639</v>
      </c>
      <c r="S23" s="7"/>
      <c r="T23" s="256"/>
      <c r="U23" s="258"/>
    </row>
    <row r="24" spans="1:21" x14ac:dyDescent="0.25">
      <c r="A24" s="20">
        <v>38595</v>
      </c>
      <c r="B24" s="24">
        <f t="shared" si="7"/>
        <v>8</v>
      </c>
      <c r="C24" s="96" t="s">
        <v>77</v>
      </c>
      <c r="D24" s="27">
        <v>0.98</v>
      </c>
      <c r="E24" s="46">
        <f t="shared" si="3"/>
        <v>1105405.7058314974</v>
      </c>
      <c r="F24" s="8"/>
      <c r="G24" s="256"/>
      <c r="H24" s="256"/>
      <c r="I24" s="258"/>
      <c r="J24" s="20">
        <f t="shared" si="2"/>
        <v>38595</v>
      </c>
      <c r="K24" s="27">
        <f>'Global (Gross)'!K24</f>
        <v>0.81379140145957596</v>
      </c>
      <c r="L24" s="46">
        <f t="shared" si="4"/>
        <v>1045234.7813861943</v>
      </c>
      <c r="M24" s="7"/>
      <c r="N24" s="256"/>
      <c r="O24" s="258"/>
      <c r="P24" s="20">
        <f t="shared" si="5"/>
        <v>38595</v>
      </c>
      <c r="Q24" s="45">
        <f>'Global (Gross)'!Q24</f>
        <v>0.63322233746383039</v>
      </c>
      <c r="R24" s="46">
        <f t="shared" si="6"/>
        <v>1034674.3596075702</v>
      </c>
      <c r="S24" s="7"/>
      <c r="T24" s="256"/>
      <c r="U24" s="258"/>
    </row>
    <row r="25" spans="1:21" x14ac:dyDescent="0.25">
      <c r="A25" s="20">
        <v>38625</v>
      </c>
      <c r="B25" s="24">
        <f t="shared" si="7"/>
        <v>9</v>
      </c>
      <c r="C25" s="96" t="s">
        <v>77</v>
      </c>
      <c r="D25" s="27">
        <v>0.65</v>
      </c>
      <c r="E25" s="46">
        <f t="shared" si="3"/>
        <v>1112590.8429194023</v>
      </c>
      <c r="F25" s="8"/>
      <c r="G25" s="49">
        <f>(E25/E22-1)*100</f>
        <v>4.7362792850000224</v>
      </c>
      <c r="H25" s="49"/>
      <c r="I25" s="258"/>
      <c r="J25" s="20">
        <f t="shared" si="2"/>
        <v>38625</v>
      </c>
      <c r="K25" s="27">
        <f>'Global (Gross)'!K25</f>
        <v>3.0411896558797129</v>
      </c>
      <c r="L25" s="46">
        <f t="shared" si="4"/>
        <v>1077022.3534373681</v>
      </c>
      <c r="M25" s="7"/>
      <c r="N25" s="49">
        <f>(L25/L22-1)*100</f>
        <v>7.7493463330656098</v>
      </c>
      <c r="O25" s="258"/>
      <c r="P25" s="20">
        <f t="shared" si="5"/>
        <v>38625</v>
      </c>
      <c r="Q25" s="45">
        <f>'Global (Gross)'!Q25</f>
        <v>2.3129915920802877</v>
      </c>
      <c r="R25" s="46">
        <f t="shared" si="6"/>
        <v>1058606.2905507039</v>
      </c>
      <c r="S25" s="7"/>
      <c r="T25" s="49">
        <f>(R25/R22-1)*100</f>
        <v>5.4628614882243909</v>
      </c>
      <c r="U25" s="258"/>
    </row>
    <row r="26" spans="1:21" x14ac:dyDescent="0.25">
      <c r="A26" s="20">
        <v>38656</v>
      </c>
      <c r="B26" s="24">
        <f t="shared" si="7"/>
        <v>10</v>
      </c>
      <c r="C26" s="96" t="s">
        <v>77</v>
      </c>
      <c r="D26" s="27">
        <v>-3.13</v>
      </c>
      <c r="E26" s="46">
        <f t="shared" si="3"/>
        <v>1077766.7495360251</v>
      </c>
      <c r="F26" s="8"/>
      <c r="G26" s="256"/>
      <c r="H26" s="256"/>
      <c r="I26" s="258"/>
      <c r="J26" s="20">
        <f t="shared" si="2"/>
        <v>38656</v>
      </c>
      <c r="K26" s="27">
        <f>'Global (Gross)'!K26</f>
        <v>-2.6753850089937554</v>
      </c>
      <c r="L26" s="46">
        <f t="shared" si="4"/>
        <v>1048207.858849993</v>
      </c>
      <c r="M26" s="7"/>
      <c r="N26" s="256"/>
      <c r="O26" s="258"/>
      <c r="P26" s="20">
        <f t="shared" si="5"/>
        <v>38656</v>
      </c>
      <c r="Q26" s="45">
        <f>'Global (Gross)'!Q26</f>
        <v>-3.5660131273394331</v>
      </c>
      <c r="R26" s="46">
        <f t="shared" si="6"/>
        <v>1020856.2512628247</v>
      </c>
      <c r="S26" s="7"/>
      <c r="T26" s="256"/>
      <c r="U26" s="258"/>
    </row>
    <row r="27" spans="1:21" x14ac:dyDescent="0.25">
      <c r="A27" s="20">
        <v>38686</v>
      </c>
      <c r="B27" s="24">
        <f t="shared" si="7"/>
        <v>11</v>
      </c>
      <c r="C27" s="96" t="s">
        <v>77</v>
      </c>
      <c r="D27" s="27">
        <v>1.32</v>
      </c>
      <c r="E27" s="46">
        <f t="shared" si="3"/>
        <v>1091993.2706299007</v>
      </c>
      <c r="F27" s="8"/>
      <c r="G27" s="256"/>
      <c r="H27" s="256"/>
      <c r="I27" s="258"/>
      <c r="J27" s="20">
        <f t="shared" si="2"/>
        <v>38686</v>
      </c>
      <c r="K27" s="27">
        <f>'Global (Gross)'!K27</f>
        <v>3.7010610050225234</v>
      </c>
      <c r="L27" s="46">
        <f t="shared" si="4"/>
        <v>1087002.6711654717</v>
      </c>
      <c r="M27" s="7"/>
      <c r="N27" s="256"/>
      <c r="O27" s="258"/>
      <c r="P27" s="20">
        <f t="shared" si="5"/>
        <v>38686</v>
      </c>
      <c r="Q27" s="45">
        <f>'Global (Gross)'!Q27</f>
        <v>2.1221850809289182</v>
      </c>
      <c r="R27" s="46">
        <f t="shared" si="6"/>
        <v>1042520.7103248546</v>
      </c>
      <c r="S27" s="7"/>
      <c r="T27" s="256"/>
      <c r="U27" s="258"/>
    </row>
    <row r="28" spans="1:21" x14ac:dyDescent="0.25">
      <c r="A28" s="20">
        <v>38717</v>
      </c>
      <c r="B28" s="24">
        <f t="shared" si="7"/>
        <v>12</v>
      </c>
      <c r="C28" s="96" t="s">
        <v>77</v>
      </c>
      <c r="D28" s="27">
        <v>1.87</v>
      </c>
      <c r="E28" s="46">
        <f t="shared" si="3"/>
        <v>1112413.5447906798</v>
      </c>
      <c r="F28" s="11">
        <f>(E28-E16)/E16*100</f>
        <v>11.241354479067981</v>
      </c>
      <c r="G28" s="49">
        <f>(E28/E25-1)*100</f>
        <v>-1.5935609199990708E-2</v>
      </c>
      <c r="H28" s="49"/>
      <c r="I28" s="258"/>
      <c r="J28" s="20">
        <f t="shared" si="2"/>
        <v>38717</v>
      </c>
      <c r="K28" s="27">
        <f>'Global (Gross)'!K28</f>
        <v>2.5029585416168141</v>
      </c>
      <c r="L28" s="46">
        <f t="shared" si="4"/>
        <v>1114209.8973710109</v>
      </c>
      <c r="M28" s="19">
        <f>(L28-L16)/L16*100</f>
        <v>11.420989737101085</v>
      </c>
      <c r="N28" s="49">
        <f>(L28/L25-1)*100</f>
        <v>3.4528107810350539</v>
      </c>
      <c r="O28" s="258"/>
      <c r="P28" s="20">
        <f t="shared" si="5"/>
        <v>38717</v>
      </c>
      <c r="Q28" s="45">
        <f>'Global (Gross)'!Q28</f>
        <v>2.1426879428042267</v>
      </c>
      <c r="R28" s="46">
        <f t="shared" si="6"/>
        <v>1064858.6758862222</v>
      </c>
      <c r="S28" s="19">
        <f>(R28-R16)/R16*100</f>
        <v>6.4858675886222157</v>
      </c>
      <c r="T28" s="49">
        <f>(R28/R25-1)*100</f>
        <v>0.5906242378614257</v>
      </c>
      <c r="U28" s="258"/>
    </row>
    <row r="29" spans="1:21" x14ac:dyDescent="0.25">
      <c r="A29" s="20">
        <v>38748</v>
      </c>
      <c r="B29" s="24">
        <f t="shared" si="7"/>
        <v>13</v>
      </c>
      <c r="C29" s="96" t="s">
        <v>77</v>
      </c>
      <c r="D29" s="27">
        <v>3.26</v>
      </c>
      <c r="E29" s="46">
        <f t="shared" si="3"/>
        <v>1148678.226350856</v>
      </c>
      <c r="F29" s="10"/>
      <c r="G29" s="256"/>
      <c r="H29" s="256"/>
      <c r="I29" s="258"/>
      <c r="J29" s="20">
        <f t="shared" si="2"/>
        <v>38748</v>
      </c>
      <c r="K29" s="27">
        <f>'Global (Gross)'!K29</f>
        <v>4.9319748276895492</v>
      </c>
      <c r="L29" s="46">
        <f t="shared" si="4"/>
        <v>1169162.4490369747</v>
      </c>
      <c r="M29" s="15"/>
      <c r="N29" s="256"/>
      <c r="O29" s="258"/>
      <c r="P29" s="20">
        <f t="shared" si="5"/>
        <v>38748</v>
      </c>
      <c r="Q29" s="45">
        <f>'Global (Gross)'!Q29</f>
        <v>4.0626581210996759</v>
      </c>
      <c r="R29" s="46">
        <f t="shared" si="6"/>
        <v>1108120.2433603483</v>
      </c>
      <c r="S29" s="15"/>
      <c r="T29" s="256"/>
      <c r="U29" s="258"/>
    </row>
    <row r="30" spans="1:21" x14ac:dyDescent="0.25">
      <c r="A30" s="20">
        <v>38776</v>
      </c>
      <c r="B30" s="24">
        <f t="shared" si="7"/>
        <v>14</v>
      </c>
      <c r="C30" s="96" t="s">
        <v>77</v>
      </c>
      <c r="D30" s="27">
        <v>-0.33</v>
      </c>
      <c r="E30" s="46">
        <f t="shared" si="3"/>
        <v>1144887.5882038982</v>
      </c>
      <c r="F30" s="8"/>
      <c r="G30" s="256"/>
      <c r="H30" s="256"/>
      <c r="I30" s="258"/>
      <c r="J30" s="20">
        <f t="shared" si="2"/>
        <v>38776</v>
      </c>
      <c r="K30" s="27">
        <f>'Global (Gross)'!K30</f>
        <v>-0.10753040507128137</v>
      </c>
      <c r="L30" s="46">
        <f t="shared" si="4"/>
        <v>1167905.243919584</v>
      </c>
      <c r="M30" s="7"/>
      <c r="N30" s="256"/>
      <c r="O30" s="258"/>
      <c r="P30" s="20">
        <f t="shared" si="5"/>
        <v>38776</v>
      </c>
      <c r="Q30" s="45">
        <f>'Global (Gross)'!Q30</f>
        <v>0.37784395956158129</v>
      </c>
      <c r="R30" s="46">
        <f t="shared" si="6"/>
        <v>1112307.2087645645</v>
      </c>
      <c r="S30" s="7"/>
      <c r="T30" s="256"/>
      <c r="U30" s="258"/>
    </row>
    <row r="31" spans="1:21" x14ac:dyDescent="0.25">
      <c r="A31" s="20">
        <v>38807</v>
      </c>
      <c r="B31" s="24">
        <f t="shared" si="7"/>
        <v>15</v>
      </c>
      <c r="C31" s="96" t="s">
        <v>77</v>
      </c>
      <c r="D31" s="27">
        <v>0.47</v>
      </c>
      <c r="E31" s="46">
        <f t="shared" si="3"/>
        <v>1150268.5598684566</v>
      </c>
      <c r="F31" s="8"/>
      <c r="G31" s="49">
        <f>(E31/E28-1)*100</f>
        <v>3.4029624374000145</v>
      </c>
      <c r="H31" s="49"/>
      <c r="I31" s="258"/>
      <c r="J31" s="20">
        <f t="shared" si="2"/>
        <v>38807</v>
      </c>
      <c r="K31" s="27">
        <f>'Global (Gross)'!K31</f>
        <v>2.1593331656095636</v>
      </c>
      <c r="L31" s="46">
        <f t="shared" si="4"/>
        <v>1193124.2091944327</v>
      </c>
      <c r="M31" s="7"/>
      <c r="N31" s="49">
        <f>(L31/L28-1)*100</f>
        <v>7.0825355267100987</v>
      </c>
      <c r="O31" s="258"/>
      <c r="P31" s="20">
        <f t="shared" si="5"/>
        <v>38807</v>
      </c>
      <c r="Q31" s="45">
        <f>'Global (Gross)'!Q31</f>
        <v>1.2634850793714849</v>
      </c>
      <c r="R31" s="46">
        <f t="shared" si="6"/>
        <v>1126361.0443840781</v>
      </c>
      <c r="S31" s="7"/>
      <c r="T31" s="49">
        <f>(R31/R28-1)*100</f>
        <v>5.7756367009613729</v>
      </c>
      <c r="U31" s="258"/>
    </row>
    <row r="32" spans="1:21" x14ac:dyDescent="0.25">
      <c r="A32" s="20">
        <v>38837</v>
      </c>
      <c r="B32" s="24">
        <f t="shared" si="7"/>
        <v>16</v>
      </c>
      <c r="C32" s="96" t="s">
        <v>77</v>
      </c>
      <c r="D32" s="27">
        <v>2.56</v>
      </c>
      <c r="E32" s="46">
        <f t="shared" si="3"/>
        <v>1179715.435001089</v>
      </c>
      <c r="F32" s="8"/>
      <c r="G32" s="256"/>
      <c r="H32" s="256"/>
      <c r="I32" s="258"/>
      <c r="J32" s="20">
        <f t="shared" si="2"/>
        <v>38837</v>
      </c>
      <c r="K32" s="27">
        <f>'Global (Gross)'!K32</f>
        <v>3.3753137632829286</v>
      </c>
      <c r="L32" s="46">
        <f t="shared" si="4"/>
        <v>1233395.894840433</v>
      </c>
      <c r="M32" s="7"/>
      <c r="N32" s="256"/>
      <c r="O32" s="258"/>
      <c r="P32" s="20">
        <f t="shared" si="5"/>
        <v>38837</v>
      </c>
      <c r="Q32" s="45">
        <f>'Global (Gross)'!Q32</f>
        <v>3.0515332409834275</v>
      </c>
      <c r="R32" s="46">
        <f t="shared" si="6"/>
        <v>1160732.3260669464</v>
      </c>
      <c r="S32" s="7"/>
      <c r="T32" s="256"/>
      <c r="U32" s="258"/>
    </row>
    <row r="33" spans="1:21" x14ac:dyDescent="0.25">
      <c r="A33" s="20">
        <v>38868</v>
      </c>
      <c r="B33" s="24">
        <f t="shared" si="7"/>
        <v>17</v>
      </c>
      <c r="C33" s="96" t="s">
        <v>77</v>
      </c>
      <c r="D33" s="27">
        <v>-0.84</v>
      </c>
      <c r="E33" s="46">
        <f t="shared" si="3"/>
        <v>1169805.8253470799</v>
      </c>
      <c r="F33" s="8"/>
      <c r="G33" s="256"/>
      <c r="H33" s="256"/>
      <c r="I33" s="258"/>
      <c r="J33" s="20">
        <f t="shared" si="2"/>
        <v>38868</v>
      </c>
      <c r="K33" s="27">
        <f>'Global (Gross)'!K33</f>
        <v>-3.8580235479978904</v>
      </c>
      <c r="L33" s="46">
        <f t="shared" si="4"/>
        <v>1185811.1907774499</v>
      </c>
      <c r="M33" s="7"/>
      <c r="N33" s="256"/>
      <c r="O33" s="258"/>
      <c r="P33" s="20">
        <f t="shared" si="5"/>
        <v>38868</v>
      </c>
      <c r="Q33" s="45">
        <f>'Global (Gross)'!Q33</f>
        <v>-2.9369953097045602</v>
      </c>
      <c r="R33" s="46">
        <f t="shared" si="6"/>
        <v>1126641.6720921355</v>
      </c>
      <c r="S33" s="7"/>
      <c r="T33" s="256"/>
      <c r="U33" s="258"/>
    </row>
    <row r="34" spans="1:21" x14ac:dyDescent="0.25">
      <c r="A34" s="20">
        <v>38898</v>
      </c>
      <c r="B34" s="24">
        <f t="shared" si="7"/>
        <v>18</v>
      </c>
      <c r="C34" s="96" t="s">
        <v>77</v>
      </c>
      <c r="D34" s="27">
        <v>0</v>
      </c>
      <c r="E34" s="46">
        <f t="shared" si="3"/>
        <v>1169805.8253470799</v>
      </c>
      <c r="F34" s="8"/>
      <c r="G34" s="49">
        <f>(E34/E31-1)*100</f>
        <v>1.6984960000000049</v>
      </c>
      <c r="H34" s="49"/>
      <c r="I34" s="258"/>
      <c r="J34" s="20">
        <f t="shared" si="2"/>
        <v>38898</v>
      </c>
      <c r="K34" s="27">
        <f>'Global (Gross)'!K34</f>
        <v>2.015489630601761E-3</v>
      </c>
      <c r="L34" s="46">
        <f t="shared" si="4"/>
        <v>1185835.0906790385</v>
      </c>
      <c r="M34" s="7"/>
      <c r="N34" s="49">
        <f>(L34/L31-1)*100</f>
        <v>-0.61092704843492829</v>
      </c>
      <c r="O34" s="258"/>
      <c r="P34" s="20">
        <f t="shared" si="5"/>
        <v>38898</v>
      </c>
      <c r="Q34" s="45">
        <f>'Global (Gross)'!Q34</f>
        <v>0.20225569902758714</v>
      </c>
      <c r="R34" s="46">
        <f t="shared" si="6"/>
        <v>1128920.3690815617</v>
      </c>
      <c r="S34" s="7"/>
      <c r="T34" s="49">
        <f>(R34/R31-1)*100</f>
        <v>0.22722063322804242</v>
      </c>
      <c r="U34" s="258"/>
    </row>
    <row r="35" spans="1:21" x14ac:dyDescent="0.25">
      <c r="A35" s="20">
        <v>38929</v>
      </c>
      <c r="B35" s="24">
        <f t="shared" si="7"/>
        <v>19</v>
      </c>
      <c r="C35" s="96" t="s">
        <v>77</v>
      </c>
      <c r="D35" s="27">
        <v>3.18</v>
      </c>
      <c r="E35" s="46">
        <f t="shared" si="3"/>
        <v>1207005.6505931171</v>
      </c>
      <c r="F35" s="8"/>
      <c r="G35" s="256"/>
      <c r="H35" s="256"/>
      <c r="I35" s="258"/>
      <c r="J35" s="20">
        <f t="shared" si="2"/>
        <v>38929</v>
      </c>
      <c r="K35" s="27">
        <f>'Global (Gross)'!K35</f>
        <v>0.70265073039279302</v>
      </c>
      <c r="L35" s="46">
        <f t="shared" si="4"/>
        <v>1194167.3696049489</v>
      </c>
      <c r="M35" s="7"/>
      <c r="N35" s="256"/>
      <c r="O35" s="258"/>
      <c r="P35" s="20">
        <f t="shared" si="5"/>
        <v>38929</v>
      </c>
      <c r="Q35" s="45">
        <f>'Global (Gross)'!Q35</f>
        <v>1.9130763341321064</v>
      </c>
      <c r="R35" s="46">
        <f t="shared" si="6"/>
        <v>1150517.477493658</v>
      </c>
      <c r="S35" s="7"/>
      <c r="T35" s="256"/>
      <c r="U35" s="258"/>
    </row>
    <row r="36" spans="1:21" x14ac:dyDescent="0.25">
      <c r="A36" s="20">
        <v>38960</v>
      </c>
      <c r="B36" s="24">
        <f t="shared" si="7"/>
        <v>20</v>
      </c>
      <c r="C36" s="96" t="s">
        <v>77</v>
      </c>
      <c r="D36" s="27">
        <v>2.69</v>
      </c>
      <c r="E36" s="46">
        <f t="shared" si="3"/>
        <v>1239474.102594072</v>
      </c>
      <c r="F36" s="8"/>
      <c r="G36" s="256"/>
      <c r="H36" s="256"/>
      <c r="I36" s="258"/>
      <c r="J36" s="20">
        <f t="shared" si="2"/>
        <v>38960</v>
      </c>
      <c r="K36" s="27">
        <f>'Global (Gross)'!K36</f>
        <v>2.6488347075695056</v>
      </c>
      <c r="L36" s="46">
        <f t="shared" si="4"/>
        <v>1225798.8893575147</v>
      </c>
      <c r="M36" s="7"/>
      <c r="N36" s="256"/>
      <c r="O36" s="258"/>
      <c r="P36" s="20">
        <f t="shared" si="5"/>
        <v>38960</v>
      </c>
      <c r="Q36" s="45">
        <f>'Global (Gross)'!Q36</f>
        <v>2.2235230986877372</v>
      </c>
      <c r="R36" s="46">
        <f t="shared" si="6"/>
        <v>1176099.4993601688</v>
      </c>
      <c r="S36" s="7"/>
      <c r="T36" s="256"/>
      <c r="U36" s="258"/>
    </row>
    <row r="37" spans="1:21" x14ac:dyDescent="0.25">
      <c r="A37" s="20">
        <v>38990</v>
      </c>
      <c r="B37" s="24">
        <f t="shared" si="7"/>
        <v>21</v>
      </c>
      <c r="C37" s="96" t="s">
        <v>77</v>
      </c>
      <c r="D37" s="27">
        <v>0</v>
      </c>
      <c r="E37" s="46">
        <f t="shared" si="3"/>
        <v>1239474.102594072</v>
      </c>
      <c r="F37" s="8"/>
      <c r="G37" s="49">
        <f>(E37/E34-1)*100</f>
        <v>5.9555420000000137</v>
      </c>
      <c r="H37" s="49"/>
      <c r="I37" s="258"/>
      <c r="J37" s="20">
        <f t="shared" si="2"/>
        <v>38990</v>
      </c>
      <c r="K37" s="27">
        <f>'Global (Gross)'!K37</f>
        <v>1.2016998299424586</v>
      </c>
      <c r="L37" s="46">
        <f t="shared" si="4"/>
        <v>1240529.3125263604</v>
      </c>
      <c r="M37" s="7"/>
      <c r="N37" s="49">
        <f>(L37/L34-1)*100</f>
        <v>4.6122957801832731</v>
      </c>
      <c r="O37" s="258"/>
      <c r="P37" s="20">
        <f t="shared" si="5"/>
        <v>38990</v>
      </c>
      <c r="Q37" s="45">
        <f>'Global (Gross)'!Q37</f>
        <v>1.2646267203695574</v>
      </c>
      <c r="R37" s="46">
        <f t="shared" si="6"/>
        <v>1190972.76788721</v>
      </c>
      <c r="S37" s="7"/>
      <c r="T37" s="49">
        <f>(R37/R34-1)*100</f>
        <v>5.4966143321633298</v>
      </c>
      <c r="U37" s="258"/>
    </row>
    <row r="38" spans="1:21" x14ac:dyDescent="0.25">
      <c r="A38" s="20">
        <v>39021</v>
      </c>
      <c r="B38" s="24">
        <f t="shared" si="7"/>
        <v>22</v>
      </c>
      <c r="C38" s="96" t="s">
        <v>77</v>
      </c>
      <c r="D38" s="27">
        <v>3.17</v>
      </c>
      <c r="E38" s="46">
        <f t="shared" si="3"/>
        <v>1278765.431646304</v>
      </c>
      <c r="F38" s="8"/>
      <c r="G38" s="256"/>
      <c r="H38" s="256"/>
      <c r="I38" s="258"/>
      <c r="J38" s="20">
        <f t="shared" si="2"/>
        <v>39021</v>
      </c>
      <c r="K38" s="27">
        <f>'Global (Gross)'!K38</f>
        <v>3.7716946673715785</v>
      </c>
      <c r="L38" s="46">
        <f t="shared" si="4"/>
        <v>1287318.2904540985</v>
      </c>
      <c r="M38" s="7"/>
      <c r="N38" s="256"/>
      <c r="O38" s="258"/>
      <c r="P38" s="20">
        <f t="shared" si="5"/>
        <v>39021</v>
      </c>
      <c r="Q38" s="45">
        <f>'Global (Gross)'!Q38</f>
        <v>3.4882515386572908</v>
      </c>
      <c r="R38" s="46">
        <f t="shared" si="6"/>
        <v>1232516.893788025</v>
      </c>
      <c r="S38" s="7"/>
      <c r="T38" s="256"/>
      <c r="U38" s="258"/>
    </row>
    <row r="39" spans="1:21" x14ac:dyDescent="0.25">
      <c r="A39" s="20">
        <v>39051</v>
      </c>
      <c r="B39" s="24">
        <f t="shared" si="7"/>
        <v>23</v>
      </c>
      <c r="C39" s="96" t="s">
        <v>77</v>
      </c>
      <c r="D39" s="27">
        <v>2.44</v>
      </c>
      <c r="E39" s="46">
        <f t="shared" si="3"/>
        <v>1309967.3081784737</v>
      </c>
      <c r="F39" s="8"/>
      <c r="G39" s="256"/>
      <c r="H39" s="256"/>
      <c r="I39" s="258"/>
      <c r="J39" s="20">
        <f t="shared" si="2"/>
        <v>39051</v>
      </c>
      <c r="K39" s="27">
        <f>'Global (Gross)'!K39</f>
        <v>2.8775939353664128</v>
      </c>
      <c r="L39" s="46">
        <f t="shared" si="4"/>
        <v>1324362.0835090682</v>
      </c>
      <c r="M39" s="7"/>
      <c r="N39" s="256"/>
      <c r="O39" s="258"/>
      <c r="P39" s="20">
        <f t="shared" si="5"/>
        <v>39051</v>
      </c>
      <c r="Q39" s="45">
        <f>'Global (Gross)'!Q39</f>
        <v>2.9881602914389749</v>
      </c>
      <c r="R39" s="46">
        <f t="shared" si="6"/>
        <v>1269346.4741934759</v>
      </c>
      <c r="S39" s="7"/>
      <c r="T39" s="256"/>
      <c r="U39" s="258"/>
    </row>
    <row r="40" spans="1:21" x14ac:dyDescent="0.25">
      <c r="A40" s="20">
        <v>39082</v>
      </c>
      <c r="B40" s="24">
        <f t="shared" si="7"/>
        <v>24</v>
      </c>
      <c r="C40" s="96" t="s">
        <v>77</v>
      </c>
      <c r="D40" s="27">
        <v>1.01</v>
      </c>
      <c r="E40" s="46">
        <f t="shared" si="3"/>
        <v>1323197.9779910764</v>
      </c>
      <c r="F40" s="11">
        <f>(E40-E28)/E28*100</f>
        <v>18.948387871352232</v>
      </c>
      <c r="G40" s="49">
        <f>(E40/E37-1)*100</f>
        <v>6.7547902147999883</v>
      </c>
      <c r="H40" s="49"/>
      <c r="I40" s="258"/>
      <c r="J40" s="20">
        <f t="shared" si="2"/>
        <v>39082</v>
      </c>
      <c r="K40" s="27">
        <f>'Global (Gross)'!K40</f>
        <v>2.2787232207426786</v>
      </c>
      <c r="L40" s="46">
        <f t="shared" si="4"/>
        <v>1354540.6298327008</v>
      </c>
      <c r="M40" s="19">
        <f>(L40-L28)/L28*100</f>
        <v>21.569610270807384</v>
      </c>
      <c r="N40" s="49">
        <f>(L40/L37-1)*100</f>
        <v>9.1905379546537436</v>
      </c>
      <c r="O40" s="258"/>
      <c r="P40" s="20">
        <f t="shared" si="5"/>
        <v>39082</v>
      </c>
      <c r="Q40" s="45">
        <f>'Global (Gross)'!Q40</f>
        <v>2.5203172946825729</v>
      </c>
      <c r="R40" s="46">
        <f t="shared" si="6"/>
        <v>1301338.0329120175</v>
      </c>
      <c r="S40" s="19">
        <f>(R40-R28)/R28*100</f>
        <v>22.207581379659313</v>
      </c>
      <c r="T40" s="49">
        <f>(R40/R37-1)*100</f>
        <v>9.2668168408750482</v>
      </c>
      <c r="U40" s="258"/>
    </row>
    <row r="41" spans="1:21" x14ac:dyDescent="0.25">
      <c r="A41" s="20">
        <v>39113</v>
      </c>
      <c r="B41" s="24">
        <f t="shared" si="7"/>
        <v>25</v>
      </c>
      <c r="C41" s="96" t="s">
        <v>77</v>
      </c>
      <c r="D41" s="27">
        <v>1.53</v>
      </c>
      <c r="E41" s="46">
        <f t="shared" si="3"/>
        <v>1343442.90705434</v>
      </c>
      <c r="F41" s="10"/>
      <c r="G41" s="256"/>
      <c r="H41" s="256"/>
      <c r="I41" s="258"/>
      <c r="J41" s="20">
        <f t="shared" si="2"/>
        <v>39113</v>
      </c>
      <c r="K41" s="27">
        <f>'Global (Gross)'!K41</f>
        <v>1.0069956997243739</v>
      </c>
      <c r="L41" s="46">
        <f t="shared" si="4"/>
        <v>1368180.7957261356</v>
      </c>
      <c r="M41" s="15"/>
      <c r="N41" s="256"/>
      <c r="O41" s="258"/>
      <c r="P41" s="20">
        <f t="shared" si="5"/>
        <v>39113</v>
      </c>
      <c r="Q41" s="45">
        <f>'Global (Gross)'!Q41</f>
        <v>1.2162406948961137</v>
      </c>
      <c r="R41" s="46">
        <f t="shared" si="6"/>
        <v>1317165.4356464541</v>
      </c>
      <c r="S41" s="15"/>
      <c r="T41" s="256"/>
      <c r="U41" s="258"/>
    </row>
    <row r="42" spans="1:21" x14ac:dyDescent="0.25">
      <c r="A42" s="20">
        <v>39141</v>
      </c>
      <c r="B42" s="24">
        <f t="shared" si="7"/>
        <v>26</v>
      </c>
      <c r="C42" s="96" t="s">
        <v>77</v>
      </c>
      <c r="D42" s="27">
        <v>-0.32</v>
      </c>
      <c r="E42" s="46">
        <f t="shared" si="3"/>
        <v>1339143.8897517661</v>
      </c>
      <c r="F42" s="8"/>
      <c r="G42" s="256"/>
      <c r="H42" s="256"/>
      <c r="I42" s="258"/>
      <c r="J42" s="20">
        <f t="shared" si="2"/>
        <v>39141</v>
      </c>
      <c r="K42" s="27">
        <f>'Global (Gross)'!K42</f>
        <v>-0.4844906477377996</v>
      </c>
      <c r="L42" s="46">
        <f t="shared" si="4"/>
        <v>1361552.0877266978</v>
      </c>
      <c r="M42" s="7"/>
      <c r="N42" s="256"/>
      <c r="O42" s="258"/>
      <c r="P42" s="20">
        <f t="shared" si="5"/>
        <v>39141</v>
      </c>
      <c r="Q42" s="45">
        <f>'Global (Gross)'!Q42</f>
        <v>1.9600991980639179E-2</v>
      </c>
      <c r="R42" s="46">
        <f t="shared" si="6"/>
        <v>1317423.6131378668</v>
      </c>
      <c r="S42" s="7"/>
      <c r="T42" s="256"/>
      <c r="U42" s="258"/>
    </row>
    <row r="43" spans="1:21" x14ac:dyDescent="0.25">
      <c r="A43" s="20">
        <v>39172</v>
      </c>
      <c r="B43" s="24">
        <f t="shared" si="7"/>
        <v>27</v>
      </c>
      <c r="C43" s="96" t="s">
        <v>77</v>
      </c>
      <c r="D43" s="27">
        <v>2.09</v>
      </c>
      <c r="E43" s="46">
        <f t="shared" si="3"/>
        <v>1367131.997047578</v>
      </c>
      <c r="F43" s="8"/>
      <c r="G43" s="49">
        <f>(E43/E40-1)*100</f>
        <v>3.3202906736000015</v>
      </c>
      <c r="H43" s="49"/>
      <c r="I43" s="258"/>
      <c r="J43" s="20">
        <f t="shared" si="2"/>
        <v>39172</v>
      </c>
      <c r="K43" s="27">
        <f>'Global (Gross)'!K43</f>
        <v>2.0520985635103481</v>
      </c>
      <c r="L43" s="46">
        <f t="shared" si="4"/>
        <v>1389492.4785603825</v>
      </c>
      <c r="M43" s="7"/>
      <c r="N43" s="49">
        <f>(L43/L40-1)*100</f>
        <v>2.5803470163902498</v>
      </c>
      <c r="O43" s="258"/>
      <c r="P43" s="20">
        <f t="shared" si="5"/>
        <v>39172</v>
      </c>
      <c r="Q43" s="45">
        <f>'Global (Gross)'!Q43</f>
        <v>1.269554548243061</v>
      </c>
      <c r="R43" s="46">
        <f t="shared" si="6"/>
        <v>1334149.0245380867</v>
      </c>
      <c r="S43" s="7"/>
      <c r="T43" s="49">
        <f>(R43/R40-1)*100</f>
        <v>2.5213273412633352</v>
      </c>
      <c r="U43" s="258"/>
    </row>
    <row r="44" spans="1:21" x14ac:dyDescent="0.25">
      <c r="A44" s="20">
        <v>39202</v>
      </c>
      <c r="B44" s="24">
        <f t="shared" si="7"/>
        <v>28</v>
      </c>
      <c r="C44" s="96" t="s">
        <v>77</v>
      </c>
      <c r="D44" s="27">
        <v>3.72</v>
      </c>
      <c r="E44" s="46">
        <f t="shared" si="3"/>
        <v>1417989.3073377479</v>
      </c>
      <c r="F44" s="8"/>
      <c r="G44" s="256"/>
      <c r="H44" s="256"/>
      <c r="I44" s="258"/>
      <c r="J44" s="20">
        <f t="shared" si="2"/>
        <v>39202</v>
      </c>
      <c r="K44" s="27">
        <f>'Global (Gross)'!K44</f>
        <v>4.4809459440317463</v>
      </c>
      <c r="L44" s="46">
        <f t="shared" si="4"/>
        <v>1451754.88542106</v>
      </c>
      <c r="M44" s="7"/>
      <c r="N44" s="256"/>
      <c r="O44" s="258"/>
      <c r="P44" s="20">
        <f t="shared" si="5"/>
        <v>39202</v>
      </c>
      <c r="Q44" s="45">
        <f>'Global (Gross)'!Q44</f>
        <v>2.5459807831457075</v>
      </c>
      <c r="R44" s="46">
        <f t="shared" si="6"/>
        <v>1368116.2023213524</v>
      </c>
      <c r="S44" s="7"/>
      <c r="T44" s="256"/>
      <c r="U44" s="258"/>
    </row>
    <row r="45" spans="1:21" x14ac:dyDescent="0.25">
      <c r="A45" s="20">
        <v>39233</v>
      </c>
      <c r="B45" s="24">
        <f t="shared" si="7"/>
        <v>29</v>
      </c>
      <c r="C45" s="96" t="s">
        <v>77</v>
      </c>
      <c r="D45" s="27">
        <v>2.74</v>
      </c>
      <c r="E45" s="46">
        <f t="shared" si="3"/>
        <v>1456842.2143588022</v>
      </c>
      <c r="F45" s="8"/>
      <c r="G45" s="256"/>
      <c r="H45" s="256"/>
      <c r="I45" s="258"/>
      <c r="J45" s="20">
        <f t="shared" si="2"/>
        <v>39233</v>
      </c>
      <c r="K45" s="27">
        <f>'Global (Gross)'!K45</f>
        <v>3.0758500174190617</v>
      </c>
      <c r="L45" s="46">
        <f t="shared" si="4"/>
        <v>1496408.6883171657</v>
      </c>
      <c r="M45" s="7"/>
      <c r="N45" s="256"/>
      <c r="O45" s="258"/>
      <c r="P45" s="20">
        <f t="shared" si="5"/>
        <v>39233</v>
      </c>
      <c r="Q45" s="45">
        <f>'Global (Gross)'!Q45</f>
        <v>1.2011814899901625</v>
      </c>
      <c r="R45" s="46">
        <f t="shared" si="6"/>
        <v>1384549.7609051929</v>
      </c>
      <c r="S45" s="7"/>
      <c r="T45" s="256"/>
      <c r="U45" s="258"/>
    </row>
    <row r="46" spans="1:21" x14ac:dyDescent="0.25">
      <c r="A46" s="20">
        <v>39263</v>
      </c>
      <c r="B46" s="24">
        <f t="shared" si="7"/>
        <v>30</v>
      </c>
      <c r="C46" s="96" t="s">
        <v>77</v>
      </c>
      <c r="D46" s="27">
        <v>-1.35</v>
      </c>
      <c r="E46" s="46">
        <f t="shared" si="3"/>
        <v>1437174.8444649584</v>
      </c>
      <c r="F46" s="8"/>
      <c r="G46" s="49">
        <f>(E46/E43-1)*100</f>
        <v>5.1233419719999951</v>
      </c>
      <c r="H46" s="49"/>
      <c r="I46" s="258"/>
      <c r="J46" s="20">
        <f t="shared" si="2"/>
        <v>39263</v>
      </c>
      <c r="K46" s="27">
        <f>'Global (Gross)'!K46</f>
        <v>-0.25641314718072444</v>
      </c>
      <c r="L46" s="46">
        <f t="shared" si="4"/>
        <v>1492571.6997047658</v>
      </c>
      <c r="M46" s="7"/>
      <c r="N46" s="49">
        <f>(L46/L43-1)*100</f>
        <v>7.4184799655181433</v>
      </c>
      <c r="O46" s="258"/>
      <c r="P46" s="20">
        <f t="shared" si="5"/>
        <v>39263</v>
      </c>
      <c r="Q46" s="45">
        <f>'Global (Gross)'!Q46</f>
        <v>-2.1030613568556276</v>
      </c>
      <c r="R46" s="46">
        <f t="shared" si="6"/>
        <v>1355431.8299171589</v>
      </c>
      <c r="S46" s="7"/>
      <c r="T46" s="49">
        <f>(R46/R43-1)*100</f>
        <v>1.5952344893735315</v>
      </c>
      <c r="U46" s="258"/>
    </row>
    <row r="47" spans="1:21" x14ac:dyDescent="0.25">
      <c r="A47" s="20">
        <v>39294</v>
      </c>
      <c r="B47" s="24">
        <f t="shared" si="7"/>
        <v>31</v>
      </c>
      <c r="C47" s="96" t="s">
        <v>77</v>
      </c>
      <c r="D47" s="27">
        <v>-2.5499999999999998</v>
      </c>
      <c r="E47" s="46">
        <f t="shared" si="3"/>
        <v>1400526.8859311021</v>
      </c>
      <c r="F47" s="8"/>
      <c r="G47" s="256"/>
      <c r="H47" s="256"/>
      <c r="I47" s="258"/>
      <c r="J47" s="20">
        <f t="shared" si="2"/>
        <v>39294</v>
      </c>
      <c r="K47" s="27">
        <f>'Global (Gross)'!K47</f>
        <v>-1.5107855222863096</v>
      </c>
      <c r="L47" s="46">
        <f t="shared" si="4"/>
        <v>1470022.1425558836</v>
      </c>
      <c r="M47" s="7"/>
      <c r="N47" s="256"/>
      <c r="O47" s="258"/>
      <c r="P47" s="20">
        <f t="shared" si="5"/>
        <v>39294</v>
      </c>
      <c r="Q47" s="45">
        <f>'Global (Gross)'!Q47</f>
        <v>-2.2277432712215397</v>
      </c>
      <c r="R47" s="46">
        <f t="shared" si="6"/>
        <v>1325236.2885301844</v>
      </c>
      <c r="S47" s="7"/>
      <c r="T47" s="256"/>
      <c r="U47" s="258"/>
    </row>
    <row r="48" spans="1:21" x14ac:dyDescent="0.25">
      <c r="A48" s="20">
        <v>39325</v>
      </c>
      <c r="B48" s="24">
        <f t="shared" si="7"/>
        <v>32</v>
      </c>
      <c r="C48" s="96" t="s">
        <v>77</v>
      </c>
      <c r="D48" s="27">
        <v>1.21</v>
      </c>
      <c r="E48" s="46">
        <f t="shared" si="3"/>
        <v>1417473.2612508684</v>
      </c>
      <c r="F48" s="8"/>
      <c r="G48" s="256"/>
      <c r="H48" s="256"/>
      <c r="I48" s="258"/>
      <c r="J48" s="20">
        <f t="shared" ref="J48:J79" si="8">A48</f>
        <v>39325</v>
      </c>
      <c r="K48" s="27">
        <f>'Global (Gross)'!K48</f>
        <v>-0.22543895324024771</v>
      </c>
      <c r="L48" s="46">
        <f t="shared" si="4"/>
        <v>1466708.1400253058</v>
      </c>
      <c r="M48" s="7"/>
      <c r="N48" s="256"/>
      <c r="O48" s="258"/>
      <c r="P48" s="20">
        <f t="shared" si="5"/>
        <v>39325</v>
      </c>
      <c r="Q48" s="45">
        <f>'Global (Gross)'!Q48</f>
        <v>0.91478909029308675</v>
      </c>
      <c r="R48" s="46">
        <f t="shared" si="6"/>
        <v>1337359.4055182636</v>
      </c>
      <c r="S48" s="7"/>
      <c r="T48" s="256"/>
      <c r="U48" s="258"/>
    </row>
    <row r="49" spans="1:21" x14ac:dyDescent="0.25">
      <c r="A49" s="20">
        <v>39355</v>
      </c>
      <c r="B49" s="24">
        <f t="shared" si="7"/>
        <v>33</v>
      </c>
      <c r="C49" s="96" t="s">
        <v>77</v>
      </c>
      <c r="D49" s="27">
        <v>3.24</v>
      </c>
      <c r="E49" s="46">
        <f t="shared" si="3"/>
        <v>1463399.3949153966</v>
      </c>
      <c r="F49" s="8"/>
      <c r="G49" s="49">
        <f>(E49/E46-1)*100</f>
        <v>1.8247292980000163</v>
      </c>
      <c r="H49" s="49"/>
      <c r="I49" s="258"/>
      <c r="J49" s="20">
        <f t="shared" si="8"/>
        <v>39355</v>
      </c>
      <c r="K49" s="27">
        <f>'Global (Gross)'!K49</f>
        <v>5.4063211854655089</v>
      </c>
      <c r="L49" s="46">
        <f t="shared" si="4"/>
        <v>1546003.092928441</v>
      </c>
      <c r="M49" s="7"/>
      <c r="N49" s="49">
        <f>(L49/L46-1)*100</f>
        <v>3.5798208712013002</v>
      </c>
      <c r="O49" s="258"/>
      <c r="P49" s="20">
        <f t="shared" si="5"/>
        <v>39355</v>
      </c>
      <c r="Q49" s="45">
        <f>'Global (Gross)'!Q49</f>
        <v>3.5538022494544164</v>
      </c>
      <c r="R49" s="46">
        <f t="shared" si="6"/>
        <v>1384886.5141548619</v>
      </c>
      <c r="S49" s="7"/>
      <c r="T49" s="49">
        <f>(R49/R46-1)*100</f>
        <v>2.1730848861283736</v>
      </c>
      <c r="U49" s="258"/>
    </row>
    <row r="50" spans="1:21" x14ac:dyDescent="0.25">
      <c r="A50" s="20">
        <v>39386</v>
      </c>
      <c r="B50" s="24">
        <f t="shared" si="7"/>
        <v>34</v>
      </c>
      <c r="C50" s="96" t="s">
        <v>77</v>
      </c>
      <c r="D50" s="27">
        <v>2.37</v>
      </c>
      <c r="E50" s="46">
        <f t="shared" si="3"/>
        <v>1498081.9605748914</v>
      </c>
      <c r="F50" s="8"/>
      <c r="G50" s="256"/>
      <c r="H50" s="256"/>
      <c r="I50" s="258"/>
      <c r="J50" s="20">
        <f t="shared" si="8"/>
        <v>39386</v>
      </c>
      <c r="K50" s="27">
        <f>'Global (Gross)'!K50</f>
        <v>3.9223513920514463</v>
      </c>
      <c r="L50" s="46">
        <f t="shared" si="4"/>
        <v>1606642.7667650781</v>
      </c>
      <c r="M50" s="7"/>
      <c r="N50" s="256"/>
      <c r="O50" s="258"/>
      <c r="P50" s="20">
        <f t="shared" si="5"/>
        <v>39386</v>
      </c>
      <c r="Q50" s="45">
        <f>'Global (Gross)'!Q50</f>
        <v>2.4697261983886416</v>
      </c>
      <c r="R50" s="46">
        <f t="shared" si="6"/>
        <v>1419089.4192128957</v>
      </c>
      <c r="S50" s="7"/>
      <c r="T50" s="256"/>
      <c r="U50" s="258"/>
    </row>
    <row r="51" spans="1:21" x14ac:dyDescent="0.25">
      <c r="A51" s="20">
        <v>39416</v>
      </c>
      <c r="B51" s="24">
        <f t="shared" si="7"/>
        <v>35</v>
      </c>
      <c r="C51" s="96" t="s">
        <v>77</v>
      </c>
      <c r="D51" s="27">
        <v>-1.2</v>
      </c>
      <c r="E51" s="46">
        <f t="shared" si="3"/>
        <v>1480104.9770479926</v>
      </c>
      <c r="F51" s="8"/>
      <c r="G51" s="256"/>
      <c r="H51" s="256"/>
      <c r="I51" s="258"/>
      <c r="J51" s="20">
        <f t="shared" si="8"/>
        <v>39416</v>
      </c>
      <c r="K51" s="27">
        <f>'Global (Gross)'!K51</f>
        <v>-4.3203564912649153</v>
      </c>
      <c r="L51" s="46">
        <f t="shared" si="4"/>
        <v>1537230.0716997047</v>
      </c>
      <c r="M51" s="7"/>
      <c r="N51" s="256"/>
      <c r="O51" s="258"/>
      <c r="P51" s="20">
        <f t="shared" si="5"/>
        <v>39416</v>
      </c>
      <c r="Q51" s="45">
        <f>'Global (Gross)'!Q51</f>
        <v>-2.5604923232690866</v>
      </c>
      <c r="R51" s="46">
        <f t="shared" si="6"/>
        <v>1382753.7435736256</v>
      </c>
      <c r="S51" s="7"/>
      <c r="T51" s="256"/>
      <c r="U51" s="258"/>
    </row>
    <row r="52" spans="1:21" x14ac:dyDescent="0.25">
      <c r="A52" s="20">
        <v>39447</v>
      </c>
      <c r="B52" s="24">
        <f t="shared" si="7"/>
        <v>36</v>
      </c>
      <c r="C52" s="96" t="s">
        <v>77</v>
      </c>
      <c r="D52" s="27">
        <v>-1.35</v>
      </c>
      <c r="E52" s="46">
        <f t="shared" si="3"/>
        <v>1460123.5598578448</v>
      </c>
      <c r="F52" s="11">
        <f>(E52-E40)/E40*100</f>
        <v>10.348079738955878</v>
      </c>
      <c r="G52" s="49">
        <f>(E52/E49-1)*100</f>
        <v>-0.2238510600000021</v>
      </c>
      <c r="H52" s="49"/>
      <c r="I52" s="258"/>
      <c r="J52" s="20">
        <f t="shared" si="8"/>
        <v>39447</v>
      </c>
      <c r="K52" s="27">
        <f>'Global (Gross)'!K52</f>
        <v>-1.0547754809570833</v>
      </c>
      <c r="L52" s="46">
        <f t="shared" si="4"/>
        <v>1521015.7458175172</v>
      </c>
      <c r="M52" s="19">
        <f>(L52-L40)/L40*100</f>
        <v>12.290153009686957</v>
      </c>
      <c r="N52" s="49">
        <f>(L52/L49-1)*100</f>
        <v>-1.6162546650274057</v>
      </c>
      <c r="O52" s="258"/>
      <c r="P52" s="20">
        <f t="shared" si="5"/>
        <v>39447</v>
      </c>
      <c r="Q52" s="45">
        <f>'Global (Gross)'!Q52</f>
        <v>-1.4587933497856889</v>
      </c>
      <c r="R52" s="46">
        <f t="shared" si="6"/>
        <v>1362582.2239184608</v>
      </c>
      <c r="S52" s="19">
        <f>(R52-R40)/R40*100</f>
        <v>4.7062476818107335</v>
      </c>
      <c r="T52" s="49">
        <f>(R52/R49-1)*100</f>
        <v>-1.6105500348533974</v>
      </c>
      <c r="U52" s="258"/>
    </row>
    <row r="53" spans="1:21" x14ac:dyDescent="0.25">
      <c r="A53" s="20">
        <v>39478</v>
      </c>
      <c r="B53" s="24">
        <f t="shared" si="7"/>
        <v>37</v>
      </c>
      <c r="C53" s="96" t="s">
        <v>77</v>
      </c>
      <c r="D53" s="27">
        <v>-3.29</v>
      </c>
      <c r="E53" s="46">
        <f t="shared" si="3"/>
        <v>1412085.4947385218</v>
      </c>
      <c r="F53" s="10"/>
      <c r="G53" s="256"/>
      <c r="H53" s="256"/>
      <c r="I53" s="258"/>
      <c r="J53" s="20">
        <f t="shared" si="8"/>
        <v>39478</v>
      </c>
      <c r="K53" s="27">
        <f>'Global (Gross)'!K53</f>
        <v>-8.1778004128853237</v>
      </c>
      <c r="L53" s="46">
        <f t="shared" si="4"/>
        <v>1396630.1138760014</v>
      </c>
      <c r="M53" s="15"/>
      <c r="N53" s="256"/>
      <c r="O53" s="258"/>
      <c r="P53" s="20">
        <f t="shared" si="5"/>
        <v>39478</v>
      </c>
      <c r="Q53" s="45">
        <f>'Global (Gross)'!Q53</f>
        <v>-5.103511908194438</v>
      </c>
      <c r="R53" s="46">
        <f t="shared" si="6"/>
        <v>1293042.6778618416</v>
      </c>
      <c r="S53" s="15"/>
      <c r="T53" s="256"/>
      <c r="U53" s="258"/>
    </row>
    <row r="54" spans="1:21" x14ac:dyDescent="0.25">
      <c r="A54" s="20">
        <v>39507</v>
      </c>
      <c r="B54" s="24">
        <f t="shared" si="7"/>
        <v>38</v>
      </c>
      <c r="C54" s="96" t="s">
        <v>77</v>
      </c>
      <c r="D54" s="27">
        <v>-2.1</v>
      </c>
      <c r="E54" s="46">
        <f t="shared" si="3"/>
        <v>1382431.6993490127</v>
      </c>
      <c r="F54" s="8"/>
      <c r="G54" s="256"/>
      <c r="H54" s="256"/>
      <c r="I54" s="258"/>
      <c r="J54" s="20">
        <f t="shared" si="8"/>
        <v>39507</v>
      </c>
      <c r="K54" s="27">
        <f>'Global (Gross)'!K54</f>
        <v>0.32632121462862346</v>
      </c>
      <c r="L54" s="46">
        <f t="shared" si="4"/>
        <v>1401187.6142274707</v>
      </c>
      <c r="M54" s="7"/>
      <c r="N54" s="256"/>
      <c r="O54" s="258"/>
      <c r="P54" s="20">
        <f t="shared" si="5"/>
        <v>39507</v>
      </c>
      <c r="Q54" s="45">
        <f>'Global (Gross)'!Q54</f>
        <v>-0.11372317522051642</v>
      </c>
      <c r="R54" s="46">
        <f t="shared" si="6"/>
        <v>1291572.1886716208</v>
      </c>
      <c r="S54" s="7"/>
      <c r="T54" s="256"/>
      <c r="U54" s="258"/>
    </row>
    <row r="55" spans="1:21" x14ac:dyDescent="0.25">
      <c r="A55" s="20">
        <v>39538</v>
      </c>
      <c r="B55" s="24">
        <f t="shared" si="7"/>
        <v>39</v>
      </c>
      <c r="C55" s="96" t="s">
        <v>77</v>
      </c>
      <c r="D55" s="27">
        <v>0.33</v>
      </c>
      <c r="E55" s="46">
        <f t="shared" si="3"/>
        <v>1386993.7239568643</v>
      </c>
      <c r="F55" s="8"/>
      <c r="G55" s="49">
        <f>(E55/E52-1)*100</f>
        <v>-5.0084690030000161</v>
      </c>
      <c r="H55" s="49"/>
      <c r="I55" s="258"/>
      <c r="J55" s="20">
        <f t="shared" si="8"/>
        <v>39538</v>
      </c>
      <c r="K55" s="27">
        <f>'Global (Gross)'!K55</f>
        <v>-1.411984320705632</v>
      </c>
      <c r="L55" s="46">
        <f t="shared" si="4"/>
        <v>1381403.0648109096</v>
      </c>
      <c r="M55" s="7"/>
      <c r="N55" s="49">
        <f>(L55/L52-1)*100</f>
        <v>-9.1789109606862382</v>
      </c>
      <c r="O55" s="258"/>
      <c r="P55" s="20">
        <f t="shared" si="5"/>
        <v>39538</v>
      </c>
      <c r="Q55" s="45">
        <f>'Global (Gross)'!Q55</f>
        <v>-0.85519854685774666</v>
      </c>
      <c r="R55" s="46">
        <f t="shared" si="6"/>
        <v>1280526.6820824824</v>
      </c>
      <c r="S55" s="7"/>
      <c r="T55" s="49">
        <f>(R55/R52-1)*100</f>
        <v>-6.0220616705248258</v>
      </c>
      <c r="U55" s="258"/>
    </row>
    <row r="56" spans="1:21" x14ac:dyDescent="0.25">
      <c r="A56" s="20">
        <v>39568</v>
      </c>
      <c r="B56" s="24">
        <f t="shared" si="7"/>
        <v>40</v>
      </c>
      <c r="C56" s="96" t="s">
        <v>77</v>
      </c>
      <c r="D56" s="27">
        <v>2.74</v>
      </c>
      <c r="E56" s="46">
        <f t="shared" si="3"/>
        <v>1424997.3519932823</v>
      </c>
      <c r="F56" s="8"/>
      <c r="G56" s="256"/>
      <c r="H56" s="256"/>
      <c r="I56" s="258"/>
      <c r="J56" s="20">
        <f t="shared" si="8"/>
        <v>39568</v>
      </c>
      <c r="K56" s="27">
        <f>'Global (Gross)'!K56</f>
        <v>5.6487331466162924</v>
      </c>
      <c r="L56" s="46">
        <f t="shared" si="4"/>
        <v>1459434.8376212567</v>
      </c>
      <c r="M56" s="7"/>
      <c r="N56" s="256"/>
      <c r="O56" s="258"/>
      <c r="P56" s="20">
        <f t="shared" si="5"/>
        <v>39568</v>
      </c>
      <c r="Q56" s="45">
        <f>'Global (Gross)'!Q56</f>
        <v>2.1248805631284142</v>
      </c>
      <c r="R56" s="46">
        <f t="shared" si="6"/>
        <v>1307736.3446557263</v>
      </c>
      <c r="S56" s="7"/>
      <c r="T56" s="256"/>
      <c r="U56" s="258"/>
    </row>
    <row r="57" spans="1:21" x14ac:dyDescent="0.25">
      <c r="A57" s="20">
        <v>39599</v>
      </c>
      <c r="B57" s="24">
        <f t="shared" si="7"/>
        <v>41</v>
      </c>
      <c r="C57" s="96" t="s">
        <v>77</v>
      </c>
      <c r="D57" s="27">
        <v>1.05</v>
      </c>
      <c r="E57" s="46">
        <f t="shared" si="3"/>
        <v>1439959.8241892117</v>
      </c>
      <c r="F57" s="8"/>
      <c r="G57" s="256"/>
      <c r="H57" s="256"/>
      <c r="I57" s="258"/>
      <c r="J57" s="20">
        <f t="shared" si="8"/>
        <v>39599</v>
      </c>
      <c r="K57" s="27">
        <f>'Global (Gross)'!K57</f>
        <v>1.6884276598695995</v>
      </c>
      <c r="L57" s="46">
        <f t="shared" si="4"/>
        <v>1484076.339097427</v>
      </c>
      <c r="M57" s="7"/>
      <c r="N57" s="256"/>
      <c r="O57" s="258"/>
      <c r="P57" s="20">
        <f t="shared" si="5"/>
        <v>39599</v>
      </c>
      <c r="Q57" s="45">
        <f>'Global (Gross)'!Q57</f>
        <v>1.1261705908103894</v>
      </c>
      <c r="R57" s="46">
        <f t="shared" si="6"/>
        <v>1322463.6867745779</v>
      </c>
      <c r="S57" s="7"/>
      <c r="T57" s="256"/>
      <c r="U57" s="258"/>
    </row>
    <row r="58" spans="1:21" x14ac:dyDescent="0.25">
      <c r="A58" s="20">
        <v>39629</v>
      </c>
      <c r="B58" s="24">
        <f t="shared" si="7"/>
        <v>42</v>
      </c>
      <c r="C58" s="96" t="s">
        <v>77</v>
      </c>
      <c r="D58" s="27">
        <v>-7.49</v>
      </c>
      <c r="E58" s="46">
        <f t="shared" si="3"/>
        <v>1332106.8333574398</v>
      </c>
      <c r="F58" s="8"/>
      <c r="G58" s="49">
        <f>(E58/E55-1)*100</f>
        <v>-3.9572558730000096</v>
      </c>
      <c r="H58" s="49"/>
      <c r="I58" s="258"/>
      <c r="J58" s="20">
        <f t="shared" si="8"/>
        <v>39629</v>
      </c>
      <c r="K58" s="27">
        <f>'Global (Gross)'!K58</f>
        <v>-8.176210552341816</v>
      </c>
      <c r="L58" s="46">
        <f t="shared" si="4"/>
        <v>1362735.132855335</v>
      </c>
      <c r="M58" s="7"/>
      <c r="N58" s="49">
        <f>(L58/L55-1)*100</f>
        <v>-1.3513747313228852</v>
      </c>
      <c r="O58" s="258"/>
      <c r="P58" s="20">
        <f t="shared" si="5"/>
        <v>39629</v>
      </c>
      <c r="Q58" s="45">
        <f>'Global (Gross)'!Q58</f>
        <v>-5.9356777265666825</v>
      </c>
      <c r="R58" s="46">
        <f t="shared" si="6"/>
        <v>1243966.5042767667</v>
      </c>
      <c r="S58" s="7"/>
      <c r="T58" s="49">
        <f>(R58/R55-1)*100</f>
        <v>-2.8550891064807016</v>
      </c>
      <c r="U58" s="258"/>
    </row>
    <row r="59" spans="1:21" x14ac:dyDescent="0.25">
      <c r="A59" s="20">
        <v>39660</v>
      </c>
      <c r="B59" s="24">
        <f t="shared" si="7"/>
        <v>43</v>
      </c>
      <c r="C59" s="96" t="s">
        <v>77</v>
      </c>
      <c r="D59" s="27">
        <v>2.69</v>
      </c>
      <c r="E59" s="46">
        <f t="shared" si="3"/>
        <v>1367940.507174755</v>
      </c>
      <c r="F59" s="8"/>
      <c r="G59" s="256"/>
      <c r="H59" s="256"/>
      <c r="I59" s="258"/>
      <c r="J59" s="20">
        <f t="shared" si="8"/>
        <v>39660</v>
      </c>
      <c r="K59" s="27">
        <f>'Global (Gross)'!K59</f>
        <v>-2.5668682010515576</v>
      </c>
      <c r="L59" s="46">
        <f t="shared" si="4"/>
        <v>1327755.5180655138</v>
      </c>
      <c r="M59" s="7"/>
      <c r="N59" s="256"/>
      <c r="O59" s="258"/>
      <c r="P59" s="20">
        <f t="shared" si="5"/>
        <v>39660</v>
      </c>
      <c r="Q59" s="45">
        <f>'Global (Gross)'!Q59</f>
        <v>-0.37267641219997372</v>
      </c>
      <c r="R59" s="46">
        <f t="shared" si="6"/>
        <v>1239330.5345396586</v>
      </c>
      <c r="S59" s="7"/>
      <c r="T59" s="256"/>
      <c r="U59" s="258"/>
    </row>
    <row r="60" spans="1:21" x14ac:dyDescent="0.25">
      <c r="A60" s="20">
        <v>39691</v>
      </c>
      <c r="B60" s="24">
        <f t="shared" si="7"/>
        <v>44</v>
      </c>
      <c r="C60" s="96" t="s">
        <v>77</v>
      </c>
      <c r="D60" s="27">
        <v>1.96</v>
      </c>
      <c r="E60" s="46">
        <f t="shared" si="3"/>
        <v>1394752.1411153802</v>
      </c>
      <c r="F60" s="8"/>
      <c r="G60" s="256"/>
      <c r="H60" s="256"/>
      <c r="I60" s="258"/>
      <c r="J60" s="20">
        <f t="shared" si="8"/>
        <v>39691</v>
      </c>
      <c r="K60" s="27">
        <f>'Global (Gross)'!K60</f>
        <v>-2.1051266236602451</v>
      </c>
      <c r="L60" s="46">
        <f t="shared" si="4"/>
        <v>1299804.5831575987</v>
      </c>
      <c r="M60" s="7"/>
      <c r="N60" s="256"/>
      <c r="O60" s="258"/>
      <c r="P60" s="20">
        <f t="shared" si="5"/>
        <v>39691</v>
      </c>
      <c r="Q60" s="45">
        <f>'Global (Gross)'!Q60</f>
        <v>-0.3496155135090982</v>
      </c>
      <c r="R60" s="46">
        <f t="shared" si="6"/>
        <v>1234997.6427272528</v>
      </c>
      <c r="S60" s="7"/>
      <c r="T60" s="256"/>
      <c r="U60" s="258"/>
    </row>
    <row r="61" spans="1:21" x14ac:dyDescent="0.25">
      <c r="A61" s="20">
        <v>39721</v>
      </c>
      <c r="B61" s="24">
        <f t="shared" si="7"/>
        <v>45</v>
      </c>
      <c r="C61" s="96" t="s">
        <v>77</v>
      </c>
      <c r="D61" s="27">
        <v>-3.51</v>
      </c>
      <c r="E61" s="46">
        <f t="shared" si="3"/>
        <v>1345796.3409622305</v>
      </c>
      <c r="F61" s="8"/>
      <c r="G61" s="49">
        <f>(E61/E58-1)*100</f>
        <v>1.0276583876000167</v>
      </c>
      <c r="H61" s="49"/>
      <c r="I61" s="258"/>
      <c r="J61" s="20">
        <f t="shared" si="8"/>
        <v>39721</v>
      </c>
      <c r="K61" s="27">
        <f>'Global (Gross)'!K61</f>
        <v>-12.454153421498649</v>
      </c>
      <c r="L61" s="46">
        <f t="shared" si="4"/>
        <v>1137924.9261914804</v>
      </c>
      <c r="M61" s="7"/>
      <c r="N61" s="49">
        <f>(L61/L58-1)*100</f>
        <v>-16.496984721661246</v>
      </c>
      <c r="O61" s="258"/>
      <c r="P61" s="20">
        <f t="shared" si="5"/>
        <v>39721</v>
      </c>
      <c r="Q61" s="45">
        <f>'Global (Gross)'!Q61</f>
        <v>-6.2524427154815863</v>
      </c>
      <c r="R61" s="46">
        <f t="shared" si="6"/>
        <v>1157780.1225781834</v>
      </c>
      <c r="S61" s="7"/>
      <c r="T61" s="49">
        <f>(R61/R58-1)*100</f>
        <v>-6.9283522829813986</v>
      </c>
      <c r="U61" s="258"/>
    </row>
    <row r="62" spans="1:21" x14ac:dyDescent="0.25">
      <c r="A62" s="20">
        <v>39752</v>
      </c>
      <c r="B62" s="24">
        <f t="shared" si="7"/>
        <v>46</v>
      </c>
      <c r="C62" s="96" t="s">
        <v>77</v>
      </c>
      <c r="D62" s="27">
        <v>-10.61</v>
      </c>
      <c r="E62" s="46">
        <f t="shared" si="3"/>
        <v>1203007.3491861378</v>
      </c>
      <c r="F62" s="8"/>
      <c r="G62" s="256"/>
      <c r="H62" s="256"/>
      <c r="I62" s="258"/>
      <c r="J62" s="20">
        <f t="shared" si="8"/>
        <v>39752</v>
      </c>
      <c r="K62" s="27">
        <f>'Global (Gross)'!K62</f>
        <v>-19.79142729359555</v>
      </c>
      <c r="L62" s="46">
        <f t="shared" si="4"/>
        <v>912713.34176859271</v>
      </c>
      <c r="M62" s="7"/>
      <c r="N62" s="256"/>
      <c r="O62" s="258"/>
      <c r="P62" s="20">
        <f t="shared" si="5"/>
        <v>39752</v>
      </c>
      <c r="Q62" s="45">
        <f>'Global (Gross)'!Q62</f>
        <v>-14.40247425878886</v>
      </c>
      <c r="R62" s="46">
        <f t="shared" si="6"/>
        <v>991031.13845048647</v>
      </c>
      <c r="S62" s="7"/>
      <c r="T62" s="256"/>
      <c r="U62" s="258"/>
    </row>
    <row r="63" spans="1:21" x14ac:dyDescent="0.25">
      <c r="A63" s="20">
        <v>39782</v>
      </c>
      <c r="B63" s="24">
        <f t="shared" si="7"/>
        <v>47</v>
      </c>
      <c r="C63" s="96" t="s">
        <v>77</v>
      </c>
      <c r="D63" s="27">
        <v>-5.26</v>
      </c>
      <c r="E63" s="46">
        <f t="shared" si="3"/>
        <v>1139729.162618947</v>
      </c>
      <c r="F63" s="8"/>
      <c r="G63" s="256"/>
      <c r="H63" s="256"/>
      <c r="I63" s="258"/>
      <c r="J63" s="20">
        <f t="shared" si="8"/>
        <v>39782</v>
      </c>
      <c r="K63" s="27">
        <f>'Global (Gross)'!K63</f>
        <v>-6.4962885832538788</v>
      </c>
      <c r="L63" s="46">
        <f t="shared" si="4"/>
        <v>853420.84914944461</v>
      </c>
      <c r="M63" s="7"/>
      <c r="N63" s="256"/>
      <c r="O63" s="258"/>
      <c r="P63" s="20">
        <f t="shared" si="5"/>
        <v>39782</v>
      </c>
      <c r="Q63" s="45">
        <f>'Global (Gross)'!Q63</f>
        <v>-2.8328066419744684</v>
      </c>
      <c r="R63" s="46">
        <f t="shared" si="6"/>
        <v>962957.14253642585</v>
      </c>
      <c r="S63" s="7"/>
      <c r="T63" s="256"/>
      <c r="U63" s="258"/>
    </row>
    <row r="64" spans="1:21" x14ac:dyDescent="0.25">
      <c r="A64" s="20">
        <v>39813</v>
      </c>
      <c r="B64" s="24">
        <f t="shared" si="7"/>
        <v>48</v>
      </c>
      <c r="C64" s="96" t="s">
        <v>77</v>
      </c>
      <c r="D64" s="27">
        <v>-0.42</v>
      </c>
      <c r="E64" s="46">
        <f t="shared" si="3"/>
        <v>1134942.3001359473</v>
      </c>
      <c r="F64" s="11">
        <f>(E64-E52)/E52*100</f>
        <v>-22.270804243002328</v>
      </c>
      <c r="G64" s="49">
        <f>(E64/E61-1)*100</f>
        <v>-15.667603961200005</v>
      </c>
      <c r="H64" s="49"/>
      <c r="I64" s="258"/>
      <c r="J64" s="20">
        <f t="shared" si="8"/>
        <v>39813</v>
      </c>
      <c r="K64" s="27">
        <f>'Global (Gross)'!K64</f>
        <v>3.6902534560219213</v>
      </c>
      <c r="L64" s="46">
        <f t="shared" si="4"/>
        <v>884914.24152959359</v>
      </c>
      <c r="M64" s="19">
        <f>(L64-L52)/L52*100</f>
        <v>-41.820836242956254</v>
      </c>
      <c r="N64" s="49">
        <f>(L64/L61-1)*100</f>
        <v>-22.23439164028931</v>
      </c>
      <c r="O64" s="258"/>
      <c r="P64" s="20">
        <f t="shared" si="5"/>
        <v>39813</v>
      </c>
      <c r="Q64" s="45">
        <f>'Global (Gross)'!Q64</f>
        <v>2.6775930804560217</v>
      </c>
      <c r="R64" s="46">
        <f t="shared" si="6"/>
        <v>988741.21635273821</v>
      </c>
      <c r="S64" s="19">
        <f>(R64-R52)/R52*100</f>
        <v>-27.436216398790613</v>
      </c>
      <c r="T64" s="49">
        <f>(R64/R61-1)*100</f>
        <v>-14.600259835954322</v>
      </c>
      <c r="U64" s="258"/>
    </row>
    <row r="65" spans="1:21" x14ac:dyDescent="0.25">
      <c r="A65" s="20">
        <v>39844</v>
      </c>
      <c r="B65" s="24">
        <f t="shared" si="7"/>
        <v>49</v>
      </c>
      <c r="C65" s="96" t="s">
        <v>77</v>
      </c>
      <c r="D65" s="27">
        <v>-3.78</v>
      </c>
      <c r="E65" s="46">
        <f t="shared" si="3"/>
        <v>1092041.4811908086</v>
      </c>
      <c r="F65" s="10"/>
      <c r="G65" s="256"/>
      <c r="H65" s="256"/>
      <c r="I65" s="258"/>
      <c r="J65" s="20">
        <f t="shared" si="8"/>
        <v>39844</v>
      </c>
      <c r="K65" s="27">
        <f>'Global (Gross)'!K65</f>
        <v>-8.5254817976946189</v>
      </c>
      <c r="L65" s="46">
        <f t="shared" si="4"/>
        <v>809471.03894278069</v>
      </c>
      <c r="M65" s="15"/>
      <c r="N65" s="256"/>
      <c r="O65" s="258"/>
      <c r="P65" s="20">
        <f t="shared" si="5"/>
        <v>39844</v>
      </c>
      <c r="Q65" s="45">
        <f>'Global (Gross)'!Q65</f>
        <v>-6.8866864207622447</v>
      </c>
      <c r="R65" s="46">
        <f t="shared" si="6"/>
        <v>920649.70926969475</v>
      </c>
      <c r="S65" s="15"/>
      <c r="T65" s="256"/>
      <c r="U65" s="258"/>
    </row>
    <row r="66" spans="1:21" x14ac:dyDescent="0.25">
      <c r="A66" s="20">
        <v>39872</v>
      </c>
      <c r="B66" s="24">
        <f t="shared" si="7"/>
        <v>50</v>
      </c>
      <c r="C66" s="96" t="s">
        <v>77</v>
      </c>
      <c r="D66" s="27">
        <v>-10.130000000000001</v>
      </c>
      <c r="E66" s="46">
        <f t="shared" si="3"/>
        <v>981417.6791461797</v>
      </c>
      <c r="F66" s="8"/>
      <c r="G66" s="256"/>
      <c r="H66" s="256"/>
      <c r="I66" s="258"/>
      <c r="J66" s="20">
        <f t="shared" si="8"/>
        <v>39872</v>
      </c>
      <c r="K66" s="27">
        <f>'Global (Gross)'!K66</f>
        <v>-9.7234301315570697</v>
      </c>
      <c r="L66" s="46">
        <f t="shared" si="4"/>
        <v>730762.68803599034</v>
      </c>
      <c r="M66" s="7"/>
      <c r="N66" s="256"/>
      <c r="O66" s="258"/>
      <c r="P66" s="20">
        <f t="shared" si="5"/>
        <v>39872</v>
      </c>
      <c r="Q66" s="45">
        <f>'Global (Gross)'!Q66</f>
        <v>-9.1919967811551242</v>
      </c>
      <c r="R66" s="46">
        <f t="shared" si="6"/>
        <v>836023.61762791034</v>
      </c>
      <c r="S66" s="7"/>
      <c r="T66" s="256"/>
      <c r="U66" s="258"/>
    </row>
    <row r="67" spans="1:21" x14ac:dyDescent="0.25">
      <c r="A67" s="20">
        <v>39903</v>
      </c>
      <c r="B67" s="24">
        <f t="shared" si="7"/>
        <v>51</v>
      </c>
      <c r="C67" s="96" t="s">
        <v>77</v>
      </c>
      <c r="D67" s="27">
        <v>3.32</v>
      </c>
      <c r="E67" s="46">
        <f t="shared" si="3"/>
        <v>1014000.7460938329</v>
      </c>
      <c r="F67" s="8"/>
      <c r="G67" s="49">
        <f>(E67/E64-1)*100</f>
        <v>-10.65618525519999</v>
      </c>
      <c r="H67" s="49"/>
      <c r="I67" s="258"/>
      <c r="J67" s="20">
        <f t="shared" si="8"/>
        <v>39903</v>
      </c>
      <c r="K67" s="27">
        <f>'Global (Gross)'!K67</f>
        <v>8.3095818227116141</v>
      </c>
      <c r="L67" s="46">
        <f t="shared" si="4"/>
        <v>791486.01152818778</v>
      </c>
      <c r="M67" s="7"/>
      <c r="N67" s="49">
        <f>(L67/L64-1)*100</f>
        <v>-10.557885229636844</v>
      </c>
      <c r="O67" s="258"/>
      <c r="P67" s="20">
        <f t="shared" si="5"/>
        <v>39903</v>
      </c>
      <c r="Q67" s="45">
        <f>'Global (Gross)'!Q67</f>
        <v>3.3566959370552381</v>
      </c>
      <c r="R67" s="46">
        <f t="shared" si="6"/>
        <v>864086.38843364862</v>
      </c>
      <c r="S67" s="7"/>
      <c r="T67" s="49">
        <f>(R67/R64-1)*100</f>
        <v>-12.607427085816802</v>
      </c>
      <c r="U67" s="258"/>
    </row>
    <row r="68" spans="1:21" x14ac:dyDescent="0.25">
      <c r="A68" s="20">
        <v>39933</v>
      </c>
      <c r="B68" s="24">
        <f t="shared" si="7"/>
        <v>52</v>
      </c>
      <c r="C68" s="96" t="s">
        <v>77</v>
      </c>
      <c r="D68" s="27">
        <v>5.3</v>
      </c>
      <c r="E68" s="46">
        <f t="shared" si="3"/>
        <v>1067742.7856368059</v>
      </c>
      <c r="F68" s="8"/>
      <c r="G68" s="256"/>
      <c r="H68" s="256"/>
      <c r="I68" s="258"/>
      <c r="J68" s="20">
        <f t="shared" si="8"/>
        <v>39933</v>
      </c>
      <c r="K68" s="27">
        <f>'Global (Gross)'!K68</f>
        <v>11.89176779446662</v>
      </c>
      <c r="L68" s="46">
        <f t="shared" si="4"/>
        <v>885607.69014480524</v>
      </c>
      <c r="M68" s="7"/>
      <c r="N68" s="256"/>
      <c r="O68" s="258"/>
      <c r="P68" s="20">
        <f t="shared" si="5"/>
        <v>39933</v>
      </c>
      <c r="Q68" s="45">
        <f>'Global (Gross)'!Q68</f>
        <v>5.4587024864246905</v>
      </c>
      <c r="R68" s="46">
        <f t="shared" si="6"/>
        <v>911254.29360393353</v>
      </c>
      <c r="S68" s="7"/>
      <c r="T68" s="256"/>
      <c r="U68" s="258"/>
    </row>
    <row r="69" spans="1:21" x14ac:dyDescent="0.25">
      <c r="A69" s="20">
        <v>39964</v>
      </c>
      <c r="B69" s="24">
        <f t="shared" si="7"/>
        <v>53</v>
      </c>
      <c r="C69" s="96" t="s">
        <v>77</v>
      </c>
      <c r="D69" s="27">
        <v>4.7300000000000004</v>
      </c>
      <c r="E69" s="46">
        <f t="shared" si="3"/>
        <v>1118247.0193974269</v>
      </c>
      <c r="F69" s="8"/>
      <c r="G69" s="256"/>
      <c r="H69" s="256"/>
      <c r="I69" s="258"/>
      <c r="J69" s="20">
        <f t="shared" si="8"/>
        <v>39964</v>
      </c>
      <c r="K69" s="27">
        <f>'Global (Gross)'!K69</f>
        <v>10.086235395762488</v>
      </c>
      <c r="L69" s="46">
        <f t="shared" si="4"/>
        <v>974932.16645578516</v>
      </c>
      <c r="M69" s="7"/>
      <c r="N69" s="256"/>
      <c r="O69" s="258"/>
      <c r="P69" s="20">
        <f t="shared" si="5"/>
        <v>39964</v>
      </c>
      <c r="Q69" s="45">
        <f>'Global (Gross)'!Q69</f>
        <v>6.6531165311653107</v>
      </c>
      <c r="R69" s="46">
        <f t="shared" si="6"/>
        <v>971881.10365265049</v>
      </c>
      <c r="S69" s="7"/>
      <c r="T69" s="256"/>
      <c r="U69" s="258"/>
    </row>
    <row r="70" spans="1:21" x14ac:dyDescent="0.25">
      <c r="A70" s="20">
        <v>39994</v>
      </c>
      <c r="B70" s="24">
        <f t="shared" si="7"/>
        <v>54</v>
      </c>
      <c r="C70" s="96" t="s">
        <v>77</v>
      </c>
      <c r="D70" s="27">
        <v>1.28</v>
      </c>
      <c r="E70" s="46">
        <f t="shared" si="3"/>
        <v>1132560.5812457139</v>
      </c>
      <c r="F70" s="8"/>
      <c r="G70" s="49">
        <f>(E70/E67-1)*100</f>
        <v>11.692282831999989</v>
      </c>
      <c r="H70" s="49"/>
      <c r="I70" s="258"/>
      <c r="J70" s="20">
        <f t="shared" si="8"/>
        <v>39994</v>
      </c>
      <c r="K70" s="27">
        <f>'Global (Gross)'!K70</f>
        <v>-0.51440637057807148</v>
      </c>
      <c r="L70" s="46">
        <f t="shared" si="4"/>
        <v>969917.05328272178</v>
      </c>
      <c r="M70" s="7"/>
      <c r="N70" s="49">
        <f>(L70/L67-1)*100</f>
        <v>22.543802310545246</v>
      </c>
      <c r="O70" s="258"/>
      <c r="P70" s="20">
        <f t="shared" si="5"/>
        <v>39994</v>
      </c>
      <c r="Q70" s="45">
        <f>'Global (Gross)'!Q70</f>
        <v>0.90089049560527934</v>
      </c>
      <c r="R70" s="46">
        <f t="shared" si="6"/>
        <v>980636.68814404088</v>
      </c>
      <c r="S70" s="7"/>
      <c r="T70" s="49">
        <f>(R70/R67-1)*100</f>
        <v>13.488269375665784</v>
      </c>
      <c r="U70" s="258"/>
    </row>
    <row r="71" spans="1:21" x14ac:dyDescent="0.25">
      <c r="A71" s="20">
        <v>40025</v>
      </c>
      <c r="B71" s="24">
        <f t="shared" si="7"/>
        <v>55</v>
      </c>
      <c r="C71" s="96" t="s">
        <v>77</v>
      </c>
      <c r="D71" s="27">
        <v>6.15</v>
      </c>
      <c r="E71" s="46">
        <f t="shared" si="3"/>
        <v>1202213.0569923252</v>
      </c>
      <c r="F71" s="8"/>
      <c r="G71" s="256"/>
      <c r="H71" s="256"/>
      <c r="I71" s="258"/>
      <c r="J71" s="20">
        <f t="shared" si="8"/>
        <v>40025</v>
      </c>
      <c r="K71" s="27">
        <f>'Global (Gross)'!K71</f>
        <v>8.8335734640572188</v>
      </c>
      <c r="L71" s="46">
        <f t="shared" si="4"/>
        <v>1055595.38872487</v>
      </c>
      <c r="M71" s="7"/>
      <c r="N71" s="256"/>
      <c r="O71" s="258"/>
      <c r="P71" s="20">
        <f t="shared" si="5"/>
        <v>40025</v>
      </c>
      <c r="Q71" s="45">
        <f>'Global (Gross)'!Q71</f>
        <v>5.9866530831835663</v>
      </c>
      <c r="R71" s="46">
        <f t="shared" si="6"/>
        <v>1039344.0046696453</v>
      </c>
      <c r="S71" s="7"/>
      <c r="T71" s="256"/>
      <c r="U71" s="258"/>
    </row>
    <row r="72" spans="1:21" x14ac:dyDescent="0.25">
      <c r="A72" s="20">
        <v>40056</v>
      </c>
      <c r="B72" s="24">
        <f t="shared" si="7"/>
        <v>56</v>
      </c>
      <c r="C72" s="96" t="s">
        <v>77</v>
      </c>
      <c r="D72" s="27">
        <v>1.82</v>
      </c>
      <c r="E72" s="46">
        <f t="shared" si="3"/>
        <v>1224093.3346295855</v>
      </c>
      <c r="F72" s="8"/>
      <c r="G72" s="256"/>
      <c r="H72" s="256"/>
      <c r="I72" s="258"/>
      <c r="J72" s="20">
        <f t="shared" si="8"/>
        <v>40056</v>
      </c>
      <c r="K72" s="27">
        <f>'Global (Gross)'!K72</f>
        <v>3.6294108637601519</v>
      </c>
      <c r="L72" s="46">
        <f t="shared" si="4"/>
        <v>1093907.2824406016</v>
      </c>
      <c r="M72" s="7"/>
      <c r="N72" s="256"/>
      <c r="O72" s="258"/>
      <c r="P72" s="20">
        <f t="shared" si="5"/>
        <v>40056</v>
      </c>
      <c r="Q72" s="45">
        <f>'Global (Gross)'!Q72</f>
        <v>1.5681869728159306</v>
      </c>
      <c r="R72" s="46">
        <f t="shared" si="6"/>
        <v>1055642.861953618</v>
      </c>
      <c r="S72" s="7"/>
      <c r="T72" s="256"/>
      <c r="U72" s="258"/>
    </row>
    <row r="73" spans="1:21" x14ac:dyDescent="0.25">
      <c r="A73" s="20">
        <v>40086</v>
      </c>
      <c r="B73" s="24">
        <f t="shared" si="7"/>
        <v>57</v>
      </c>
      <c r="C73" s="96" t="s">
        <v>77</v>
      </c>
      <c r="D73" s="27">
        <v>3.09</v>
      </c>
      <c r="E73" s="46">
        <f t="shared" si="3"/>
        <v>1261917.8186696398</v>
      </c>
      <c r="F73" s="8"/>
      <c r="G73" s="49">
        <f>(E73/E70-1)*100</f>
        <v>11.421661637000003</v>
      </c>
      <c r="H73" s="49"/>
      <c r="I73" s="258"/>
      <c r="J73" s="20">
        <f t="shared" si="8"/>
        <v>40086</v>
      </c>
      <c r="K73" s="27">
        <f>'Global (Gross)'!K73</f>
        <v>4.6198654729411732</v>
      </c>
      <c r="L73" s="46">
        <f t="shared" si="4"/>
        <v>1144444.3272880639</v>
      </c>
      <c r="M73" s="7"/>
      <c r="N73" s="49">
        <f>(L73/L70-1)*100</f>
        <v>17.994041182660702</v>
      </c>
      <c r="O73" s="258"/>
      <c r="P73" s="20">
        <f t="shared" si="5"/>
        <v>40086</v>
      </c>
      <c r="Q73" s="45">
        <f>'Global (Gross)'!Q73</f>
        <v>3.5345533426198665</v>
      </c>
      <c r="R73" s="46">
        <f t="shared" si="6"/>
        <v>1092955.1220169277</v>
      </c>
      <c r="S73" s="7"/>
      <c r="T73" s="49">
        <f>(R73/R70-1)*100</f>
        <v>11.453623470427289</v>
      </c>
      <c r="U73" s="258"/>
    </row>
    <row r="74" spans="1:21" x14ac:dyDescent="0.25">
      <c r="A74" s="20">
        <v>40117</v>
      </c>
      <c r="B74" s="24">
        <f t="shared" si="7"/>
        <v>58</v>
      </c>
      <c r="C74" s="96" t="s">
        <v>77</v>
      </c>
      <c r="D74" s="27">
        <v>-0.31</v>
      </c>
      <c r="E74" s="46">
        <f t="shared" si="3"/>
        <v>1258005.8734317638</v>
      </c>
      <c r="F74" s="8"/>
      <c r="G74" s="256"/>
      <c r="H74" s="256"/>
      <c r="I74" s="258"/>
      <c r="J74" s="20">
        <f t="shared" si="8"/>
        <v>40117</v>
      </c>
      <c r="K74" s="27">
        <f>'Global (Gross)'!K74</f>
        <v>-1.5227999249425674</v>
      </c>
      <c r="L74" s="46">
        <f t="shared" si="4"/>
        <v>1127016.7299311119</v>
      </c>
      <c r="M74" s="7"/>
      <c r="N74" s="256"/>
      <c r="O74" s="258"/>
      <c r="P74" s="20">
        <f t="shared" si="5"/>
        <v>40117</v>
      </c>
      <c r="Q74" s="45">
        <f>'Global (Gross)'!Q74</f>
        <v>-1.5477523185473454</v>
      </c>
      <c r="R74" s="46">
        <f t="shared" si="6"/>
        <v>1076038.8837752286</v>
      </c>
      <c r="S74" s="7"/>
      <c r="T74" s="256"/>
      <c r="U74" s="258"/>
    </row>
    <row r="75" spans="1:21" x14ac:dyDescent="0.25">
      <c r="A75" s="20">
        <v>40147</v>
      </c>
      <c r="B75" s="24">
        <f t="shared" si="7"/>
        <v>59</v>
      </c>
      <c r="C75" s="96" t="s">
        <v>77</v>
      </c>
      <c r="D75" s="27">
        <v>5.62</v>
      </c>
      <c r="E75" s="46">
        <f t="shared" si="3"/>
        <v>1328705.8035186289</v>
      </c>
      <c r="F75" s="8"/>
      <c r="G75" s="256"/>
      <c r="H75" s="256"/>
      <c r="I75" s="258"/>
      <c r="J75" s="20">
        <f t="shared" si="8"/>
        <v>40147</v>
      </c>
      <c r="K75" s="27">
        <f>'Global (Gross)'!K75</f>
        <v>4.1650190170985502</v>
      </c>
      <c r="L75" s="46">
        <f t="shared" si="4"/>
        <v>1173957.191058625</v>
      </c>
      <c r="M75" s="7"/>
      <c r="N75" s="256"/>
      <c r="O75" s="258"/>
      <c r="P75" s="20">
        <f t="shared" si="5"/>
        <v>40147</v>
      </c>
      <c r="Q75" s="45">
        <f>'Global (Gross)'!Q75</f>
        <v>4.3187982474441871</v>
      </c>
      <c r="R75" s="46">
        <f t="shared" si="6"/>
        <v>1122510.8322295311</v>
      </c>
      <c r="S75" s="7"/>
      <c r="T75" s="256"/>
      <c r="U75" s="258"/>
    </row>
    <row r="76" spans="1:21" x14ac:dyDescent="0.25">
      <c r="A76" s="20">
        <v>40178</v>
      </c>
      <c r="B76" s="24">
        <f t="shared" si="7"/>
        <v>60</v>
      </c>
      <c r="C76" s="96" t="s">
        <v>77</v>
      </c>
      <c r="D76" s="27">
        <v>2.25</v>
      </c>
      <c r="E76" s="46">
        <f t="shared" si="3"/>
        <v>1358601.6840977981</v>
      </c>
      <c r="F76" s="11">
        <f>(E76-E64)/E64*100</f>
        <v>19.706674421691751</v>
      </c>
      <c r="G76" s="49">
        <f>(E76/E73-1)*100</f>
        <v>7.6616610049999867</v>
      </c>
      <c r="H76" s="49"/>
      <c r="I76" s="258"/>
      <c r="J76" s="20">
        <f t="shared" si="8"/>
        <v>40178</v>
      </c>
      <c r="K76" s="27">
        <f>'Global (Gross)'!K76</f>
        <v>2.1222145279408728</v>
      </c>
      <c r="L76" s="46">
        <f t="shared" si="4"/>
        <v>1198871.0811190777</v>
      </c>
      <c r="M76" s="19">
        <f>(L76-L64)/L64*100</f>
        <v>35.478787079616083</v>
      </c>
      <c r="N76" s="49">
        <f>(L76/L73-1)*100</f>
        <v>4.7557362584850438</v>
      </c>
      <c r="O76" s="258"/>
      <c r="P76" s="20">
        <f t="shared" si="5"/>
        <v>40178</v>
      </c>
      <c r="Q76" s="45">
        <f>'Global (Gross)'!Q76</f>
        <v>0.38400000000000317</v>
      </c>
      <c r="R76" s="46">
        <f t="shared" si="6"/>
        <v>1126821.2738252925</v>
      </c>
      <c r="S76" s="19">
        <f>(R76-R64)/R64*100</f>
        <v>13.965237332969998</v>
      </c>
      <c r="T76" s="49">
        <f>(R76/R73-1)*100</f>
        <v>3.0985857631435465</v>
      </c>
      <c r="U76" s="258"/>
    </row>
    <row r="77" spans="1:21" x14ac:dyDescent="0.25">
      <c r="A77" s="20">
        <v>40209</v>
      </c>
      <c r="B77" s="24">
        <f t="shared" si="7"/>
        <v>61</v>
      </c>
      <c r="C77" s="96" t="s">
        <v>77</v>
      </c>
      <c r="D77" s="27">
        <v>-2.34</v>
      </c>
      <c r="E77" s="46">
        <f t="shared" si="3"/>
        <v>1326810.4046899097</v>
      </c>
      <c r="F77" s="10"/>
      <c r="G77" s="256"/>
      <c r="H77" s="256"/>
      <c r="I77" s="258"/>
      <c r="J77" s="20">
        <f t="shared" si="8"/>
        <v>40209</v>
      </c>
      <c r="K77" s="27">
        <f>'Global (Gross)'!K77</f>
        <v>-4.3104600724473698</v>
      </c>
      <c r="L77" s="46">
        <f t="shared" si="4"/>
        <v>1147194.2218473218</v>
      </c>
      <c r="M77" s="15"/>
      <c r="N77" s="256"/>
      <c r="O77" s="258"/>
      <c r="P77" s="20">
        <f t="shared" si="5"/>
        <v>40209</v>
      </c>
      <c r="Q77" s="45">
        <f>'Global (Gross)'!Q77</f>
        <v>-2.5253028371055168</v>
      </c>
      <c r="R77" s="46">
        <f t="shared" si="6"/>
        <v>1098365.6242282738</v>
      </c>
      <c r="S77" s="15"/>
      <c r="T77" s="256"/>
      <c r="U77" s="258"/>
    </row>
    <row r="78" spans="1:21" x14ac:dyDescent="0.25">
      <c r="A78" s="20">
        <v>40237</v>
      </c>
      <c r="B78" s="24">
        <f t="shared" si="7"/>
        <v>62</v>
      </c>
      <c r="C78" s="96" t="s">
        <v>77</v>
      </c>
      <c r="D78" s="27">
        <v>1.44</v>
      </c>
      <c r="E78" s="46">
        <f t="shared" si="3"/>
        <v>1345916.4745174444</v>
      </c>
      <c r="F78" s="8"/>
      <c r="G78" s="256"/>
      <c r="H78" s="256"/>
      <c r="I78" s="258"/>
      <c r="J78" s="20">
        <f t="shared" si="8"/>
        <v>40237</v>
      </c>
      <c r="K78" s="27">
        <f>'Global (Gross)'!K78</f>
        <v>1.3136041485332242</v>
      </c>
      <c r="L78" s="46">
        <f t="shared" si="4"/>
        <v>1162263.8127372416</v>
      </c>
      <c r="M78" s="7"/>
      <c r="N78" s="256"/>
      <c r="O78" s="258"/>
      <c r="P78" s="20">
        <f t="shared" si="5"/>
        <v>40237</v>
      </c>
      <c r="Q78" s="45">
        <f>'Global (Gross)'!Q78</f>
        <v>1.3101820151457793</v>
      </c>
      <c r="R78" s="46">
        <f t="shared" si="6"/>
        <v>1112756.2130974564</v>
      </c>
      <c r="S78" s="7"/>
      <c r="T78" s="256"/>
      <c r="U78" s="258"/>
    </row>
    <row r="79" spans="1:21" x14ac:dyDescent="0.25">
      <c r="A79" s="20">
        <v>40268</v>
      </c>
      <c r="B79" s="24">
        <f t="shared" si="7"/>
        <v>63</v>
      </c>
      <c r="C79" s="96" t="s">
        <v>77</v>
      </c>
      <c r="D79" s="27">
        <v>3.25</v>
      </c>
      <c r="E79" s="46">
        <f t="shared" si="3"/>
        <v>1389658.7599392612</v>
      </c>
      <c r="F79" s="8"/>
      <c r="G79" s="49">
        <f>(E79/E76-1)*100</f>
        <v>2.2859588800000052</v>
      </c>
      <c r="H79" s="49"/>
      <c r="I79" s="258"/>
      <c r="J79" s="20">
        <f t="shared" si="8"/>
        <v>40268</v>
      </c>
      <c r="K79" s="27">
        <f>'Global (Gross)'!K79</f>
        <v>6.4905123359741976</v>
      </c>
      <c r="L79" s="46">
        <f t="shared" si="4"/>
        <v>1237700.6888795164</v>
      </c>
      <c r="M79" s="7"/>
      <c r="N79" s="49">
        <f>(L79/L76-1)*100</f>
        <v>3.2388476435842861</v>
      </c>
      <c r="O79" s="258"/>
      <c r="P79" s="20">
        <f t="shared" si="5"/>
        <v>40268</v>
      </c>
      <c r="Q79" s="45">
        <f>'Global (Gross)'!Q79</f>
        <v>3.4287962393196891</v>
      </c>
      <c r="R79" s="46">
        <f t="shared" si="6"/>
        <v>1150910.3562849381</v>
      </c>
      <c r="S79" s="7"/>
      <c r="T79" s="49">
        <f>(R79/R76-1)*100</f>
        <v>2.1377908830092274</v>
      </c>
      <c r="U79" s="258"/>
    </row>
    <row r="80" spans="1:21" x14ac:dyDescent="0.25">
      <c r="A80" s="20">
        <v>40298</v>
      </c>
      <c r="B80" s="24">
        <f t="shared" si="7"/>
        <v>64</v>
      </c>
      <c r="C80" s="96" t="s">
        <v>77</v>
      </c>
      <c r="D80" s="27">
        <v>0.03</v>
      </c>
      <c r="E80" s="46">
        <f t="shared" si="3"/>
        <v>1390075.6575672431</v>
      </c>
      <c r="F80" s="8"/>
      <c r="G80" s="256"/>
      <c r="H80" s="256"/>
      <c r="I80" s="258"/>
      <c r="J80" s="20">
        <f t="shared" ref="J80:J111" si="9">A80</f>
        <v>40298</v>
      </c>
      <c r="K80" s="27">
        <f>'Global (Gross)'!K80</f>
        <v>0.21652667921053909</v>
      </c>
      <c r="L80" s="46">
        <f t="shared" si="4"/>
        <v>1240380.6410797131</v>
      </c>
      <c r="M80" s="7"/>
      <c r="N80" s="256"/>
      <c r="O80" s="258"/>
      <c r="P80" s="20">
        <f t="shared" si="5"/>
        <v>40298</v>
      </c>
      <c r="Q80" s="45">
        <f>'Global (Gross)'!Q80</f>
        <v>-0.35891934068077147</v>
      </c>
      <c r="R80" s="46">
        <f t="shared" si="6"/>
        <v>1146779.5164223334</v>
      </c>
      <c r="S80" s="7"/>
      <c r="T80" s="256"/>
      <c r="U80" s="258"/>
    </row>
    <row r="81" spans="1:21" x14ac:dyDescent="0.25">
      <c r="A81" s="20">
        <v>40329</v>
      </c>
      <c r="B81" s="24">
        <f t="shared" si="7"/>
        <v>65</v>
      </c>
      <c r="C81" s="96" t="s">
        <v>77</v>
      </c>
      <c r="D81" s="27">
        <v>-7.15</v>
      </c>
      <c r="E81" s="46">
        <f t="shared" ref="E81:E144" si="10">E80*D81/100+E80</f>
        <v>1290685.2480511852</v>
      </c>
      <c r="F81" s="8"/>
      <c r="G81" s="256"/>
      <c r="H81" s="256"/>
      <c r="I81" s="258"/>
      <c r="J81" s="20">
        <f t="shared" si="9"/>
        <v>40329</v>
      </c>
      <c r="K81" s="27">
        <f>'Global (Gross)'!K81</f>
        <v>-9.3928221990059342</v>
      </c>
      <c r="L81" s="46">
        <f t="shared" ref="L81:L140" si="11">L80*K81/100+L80</f>
        <v>1123873.8928722057</v>
      </c>
      <c r="M81" s="7"/>
      <c r="N81" s="256"/>
      <c r="O81" s="258"/>
      <c r="P81" s="20">
        <f t="shared" ref="P81:P144" si="12">$A81</f>
        <v>40329</v>
      </c>
      <c r="Q81" s="45">
        <f>'Global (Gross)'!Q81</f>
        <v>-5.8485542569644293</v>
      </c>
      <c r="R81" s="46">
        <f t="shared" ref="R81:R140" si="13">R80*Q81/100+R80</f>
        <v>1079709.4941966189</v>
      </c>
      <c r="S81" s="7"/>
      <c r="T81" s="256"/>
      <c r="U81" s="258"/>
    </row>
    <row r="82" spans="1:21" x14ac:dyDescent="0.25">
      <c r="A82" s="20">
        <v>40359</v>
      </c>
      <c r="B82" s="24">
        <f t="shared" ref="B82:B145" si="14">IF(A82&gt;A81,1+B81,"-")</f>
        <v>66</v>
      </c>
      <c r="C82" s="96" t="s">
        <v>77</v>
      </c>
      <c r="D82" s="27">
        <v>-1.9</v>
      </c>
      <c r="E82" s="46">
        <f t="shared" si="10"/>
        <v>1266162.2283382127</v>
      </c>
      <c r="F82" s="8"/>
      <c r="G82" s="49">
        <f>(E82/E79-1)*100</f>
        <v>-8.8868242449999908</v>
      </c>
      <c r="H82" s="49"/>
      <c r="I82" s="258"/>
      <c r="J82" s="20">
        <f t="shared" si="9"/>
        <v>40359</v>
      </c>
      <c r="K82" s="27">
        <f>'Global (Gross)'!K82</f>
        <v>-3.0254130694892387</v>
      </c>
      <c r="L82" s="46">
        <f t="shared" si="11"/>
        <v>1089872.0652326725</v>
      </c>
      <c r="M82" s="7"/>
      <c r="N82" s="49">
        <f>(L82/L79-1)*100</f>
        <v>-11.94381040384428</v>
      </c>
      <c r="O82" s="258"/>
      <c r="P82" s="20">
        <f t="shared" si="12"/>
        <v>40359</v>
      </c>
      <c r="Q82" s="45">
        <f>'Global (Gross)'!Q82</f>
        <v>0.64145882499713669</v>
      </c>
      <c r="R82" s="46">
        <f t="shared" si="13"/>
        <v>1086635.3860314752</v>
      </c>
      <c r="S82" s="7"/>
      <c r="T82" s="49">
        <f>(R82/R79-1)*100</f>
        <v>-5.584706915049253</v>
      </c>
      <c r="U82" s="258"/>
    </row>
    <row r="83" spans="1:21" x14ac:dyDescent="0.25">
      <c r="A83" s="20">
        <v>40390</v>
      </c>
      <c r="B83" s="24">
        <f t="shared" si="14"/>
        <v>67</v>
      </c>
      <c r="C83" s="96" t="s">
        <v>77</v>
      </c>
      <c r="D83" s="27">
        <v>4.96</v>
      </c>
      <c r="E83" s="46">
        <f t="shared" si="10"/>
        <v>1328963.874863788</v>
      </c>
      <c r="F83" s="8"/>
      <c r="G83" s="256"/>
      <c r="H83" s="256"/>
      <c r="I83" s="258"/>
      <c r="J83" s="20">
        <f t="shared" si="9"/>
        <v>40390</v>
      </c>
      <c r="K83" s="27">
        <f>'Global (Gross)'!K83</f>
        <v>8.1620391988916854</v>
      </c>
      <c r="L83" s="46">
        <f t="shared" si="11"/>
        <v>1178827.8504147336</v>
      </c>
      <c r="M83" s="7"/>
      <c r="N83" s="256"/>
      <c r="O83" s="258"/>
      <c r="P83" s="20">
        <f t="shared" si="12"/>
        <v>40390</v>
      </c>
      <c r="Q83" s="45">
        <f>'Global (Gross)'!Q83</f>
        <v>4.4874178752944154</v>
      </c>
      <c r="R83" s="46">
        <f t="shared" si="13"/>
        <v>1135397.256583526</v>
      </c>
      <c r="S83" s="7"/>
      <c r="T83" s="256"/>
      <c r="U83" s="258"/>
    </row>
    <row r="84" spans="1:21" x14ac:dyDescent="0.25">
      <c r="A84" s="20">
        <v>40421</v>
      </c>
      <c r="B84" s="24">
        <f t="shared" si="14"/>
        <v>68</v>
      </c>
      <c r="C84" s="96" t="s">
        <v>77</v>
      </c>
      <c r="D84" s="27">
        <v>-0.51</v>
      </c>
      <c r="E84" s="46">
        <f t="shared" si="10"/>
        <v>1322186.1591019826</v>
      </c>
      <c r="F84" s="8"/>
      <c r="G84" s="256"/>
      <c r="H84" s="256"/>
      <c r="I84" s="258"/>
      <c r="J84" s="20">
        <f t="shared" si="9"/>
        <v>40421</v>
      </c>
      <c r="K84" s="27">
        <f>'Global (Gross)'!K84</f>
        <v>-3.4500884167893777</v>
      </c>
      <c r="L84" s="46">
        <f t="shared" si="11"/>
        <v>1138157.2472936877</v>
      </c>
      <c r="M84" s="7"/>
      <c r="N84" s="256"/>
      <c r="O84" s="258"/>
      <c r="P84" s="20">
        <f t="shared" si="12"/>
        <v>40421</v>
      </c>
      <c r="Q84" s="45">
        <f>'Global (Gross)'!Q84</f>
        <v>7.9092023569418524E-2</v>
      </c>
      <c r="R84" s="46">
        <f t="shared" si="13"/>
        <v>1136295.2652493096</v>
      </c>
      <c r="S84" s="7"/>
      <c r="T84" s="256"/>
      <c r="U84" s="258"/>
    </row>
    <row r="85" spans="1:21" x14ac:dyDescent="0.25">
      <c r="A85" s="20">
        <v>40451</v>
      </c>
      <c r="B85" s="24">
        <f t="shared" si="14"/>
        <v>69</v>
      </c>
      <c r="C85" s="96" t="s">
        <v>77</v>
      </c>
      <c r="D85" s="27">
        <v>7.1</v>
      </c>
      <c r="E85" s="46">
        <f t="shared" si="10"/>
        <v>1416061.3763982235</v>
      </c>
      <c r="F85" s="8"/>
      <c r="G85" s="49">
        <f>(E85/E82-1)*100</f>
        <v>11.838857983999995</v>
      </c>
      <c r="H85" s="49"/>
      <c r="I85" s="258"/>
      <c r="J85" s="20">
        <f t="shared" si="9"/>
        <v>40451</v>
      </c>
      <c r="K85" s="27">
        <f>'Global (Gross)'!K85</f>
        <v>9.6104882677095951</v>
      </c>
      <c r="L85" s="46">
        <f t="shared" si="11"/>
        <v>1247539.716012934</v>
      </c>
      <c r="M85" s="7"/>
      <c r="N85" s="49">
        <f>(L85/L82-1)*100</f>
        <v>14.466620056602842</v>
      </c>
      <c r="O85" s="258"/>
      <c r="P85" s="20">
        <f t="shared" si="12"/>
        <v>40451</v>
      </c>
      <c r="Q85" s="45">
        <f>'Global (Gross)'!Q85</f>
        <v>5.615047220136713</v>
      </c>
      <c r="R85" s="46">
        <f t="shared" si="13"/>
        <v>1200098.7809532362</v>
      </c>
      <c r="S85" s="7"/>
      <c r="T85" s="49">
        <f>(R85/R82-1)*100</f>
        <v>10.441717284409746</v>
      </c>
      <c r="U85" s="258"/>
    </row>
    <row r="86" spans="1:21" x14ac:dyDescent="0.25">
      <c r="A86" s="20">
        <v>40482</v>
      </c>
      <c r="B86" s="24">
        <f t="shared" si="14"/>
        <v>70</v>
      </c>
      <c r="C86" s="96" t="s">
        <v>77</v>
      </c>
      <c r="D86" s="27">
        <v>1.98</v>
      </c>
      <c r="E86" s="46">
        <f t="shared" si="10"/>
        <v>1444099.3916509082</v>
      </c>
      <c r="F86" s="8"/>
      <c r="G86" s="256"/>
      <c r="H86" s="256"/>
      <c r="I86" s="258"/>
      <c r="J86" s="20">
        <f t="shared" si="9"/>
        <v>40482</v>
      </c>
      <c r="K86" s="27">
        <f>'Global (Gross)'!K86</f>
        <v>3.6512748274404809</v>
      </c>
      <c r="L86" s="46">
        <f t="shared" si="11"/>
        <v>1293090.8196260368</v>
      </c>
      <c r="M86" s="7"/>
      <c r="N86" s="256"/>
      <c r="O86" s="258"/>
      <c r="P86" s="20">
        <f t="shared" si="12"/>
        <v>40482</v>
      </c>
      <c r="Q86" s="45">
        <f>'Global (Gross)'!Q86</f>
        <v>2.6535842562107268</v>
      </c>
      <c r="R86" s="46">
        <f t="shared" si="13"/>
        <v>1231944.413263588</v>
      </c>
      <c r="S86" s="7"/>
      <c r="T86" s="256"/>
      <c r="U86" s="258"/>
    </row>
    <row r="87" spans="1:21" x14ac:dyDescent="0.25">
      <c r="A87" s="20">
        <v>40512</v>
      </c>
      <c r="B87" s="24">
        <f t="shared" si="14"/>
        <v>71</v>
      </c>
      <c r="C87" s="96" t="s">
        <v>77</v>
      </c>
      <c r="D87" s="27">
        <v>-2.4</v>
      </c>
      <c r="E87" s="46">
        <f t="shared" si="10"/>
        <v>1409441.0062512862</v>
      </c>
      <c r="F87" s="8"/>
      <c r="G87" s="256"/>
      <c r="H87" s="256"/>
      <c r="I87" s="258"/>
      <c r="J87" s="20">
        <f t="shared" si="9"/>
        <v>40512</v>
      </c>
      <c r="K87" s="27">
        <f>'Global (Gross)'!K87</f>
        <v>-2.176808362475402</v>
      </c>
      <c r="L87" s="46">
        <f t="shared" si="11"/>
        <v>1264942.7105300154</v>
      </c>
      <c r="M87" s="7"/>
      <c r="N87" s="256"/>
      <c r="O87" s="258"/>
      <c r="P87" s="20">
        <f t="shared" si="12"/>
        <v>40512</v>
      </c>
      <c r="Q87" s="45">
        <f>'Global (Gross)'!Q87</f>
        <v>-2.3426181559740895</v>
      </c>
      <c r="R87" s="46">
        <f t="shared" si="13"/>
        <v>1203084.6597669667</v>
      </c>
      <c r="S87" s="7"/>
      <c r="T87" s="256"/>
      <c r="U87" s="258"/>
    </row>
    <row r="88" spans="1:21" x14ac:dyDescent="0.25">
      <c r="A88" s="20">
        <v>40543</v>
      </c>
      <c r="B88" s="24">
        <f t="shared" si="14"/>
        <v>72</v>
      </c>
      <c r="C88" s="96" t="s">
        <v>77</v>
      </c>
      <c r="D88" s="27">
        <v>4.57</v>
      </c>
      <c r="E88" s="46">
        <f t="shared" si="10"/>
        <v>1473852.4602369701</v>
      </c>
      <c r="F88" s="11">
        <f>(E88-E76)/E76*100</f>
        <v>8.4830438154289656</v>
      </c>
      <c r="G88" s="49">
        <f>(E88/E85-1)*100</f>
        <v>4.0811143359999802</v>
      </c>
      <c r="H88" s="49"/>
      <c r="I88" s="258"/>
      <c r="J88" s="20">
        <f t="shared" si="9"/>
        <v>40543</v>
      </c>
      <c r="K88" s="27">
        <f>'Global (Gross)'!K88</f>
        <v>7.375990375144303</v>
      </c>
      <c r="L88" s="46">
        <f t="shared" si="11"/>
        <v>1358244.7631097988</v>
      </c>
      <c r="M88" s="19">
        <f>(L88-L76)/L76*100</f>
        <v>13.293646372882295</v>
      </c>
      <c r="N88" s="49">
        <f>(L88/L85-1)*100</f>
        <v>8.8738695590928174</v>
      </c>
      <c r="O88" s="258"/>
      <c r="P88" s="20">
        <f t="shared" si="12"/>
        <v>40543</v>
      </c>
      <c r="Q88" s="45">
        <f>'Global (Gross)'!Q88</f>
        <v>4.4766649872175277</v>
      </c>
      <c r="R88" s="46">
        <f t="shared" si="13"/>
        <v>1256942.7294973396</v>
      </c>
      <c r="S88" s="19">
        <f>(R88-R76)/R76*100</f>
        <v>11.547656997131005</v>
      </c>
      <c r="T88" s="49">
        <f>(R88/R85-1)*100</f>
        <v>4.7366058066447225</v>
      </c>
      <c r="U88" s="258"/>
    </row>
    <row r="89" spans="1:21" x14ac:dyDescent="0.25">
      <c r="A89" s="20">
        <v>40574</v>
      </c>
      <c r="B89" s="24">
        <f t="shared" si="14"/>
        <v>73</v>
      </c>
      <c r="C89" s="96" t="s">
        <v>77</v>
      </c>
      <c r="D89" s="32">
        <v>1.36</v>
      </c>
      <c r="E89" s="46">
        <f t="shared" si="10"/>
        <v>1493896.8536961928</v>
      </c>
      <c r="F89" s="10"/>
      <c r="G89" s="256"/>
      <c r="H89" s="256"/>
      <c r="I89" s="258"/>
      <c r="J89" s="20">
        <f t="shared" si="9"/>
        <v>40574</v>
      </c>
      <c r="K89" s="27">
        <f>'Global (Gross)'!K89</f>
        <v>1.5819212840647658</v>
      </c>
      <c r="L89" s="46">
        <f t="shared" si="11"/>
        <v>1379731.1261071276</v>
      </c>
      <c r="M89" s="15"/>
      <c r="N89" s="256"/>
      <c r="O89" s="258"/>
      <c r="P89" s="20">
        <f t="shared" si="12"/>
        <v>40574</v>
      </c>
      <c r="Q89" s="45">
        <f>'Global (Gross)'!Q89</f>
        <v>-0.66800028577552495</v>
      </c>
      <c r="R89" s="46">
        <f t="shared" si="13"/>
        <v>1248546.3484722627</v>
      </c>
      <c r="S89" s="15"/>
      <c r="T89" s="256"/>
      <c r="U89" s="258"/>
    </row>
    <row r="90" spans="1:21" x14ac:dyDescent="0.25">
      <c r="A90" s="20">
        <v>40602</v>
      </c>
      <c r="B90" s="24">
        <f t="shared" si="14"/>
        <v>74</v>
      </c>
      <c r="C90" s="96" t="s">
        <v>77</v>
      </c>
      <c r="D90" s="27">
        <v>2.95</v>
      </c>
      <c r="E90" s="46">
        <f t="shared" si="10"/>
        <v>1537966.8108802305</v>
      </c>
      <c r="F90" s="8"/>
      <c r="G90" s="256"/>
      <c r="H90" s="256"/>
      <c r="I90" s="258"/>
      <c r="J90" s="20">
        <f t="shared" si="9"/>
        <v>40602</v>
      </c>
      <c r="K90" s="27">
        <f>'Global (Gross)'!K90</f>
        <v>2.9518462221549755</v>
      </c>
      <c r="L90" s="46">
        <f t="shared" si="11"/>
        <v>1420458.6672290172</v>
      </c>
      <c r="M90" s="7"/>
      <c r="N90" s="256"/>
      <c r="O90" s="258"/>
      <c r="P90" s="20">
        <f t="shared" si="12"/>
        <v>40602</v>
      </c>
      <c r="Q90" s="45">
        <f>'Global (Gross)'!Q90</f>
        <v>1.763944330564257</v>
      </c>
      <c r="R90" s="46">
        <f t="shared" si="13"/>
        <v>1270570.0110006062</v>
      </c>
      <c r="S90" s="7"/>
      <c r="T90" s="256"/>
      <c r="U90" s="258"/>
    </row>
    <row r="91" spans="1:21" x14ac:dyDescent="0.25">
      <c r="A91" s="20">
        <v>40633</v>
      </c>
      <c r="B91" s="24">
        <f t="shared" si="14"/>
        <v>75</v>
      </c>
      <c r="C91" s="96" t="s">
        <v>77</v>
      </c>
      <c r="D91" s="27">
        <v>-0.46</v>
      </c>
      <c r="E91" s="46">
        <f t="shared" si="10"/>
        <v>1530892.1635501815</v>
      </c>
      <c r="F91" s="8"/>
      <c r="G91" s="49">
        <f>(E91/E88-1)*100</f>
        <v>3.870109447999992</v>
      </c>
      <c r="H91" s="49"/>
      <c r="I91" s="258"/>
      <c r="J91" s="20">
        <f t="shared" si="9"/>
        <v>40633</v>
      </c>
      <c r="K91" s="27">
        <f>'Global (Gross)'!K91</f>
        <v>-5.0006321927396041E-2</v>
      </c>
      <c r="L91" s="46">
        <f t="shared" si="11"/>
        <v>1419748.348095037</v>
      </c>
      <c r="M91" s="7"/>
      <c r="N91" s="49">
        <f>(L91/L88-1)*100</f>
        <v>4.528166546684953</v>
      </c>
      <c r="O91" s="258"/>
      <c r="P91" s="20">
        <f t="shared" si="12"/>
        <v>40633</v>
      </c>
      <c r="Q91" s="45">
        <f>'Global (Gross)'!Q91</f>
        <v>0.63433165473980346</v>
      </c>
      <c r="R91" s="46">
        <f t="shared" si="13"/>
        <v>1278629.6387760141</v>
      </c>
      <c r="S91" s="7"/>
      <c r="T91" s="49">
        <f>(R91/R88-1)*100</f>
        <v>1.7253697220833031</v>
      </c>
      <c r="U91" s="258"/>
    </row>
    <row r="92" spans="1:21" x14ac:dyDescent="0.25">
      <c r="A92" s="20">
        <v>40663</v>
      </c>
      <c r="B92" s="24">
        <f t="shared" si="14"/>
        <v>76</v>
      </c>
      <c r="C92" s="96" t="s">
        <v>77</v>
      </c>
      <c r="D92" s="27">
        <v>4.33</v>
      </c>
      <c r="E92" s="46">
        <f t="shared" si="10"/>
        <v>1597179.7942319044</v>
      </c>
      <c r="F92" s="8"/>
      <c r="G92" s="256"/>
      <c r="H92" s="256"/>
      <c r="I92" s="258"/>
      <c r="J92" s="20">
        <f t="shared" si="9"/>
        <v>40663</v>
      </c>
      <c r="K92" s="27">
        <f>'Global (Gross)'!K92</f>
        <v>4.129256624882288</v>
      </c>
      <c r="L92" s="46">
        <f t="shared" si="11"/>
        <v>1478373.4008154082</v>
      </c>
      <c r="M92" s="7"/>
      <c r="N92" s="256"/>
      <c r="O92" s="258"/>
      <c r="P92" s="20">
        <f t="shared" si="12"/>
        <v>40663</v>
      </c>
      <c r="Q92" s="45">
        <f>'Global (Gross)'!Q92</f>
        <v>4.0594163711065079</v>
      </c>
      <c r="R92" s="46">
        <f t="shared" si="13"/>
        <v>1330534.5396583076</v>
      </c>
      <c r="S92" s="7"/>
      <c r="T92" s="256"/>
      <c r="U92" s="258"/>
    </row>
    <row r="93" spans="1:21" x14ac:dyDescent="0.25">
      <c r="A93" s="20">
        <v>40694</v>
      </c>
      <c r="B93" s="24">
        <f t="shared" si="14"/>
        <v>77</v>
      </c>
      <c r="C93" s="96" t="s">
        <v>77</v>
      </c>
      <c r="D93" s="27">
        <v>2.12</v>
      </c>
      <c r="E93" s="46">
        <f t="shared" si="10"/>
        <v>1631040.0058696207</v>
      </c>
      <c r="F93" s="8"/>
      <c r="G93" s="256"/>
      <c r="H93" s="256"/>
      <c r="I93" s="258"/>
      <c r="J93" s="20">
        <f t="shared" si="9"/>
        <v>40694</v>
      </c>
      <c r="K93" s="27">
        <f>'Global (Gross)'!K93</f>
        <v>-2.064965903266275</v>
      </c>
      <c r="L93" s="46">
        <f t="shared" si="11"/>
        <v>1447845.4941656119</v>
      </c>
      <c r="M93" s="7"/>
      <c r="N93" s="256"/>
      <c r="O93" s="258"/>
      <c r="P93" s="20">
        <f t="shared" si="12"/>
        <v>40694</v>
      </c>
      <c r="Q93" s="45">
        <f>'Global (Gross)'!Q93</f>
        <v>0.75844497688388024</v>
      </c>
      <c r="R93" s="46">
        <f t="shared" si="13"/>
        <v>1340625.9120400511</v>
      </c>
      <c r="S93" s="7"/>
      <c r="T93" s="256"/>
      <c r="U93" s="258"/>
    </row>
    <row r="94" spans="1:21" x14ac:dyDescent="0.25">
      <c r="A94" s="20">
        <v>40724</v>
      </c>
      <c r="B94" s="24">
        <f t="shared" si="14"/>
        <v>78</v>
      </c>
      <c r="C94" s="96" t="s">
        <v>77</v>
      </c>
      <c r="D94" s="27">
        <v>-1.49</v>
      </c>
      <c r="E94" s="46">
        <f t="shared" si="10"/>
        <v>1606737.5097821634</v>
      </c>
      <c r="F94" s="8"/>
      <c r="G94" s="49">
        <f>(E94/E91-1)*100</f>
        <v>4.9543232395999892</v>
      </c>
      <c r="H94" s="49"/>
      <c r="I94" s="258"/>
      <c r="J94" s="20">
        <f t="shared" si="9"/>
        <v>40724</v>
      </c>
      <c r="K94" s="27">
        <f>'Global (Gross)'!K94</f>
        <v>-1.5294423230511087</v>
      </c>
      <c r="L94" s="46">
        <f t="shared" si="11"/>
        <v>1425701.5324054547</v>
      </c>
      <c r="M94" s="7"/>
      <c r="N94" s="49">
        <f>(L94/L91-1)*100</f>
        <v>0.41931264215981923</v>
      </c>
      <c r="O94" s="258"/>
      <c r="P94" s="20">
        <f t="shared" si="12"/>
        <v>40724</v>
      </c>
      <c r="Q94" s="45">
        <f>'Global (Gross)'!Q94</f>
        <v>-1.2844236421029649</v>
      </c>
      <c r="R94" s="46">
        <f t="shared" si="13"/>
        <v>1323406.5958736502</v>
      </c>
      <c r="S94" s="7"/>
      <c r="T94" s="49">
        <f>(R94/R91-1)*100</f>
        <v>3.5019489412508431</v>
      </c>
      <c r="U94" s="258"/>
    </row>
    <row r="95" spans="1:21" x14ac:dyDescent="0.25">
      <c r="A95" s="20">
        <v>40755</v>
      </c>
      <c r="B95" s="24">
        <f t="shared" si="14"/>
        <v>79</v>
      </c>
      <c r="C95" s="96" t="s">
        <v>77</v>
      </c>
      <c r="D95" s="27">
        <v>-2.4500000000000002</v>
      </c>
      <c r="E95" s="46">
        <f t="shared" si="10"/>
        <v>1567372.4407925005</v>
      </c>
      <c r="F95" s="8"/>
      <c r="G95" s="256"/>
      <c r="H95" s="256"/>
      <c r="I95" s="258"/>
      <c r="J95" s="20">
        <f t="shared" si="9"/>
        <v>40755</v>
      </c>
      <c r="K95" s="27">
        <f>'Global (Gross)'!K95</f>
        <v>-1.5961666559017968</v>
      </c>
      <c r="L95" s="46">
        <f t="shared" si="11"/>
        <v>1402944.959932518</v>
      </c>
      <c r="M95" s="7"/>
      <c r="N95" s="256"/>
      <c r="O95" s="258"/>
      <c r="P95" s="20">
        <f t="shared" si="12"/>
        <v>40755</v>
      </c>
      <c r="Q95" s="45">
        <f>'Global (Gross)'!Q95</f>
        <v>-0.91096465558920148</v>
      </c>
      <c r="R95" s="46">
        <f t="shared" si="13"/>
        <v>1311350.829535505</v>
      </c>
      <c r="S95" s="7"/>
      <c r="T95" s="256"/>
      <c r="U95" s="258"/>
    </row>
    <row r="96" spans="1:21" x14ac:dyDescent="0.25">
      <c r="A96" s="20">
        <v>40786</v>
      </c>
      <c r="B96" s="24">
        <f t="shared" si="14"/>
        <v>80</v>
      </c>
      <c r="C96" s="96" t="s">
        <v>77</v>
      </c>
      <c r="D96" s="27">
        <v>-0.87</v>
      </c>
      <c r="E96" s="46">
        <f t="shared" si="10"/>
        <v>1553736.3005576057</v>
      </c>
      <c r="F96" s="8"/>
      <c r="G96" s="256"/>
      <c r="H96" s="256"/>
      <c r="I96" s="258"/>
      <c r="J96" s="20">
        <f t="shared" si="9"/>
        <v>40786</v>
      </c>
      <c r="K96" s="27">
        <f>'Global (Gross)'!K96</f>
        <v>-7.2548281303588293</v>
      </c>
      <c r="L96" s="46">
        <f t="shared" si="11"/>
        <v>1301163.7143258823</v>
      </c>
      <c r="M96" s="7"/>
      <c r="N96" s="256"/>
      <c r="O96" s="258"/>
      <c r="P96" s="20">
        <f t="shared" si="12"/>
        <v>40786</v>
      </c>
      <c r="Q96" s="45">
        <f>'Global (Gross)'!Q96</f>
        <v>-1.7993032194002878</v>
      </c>
      <c r="R96" s="46">
        <f t="shared" si="13"/>
        <v>1287755.6518420402</v>
      </c>
      <c r="S96" s="7"/>
      <c r="T96" s="256"/>
      <c r="U96" s="258"/>
    </row>
    <row r="97" spans="1:23" x14ac:dyDescent="0.25">
      <c r="A97" s="20">
        <v>40816</v>
      </c>
      <c r="B97" s="24">
        <f t="shared" si="14"/>
        <v>81</v>
      </c>
      <c r="C97" s="96" t="s">
        <v>77</v>
      </c>
      <c r="D97" s="27">
        <v>-3.08</v>
      </c>
      <c r="E97" s="46">
        <f t="shared" si="10"/>
        <v>1505881.2225004314</v>
      </c>
      <c r="F97" s="8"/>
      <c r="G97" s="49">
        <f>(E97/E94-1)*100</f>
        <v>-6.277085502000002</v>
      </c>
      <c r="H97" s="49"/>
      <c r="I97" s="258"/>
      <c r="J97" s="20">
        <f t="shared" si="9"/>
        <v>40816</v>
      </c>
      <c r="K97" s="27">
        <f>'Global (Gross)'!K97</f>
        <v>-9.3941472219198427</v>
      </c>
      <c r="L97" s="46">
        <f t="shared" si="11"/>
        <v>1178930.4794039084</v>
      </c>
      <c r="M97" s="7"/>
      <c r="N97" s="49">
        <f>(L97/L94-1)*100</f>
        <v>-17.308745722198402</v>
      </c>
      <c r="O97" s="258"/>
      <c r="P97" s="20">
        <f t="shared" si="12"/>
        <v>40816</v>
      </c>
      <c r="Q97" s="45">
        <f>'Global (Gross)'!Q97</f>
        <v>-4.6530277804412536</v>
      </c>
      <c r="R97" s="46">
        <f t="shared" si="13"/>
        <v>1227836.0236176278</v>
      </c>
      <c r="S97" s="7"/>
      <c r="T97" s="49">
        <f>(R97/R94-1)*100</f>
        <v>-7.221557800452949</v>
      </c>
      <c r="U97" s="258"/>
      <c r="V97" s="256"/>
      <c r="W97" s="256"/>
    </row>
    <row r="98" spans="1:23" x14ac:dyDescent="0.25">
      <c r="A98" s="20">
        <v>40847</v>
      </c>
      <c r="B98" s="24">
        <f t="shared" si="14"/>
        <v>82</v>
      </c>
      <c r="C98" s="96" t="s">
        <v>77</v>
      </c>
      <c r="D98" s="27">
        <v>6.37</v>
      </c>
      <c r="E98" s="46">
        <f t="shared" si="10"/>
        <v>1601805.8563737089</v>
      </c>
      <c r="F98" s="8"/>
      <c r="G98" s="256"/>
      <c r="H98" s="49"/>
      <c r="I98" s="258"/>
      <c r="J98" s="20">
        <f t="shared" si="9"/>
        <v>40847</v>
      </c>
      <c r="K98" s="27">
        <f>'Global (Gross)'!K98</f>
        <v>10.730994579185531</v>
      </c>
      <c r="L98" s="46">
        <f t="shared" si="11"/>
        <v>1305441.4452411078</v>
      </c>
      <c r="M98" s="7"/>
      <c r="N98" s="256"/>
      <c r="O98" s="258"/>
      <c r="P98" s="20">
        <f t="shared" si="12"/>
        <v>40847</v>
      </c>
      <c r="Q98" s="45">
        <f>'Global (Gross)'!Q98</f>
        <v>4.7191976815410186</v>
      </c>
      <c r="R98" s="46">
        <f t="shared" si="13"/>
        <v>1285780.0327773164</v>
      </c>
      <c r="S98" s="7"/>
      <c r="T98" s="256"/>
      <c r="U98" s="258"/>
      <c r="V98" s="256"/>
      <c r="W98" s="256"/>
    </row>
    <row r="99" spans="1:23" x14ac:dyDescent="0.25">
      <c r="A99" s="20">
        <v>40877</v>
      </c>
      <c r="B99" s="24">
        <f t="shared" si="14"/>
        <v>83</v>
      </c>
      <c r="C99" s="96" t="s">
        <v>77</v>
      </c>
      <c r="D99" s="27">
        <v>-0.74</v>
      </c>
      <c r="E99" s="46">
        <f t="shared" si="10"/>
        <v>1589952.4930365435</v>
      </c>
      <c r="F99" s="8"/>
      <c r="G99" s="256"/>
      <c r="H99" s="49"/>
      <c r="I99" s="258"/>
      <c r="J99" s="20">
        <f t="shared" si="9"/>
        <v>40877</v>
      </c>
      <c r="K99" s="27">
        <f>'Global (Gross)'!K99</f>
        <v>-2.9296421719424814</v>
      </c>
      <c r="L99" s="46">
        <f t="shared" si="11"/>
        <v>1267196.6821313088</v>
      </c>
      <c r="M99" s="7"/>
      <c r="N99" s="256"/>
      <c r="O99" s="258"/>
      <c r="P99" s="20">
        <f t="shared" si="12"/>
        <v>40877</v>
      </c>
      <c r="Q99" s="45">
        <f>'Global (Gross)'!Q99</f>
        <v>-1.8848487493998118</v>
      </c>
      <c r="R99" s="46">
        <f t="shared" si="13"/>
        <v>1261545.0239094808</v>
      </c>
      <c r="S99" s="7"/>
      <c r="T99" s="256"/>
      <c r="U99" s="258"/>
      <c r="V99" s="256"/>
      <c r="W99" s="256"/>
    </row>
    <row r="100" spans="1:23" x14ac:dyDescent="0.25">
      <c r="A100" s="20">
        <v>40908</v>
      </c>
      <c r="B100" s="24">
        <f t="shared" si="14"/>
        <v>84</v>
      </c>
      <c r="C100" s="96" t="s">
        <v>77</v>
      </c>
      <c r="D100" s="27">
        <v>2.5099999999999998</v>
      </c>
      <c r="E100" s="46">
        <f t="shared" si="10"/>
        <v>1629860.3006117607</v>
      </c>
      <c r="F100" s="11">
        <f>(E100-E88)/E88*100</f>
        <v>10.585037823236881</v>
      </c>
      <c r="G100" s="49">
        <f>(E100/E97-1)*100</f>
        <v>8.2329918362000107</v>
      </c>
      <c r="H100" s="49"/>
      <c r="I100" s="258"/>
      <c r="J100" s="20">
        <f t="shared" si="9"/>
        <v>40908</v>
      </c>
      <c r="K100" s="27">
        <f>'Global (Gross)'!K100</f>
        <v>-0.14872020742059139</v>
      </c>
      <c r="L100" s="46">
        <f t="shared" si="11"/>
        <v>1265312.1045972162</v>
      </c>
      <c r="M100" s="19">
        <f>(L100-L88)/L88*100</f>
        <v>-6.8421142519118971</v>
      </c>
      <c r="N100" s="49">
        <f>(L100/L97-1)*100</f>
        <v>7.3271178158854866</v>
      </c>
      <c r="O100" s="258"/>
      <c r="P100" s="20">
        <f t="shared" si="12"/>
        <v>40908</v>
      </c>
      <c r="Q100" s="45">
        <f>'Global (Gross)'!Q100</f>
        <v>2.3116758315092647</v>
      </c>
      <c r="R100" s="46">
        <f t="shared" si="13"/>
        <v>1290707.8553308041</v>
      </c>
      <c r="S100" s="19">
        <f>(R100-R88)/R88*100</f>
        <v>2.6862899192684355</v>
      </c>
      <c r="T100" s="49">
        <f>(R100/R97-1)*100</f>
        <v>5.1205397548065301</v>
      </c>
      <c r="U100" s="258"/>
      <c r="V100" s="256"/>
      <c r="W100" s="256"/>
    </row>
    <row r="101" spans="1:23" x14ac:dyDescent="0.25">
      <c r="A101" s="20">
        <v>40939</v>
      </c>
      <c r="B101" s="24">
        <f t="shared" si="14"/>
        <v>85</v>
      </c>
      <c r="C101" s="96" t="s">
        <v>77</v>
      </c>
      <c r="D101" s="27">
        <v>1.23</v>
      </c>
      <c r="E101" s="46">
        <f t="shared" si="10"/>
        <v>1649907.5823092854</v>
      </c>
      <c r="F101" s="10"/>
      <c r="G101" s="256"/>
      <c r="H101" s="49"/>
      <c r="I101" s="258"/>
      <c r="J101" s="20">
        <f t="shared" si="9"/>
        <v>40939</v>
      </c>
      <c r="K101" s="27">
        <f>'Global (Gross)'!K101</f>
        <v>5.8327264000159991</v>
      </c>
      <c r="L101" s="46">
        <f t="shared" si="11"/>
        <v>1339114.2977646561</v>
      </c>
      <c r="M101" s="15"/>
      <c r="N101" s="256"/>
      <c r="O101" s="258"/>
      <c r="P101" s="20">
        <f t="shared" si="12"/>
        <v>40939</v>
      </c>
      <c r="Q101" s="45">
        <f>'Global (Gross)'!Q101</f>
        <v>1.8150351353231857</v>
      </c>
      <c r="R101" s="46">
        <f t="shared" si="13"/>
        <v>1314134.6563994347</v>
      </c>
      <c r="S101" s="15"/>
      <c r="T101" s="256"/>
      <c r="U101" s="258"/>
      <c r="V101" s="256"/>
      <c r="W101" s="256"/>
    </row>
    <row r="102" spans="1:23" x14ac:dyDescent="0.25">
      <c r="A102" s="20">
        <v>40968</v>
      </c>
      <c r="B102" s="24">
        <f t="shared" si="14"/>
        <v>86</v>
      </c>
      <c r="C102" s="96" t="s">
        <v>77</v>
      </c>
      <c r="D102" s="27">
        <v>1.93</v>
      </c>
      <c r="E102" s="46">
        <f t="shared" si="10"/>
        <v>1681750.7986478547</v>
      </c>
      <c r="F102" s="8"/>
      <c r="G102" s="256"/>
      <c r="H102" s="49"/>
      <c r="I102" s="258"/>
      <c r="J102" s="20">
        <f t="shared" si="9"/>
        <v>40968</v>
      </c>
      <c r="K102" s="27">
        <f>'Global (Gross)'!K102</f>
        <v>5.086865047369491</v>
      </c>
      <c r="L102" s="46">
        <f t="shared" si="11"/>
        <v>1407233.2349219739</v>
      </c>
      <c r="M102" s="7"/>
      <c r="N102" s="256"/>
      <c r="O102" s="258"/>
      <c r="P102" s="20">
        <f t="shared" si="12"/>
        <v>40968</v>
      </c>
      <c r="Q102" s="45">
        <f>'Global (Gross)'!Q102</f>
        <v>2.2627294547753078</v>
      </c>
      <c r="R102" s="46">
        <f t="shared" si="13"/>
        <v>1343869.9683451951</v>
      </c>
      <c r="S102" s="7"/>
      <c r="T102" s="256"/>
      <c r="U102" s="258"/>
      <c r="V102" s="256"/>
      <c r="W102" s="256" t="s">
        <v>114</v>
      </c>
    </row>
    <row r="103" spans="1:23" x14ac:dyDescent="0.25">
      <c r="A103" s="21">
        <v>40999</v>
      </c>
      <c r="B103" s="24">
        <f t="shared" si="14"/>
        <v>87</v>
      </c>
      <c r="C103" s="97" t="s">
        <v>115</v>
      </c>
      <c r="D103" s="29">
        <v>2.14</v>
      </c>
      <c r="E103" s="47">
        <f t="shared" si="10"/>
        <v>1717740.2657389189</v>
      </c>
      <c r="F103" s="8"/>
      <c r="G103" s="49">
        <f>(E103/E100-1)*100</f>
        <v>5.3918710146000137</v>
      </c>
      <c r="H103" s="49"/>
      <c r="I103" s="258"/>
      <c r="J103" s="20">
        <f t="shared" si="9"/>
        <v>40999</v>
      </c>
      <c r="K103" s="27">
        <f>'Global (Gross)'!K103</f>
        <v>0.7183318098035274</v>
      </c>
      <c r="L103" s="46">
        <f t="shared" si="11"/>
        <v>1417341.8388865457</v>
      </c>
      <c r="M103" s="7"/>
      <c r="N103" s="49">
        <f>(L103/L100-1)*100</f>
        <v>12.015196388066229</v>
      </c>
      <c r="O103" s="258"/>
      <c r="P103" s="20">
        <f t="shared" si="12"/>
        <v>40999</v>
      </c>
      <c r="Q103" s="45">
        <f>'Global (Gross)'!Q103</f>
        <v>0.74173070497827276</v>
      </c>
      <c r="R103" s="46">
        <f t="shared" si="13"/>
        <v>1353837.8645353932</v>
      </c>
      <c r="S103" s="7"/>
      <c r="T103" s="49">
        <f>(R103/R100-1)*100</f>
        <v>4.8911152856049744</v>
      </c>
      <c r="U103" s="258"/>
      <c r="V103" s="267" t="e">
        <f>#REF!-W103</f>
        <v>#REF!</v>
      </c>
      <c r="W103" s="90">
        <v>2.14</v>
      </c>
    </row>
    <row r="104" spans="1:23" x14ac:dyDescent="0.25">
      <c r="A104" s="21">
        <v>41029</v>
      </c>
      <c r="B104" s="24">
        <f t="shared" si="14"/>
        <v>88</v>
      </c>
      <c r="C104" s="97" t="s">
        <v>115</v>
      </c>
      <c r="D104" s="29">
        <v>-0.36</v>
      </c>
      <c r="E104" s="47">
        <f t="shared" si="10"/>
        <v>1711556.4007822587</v>
      </c>
      <c r="F104" s="8"/>
      <c r="G104" s="256"/>
      <c r="H104" s="49"/>
      <c r="I104" s="258"/>
      <c r="J104" s="20">
        <f t="shared" si="9"/>
        <v>41029</v>
      </c>
      <c r="K104" s="27">
        <f>'Global (Gross)'!K104</f>
        <v>-1.1055092953193475</v>
      </c>
      <c r="L104" s="46">
        <f t="shared" si="11"/>
        <v>1401672.9931112048</v>
      </c>
      <c r="M104" s="7"/>
      <c r="N104" s="256"/>
      <c r="O104" s="258"/>
      <c r="P104" s="20">
        <f t="shared" si="12"/>
        <v>41029</v>
      </c>
      <c r="Q104" s="45">
        <f>'Global (Gross)'!Q104</f>
        <v>0.94355266648979419</v>
      </c>
      <c r="R104" s="46">
        <f t="shared" si="13"/>
        <v>1366612.0378061654</v>
      </c>
      <c r="S104" s="7"/>
      <c r="T104" s="256"/>
      <c r="U104" s="258"/>
      <c r="V104" s="267" t="e">
        <f>#REF!-W104</f>
        <v>#REF!</v>
      </c>
      <c r="W104" s="90">
        <v>-0.36</v>
      </c>
    </row>
    <row r="105" spans="1:23" x14ac:dyDescent="0.25">
      <c r="A105" s="21">
        <v>41060</v>
      </c>
      <c r="B105" s="24">
        <f t="shared" si="14"/>
        <v>89</v>
      </c>
      <c r="C105" s="97" t="s">
        <v>115</v>
      </c>
      <c r="D105" s="29">
        <v>-2.54</v>
      </c>
      <c r="E105" s="47">
        <f t="shared" si="10"/>
        <v>1668082.8682023895</v>
      </c>
      <c r="F105" s="8"/>
      <c r="G105" s="256"/>
      <c r="H105" s="49"/>
      <c r="I105" s="258"/>
      <c r="J105" s="20">
        <f t="shared" si="9"/>
        <v>41060</v>
      </c>
      <c r="K105" s="27">
        <f>'Global (Gross)'!K105</f>
        <v>-8.8749862087642057</v>
      </c>
      <c r="L105" s="46">
        <f t="shared" si="11"/>
        <v>1277274.7082806129</v>
      </c>
      <c r="M105" s="7"/>
      <c r="N105" s="256"/>
      <c r="O105" s="258"/>
      <c r="P105" s="20">
        <f t="shared" si="12"/>
        <v>41060</v>
      </c>
      <c r="Q105" s="45">
        <f>'Global (Gross)'!Q105</f>
        <v>-4.7673024165064941</v>
      </c>
      <c r="R105" s="46">
        <f t="shared" si="13"/>
        <v>1301461.5091035634</v>
      </c>
      <c r="S105" s="7"/>
      <c r="T105" s="256"/>
      <c r="U105" s="258"/>
      <c r="V105" s="267" t="e">
        <f>#REF!-W105</f>
        <v>#REF!</v>
      </c>
      <c r="W105" s="90">
        <v>-2.54</v>
      </c>
    </row>
    <row r="106" spans="1:23" x14ac:dyDescent="0.25">
      <c r="A106" s="21">
        <v>41090</v>
      </c>
      <c r="B106" s="24">
        <f t="shared" si="14"/>
        <v>90</v>
      </c>
      <c r="C106" s="97" t="s">
        <v>115</v>
      </c>
      <c r="D106" s="29">
        <v>4.8499999999999996</v>
      </c>
      <c r="E106" s="47">
        <f t="shared" si="10"/>
        <v>1748984.8873102053</v>
      </c>
      <c r="F106" s="8"/>
      <c r="G106" s="49">
        <f>(E106/E103-1)*100</f>
        <v>1.8189374839999939</v>
      </c>
      <c r="H106" s="49"/>
      <c r="I106" s="258"/>
      <c r="J106" s="20">
        <f t="shared" si="9"/>
        <v>41090</v>
      </c>
      <c r="K106" s="27">
        <f>'Global (Gross)'!K106</f>
        <v>4.99130184017951</v>
      </c>
      <c r="L106" s="46">
        <f t="shared" si="11"/>
        <v>1341027.3442991707</v>
      </c>
      <c r="M106" s="7"/>
      <c r="N106" s="49">
        <f>(L106/L103-1)*100</f>
        <v>-5.3843393663822958</v>
      </c>
      <c r="O106" s="258"/>
      <c r="P106" s="20">
        <f t="shared" si="12"/>
        <v>41090</v>
      </c>
      <c r="Q106" s="45">
        <f>'Global (Gross)'!Q106</f>
        <v>3.8053509513377284</v>
      </c>
      <c r="R106" s="46">
        <f t="shared" si="13"/>
        <v>1350986.6870215302</v>
      </c>
      <c r="S106" s="7"/>
      <c r="T106" s="49">
        <f>(R106/R103-1)*100</f>
        <v>-0.21059962854867997</v>
      </c>
      <c r="U106" s="258"/>
      <c r="V106" s="267" t="e">
        <f>#REF!-W106</f>
        <v>#REF!</v>
      </c>
      <c r="W106" s="90">
        <v>4.8499999999999996</v>
      </c>
    </row>
    <row r="107" spans="1:23" x14ac:dyDescent="0.25">
      <c r="A107" s="21">
        <v>41121</v>
      </c>
      <c r="B107" s="24">
        <f t="shared" si="14"/>
        <v>91</v>
      </c>
      <c r="C107" s="97" t="s">
        <v>115</v>
      </c>
      <c r="D107" s="29">
        <v>1.28</v>
      </c>
      <c r="E107" s="47">
        <f t="shared" si="10"/>
        <v>1771371.8938677758</v>
      </c>
      <c r="F107" s="8"/>
      <c r="G107" s="256"/>
      <c r="H107" s="49"/>
      <c r="I107" s="258"/>
      <c r="J107" s="20">
        <f t="shared" si="9"/>
        <v>41121</v>
      </c>
      <c r="K107" s="27">
        <f>'Global (Gross)'!K107</f>
        <v>1.40084198861955</v>
      </c>
      <c r="L107" s="46">
        <f t="shared" si="11"/>
        <v>1359813.0184169831</v>
      </c>
      <c r="M107" s="7"/>
      <c r="N107" s="256"/>
      <c r="O107" s="258"/>
      <c r="P107" s="20">
        <f t="shared" si="12"/>
        <v>41121</v>
      </c>
      <c r="Q107" s="45">
        <f>'Global (Gross)'!Q107</f>
        <v>2.1458447579640061</v>
      </c>
      <c r="R107" s="46">
        <f t="shared" si="13"/>
        <v>1379976.7640257734</v>
      </c>
      <c r="S107" s="7"/>
      <c r="T107" s="256"/>
      <c r="U107" s="258"/>
      <c r="V107" s="267" t="e">
        <f>#REF!-W107</f>
        <v>#REF!</v>
      </c>
      <c r="W107" s="90">
        <v>1.28</v>
      </c>
    </row>
    <row r="108" spans="1:23" x14ac:dyDescent="0.25">
      <c r="A108" s="21">
        <v>41152</v>
      </c>
      <c r="B108" s="24">
        <f t="shared" si="14"/>
        <v>92</v>
      </c>
      <c r="C108" s="97" t="s">
        <v>115</v>
      </c>
      <c r="D108" s="29">
        <v>-0.25</v>
      </c>
      <c r="E108" s="47">
        <f t="shared" si="10"/>
        <v>1766943.4641331064</v>
      </c>
      <c r="F108" s="8"/>
      <c r="G108" s="256"/>
      <c r="H108" s="49"/>
      <c r="I108" s="258"/>
      <c r="J108" s="20">
        <f t="shared" si="9"/>
        <v>41152</v>
      </c>
      <c r="K108" s="27">
        <f>'Global (Gross)'!K108</f>
        <v>2.2357286491907349</v>
      </c>
      <c r="L108" s="46">
        <f t="shared" si="11"/>
        <v>1390214.7476451569</v>
      </c>
      <c r="M108" s="7"/>
      <c r="N108" s="256"/>
      <c r="O108" s="258"/>
      <c r="P108" s="20">
        <f t="shared" si="12"/>
        <v>41152</v>
      </c>
      <c r="Q108" s="45">
        <f>'Global (Gross)'!Q108</f>
        <v>0.62291452481078879</v>
      </c>
      <c r="R108" s="46">
        <f t="shared" si="13"/>
        <v>1388572.8397279039</v>
      </c>
      <c r="S108" s="7"/>
      <c r="T108" s="256"/>
      <c r="U108" s="258"/>
      <c r="V108" s="267" t="e">
        <f>#REF!-W108</f>
        <v>#REF!</v>
      </c>
      <c r="W108" s="90">
        <v>-0.25</v>
      </c>
    </row>
    <row r="109" spans="1:23" x14ac:dyDescent="0.25">
      <c r="A109" s="21">
        <v>41182</v>
      </c>
      <c r="B109" s="24">
        <f t="shared" si="14"/>
        <v>93</v>
      </c>
      <c r="C109" s="97" t="s">
        <v>115</v>
      </c>
      <c r="D109" s="29">
        <v>2.09</v>
      </c>
      <c r="E109" s="47">
        <f t="shared" si="10"/>
        <v>1803872.5825334883</v>
      </c>
      <c r="F109" s="8"/>
      <c r="G109" s="49">
        <f>(E109/E106-1)*100</f>
        <v>3.1382601200000027</v>
      </c>
      <c r="H109" s="49"/>
      <c r="I109" s="258"/>
      <c r="J109" s="20">
        <f t="shared" si="9"/>
        <v>41182</v>
      </c>
      <c r="K109" s="27">
        <f>'Global (Gross)'!K109</f>
        <v>3.1957261886733619</v>
      </c>
      <c r="L109" s="46">
        <f t="shared" si="11"/>
        <v>1434642.2044144524</v>
      </c>
      <c r="M109" s="7"/>
      <c r="N109" s="49">
        <f>(L109/L106-1)*100</f>
        <v>6.9808315627005735</v>
      </c>
      <c r="O109" s="258"/>
      <c r="P109" s="20">
        <f t="shared" si="12"/>
        <v>41182</v>
      </c>
      <c r="Q109" s="45">
        <f>'Global (Gross)'!Q109</f>
        <v>1.8697939571099802</v>
      </c>
      <c r="R109" s="46">
        <f t="shared" si="13"/>
        <v>1414536.2907752066</v>
      </c>
      <c r="S109" s="7"/>
      <c r="T109" s="49">
        <f>(R109/R106-1)*100</f>
        <v>4.7039400435382461</v>
      </c>
      <c r="U109" s="258"/>
      <c r="V109" s="267" t="e">
        <f>#REF!-W109</f>
        <v>#REF!</v>
      </c>
      <c r="W109" s="90">
        <v>2.09</v>
      </c>
    </row>
    <row r="110" spans="1:23" x14ac:dyDescent="0.25">
      <c r="A110" s="21">
        <v>41213</v>
      </c>
      <c r="B110" s="24">
        <f t="shared" si="14"/>
        <v>94</v>
      </c>
      <c r="C110" s="97" t="s">
        <v>115</v>
      </c>
      <c r="D110" s="29">
        <v>-0.34</v>
      </c>
      <c r="E110" s="47">
        <f t="shared" si="10"/>
        <v>1797739.4157528745</v>
      </c>
      <c r="F110" s="8"/>
      <c r="G110" s="256"/>
      <c r="H110" s="49"/>
      <c r="I110" s="258"/>
      <c r="J110" s="20">
        <f t="shared" si="9"/>
        <v>41213</v>
      </c>
      <c r="K110" s="27">
        <f>'Global (Gross)'!K110</f>
        <v>-0.64073982249198291</v>
      </c>
      <c r="L110" s="46">
        <f t="shared" si="11"/>
        <v>1425449.8805004922</v>
      </c>
      <c r="M110" s="7"/>
      <c r="N110" s="256"/>
      <c r="O110" s="258"/>
      <c r="P110" s="20">
        <f t="shared" si="12"/>
        <v>41213</v>
      </c>
      <c r="Q110" s="45">
        <f>'Global (Gross)'!Q110</f>
        <v>-0.7437187429026576</v>
      </c>
      <c r="R110" s="46">
        <f t="shared" si="13"/>
        <v>1404016.1192555514</v>
      </c>
      <c r="S110" s="7"/>
      <c r="T110" s="256"/>
      <c r="U110" s="258"/>
      <c r="V110" s="267" t="e">
        <f>#REF!-W110</f>
        <v>#REF!</v>
      </c>
      <c r="W110" s="90">
        <v>-0.34</v>
      </c>
    </row>
    <row r="111" spans="1:23" x14ac:dyDescent="0.25">
      <c r="A111" s="21">
        <v>41243</v>
      </c>
      <c r="B111" s="24">
        <f t="shared" si="14"/>
        <v>95</v>
      </c>
      <c r="C111" s="97" t="s">
        <v>115</v>
      </c>
      <c r="D111" s="29">
        <v>-0.12</v>
      </c>
      <c r="E111" s="47">
        <f t="shared" si="10"/>
        <v>1795582.1284539711</v>
      </c>
      <c r="F111" s="8"/>
      <c r="G111" s="256"/>
      <c r="H111" s="49"/>
      <c r="I111" s="258"/>
      <c r="J111" s="20">
        <f t="shared" si="9"/>
        <v>41243</v>
      </c>
      <c r="K111" s="27">
        <f>'Global (Gross)'!K111</f>
        <v>1.3358516060152525</v>
      </c>
      <c r="L111" s="46">
        <f t="shared" si="11"/>
        <v>1444491.7756221006</v>
      </c>
      <c r="M111" s="7"/>
      <c r="N111" s="256"/>
      <c r="O111" s="258"/>
      <c r="P111" s="20">
        <f t="shared" si="12"/>
        <v>41243</v>
      </c>
      <c r="Q111" s="45">
        <f>'Global (Gross)'!Q111</f>
        <v>0.33866818337140048</v>
      </c>
      <c r="R111" s="46">
        <f t="shared" si="13"/>
        <v>1408771.0751408758</v>
      </c>
      <c r="S111" s="7"/>
      <c r="T111" s="256"/>
      <c r="U111" s="258"/>
      <c r="V111" s="267" t="e">
        <f>#REF!-W111</f>
        <v>#REF!</v>
      </c>
      <c r="W111" s="90">
        <v>-0.12</v>
      </c>
    </row>
    <row r="112" spans="1:23" x14ac:dyDescent="0.25">
      <c r="A112" s="21">
        <v>41274</v>
      </c>
      <c r="B112" s="24">
        <f t="shared" si="14"/>
        <v>96</v>
      </c>
      <c r="C112" s="97" t="s">
        <v>115</v>
      </c>
      <c r="D112" s="29">
        <v>-0.35</v>
      </c>
      <c r="E112" s="47">
        <f t="shared" si="10"/>
        <v>1789297.5910043821</v>
      </c>
      <c r="F112" s="12">
        <f>(E112-E100)/E100*100</f>
        <v>9.7822672490873828</v>
      </c>
      <c r="G112" s="49">
        <f>(E112/E109-1)*100</f>
        <v>-0.80798342799999201</v>
      </c>
      <c r="H112" s="49"/>
      <c r="I112" s="258"/>
      <c r="J112" s="20">
        <f t="shared" ref="J112:J143" si="15">A112</f>
        <v>41274</v>
      </c>
      <c r="K112" s="27">
        <f>'Global (Gross)'!K112</f>
        <v>2.3317780522391494</v>
      </c>
      <c r="L112" s="46">
        <f t="shared" si="11"/>
        <v>1478174.1178124563</v>
      </c>
      <c r="M112" s="19">
        <f>(L112-L100)/L100*100</f>
        <v>16.822886024867355</v>
      </c>
      <c r="N112" s="49">
        <f>(L112/L109-1)*100</f>
        <v>3.0343393819068254</v>
      </c>
      <c r="O112" s="258"/>
      <c r="P112" s="20">
        <f t="shared" si="12"/>
        <v>41274</v>
      </c>
      <c r="Q112" s="45">
        <f>'Global (Gross)'!Q112</f>
        <v>-0.41409771239898879</v>
      </c>
      <c r="R112" s="46">
        <f t="shared" si="13"/>
        <v>1402937.3863457788</v>
      </c>
      <c r="S112" s="19">
        <f>(R112-R100)/R100*100</f>
        <v>8.6951923745912776</v>
      </c>
      <c r="T112" s="49">
        <f>(R112/R109-1)*100</f>
        <v>-0.81997927554557926</v>
      </c>
      <c r="U112" s="258"/>
      <c r="V112" s="267" t="e">
        <f>#REF!-W112</f>
        <v>#REF!</v>
      </c>
      <c r="W112" s="90">
        <v>-0.35</v>
      </c>
    </row>
    <row r="113" spans="1:24" x14ac:dyDescent="0.25">
      <c r="A113" s="21">
        <v>41305</v>
      </c>
      <c r="B113" s="24">
        <f t="shared" si="14"/>
        <v>97</v>
      </c>
      <c r="C113" s="97" t="s">
        <v>115</v>
      </c>
      <c r="D113" s="29">
        <v>4.78</v>
      </c>
      <c r="E113" s="47">
        <f t="shared" si="10"/>
        <v>1874826.0158543915</v>
      </c>
      <c r="F113" s="84">
        <f>(E112-E102)/E102*100</f>
        <v>6.3949303572798151</v>
      </c>
      <c r="G113" s="256"/>
      <c r="H113" s="49"/>
      <c r="I113" s="258"/>
      <c r="J113" s="20">
        <f t="shared" si="15"/>
        <v>41305</v>
      </c>
      <c r="K113" s="27">
        <f>'Global (Gross)'!K113</f>
        <v>4.6267435559494041</v>
      </c>
      <c r="L113" s="46">
        <f t="shared" si="11"/>
        <v>1546565.4435540561</v>
      </c>
      <c r="M113" s="84">
        <f>(L112-L102)/L102*100</f>
        <v>5.041160280329497</v>
      </c>
      <c r="N113" s="256"/>
      <c r="O113" s="258"/>
      <c r="P113" s="20">
        <f t="shared" si="12"/>
        <v>41305</v>
      </c>
      <c r="Q113" s="45">
        <f>'Global (Gross)'!Q113</f>
        <v>4.3337172817095109</v>
      </c>
      <c r="R113" s="46">
        <f t="shared" si="13"/>
        <v>1463736.7263094096</v>
      </c>
      <c r="S113" s="15"/>
      <c r="T113" s="256"/>
      <c r="U113" s="258"/>
      <c r="V113" s="267" t="e">
        <f>#REF!-W113</f>
        <v>#REF!</v>
      </c>
      <c r="W113" s="90">
        <v>4.78</v>
      </c>
      <c r="X113" s="256"/>
    </row>
    <row r="114" spans="1:24" x14ac:dyDescent="0.25">
      <c r="A114" s="21">
        <v>41333</v>
      </c>
      <c r="B114" s="24">
        <f t="shared" si="14"/>
        <v>98</v>
      </c>
      <c r="C114" s="97" t="s">
        <v>115</v>
      </c>
      <c r="D114" s="29">
        <v>1.99</v>
      </c>
      <c r="E114" s="47">
        <f t="shared" si="10"/>
        <v>1912135.0535698938</v>
      </c>
      <c r="F114" s="256"/>
      <c r="G114" s="256"/>
      <c r="H114" s="49"/>
      <c r="I114" s="258"/>
      <c r="J114" s="20">
        <f t="shared" si="15"/>
        <v>41333</v>
      </c>
      <c r="K114" s="27">
        <f>'Global (Gross)'!K114</f>
        <v>3.0975245256675391E-2</v>
      </c>
      <c r="L114" s="46">
        <f t="shared" si="11"/>
        <v>1547044.4959932519</v>
      </c>
      <c r="M114" s="7"/>
      <c r="N114" s="256"/>
      <c r="O114" s="258"/>
      <c r="P114" s="20">
        <f t="shared" si="12"/>
        <v>41333</v>
      </c>
      <c r="Q114" s="45">
        <f>'Global (Gross)'!Q114</f>
        <v>2.5757821507847689</v>
      </c>
      <c r="R114" s="46">
        <f t="shared" si="13"/>
        <v>1501439.3956401686</v>
      </c>
      <c r="S114" s="7"/>
      <c r="T114" s="256"/>
      <c r="U114" s="258"/>
      <c r="V114" s="267" t="e">
        <f>#REF!-W114</f>
        <v>#REF!</v>
      </c>
      <c r="W114" s="90">
        <v>1.99</v>
      </c>
      <c r="X114" s="256"/>
    </row>
    <row r="115" spans="1:24" x14ac:dyDescent="0.25">
      <c r="A115" s="21">
        <v>41364</v>
      </c>
      <c r="B115" s="24">
        <f t="shared" si="14"/>
        <v>99</v>
      </c>
      <c r="C115" s="97" t="s">
        <v>115</v>
      </c>
      <c r="D115" s="29">
        <v>3.72</v>
      </c>
      <c r="E115" s="47">
        <f t="shared" si="10"/>
        <v>1983266.4775626939</v>
      </c>
      <c r="F115" s="54"/>
      <c r="G115" s="49">
        <f>(E115/E112-1)*100</f>
        <v>10.840504538399998</v>
      </c>
      <c r="H115" s="49"/>
      <c r="I115" s="258"/>
      <c r="J115" s="20">
        <f t="shared" si="15"/>
        <v>41364</v>
      </c>
      <c r="K115" s="27">
        <f>'Global (Gross)'!K115</f>
        <v>1.8908359613245187</v>
      </c>
      <c r="L115" s="46">
        <f t="shared" si="11"/>
        <v>1576296.569661184</v>
      </c>
      <c r="M115" s="7"/>
      <c r="N115" s="49">
        <f>(L115/L112-1)*100</f>
        <v>6.6380848281891724</v>
      </c>
      <c r="O115" s="258"/>
      <c r="P115" s="20">
        <f t="shared" si="12"/>
        <v>41364</v>
      </c>
      <c r="Q115" s="45">
        <f>'Global (Gross)'!Q115</f>
        <v>4.5749751247091508</v>
      </c>
      <c r="R115" s="46">
        <f t="shared" si="13"/>
        <v>1570129.8745032898</v>
      </c>
      <c r="S115" s="7"/>
      <c r="T115" s="49">
        <f>(R115/R112-1)*100</f>
        <v>11.917316466488659</v>
      </c>
      <c r="U115" s="258"/>
      <c r="V115" s="267" t="e">
        <f>#REF!-W115</f>
        <v>#REF!</v>
      </c>
      <c r="W115" s="90">
        <v>3.72</v>
      </c>
      <c r="X115" s="256"/>
    </row>
    <row r="116" spans="1:24" x14ac:dyDescent="0.25">
      <c r="A116" s="21">
        <v>41394</v>
      </c>
      <c r="B116" s="24">
        <f t="shared" si="14"/>
        <v>100</v>
      </c>
      <c r="C116" s="97" t="s">
        <v>115</v>
      </c>
      <c r="D116" s="29">
        <v>3.91</v>
      </c>
      <c r="E116" s="47">
        <f t="shared" si="10"/>
        <v>2060812.1968353952</v>
      </c>
      <c r="F116" s="54"/>
      <c r="G116" s="256"/>
      <c r="H116" s="49"/>
      <c r="I116" s="258"/>
      <c r="J116" s="20">
        <f t="shared" si="15"/>
        <v>41394</v>
      </c>
      <c r="K116" s="27">
        <f>'Global (Gross)'!K116</f>
        <v>2.8945931428696281</v>
      </c>
      <c r="L116" s="46">
        <f t="shared" si="11"/>
        <v>1621923.9420778858</v>
      </c>
      <c r="M116" s="7"/>
      <c r="N116" s="256"/>
      <c r="O116" s="258"/>
      <c r="P116" s="20">
        <f t="shared" si="12"/>
        <v>41394</v>
      </c>
      <c r="Q116" s="45">
        <f>'Global (Gross)'!Q116</f>
        <v>2.9238273538123716</v>
      </c>
      <c r="R116" s="46">
        <f t="shared" si="13"/>
        <v>1616037.7612643968</v>
      </c>
      <c r="S116" s="7"/>
      <c r="T116" s="256"/>
      <c r="U116" s="258"/>
      <c r="V116" s="267" t="e">
        <f>#REF!-W116</f>
        <v>#REF!</v>
      </c>
      <c r="W116" s="90">
        <v>3.91</v>
      </c>
      <c r="X116" s="256"/>
    </row>
    <row r="117" spans="1:24" x14ac:dyDescent="0.25">
      <c r="A117" s="21">
        <v>41425</v>
      </c>
      <c r="B117" s="24">
        <f t="shared" si="14"/>
        <v>101</v>
      </c>
      <c r="C117" s="97" t="s">
        <v>115</v>
      </c>
      <c r="D117" s="29">
        <v>-2.52</v>
      </c>
      <c r="E117" s="47">
        <f t="shared" si="10"/>
        <v>2008879.7294751431</v>
      </c>
      <c r="F117" s="54"/>
      <c r="G117" s="256"/>
      <c r="H117" s="49"/>
      <c r="I117" s="258"/>
      <c r="J117" s="20">
        <f t="shared" si="15"/>
        <v>41425</v>
      </c>
      <c r="K117" s="27">
        <f>'Global (Gross)'!K117</f>
        <v>-0.19063002606021323</v>
      </c>
      <c r="L117" s="46">
        <f t="shared" si="11"/>
        <v>1618832.0680444259</v>
      </c>
      <c r="M117" s="7"/>
      <c r="N117" s="256"/>
      <c r="O117" s="258"/>
      <c r="P117" s="20">
        <f t="shared" si="12"/>
        <v>41425</v>
      </c>
      <c r="Q117" s="45">
        <f>'Global (Gross)'!Q117</f>
        <v>-4.4704755292105052</v>
      </c>
      <c r="R117" s="46">
        <f t="shared" si="13"/>
        <v>1543793.1886042706</v>
      </c>
      <c r="S117" s="7"/>
      <c r="T117" s="256"/>
      <c r="U117" s="258"/>
      <c r="V117" s="267" t="e">
        <f>#REF!-W117</f>
        <v>#REF!</v>
      </c>
      <c r="W117" s="90">
        <v>-2.52</v>
      </c>
      <c r="X117" s="256"/>
    </row>
    <row r="118" spans="1:24" x14ac:dyDescent="0.25">
      <c r="A118" s="21">
        <v>41455</v>
      </c>
      <c r="B118" s="24">
        <f t="shared" si="14"/>
        <v>102</v>
      </c>
      <c r="C118" s="97" t="s">
        <v>115</v>
      </c>
      <c r="D118" s="29">
        <v>-0.62</v>
      </c>
      <c r="E118" s="47">
        <f t="shared" si="10"/>
        <v>1996424.6751523972</v>
      </c>
      <c r="F118" s="54"/>
      <c r="G118" s="49">
        <f>(E118/E115-1)*100</f>
        <v>0.66346089839999234</v>
      </c>
      <c r="H118" s="49"/>
      <c r="I118" s="258"/>
      <c r="J118" s="20">
        <f t="shared" si="15"/>
        <v>41455</v>
      </c>
      <c r="K118" s="27">
        <f>'Global (Gross)'!K118</f>
        <v>-2.8805221823048321</v>
      </c>
      <c r="L118" s="46">
        <f t="shared" si="11"/>
        <v>1572201.2512301421</v>
      </c>
      <c r="M118" s="7"/>
      <c r="N118" s="49">
        <f>(L118/L115-1)*100</f>
        <v>-0.25980634037173767</v>
      </c>
      <c r="O118" s="258"/>
      <c r="P118" s="20">
        <f t="shared" si="12"/>
        <v>41455</v>
      </c>
      <c r="Q118" s="45">
        <f>'Global (Gross)'!Q118</f>
        <v>-0.39101184640249831</v>
      </c>
      <c r="R118" s="46">
        <f t="shared" si="13"/>
        <v>1537756.774352873</v>
      </c>
      <c r="S118" s="7"/>
      <c r="T118" s="49">
        <f>(R118/R115-1)*100</f>
        <v>-2.0618103429602019</v>
      </c>
      <c r="U118" s="258"/>
      <c r="V118" s="267" t="e">
        <f>#REF!-W118</f>
        <v>#REF!</v>
      </c>
      <c r="W118" s="90">
        <v>-0.62</v>
      </c>
      <c r="X118" s="256"/>
    </row>
    <row r="119" spans="1:24" x14ac:dyDescent="0.25">
      <c r="A119" s="21">
        <v>41486</v>
      </c>
      <c r="B119" s="24">
        <f t="shared" si="14"/>
        <v>103</v>
      </c>
      <c r="C119" s="97" t="s">
        <v>115</v>
      </c>
      <c r="D119" s="29">
        <v>3.52</v>
      </c>
      <c r="E119" s="47">
        <f t="shared" si="10"/>
        <v>2066698.8237177616</v>
      </c>
      <c r="F119" s="256"/>
      <c r="G119" s="256"/>
      <c r="H119" s="49"/>
      <c r="I119" s="258"/>
      <c r="J119" s="20">
        <f t="shared" si="15"/>
        <v>41486</v>
      </c>
      <c r="K119" s="27">
        <f>'Global (Gross)'!K119</f>
        <v>4.8315455486609515</v>
      </c>
      <c r="L119" s="46">
        <f t="shared" si="11"/>
        <v>1648162.8707999438</v>
      </c>
      <c r="M119" s="7"/>
      <c r="N119" s="256"/>
      <c r="O119" s="258"/>
      <c r="P119" s="20">
        <f t="shared" si="12"/>
        <v>41486</v>
      </c>
      <c r="Q119" s="45">
        <f>'Global (Gross)'!Q119</f>
        <v>3.0054251105534169</v>
      </c>
      <c r="R119" s="46">
        <f t="shared" si="13"/>
        <v>1583972.9025885104</v>
      </c>
      <c r="S119" s="7"/>
      <c r="T119" s="256"/>
      <c r="U119" s="258"/>
      <c r="V119" s="267" t="e">
        <f>#REF!-W119</f>
        <v>#REF!</v>
      </c>
      <c r="W119" s="90">
        <v>3.52</v>
      </c>
      <c r="X119" s="256"/>
    </row>
    <row r="120" spans="1:24" x14ac:dyDescent="0.25">
      <c r="A120" s="21">
        <v>41517</v>
      </c>
      <c r="B120" s="24">
        <f t="shared" si="14"/>
        <v>104</v>
      </c>
      <c r="C120" s="97" t="s">
        <v>115</v>
      </c>
      <c r="D120" s="29">
        <v>-2.92</v>
      </c>
      <c r="E120" s="47">
        <f t="shared" si="10"/>
        <v>2006351.2180652029</v>
      </c>
      <c r="F120" s="256"/>
      <c r="G120" s="256"/>
      <c r="H120" s="49"/>
      <c r="I120" s="258"/>
      <c r="J120" s="20">
        <f t="shared" si="15"/>
        <v>41517</v>
      </c>
      <c r="K120" s="27">
        <f>'Global (Gross)'!K120</f>
        <v>-2.0337986924848663</v>
      </c>
      <c r="L120" s="46">
        <f t="shared" si="11"/>
        <v>1614642.5558835936</v>
      </c>
      <c r="M120" s="7"/>
      <c r="N120" s="256"/>
      <c r="O120" s="258"/>
      <c r="P120" s="20">
        <f t="shared" si="12"/>
        <v>41517</v>
      </c>
      <c r="Q120" s="45">
        <f>'Global (Gross)'!Q120</f>
        <v>-2.7795445263514957</v>
      </c>
      <c r="R120" s="46">
        <f t="shared" si="13"/>
        <v>1539945.6704757207</v>
      </c>
      <c r="S120" s="7"/>
      <c r="T120" s="256"/>
      <c r="U120" s="258"/>
      <c r="V120" s="267" t="e">
        <f>#REF!-W120</f>
        <v>#REF!</v>
      </c>
      <c r="W120" s="90">
        <v>-2.92</v>
      </c>
      <c r="X120" s="256"/>
    </row>
    <row r="121" spans="1:24" x14ac:dyDescent="0.25">
      <c r="A121" s="21">
        <v>41547</v>
      </c>
      <c r="B121" s="24">
        <f t="shared" si="14"/>
        <v>105</v>
      </c>
      <c r="C121" s="97" t="s">
        <v>115</v>
      </c>
      <c r="D121" s="29">
        <v>2.36</v>
      </c>
      <c r="E121" s="47">
        <f t="shared" si="10"/>
        <v>2053701.1068115418</v>
      </c>
      <c r="F121" s="54"/>
      <c r="G121" s="49">
        <f>(E121/E118-1)*100</f>
        <v>2.8689502975999925</v>
      </c>
      <c r="H121" s="49"/>
      <c r="I121" s="258"/>
      <c r="J121" s="20">
        <f t="shared" si="15"/>
        <v>41547</v>
      </c>
      <c r="K121" s="27">
        <f>'Global (Gross)'!K121</f>
        <v>5.2164342865153346</v>
      </c>
      <c r="L121" s="46">
        <f t="shared" si="11"/>
        <v>1698869.3237733729</v>
      </c>
      <c r="M121" s="7"/>
      <c r="N121" s="49">
        <f>(L121/L118-1)*100</f>
        <v>8.0567339864487266</v>
      </c>
      <c r="O121" s="258"/>
      <c r="P121" s="20">
        <f t="shared" si="12"/>
        <v>41547</v>
      </c>
      <c r="Q121" s="45">
        <f>'Global (Gross)'!Q121</f>
        <v>3.2900859844475736</v>
      </c>
      <c r="R121" s="46">
        <f t="shared" si="13"/>
        <v>1590611.2071481496</v>
      </c>
      <c r="S121" s="7"/>
      <c r="T121" s="49">
        <f>(R121/R118-1)*100</f>
        <v>3.437112661559838</v>
      </c>
      <c r="U121" s="258"/>
      <c r="V121" s="267" t="e">
        <f>#REF!-W121</f>
        <v>#REF!</v>
      </c>
      <c r="W121" s="90">
        <v>2.36</v>
      </c>
      <c r="X121" s="256"/>
    </row>
    <row r="122" spans="1:24" x14ac:dyDescent="0.25">
      <c r="A122" s="21">
        <v>41578</v>
      </c>
      <c r="B122" s="24">
        <f t="shared" si="14"/>
        <v>106</v>
      </c>
      <c r="C122" s="97" t="s">
        <v>115</v>
      </c>
      <c r="D122" s="29">
        <v>3.12</v>
      </c>
      <c r="E122" s="47">
        <f t="shared" si="10"/>
        <v>2117776.581344062</v>
      </c>
      <c r="F122" s="54"/>
      <c r="G122" s="256"/>
      <c r="H122" s="49"/>
      <c r="I122" s="258"/>
      <c r="J122" s="20">
        <f t="shared" si="15"/>
        <v>41578</v>
      </c>
      <c r="K122" s="27">
        <f>'Global (Gross)'!K122</f>
        <v>4.0473160608512488</v>
      </c>
      <c r="L122" s="46">
        <f t="shared" si="11"/>
        <v>1767627.9347673277</v>
      </c>
      <c r="M122" s="7"/>
      <c r="N122" s="256"/>
      <c r="O122" s="258"/>
      <c r="P122" s="20">
        <f t="shared" si="12"/>
        <v>41578</v>
      </c>
      <c r="Q122" s="45">
        <f>'Global (Gross)'!Q122</f>
        <v>3.5390105051340845</v>
      </c>
      <c r="R122" s="46">
        <f t="shared" si="13"/>
        <v>1646903.1048649626</v>
      </c>
      <c r="S122" s="7"/>
      <c r="T122" s="256"/>
      <c r="U122" s="258"/>
      <c r="V122" s="267" t="e">
        <f>#REF!-W122</f>
        <v>#REF!</v>
      </c>
      <c r="W122" s="90">
        <v>3.12</v>
      </c>
      <c r="X122" s="256"/>
    </row>
    <row r="123" spans="1:24" x14ac:dyDescent="0.25">
      <c r="A123" s="21">
        <v>41608</v>
      </c>
      <c r="B123" s="24">
        <f t="shared" si="14"/>
        <v>107</v>
      </c>
      <c r="C123" s="97" t="s">
        <v>115</v>
      </c>
      <c r="D123" s="29">
        <v>1.1499999999999999</v>
      </c>
      <c r="E123" s="47">
        <f t="shared" si="10"/>
        <v>2142131.0120295188</v>
      </c>
      <c r="F123" s="54"/>
      <c r="G123" s="256"/>
      <c r="H123" s="49"/>
      <c r="I123" s="258"/>
      <c r="J123" s="20">
        <f t="shared" si="15"/>
        <v>41608</v>
      </c>
      <c r="K123" s="27">
        <f>'Global (Gross)'!K123</f>
        <v>1.4639941701106809</v>
      </c>
      <c r="L123" s="46">
        <f t="shared" si="11"/>
        <v>1793505.9046815692</v>
      </c>
      <c r="M123" s="7"/>
      <c r="N123" s="256"/>
      <c r="O123" s="258"/>
      <c r="P123" s="20">
        <f t="shared" si="12"/>
        <v>41608</v>
      </c>
      <c r="Q123" s="45">
        <f>'Global (Gross)'!Q123</f>
        <v>-0.13774911136146342</v>
      </c>
      <c r="R123" s="46">
        <f t="shared" si="13"/>
        <v>1644634.5104730269</v>
      </c>
      <c r="S123" s="7"/>
      <c r="T123" s="256"/>
      <c r="U123" s="258"/>
      <c r="V123" s="267" t="e">
        <f>#REF!-W123</f>
        <v>#REF!</v>
      </c>
      <c r="W123" s="90">
        <v>1.1499999999999999</v>
      </c>
      <c r="X123" s="256"/>
    </row>
    <row r="124" spans="1:24" x14ac:dyDescent="0.25">
      <c r="A124" s="21">
        <v>41639</v>
      </c>
      <c r="B124" s="24">
        <f t="shared" si="14"/>
        <v>108</v>
      </c>
      <c r="C124" s="97" t="s">
        <v>115</v>
      </c>
      <c r="D124" s="29">
        <v>0.91</v>
      </c>
      <c r="E124" s="47">
        <f t="shared" si="10"/>
        <v>2161624.4042389872</v>
      </c>
      <c r="F124" s="12">
        <f>(E124-E112)/E112*100</f>
        <v>20.808546052175021</v>
      </c>
      <c r="G124" s="49">
        <f>(E124/E121-1)*100</f>
        <v>5.2550635080000019</v>
      </c>
      <c r="H124" s="49"/>
      <c r="I124" s="258"/>
      <c r="J124" s="20">
        <f t="shared" si="15"/>
        <v>41639</v>
      </c>
      <c r="K124" s="27">
        <f>'Global (Gross)'!K124</f>
        <v>1.7782496678838144</v>
      </c>
      <c r="L124" s="46">
        <f t="shared" si="11"/>
        <v>1825398.9174750459</v>
      </c>
      <c r="M124" s="19">
        <f>(L124-L112)/L112*100</f>
        <v>23.490114965376751</v>
      </c>
      <c r="N124" s="49">
        <f>(L124/L121-1)*100</f>
        <v>7.4478708827726114</v>
      </c>
      <c r="O124" s="258"/>
      <c r="P124" s="20">
        <f t="shared" si="12"/>
        <v>41639</v>
      </c>
      <c r="Q124" s="45">
        <f>'Global (Gross)'!Q124</f>
        <v>0.29874296577027754</v>
      </c>
      <c r="R124" s="46">
        <f t="shared" si="13"/>
        <v>1649547.7403856956</v>
      </c>
      <c r="S124" s="19">
        <f>(R124-R112)/R112*100</f>
        <v>17.578144002724244</v>
      </c>
      <c r="T124" s="49">
        <f>(R124/R121-1)*100</f>
        <v>3.7052758695957477</v>
      </c>
      <c r="U124" s="258"/>
      <c r="V124" s="267" t="e">
        <f>#REF!-W124</f>
        <v>#REF!</v>
      </c>
      <c r="W124" s="90">
        <v>0.91</v>
      </c>
      <c r="X124" s="256"/>
    </row>
    <row r="125" spans="1:24" x14ac:dyDescent="0.25">
      <c r="A125" s="21">
        <v>41670</v>
      </c>
      <c r="B125" s="24">
        <f t="shared" si="14"/>
        <v>109</v>
      </c>
      <c r="C125" s="97" t="s">
        <v>115</v>
      </c>
      <c r="D125" s="29">
        <v>-1.89</v>
      </c>
      <c r="E125" s="47">
        <f t="shared" si="10"/>
        <v>2120769.7029988705</v>
      </c>
      <c r="F125" s="256"/>
      <c r="G125" s="256"/>
      <c r="H125" s="49"/>
      <c r="I125" s="258"/>
      <c r="J125" s="20">
        <f t="shared" si="15"/>
        <v>41670</v>
      </c>
      <c r="K125" s="27">
        <f>'Global (Gross)'!K125</f>
        <v>-3.9778382151194882</v>
      </c>
      <c r="L125" s="46">
        <f t="shared" si="11"/>
        <v>1752787.5017573461</v>
      </c>
      <c r="M125" s="15"/>
      <c r="N125" s="256"/>
      <c r="O125" s="258"/>
      <c r="P125" s="20">
        <f t="shared" si="12"/>
        <v>41670</v>
      </c>
      <c r="Q125" s="45">
        <f>'Global (Gross)'!Q125</f>
        <v>-2.971393100082397</v>
      </c>
      <c r="R125" s="46">
        <f t="shared" si="13"/>
        <v>1600533.19264531</v>
      </c>
      <c r="S125" s="15"/>
      <c r="T125" s="256"/>
      <c r="U125" s="258"/>
      <c r="V125" s="267" t="e">
        <f>#REF!-W125</f>
        <v>#REF!</v>
      </c>
      <c r="W125" s="90">
        <v>-1.89</v>
      </c>
      <c r="X125" s="256"/>
    </row>
    <row r="126" spans="1:24" x14ac:dyDescent="0.25">
      <c r="A126" s="21">
        <v>41698</v>
      </c>
      <c r="B126" s="24">
        <f t="shared" si="14"/>
        <v>110</v>
      </c>
      <c r="C126" s="97" t="s">
        <v>115</v>
      </c>
      <c r="D126" s="29">
        <v>3.41</v>
      </c>
      <c r="E126" s="47">
        <f t="shared" si="10"/>
        <v>2193087.9498711322</v>
      </c>
      <c r="F126" s="256"/>
      <c r="G126" s="256"/>
      <c r="H126" s="49"/>
      <c r="I126" s="258"/>
      <c r="J126" s="20">
        <f t="shared" si="15"/>
        <v>41698</v>
      </c>
      <c r="K126" s="27">
        <f>'Global (Gross)'!K126</f>
        <v>4.8807797665584873</v>
      </c>
      <c r="L126" s="46">
        <f t="shared" si="11"/>
        <v>1838337.1994938846</v>
      </c>
      <c r="M126" s="7"/>
      <c r="N126" s="256"/>
      <c r="O126" s="258"/>
      <c r="P126" s="20">
        <f t="shared" si="12"/>
        <v>41698</v>
      </c>
      <c r="Q126" s="45">
        <f>'Global (Gross)'!Q126</f>
        <v>3.7168119249486669</v>
      </c>
      <c r="R126" s="46">
        <f t="shared" si="13"/>
        <v>1660022.0012123124</v>
      </c>
      <c r="S126" s="7"/>
      <c r="T126" s="256"/>
      <c r="U126" s="258"/>
      <c r="V126" s="267" t="e">
        <f>#REF!-W126</f>
        <v>#REF!</v>
      </c>
      <c r="W126" s="90">
        <v>3.41</v>
      </c>
      <c r="X126" s="256"/>
    </row>
    <row r="127" spans="1:24" x14ac:dyDescent="0.25">
      <c r="A127" s="21">
        <v>41729</v>
      </c>
      <c r="B127" s="24">
        <f t="shared" si="14"/>
        <v>111</v>
      </c>
      <c r="C127" s="97" t="s">
        <v>115</v>
      </c>
      <c r="D127" s="29">
        <v>2.14</v>
      </c>
      <c r="E127" s="47">
        <f t="shared" si="10"/>
        <v>2240020.0319983745</v>
      </c>
      <c r="F127" s="54"/>
      <c r="G127" s="49">
        <f>(E127/E124-1)*100</f>
        <v>3.6266997914000232</v>
      </c>
      <c r="H127" s="49"/>
      <c r="I127" s="258"/>
      <c r="J127" s="20">
        <f t="shared" si="15"/>
        <v>41729</v>
      </c>
      <c r="K127" s="27">
        <f>'Global (Gross)'!K127</f>
        <v>0.51204134568489423</v>
      </c>
      <c r="L127" s="46">
        <f t="shared" si="11"/>
        <v>1847750.2460283991</v>
      </c>
      <c r="M127" s="7"/>
      <c r="N127" s="49">
        <f>(L127/L124-1)*100</f>
        <v>1.2244626826157123</v>
      </c>
      <c r="O127" s="258"/>
      <c r="P127" s="20">
        <f t="shared" si="12"/>
        <v>41729</v>
      </c>
      <c r="Q127" s="45">
        <f>'Global (Gross)'!Q127</f>
        <v>1.031688737010831</v>
      </c>
      <c r="R127" s="46">
        <f t="shared" si="13"/>
        <v>1677148.2612307216</v>
      </c>
      <c r="S127" s="7"/>
      <c r="T127" s="49">
        <f>(R127/R124-1)*100</f>
        <v>1.6732174625374796</v>
      </c>
      <c r="U127" s="258"/>
      <c r="V127" s="267" t="e">
        <f>#REF!-W127</f>
        <v>#REF!</v>
      </c>
      <c r="W127" s="90">
        <v>2.14</v>
      </c>
      <c r="X127" s="268"/>
    </row>
    <row r="128" spans="1:24" x14ac:dyDescent="0.25">
      <c r="A128" s="21">
        <v>41759</v>
      </c>
      <c r="B128" s="24">
        <f t="shared" si="14"/>
        <v>112</v>
      </c>
      <c r="C128" s="97" t="s">
        <v>102</v>
      </c>
      <c r="D128" s="29">
        <v>3.31</v>
      </c>
      <c r="E128" s="47">
        <f t="shared" si="10"/>
        <v>2314164.6950575206</v>
      </c>
      <c r="F128" s="256"/>
      <c r="G128" s="256"/>
      <c r="H128" s="49"/>
      <c r="I128" s="258"/>
      <c r="J128" s="20">
        <f t="shared" si="15"/>
        <v>41759</v>
      </c>
      <c r="K128" s="27">
        <f>'Global (Gross)'!K128</f>
        <v>0.99330083072437725</v>
      </c>
      <c r="L128" s="46">
        <f t="shared" si="11"/>
        <v>1866103.9645719109</v>
      </c>
      <c r="M128" s="7"/>
      <c r="N128" s="256"/>
      <c r="O128" s="258"/>
      <c r="P128" s="20">
        <f t="shared" si="12"/>
        <v>41759</v>
      </c>
      <c r="Q128" s="45">
        <f>'Global (Gross)'!Q128</f>
        <v>1.4872790340005115</v>
      </c>
      <c r="R128" s="46">
        <f t="shared" si="13"/>
        <v>1702092.1356891103</v>
      </c>
      <c r="S128" s="7"/>
      <c r="T128" s="256"/>
      <c r="U128" s="258"/>
      <c r="V128" s="267" t="e">
        <f>#REF!-W128</f>
        <v>#REF!</v>
      </c>
      <c r="W128" s="92">
        <v>3.3099999999999996</v>
      </c>
      <c r="X128" s="268"/>
    </row>
    <row r="129" spans="1:31" x14ac:dyDescent="0.25">
      <c r="A129" s="21">
        <v>41790</v>
      </c>
      <c r="B129" s="24">
        <f t="shared" si="14"/>
        <v>113</v>
      </c>
      <c r="C129" s="97" t="s">
        <v>102</v>
      </c>
      <c r="D129" s="29">
        <v>0.64</v>
      </c>
      <c r="E129" s="47">
        <f t="shared" si="10"/>
        <v>2328975.349105889</v>
      </c>
      <c r="F129" s="256"/>
      <c r="G129" s="256"/>
      <c r="H129" s="49"/>
      <c r="I129" s="258"/>
      <c r="J129" s="20">
        <f t="shared" si="15"/>
        <v>41790</v>
      </c>
      <c r="K129" s="27">
        <f>'Global (Gross)'!K129</f>
        <v>2.2048845461827642</v>
      </c>
      <c r="L129" s="46">
        <f t="shared" si="11"/>
        <v>1907249.4025024609</v>
      </c>
      <c r="M129" s="7"/>
      <c r="N129" s="256"/>
      <c r="O129" s="258"/>
      <c r="P129" s="20">
        <f t="shared" si="12"/>
        <v>41790</v>
      </c>
      <c r="Q129" s="45">
        <f>'Global (Gross)'!Q129</f>
        <v>1.6089616097015502</v>
      </c>
      <c r="R129" s="46">
        <f t="shared" si="13"/>
        <v>1729478.1447140973</v>
      </c>
      <c r="S129" s="7"/>
      <c r="T129" s="256"/>
      <c r="U129" s="258"/>
      <c r="V129" s="267" t="e">
        <f>#REF!-W129</f>
        <v>#REF!</v>
      </c>
      <c r="W129" s="92">
        <v>0.64</v>
      </c>
      <c r="X129" s="268"/>
      <c r="Y129" s="256"/>
      <c r="Z129" s="256"/>
      <c r="AA129" s="256"/>
      <c r="AB129" s="256"/>
      <c r="AC129" s="256"/>
      <c r="AD129" s="256"/>
      <c r="AE129" s="256"/>
    </row>
    <row r="130" spans="1:31" x14ac:dyDescent="0.25">
      <c r="A130" s="21">
        <v>41820</v>
      </c>
      <c r="B130" s="24">
        <f t="shared" si="14"/>
        <v>114</v>
      </c>
      <c r="C130" s="97" t="s">
        <v>102</v>
      </c>
      <c r="D130" s="29">
        <v>1.52</v>
      </c>
      <c r="E130" s="47">
        <f t="shared" si="10"/>
        <v>2364375.7744122986</v>
      </c>
      <c r="F130" s="4"/>
      <c r="G130" s="49">
        <f>(E130/E127-1)*100</f>
        <v>5.5515459968000114</v>
      </c>
      <c r="H130" s="49"/>
      <c r="I130" s="258"/>
      <c r="J130" s="20">
        <f t="shared" si="15"/>
        <v>41820</v>
      </c>
      <c r="K130" s="27">
        <f>'Global (Gross)'!K130</f>
        <v>1.9244427261298491</v>
      </c>
      <c r="L130" s="46">
        <f t="shared" si="11"/>
        <v>1943953.3248980744</v>
      </c>
      <c r="M130" s="7"/>
      <c r="N130" s="49">
        <f>(L130/L127-1)*100</f>
        <v>5.2064979602333583</v>
      </c>
      <c r="O130" s="258"/>
      <c r="P130" s="20">
        <f t="shared" si="12"/>
        <v>41820</v>
      </c>
      <c r="Q130" s="45">
        <f>'Global (Gross)'!Q130</f>
        <v>1.7668589205755367</v>
      </c>
      <c r="R130" s="46">
        <f t="shared" si="13"/>
        <v>1760035.5835933825</v>
      </c>
      <c r="S130" s="7"/>
      <c r="T130" s="49">
        <f>(R130/R127-1)*100</f>
        <v>4.9421583218788756</v>
      </c>
      <c r="U130" s="258"/>
      <c r="V130" s="267" t="e">
        <f>#REF!-W130</f>
        <v>#REF!</v>
      </c>
      <c r="W130" s="92">
        <v>1.52</v>
      </c>
      <c r="X130" s="268"/>
      <c r="Y130" s="256"/>
      <c r="Z130" s="256"/>
      <c r="AA130" s="256"/>
      <c r="AB130" s="256"/>
      <c r="AC130" s="256"/>
      <c r="AD130" s="256"/>
      <c r="AE130" s="256"/>
    </row>
    <row r="131" spans="1:31" ht="16.5" thickBot="1" x14ac:dyDescent="0.3">
      <c r="A131" s="21">
        <v>41851</v>
      </c>
      <c r="B131" s="24">
        <f t="shared" si="14"/>
        <v>115</v>
      </c>
      <c r="C131" s="97" t="s">
        <v>102</v>
      </c>
      <c r="D131" s="29">
        <v>-1.04</v>
      </c>
      <c r="E131" s="47">
        <f t="shared" si="10"/>
        <v>2339786.2663584105</v>
      </c>
      <c r="F131" s="256"/>
      <c r="G131" s="256"/>
      <c r="H131" s="49"/>
      <c r="I131" s="258"/>
      <c r="J131" s="20">
        <f t="shared" si="15"/>
        <v>41851</v>
      </c>
      <c r="K131" s="27">
        <f>'Global (Gross)'!K131</f>
        <v>-1.1760758034444885</v>
      </c>
      <c r="L131" s="46">
        <f t="shared" si="11"/>
        <v>1921090.9602136936</v>
      </c>
      <c r="M131" s="7"/>
      <c r="N131" s="256"/>
      <c r="O131" s="258"/>
      <c r="P131" s="20">
        <f t="shared" si="12"/>
        <v>41851</v>
      </c>
      <c r="Q131" s="45">
        <f>'Global (Gross)'!Q131</f>
        <v>-0.65232505241095085</v>
      </c>
      <c r="R131" s="46">
        <f t="shared" si="13"/>
        <v>1748554.4305502556</v>
      </c>
      <c r="S131" s="7"/>
      <c r="T131" s="256"/>
      <c r="U131" s="258"/>
      <c r="V131" s="267" t="e">
        <f>#REF!-W131</f>
        <v>#REF!</v>
      </c>
      <c r="W131" s="92">
        <v>-1.04</v>
      </c>
      <c r="X131" s="101" t="s">
        <v>116</v>
      </c>
      <c r="Y131" s="256"/>
      <c r="Z131" s="256"/>
      <c r="AA131" s="256"/>
      <c r="AB131" s="256"/>
      <c r="AC131" s="256"/>
      <c r="AD131" s="256"/>
      <c r="AE131" s="256"/>
    </row>
    <row r="132" spans="1:31" x14ac:dyDescent="0.25">
      <c r="A132" s="21">
        <v>41882</v>
      </c>
      <c r="B132" s="24">
        <f t="shared" si="14"/>
        <v>116</v>
      </c>
      <c r="C132" s="97" t="s">
        <v>102</v>
      </c>
      <c r="D132" s="29">
        <v>4.5999999999999996</v>
      </c>
      <c r="E132" s="47">
        <f t="shared" si="10"/>
        <v>2447416.4346108972</v>
      </c>
      <c r="F132" s="4"/>
      <c r="G132" s="256"/>
      <c r="H132" s="49"/>
      <c r="I132" s="258"/>
      <c r="J132" s="20">
        <f t="shared" si="15"/>
        <v>41882</v>
      </c>
      <c r="K132" s="27">
        <f>'Global (Gross)'!K132</f>
        <v>2.2589010239507297</v>
      </c>
      <c r="L132" s="46">
        <f t="shared" si="11"/>
        <v>1964486.5035849856</v>
      </c>
      <c r="M132" s="7"/>
      <c r="N132" s="256"/>
      <c r="O132" s="258"/>
      <c r="P132" s="20">
        <f t="shared" si="12"/>
        <v>41882</v>
      </c>
      <c r="Q132" s="45">
        <f>'Global (Gross)'!Q132</f>
        <v>3.1625766217385221</v>
      </c>
      <c r="R132" s="46">
        <f t="shared" si="13"/>
        <v>1803853.804189211</v>
      </c>
      <c r="S132" s="7"/>
      <c r="T132" s="256"/>
      <c r="U132" s="258"/>
      <c r="V132" s="267" t="e">
        <f>#REF!-W132</f>
        <v>#REF!</v>
      </c>
      <c r="W132" s="92">
        <v>4.5999999999999996</v>
      </c>
      <c r="X132" s="324" t="s">
        <v>117</v>
      </c>
      <c r="Y132" s="325"/>
      <c r="Z132" s="324" t="s">
        <v>118</v>
      </c>
      <c r="AA132" s="325" t="s">
        <v>81</v>
      </c>
      <c r="AB132" s="269"/>
      <c r="AC132" s="269"/>
      <c r="AD132" s="324" t="s">
        <v>68</v>
      </c>
      <c r="AE132" s="325"/>
    </row>
    <row r="133" spans="1:31" x14ac:dyDescent="0.25">
      <c r="A133" s="21">
        <v>41912</v>
      </c>
      <c r="B133" s="24">
        <f t="shared" si="14"/>
        <v>117</v>
      </c>
      <c r="C133" s="97" t="s">
        <v>102</v>
      </c>
      <c r="D133" s="29">
        <v>-2.08</v>
      </c>
      <c r="E133" s="47">
        <f t="shared" si="10"/>
        <v>2396510.1727709905</v>
      </c>
      <c r="F133" s="6"/>
      <c r="G133" s="49">
        <f>(E133/E130-1)*100</f>
        <v>1.3591070719999765</v>
      </c>
      <c r="H133" s="49"/>
      <c r="I133" s="258"/>
      <c r="J133" s="20">
        <f t="shared" si="15"/>
        <v>41912</v>
      </c>
      <c r="K133" s="27">
        <f>'Global (Gross)'!K133</f>
        <v>-3.1960384709725949</v>
      </c>
      <c r="L133" s="46">
        <f t="shared" si="11"/>
        <v>1901700.7591733451</v>
      </c>
      <c r="M133" s="7"/>
      <c r="N133" s="49">
        <f>(L133/L130-1)*100</f>
        <v>-2.1735380774610236</v>
      </c>
      <c r="O133" s="258"/>
      <c r="P133" s="20">
        <f t="shared" si="12"/>
        <v>41912</v>
      </c>
      <c r="Q133" s="45">
        <f>'Global (Gross)'!Q133</f>
        <v>-2.2790808006963568</v>
      </c>
      <c r="R133" s="46">
        <f t="shared" si="13"/>
        <v>1762742.5184653038</v>
      </c>
      <c r="S133" s="7"/>
      <c r="T133" s="49">
        <f>(R133/R130-1)*100</f>
        <v>0.15380000820179873</v>
      </c>
      <c r="U133" s="258"/>
      <c r="V133" s="267" t="e">
        <f>#REF!-W133</f>
        <v>#REF!</v>
      </c>
      <c r="W133" s="92">
        <v>-2.08</v>
      </c>
      <c r="X133" s="270" t="s">
        <v>41</v>
      </c>
      <c r="Y133" s="271" t="s">
        <v>119</v>
      </c>
      <c r="Z133" s="270" t="s">
        <v>41</v>
      </c>
      <c r="AA133" s="271" t="s">
        <v>119</v>
      </c>
      <c r="AB133" s="272"/>
      <c r="AC133" s="272"/>
      <c r="AD133" s="270" t="s">
        <v>41</v>
      </c>
      <c r="AE133" s="271" t="s">
        <v>120</v>
      </c>
    </row>
    <row r="134" spans="1:31" x14ac:dyDescent="0.25">
      <c r="A134" s="21">
        <v>41943</v>
      </c>
      <c r="B134" s="24">
        <f t="shared" si="14"/>
        <v>118</v>
      </c>
      <c r="C134" s="97" t="s">
        <v>118</v>
      </c>
      <c r="D134" s="29">
        <v>2.93</v>
      </c>
      <c r="E134" s="47">
        <f t="shared" si="10"/>
        <v>2466727.9208331807</v>
      </c>
      <c r="F134" s="6"/>
      <c r="G134" s="49"/>
      <c r="H134" s="49"/>
      <c r="I134" s="258"/>
      <c r="J134" s="20">
        <f t="shared" si="15"/>
        <v>41943</v>
      </c>
      <c r="K134" s="27">
        <f>'Global (Gross)'!K134</f>
        <v>0.7324350054031572</v>
      </c>
      <c r="L134" s="46">
        <f t="shared" si="11"/>
        <v>1915629.4812315481</v>
      </c>
      <c r="M134" s="6"/>
      <c r="N134" s="256"/>
      <c r="O134" s="258"/>
      <c r="P134" s="20">
        <f t="shared" si="12"/>
        <v>41943</v>
      </c>
      <c r="Q134" s="45">
        <f>'Global (Gross)'!Q134</f>
        <v>3.1321225851347951</v>
      </c>
      <c r="R134" s="46">
        <f t="shared" si="13"/>
        <v>1817953.7750039294</v>
      </c>
      <c r="S134" s="6"/>
      <c r="T134" s="256"/>
      <c r="U134" s="258"/>
      <c r="V134" s="267" t="e">
        <f>#REF!-W134</f>
        <v>#REF!</v>
      </c>
      <c r="W134" s="73">
        <f t="shared" ref="W134:W145" si="16">AD134*100</f>
        <v>2.93</v>
      </c>
      <c r="X134" s="273">
        <v>2.98E-2</v>
      </c>
      <c r="Y134" s="274">
        <v>5285.45</v>
      </c>
      <c r="Z134" s="273">
        <v>2.9300000000000003E-2</v>
      </c>
      <c r="AA134" s="274">
        <v>203353.73</v>
      </c>
      <c r="AB134" s="275"/>
      <c r="AC134" s="275"/>
      <c r="AD134" s="95">
        <f t="shared" ref="AD134:AD145" si="17">ROUND(Y134/AE134*X134+AA134/AE134*Z134,4)</f>
        <v>2.93E-2</v>
      </c>
      <c r="AE134" s="147">
        <f t="shared" ref="AE134:AE145" si="18">Y134+AA134</f>
        <v>208639.18000000002</v>
      </c>
    </row>
    <row r="135" spans="1:31" x14ac:dyDescent="0.25">
      <c r="A135" s="21">
        <v>41973</v>
      </c>
      <c r="B135" s="24">
        <f t="shared" si="14"/>
        <v>119</v>
      </c>
      <c r="C135" s="97" t="s">
        <v>118</v>
      </c>
      <c r="D135" s="29">
        <v>2.35</v>
      </c>
      <c r="E135" s="47">
        <f t="shared" si="10"/>
        <v>2524696.0269727604</v>
      </c>
      <c r="F135" s="6"/>
      <c r="G135" s="256"/>
      <c r="H135" s="49"/>
      <c r="I135" s="258"/>
      <c r="J135" s="20">
        <f t="shared" si="15"/>
        <v>41973</v>
      </c>
      <c r="K135" s="27">
        <f>'Global (Gross)'!K135</f>
        <v>1.7273389282044049</v>
      </c>
      <c r="L135" s="46">
        <f t="shared" si="11"/>
        <v>1948718.8949810208</v>
      </c>
      <c r="M135" s="6"/>
      <c r="N135" s="8"/>
      <c r="O135" s="258"/>
      <c r="P135" s="20">
        <f t="shared" si="12"/>
        <v>41973</v>
      </c>
      <c r="Q135" s="45">
        <f>'Global (Gross)'!Q135</f>
        <v>1.6920830039450032</v>
      </c>
      <c r="R135" s="46">
        <f t="shared" si="13"/>
        <v>1848715.0618503476</v>
      </c>
      <c r="S135" s="6"/>
      <c r="T135" s="8"/>
      <c r="U135" s="258"/>
      <c r="V135" s="267" t="e">
        <f>#REF!-W135</f>
        <v>#REF!</v>
      </c>
      <c r="W135" s="73">
        <f t="shared" si="16"/>
        <v>2.35</v>
      </c>
      <c r="X135" s="273">
        <v>2.35E-2</v>
      </c>
      <c r="Y135" s="274">
        <v>5437.66</v>
      </c>
      <c r="Z135" s="273">
        <v>2.35E-2</v>
      </c>
      <c r="AA135" s="274">
        <v>206626.74</v>
      </c>
      <c r="AB135" s="275"/>
      <c r="AC135" s="275"/>
      <c r="AD135" s="95">
        <f t="shared" si="17"/>
        <v>2.35E-2</v>
      </c>
      <c r="AE135" s="147">
        <f t="shared" si="18"/>
        <v>212064.4</v>
      </c>
    </row>
    <row r="136" spans="1:31" x14ac:dyDescent="0.25">
      <c r="A136" s="21">
        <v>42004</v>
      </c>
      <c r="B136" s="24">
        <f t="shared" si="14"/>
        <v>120</v>
      </c>
      <c r="C136" s="97" t="s">
        <v>118</v>
      </c>
      <c r="D136" s="29">
        <v>-0.41000000000000003</v>
      </c>
      <c r="E136" s="47">
        <f t="shared" si="10"/>
        <v>2514344.773262172</v>
      </c>
      <c r="F136" s="6">
        <f>(E136-E$124)/E$124*100</f>
        <v>16.317375411357002</v>
      </c>
      <c r="G136" s="49">
        <f>(E136/E133-1)*100</f>
        <v>4.9169246945000022</v>
      </c>
      <c r="H136" s="49"/>
      <c r="I136" s="258"/>
      <c r="J136" s="20">
        <f t="shared" si="15"/>
        <v>42004</v>
      </c>
      <c r="K136" s="27">
        <f>'Global (Gross)'!K136</f>
        <v>-1.8764197641083513</v>
      </c>
      <c r="L136" s="46">
        <f t="shared" si="11"/>
        <v>1912152.748488683</v>
      </c>
      <c r="M136" s="6">
        <f>(L136-L$124)/L$124*100</f>
        <v>4.7525957303424935</v>
      </c>
      <c r="N136" s="49">
        <f>(L136/L133-1)*100</f>
        <v>0.54961272244964388</v>
      </c>
      <c r="O136" s="258"/>
      <c r="P136" s="20">
        <f t="shared" si="12"/>
        <v>42004</v>
      </c>
      <c r="Q136" s="45">
        <f>'Global (Gross)'!Q136</f>
        <v>-0.47005782762923493</v>
      </c>
      <c r="R136" s="46">
        <f t="shared" si="13"/>
        <v>1840025.0319915593</v>
      </c>
      <c r="S136" s="6">
        <f>(R136-R$124)/R$124*100</f>
        <v>11.547243340852113</v>
      </c>
      <c r="T136" s="49">
        <f>(R136/R133-1)*100</f>
        <v>4.3842201976009409</v>
      </c>
      <c r="U136" s="258"/>
      <c r="V136" s="267" t="e">
        <f>#REF!-W136</f>
        <v>#REF!</v>
      </c>
      <c r="W136" s="73">
        <f t="shared" si="16"/>
        <v>-0.41000000000000003</v>
      </c>
      <c r="X136" s="273">
        <v>-3.8E-3</v>
      </c>
      <c r="Y136" s="274">
        <v>5555.34</v>
      </c>
      <c r="Z136" s="273">
        <v>-4.1000000000000003E-3</v>
      </c>
      <c r="AA136" s="274">
        <v>210985.56</v>
      </c>
      <c r="AB136" s="275"/>
      <c r="AC136" s="275"/>
      <c r="AD136" s="95">
        <f t="shared" si="17"/>
        <v>-4.1000000000000003E-3</v>
      </c>
      <c r="AE136" s="147">
        <f t="shared" si="18"/>
        <v>216540.9</v>
      </c>
    </row>
    <row r="137" spans="1:31" x14ac:dyDescent="0.25">
      <c r="A137" s="21">
        <v>42035</v>
      </c>
      <c r="B137" s="24">
        <f t="shared" si="14"/>
        <v>121</v>
      </c>
      <c r="C137" s="97" t="s">
        <v>118</v>
      </c>
      <c r="D137" s="29">
        <v>-0.43</v>
      </c>
      <c r="E137" s="47">
        <f t="shared" si="10"/>
        <v>2503533.0907371445</v>
      </c>
      <c r="F137" s="256"/>
      <c r="G137" s="256"/>
      <c r="H137" s="49"/>
      <c r="I137" s="258"/>
      <c r="J137" s="20">
        <f t="shared" si="15"/>
        <v>42035</v>
      </c>
      <c r="K137" s="27">
        <f>'Global (Gross)'!K137</f>
        <v>-1.5364150474858957</v>
      </c>
      <c r="L137" s="46">
        <f t="shared" si="11"/>
        <v>1882774.1459299878</v>
      </c>
      <c r="M137" s="14"/>
      <c r="N137" s="10"/>
      <c r="O137" s="258"/>
      <c r="P137" s="20">
        <f t="shared" si="12"/>
        <v>42035</v>
      </c>
      <c r="Q137" s="45">
        <f>'Global (Gross)'!Q137</f>
        <v>1.48371341297398</v>
      </c>
      <c r="R137" s="46">
        <f t="shared" si="13"/>
        <v>1867325.7301932969</v>
      </c>
      <c r="S137" s="14"/>
      <c r="T137" s="10"/>
      <c r="U137" s="258"/>
      <c r="V137" s="267" t="e">
        <f>#REF!-W137</f>
        <v>#REF!</v>
      </c>
      <c r="W137" s="73">
        <f t="shared" si="16"/>
        <v>-0.43</v>
      </c>
      <c r="X137" s="273">
        <v>-4.0000000000000001E-3</v>
      </c>
      <c r="Y137" s="274">
        <v>5535.62</v>
      </c>
      <c r="Z137" s="273">
        <v>-4.3E-3</v>
      </c>
      <c r="AA137" s="274">
        <v>209932.56</v>
      </c>
      <c r="AB137" s="275"/>
      <c r="AC137" s="275"/>
      <c r="AD137" s="95">
        <f t="shared" si="17"/>
        <v>-4.3E-3</v>
      </c>
      <c r="AE137" s="147">
        <f t="shared" si="18"/>
        <v>215468.18</v>
      </c>
    </row>
    <row r="138" spans="1:31" x14ac:dyDescent="0.25">
      <c r="A138" s="21">
        <v>42063</v>
      </c>
      <c r="B138" s="24">
        <f t="shared" si="14"/>
        <v>122</v>
      </c>
      <c r="C138" s="97" t="s">
        <v>118</v>
      </c>
      <c r="D138" s="29">
        <v>1.67</v>
      </c>
      <c r="E138" s="47">
        <f t="shared" si="10"/>
        <v>2545342.0933524547</v>
      </c>
      <c r="F138" s="267"/>
      <c r="G138" s="256"/>
      <c r="H138" s="49"/>
      <c r="I138" s="258"/>
      <c r="J138" s="20">
        <f t="shared" si="15"/>
        <v>42063</v>
      </c>
      <c r="K138" s="27">
        <f>'Global (Gross)'!K138</f>
        <v>5.6143616728353711</v>
      </c>
      <c r="L138" s="46">
        <f t="shared" si="11"/>
        <v>1988479.8959651345</v>
      </c>
      <c r="M138" s="14"/>
      <c r="N138" s="10"/>
      <c r="O138" s="258"/>
      <c r="P138" s="20">
        <f t="shared" si="12"/>
        <v>42063</v>
      </c>
      <c r="Q138" s="45">
        <f>'Global (Gross)'!Q138</f>
        <v>2.7375830299716477</v>
      </c>
      <c r="R138" s="46">
        <f t="shared" si="13"/>
        <v>1918445.3224973627</v>
      </c>
      <c r="S138" s="14"/>
      <c r="T138" s="10"/>
      <c r="U138" s="258"/>
      <c r="V138" s="267" t="e">
        <f>#REF!-W138</f>
        <v>#REF!</v>
      </c>
      <c r="W138" s="73">
        <f t="shared" si="16"/>
        <v>1.67</v>
      </c>
      <c r="X138" s="273">
        <v>1.7100000000000001E-2</v>
      </c>
      <c r="Y138" s="274">
        <v>5512.83</v>
      </c>
      <c r="Z138" s="273">
        <v>1.67E-2</v>
      </c>
      <c r="AA138" s="274">
        <v>208779.32</v>
      </c>
      <c r="AB138" s="275"/>
      <c r="AC138" s="275"/>
      <c r="AD138" s="95">
        <f t="shared" si="17"/>
        <v>1.67E-2</v>
      </c>
      <c r="AE138" s="147">
        <f t="shared" si="18"/>
        <v>214292.15</v>
      </c>
    </row>
    <row r="139" spans="1:31" x14ac:dyDescent="0.25">
      <c r="A139" s="21">
        <v>42094</v>
      </c>
      <c r="B139" s="24">
        <f t="shared" si="14"/>
        <v>123</v>
      </c>
      <c r="C139" s="97" t="s">
        <v>118</v>
      </c>
      <c r="D139" s="29">
        <v>-1.28</v>
      </c>
      <c r="E139" s="47">
        <f t="shared" si="10"/>
        <v>2512761.7145575434</v>
      </c>
      <c r="F139" s="267"/>
      <c r="G139" s="49">
        <f>(E139/E136-1)*100</f>
        <v>-6.2961083200008261E-2</v>
      </c>
      <c r="H139" s="49"/>
      <c r="I139" s="258"/>
      <c r="J139" s="20">
        <f t="shared" si="15"/>
        <v>42094</v>
      </c>
      <c r="K139" s="27">
        <f>'Global (Gross)'!K139</f>
        <v>-1.4757257597404461</v>
      </c>
      <c r="L139" s="46">
        <f t="shared" si="11"/>
        <v>1959135.3859131171</v>
      </c>
      <c r="M139" s="14"/>
      <c r="N139" s="49">
        <f>(L139/L136-1)*100</f>
        <v>2.457054618757204</v>
      </c>
      <c r="O139" s="258"/>
      <c r="P139" s="20">
        <f t="shared" si="12"/>
        <v>42094</v>
      </c>
      <c r="Q139" s="45">
        <f>'Global (Gross)'!Q139</f>
        <v>-0.15554107851410634</v>
      </c>
      <c r="R139" s="46">
        <f t="shared" si="13"/>
        <v>1915461.3519520469</v>
      </c>
      <c r="S139" s="14"/>
      <c r="T139" s="49">
        <f>(R139/R136-1)*100</f>
        <v>4.0997442235249704</v>
      </c>
      <c r="U139" s="258"/>
      <c r="V139" s="267" t="e">
        <f>#REF!-W139</f>
        <v>#REF!</v>
      </c>
      <c r="W139" s="73">
        <f t="shared" si="16"/>
        <v>-1.28</v>
      </c>
      <c r="X139" s="273">
        <v>-1.2800000000000001E-2</v>
      </c>
      <c r="Y139" s="274">
        <v>5591.49</v>
      </c>
      <c r="Z139" s="273">
        <v>-1.2800000000000001E-2</v>
      </c>
      <c r="AA139" s="274">
        <v>211565.92</v>
      </c>
      <c r="AB139" s="275"/>
      <c r="AC139" s="275"/>
      <c r="AD139" s="95">
        <f t="shared" si="17"/>
        <v>-1.2800000000000001E-2</v>
      </c>
      <c r="AE139" s="147">
        <f t="shared" si="18"/>
        <v>217157.41</v>
      </c>
    </row>
    <row r="140" spans="1:31" x14ac:dyDescent="0.25">
      <c r="A140" s="21">
        <v>42124</v>
      </c>
      <c r="B140" s="24">
        <f t="shared" si="14"/>
        <v>124</v>
      </c>
      <c r="C140" s="97" t="s">
        <v>118</v>
      </c>
      <c r="D140" s="29">
        <v>2.21</v>
      </c>
      <c r="E140" s="47">
        <f t="shared" si="10"/>
        <v>2568293.748449265</v>
      </c>
      <c r="F140" s="267"/>
      <c r="G140" s="49"/>
      <c r="H140" s="49"/>
      <c r="I140" s="258"/>
      <c r="J140" s="20">
        <f t="shared" si="15"/>
        <v>42124</v>
      </c>
      <c r="K140" s="27">
        <f>'Global (Gross)'!K140</f>
        <v>2.9354884312032787</v>
      </c>
      <c r="L140" s="46">
        <f t="shared" si="11"/>
        <v>2016645.5785182063</v>
      </c>
      <c r="M140" s="14"/>
      <c r="N140" s="54"/>
      <c r="O140" s="258"/>
      <c r="P140" s="20">
        <f t="shared" si="12"/>
        <v>42124</v>
      </c>
      <c r="Q140" s="45">
        <f>'Global (Gross)'!Q140</f>
        <v>1.7847608417659155</v>
      </c>
      <c r="R140" s="46">
        <f t="shared" si="13"/>
        <v>1949647.7561008469</v>
      </c>
      <c r="S140" s="14"/>
      <c r="T140" s="49"/>
      <c r="U140" s="258"/>
      <c r="V140" s="267" t="e">
        <f>#REF!-W140</f>
        <v>#REF!</v>
      </c>
      <c r="W140" s="73">
        <f t="shared" si="16"/>
        <v>2.21</v>
      </c>
      <c r="X140" s="273">
        <v>2.2400000000000003E-2</v>
      </c>
      <c r="Y140" s="274">
        <v>5514.84</v>
      </c>
      <c r="Z140" s="273">
        <v>2.2100000000000002E-2</v>
      </c>
      <c r="AA140" s="274">
        <v>208344.39</v>
      </c>
      <c r="AB140" s="275"/>
      <c r="AC140" s="275"/>
      <c r="AD140" s="95">
        <f t="shared" si="17"/>
        <v>2.2100000000000002E-2</v>
      </c>
      <c r="AE140" s="147">
        <f t="shared" si="18"/>
        <v>213859.23</v>
      </c>
    </row>
    <row r="141" spans="1:31" x14ac:dyDescent="0.25">
      <c r="A141" s="21">
        <v>42155</v>
      </c>
      <c r="B141" s="24">
        <f t="shared" si="14"/>
        <v>125</v>
      </c>
      <c r="C141" s="97" t="s">
        <v>118</v>
      </c>
      <c r="D141" s="29">
        <v>-0.91</v>
      </c>
      <c r="E141" s="47">
        <f t="shared" si="10"/>
        <v>2544922.2753383769</v>
      </c>
      <c r="F141" s="267"/>
      <c r="G141" s="49"/>
      <c r="H141" s="49"/>
      <c r="I141" s="258"/>
      <c r="J141" s="20">
        <f t="shared" si="15"/>
        <v>42155</v>
      </c>
      <c r="K141" s="27">
        <f>'Global (Gross)'!K141</f>
        <v>-6.1679122166133346E-2</v>
      </c>
      <c r="L141" s="46">
        <f>L140*K141/100+L140</f>
        <v>2015401.7292281741</v>
      </c>
      <c r="M141" s="14"/>
      <c r="N141" s="54"/>
      <c r="O141" s="258"/>
      <c r="P141" s="20">
        <f t="shared" si="12"/>
        <v>42155</v>
      </c>
      <c r="Q141" s="45">
        <f>'Global (Gross)'!Q141</f>
        <v>-1.0069186796058598</v>
      </c>
      <c r="R141" s="46">
        <f>R140*Q141/100+R140</f>
        <v>1930016.388658151</v>
      </c>
      <c r="S141" s="14"/>
      <c r="T141" s="49"/>
      <c r="U141" s="258"/>
      <c r="V141" s="267" t="e">
        <f>#REF!-W141</f>
        <v>#REF!</v>
      </c>
      <c r="W141" s="73">
        <f t="shared" si="16"/>
        <v>-0.91</v>
      </c>
      <c r="X141" s="273">
        <v>-9.4000000000000004E-3</v>
      </c>
      <c r="Y141" s="274">
        <v>5632.49</v>
      </c>
      <c r="Z141" s="273">
        <v>-9.1000000000000004E-3</v>
      </c>
      <c r="AA141" s="274">
        <v>212551.51</v>
      </c>
      <c r="AB141" s="275"/>
      <c r="AC141" s="275"/>
      <c r="AD141" s="95">
        <f t="shared" si="17"/>
        <v>-9.1000000000000004E-3</v>
      </c>
      <c r="AE141" s="147">
        <f t="shared" si="18"/>
        <v>218184</v>
      </c>
    </row>
    <row r="142" spans="1:31" x14ac:dyDescent="0.25">
      <c r="A142" s="21">
        <v>42185</v>
      </c>
      <c r="B142" s="24">
        <f t="shared" si="14"/>
        <v>126</v>
      </c>
      <c r="C142" s="97" t="s">
        <v>118</v>
      </c>
      <c r="D142" s="29">
        <v>-2.42</v>
      </c>
      <c r="E142" s="47">
        <f t="shared" si="10"/>
        <v>2483335.1562751881</v>
      </c>
      <c r="F142" s="267"/>
      <c r="G142" s="49">
        <f>(E142/E139-1)*100</f>
        <v>-1.1710843137999971</v>
      </c>
      <c r="H142" s="49"/>
      <c r="I142" s="258"/>
      <c r="J142" s="20">
        <f t="shared" si="15"/>
        <v>42185</v>
      </c>
      <c r="K142" s="27">
        <f>'Global (Gross)'!K142</f>
        <v>-2.3054046922851401</v>
      </c>
      <c r="L142" s="46">
        <f>L141*K142/100+L141</f>
        <v>1968938.563194152</v>
      </c>
      <c r="M142" s="14"/>
      <c r="N142" s="49">
        <f>(L142/L139-1)*100</f>
        <v>0.50038283987534626</v>
      </c>
      <c r="O142" s="258"/>
      <c r="P142" s="20">
        <f t="shared" si="12"/>
        <v>42185</v>
      </c>
      <c r="Q142" s="45">
        <f>'Global (Gross)'!Q142</f>
        <v>-2.2776889082447682</v>
      </c>
      <c r="R142" s="46">
        <f>R141*Q142/100+R141</f>
        <v>1886056.6194463782</v>
      </c>
      <c r="S142" s="14"/>
      <c r="T142" s="49">
        <f>(R142/R139-1)*100</f>
        <v>-1.5351253355074146</v>
      </c>
      <c r="U142" s="258"/>
      <c r="V142" s="267" t="e">
        <f>#REF!-W142</f>
        <v>#REF!</v>
      </c>
      <c r="W142" s="73">
        <f t="shared" si="16"/>
        <v>-2.42</v>
      </c>
      <c r="X142" s="273">
        <v>-2.4E-2</v>
      </c>
      <c r="Y142" s="274">
        <v>5556.84</v>
      </c>
      <c r="Z142" s="273">
        <v>-2.4199999999999999E-2</v>
      </c>
      <c r="AA142" s="274">
        <v>209577.60000000001</v>
      </c>
      <c r="AB142" s="275"/>
      <c r="AC142" s="275"/>
      <c r="AD142" s="95">
        <f t="shared" si="17"/>
        <v>-2.4199999999999999E-2</v>
      </c>
      <c r="AE142" s="147">
        <f t="shared" si="18"/>
        <v>215134.44</v>
      </c>
    </row>
    <row r="143" spans="1:31" x14ac:dyDescent="0.25">
      <c r="A143" s="21">
        <v>42216</v>
      </c>
      <c r="B143" s="24">
        <f t="shared" si="14"/>
        <v>127</v>
      </c>
      <c r="C143" s="97" t="s">
        <v>118</v>
      </c>
      <c r="D143" s="29">
        <v>3.2300000000000004</v>
      </c>
      <c r="E143" s="47">
        <f t="shared" si="10"/>
        <v>2563546.8818228766</v>
      </c>
      <c r="F143" s="267"/>
      <c r="G143" s="49"/>
      <c r="H143" s="49"/>
      <c r="I143" s="258"/>
      <c r="J143" s="20">
        <f t="shared" si="15"/>
        <v>42216</v>
      </c>
      <c r="K143" s="27">
        <f>'Global (Gross)'!K143</f>
        <v>0.90381619214768405</v>
      </c>
      <c r="L143" s="46">
        <f>L142*K143/100+L142</f>
        <v>1986734.1487417407</v>
      </c>
      <c r="M143" s="14"/>
      <c r="N143" s="54"/>
      <c r="O143" s="258"/>
      <c r="P143" s="20">
        <f t="shared" si="12"/>
        <v>42216</v>
      </c>
      <c r="Q143" s="45">
        <f>'Global (Gross)'!Q143</f>
        <v>2.2051795356349122</v>
      </c>
      <c r="R143" s="46">
        <f>R142*Q143/100+R142</f>
        <v>1927647.5540488975</v>
      </c>
      <c r="S143" s="14"/>
      <c r="T143" s="49"/>
      <c r="U143" s="258"/>
      <c r="V143" s="267" t="e">
        <f>#REF!-W143</f>
        <v>#REF!</v>
      </c>
      <c r="W143" s="73">
        <f t="shared" si="16"/>
        <v>3.2300000000000004</v>
      </c>
      <c r="X143" s="273">
        <v>3.2000000000000001E-2</v>
      </c>
      <c r="Y143" s="274">
        <v>5417.22</v>
      </c>
      <c r="Z143" s="273">
        <v>3.2300000000000002E-2</v>
      </c>
      <c r="AA143" s="274">
        <v>203684.27</v>
      </c>
      <c r="AB143" s="275"/>
      <c r="AC143" s="275"/>
      <c r="AD143" s="95">
        <f t="shared" si="17"/>
        <v>3.2300000000000002E-2</v>
      </c>
      <c r="AE143" s="147">
        <f t="shared" si="18"/>
        <v>209101.49</v>
      </c>
    </row>
    <row r="144" spans="1:31" x14ac:dyDescent="0.25">
      <c r="A144" s="21">
        <v>42247</v>
      </c>
      <c r="B144" s="24">
        <f t="shared" si="14"/>
        <v>128</v>
      </c>
      <c r="C144" s="97" t="s">
        <v>118</v>
      </c>
      <c r="D144" s="29">
        <v>-4.62</v>
      </c>
      <c r="E144" s="47">
        <f t="shared" si="10"/>
        <v>2445111.0158826597</v>
      </c>
      <c r="F144" s="267"/>
      <c r="G144" s="105"/>
      <c r="H144" s="49"/>
      <c r="I144" s="258"/>
      <c r="J144" s="20">
        <f t="shared" ref="J144:J178" si="19">A144</f>
        <v>42247</v>
      </c>
      <c r="K144" s="27">
        <f>'Global (Gross)'!K144</f>
        <v>-6.8078439586629695</v>
      </c>
      <c r="L144" s="46">
        <f>L143*K144/100+L143</f>
        <v>1851480.388021932</v>
      </c>
      <c r="M144" s="14"/>
      <c r="N144" s="65"/>
      <c r="O144" s="258"/>
      <c r="P144" s="20">
        <f t="shared" si="12"/>
        <v>42247</v>
      </c>
      <c r="Q144" s="45">
        <f>'Global (Gross)'!Q144</f>
        <v>-5.0812044577185365</v>
      </c>
      <c r="R144" s="46">
        <f>R143*Q144/100+R143</f>
        <v>1829699.8406034627</v>
      </c>
      <c r="S144" s="14"/>
      <c r="T144" s="65"/>
      <c r="U144" s="258"/>
      <c r="V144" s="267" t="e">
        <f>#REF!-W144</f>
        <v>#REF!</v>
      </c>
      <c r="W144" s="73">
        <f t="shared" si="16"/>
        <v>-4.62</v>
      </c>
      <c r="X144" s="273">
        <v>-4.5899999999999996E-2</v>
      </c>
      <c r="Y144" s="274">
        <v>5587.01</v>
      </c>
      <c r="Z144" s="273">
        <v>-4.6199999999999998E-2</v>
      </c>
      <c r="AA144" s="274">
        <v>209819.84</v>
      </c>
      <c r="AB144" s="275"/>
      <c r="AC144" s="275"/>
      <c r="AD144" s="95">
        <f t="shared" si="17"/>
        <v>-4.6199999999999998E-2</v>
      </c>
      <c r="AE144" s="147">
        <f t="shared" si="18"/>
        <v>215406.85</v>
      </c>
    </row>
    <row r="145" spans="1:31" x14ac:dyDescent="0.25">
      <c r="A145" s="21">
        <v>42277</v>
      </c>
      <c r="B145" s="24">
        <f t="shared" si="14"/>
        <v>129</v>
      </c>
      <c r="C145" s="97" t="s">
        <v>118</v>
      </c>
      <c r="D145" s="29">
        <v>-1.1100000000000001</v>
      </c>
      <c r="E145" s="47">
        <f>E144*D145/100+E144</f>
        <v>2417970.2836063621</v>
      </c>
      <c r="F145" s="6"/>
      <c r="G145" s="49">
        <f>(E145/E142-1)*100</f>
        <v>-2.6321405914000118</v>
      </c>
      <c r="H145" s="49"/>
      <c r="I145" s="258"/>
      <c r="J145" s="20">
        <f t="shared" si="19"/>
        <v>42277</v>
      </c>
      <c r="K145" s="27">
        <f>'Global (Gross)'!K145</f>
        <v>-3.5676536381570214</v>
      </c>
      <c r="L145" s="46">
        <f>L144*K145/100+L144</f>
        <v>1785425.9805989037</v>
      </c>
      <c r="M145" s="6"/>
      <c r="N145" s="49">
        <f>(L145/L142-1)*100</f>
        <v>-9.3203813478842648</v>
      </c>
      <c r="O145" s="258"/>
      <c r="P145" s="20">
        <f t="shared" ref="P145:P212" si="20">$A145</f>
        <v>42277</v>
      </c>
      <c r="Q145" s="45">
        <f>'Global (Gross)'!Q145</f>
        <v>-1.2497435592890858</v>
      </c>
      <c r="R145" s="46">
        <f>R144*Q145/100+R144</f>
        <v>1806833.2846911983</v>
      </c>
      <c r="S145" s="14"/>
      <c r="T145" s="49">
        <f>(R145/R142-1)*100</f>
        <v>-4.2004748923409663</v>
      </c>
      <c r="U145" s="258"/>
      <c r="V145" s="267" t="e">
        <f>#REF!-W145</f>
        <v>#REF!</v>
      </c>
      <c r="W145" s="73">
        <f t="shared" si="16"/>
        <v>-1.1400000000000001</v>
      </c>
      <c r="X145" s="273">
        <v>-1.1200000000000002E-2</v>
      </c>
      <c r="Y145" s="274">
        <v>5317.99</v>
      </c>
      <c r="Z145" s="273">
        <v>-1.14E-2</v>
      </c>
      <c r="AA145" s="274">
        <v>199384.21</v>
      </c>
      <c r="AB145" s="275"/>
      <c r="AC145" s="275"/>
      <c r="AD145" s="95">
        <f t="shared" si="17"/>
        <v>-1.14E-2</v>
      </c>
      <c r="AE145" s="147">
        <f t="shared" si="18"/>
        <v>204702.19999999998</v>
      </c>
    </row>
    <row r="146" spans="1:31" x14ac:dyDescent="0.25">
      <c r="A146" s="21">
        <v>42308</v>
      </c>
      <c r="B146" s="24">
        <f t="shared" ref="B146:B202" si="21">IF(A146&gt;A145,1+B145,"-")</f>
        <v>130</v>
      </c>
      <c r="C146" s="97" t="s">
        <v>118</v>
      </c>
      <c r="D146" s="29">
        <v>5.5</v>
      </c>
      <c r="E146" s="47">
        <f t="shared" ref="E146:E175" si="22">E145*D146/100+E145</f>
        <v>2550958.6492047119</v>
      </c>
      <c r="F146" s="6"/>
      <c r="G146" s="49"/>
      <c r="H146" s="49"/>
      <c r="I146" s="258"/>
      <c r="J146" s="20">
        <f t="shared" si="19"/>
        <v>42308</v>
      </c>
      <c r="K146" s="27">
        <f>'Global (Gross)'!K146</f>
        <v>7.8778809164128232</v>
      </c>
      <c r="L146" s="46">
        <f t="shared" ref="L146:L176" si="23">L145*K146/100+L145</f>
        <v>1926079.7132011813</v>
      </c>
      <c r="M146" s="6"/>
      <c r="N146" s="49"/>
      <c r="O146" s="258"/>
      <c r="P146" s="20">
        <f t="shared" si="20"/>
        <v>42308</v>
      </c>
      <c r="Q146" s="45">
        <f>'Global (Gross)'!Q146</f>
        <v>5.9156809103675831</v>
      </c>
      <c r="R146" s="46">
        <f t="shared" ref="R146:R176" si="24">R145*Q146/100+R145</f>
        <v>1913719.7763958431</v>
      </c>
      <c r="S146" s="14"/>
      <c r="T146" s="49"/>
      <c r="U146" s="258"/>
      <c r="V146" s="256"/>
      <c r="W146" s="256"/>
      <c r="X146" s="256"/>
      <c r="Y146" s="256"/>
      <c r="Z146" s="256"/>
      <c r="AA146" s="256"/>
      <c r="AB146" s="256"/>
      <c r="AC146" s="256"/>
      <c r="AD146" s="256"/>
      <c r="AE146" s="256"/>
    </row>
    <row r="147" spans="1:31" ht="16.5" thickBot="1" x14ac:dyDescent="0.3">
      <c r="A147" s="21">
        <v>42338</v>
      </c>
      <c r="B147" s="24">
        <f t="shared" si="21"/>
        <v>131</v>
      </c>
      <c r="C147" s="97" t="s">
        <v>118</v>
      </c>
      <c r="D147" s="29">
        <v>-1.1599999999999999</v>
      </c>
      <c r="E147" s="47">
        <f t="shared" si="22"/>
        <v>2521367.5288739372</v>
      </c>
      <c r="F147" s="6"/>
      <c r="G147" s="49"/>
      <c r="H147" s="49"/>
      <c r="I147" s="258"/>
      <c r="J147" s="20">
        <f t="shared" si="19"/>
        <v>42338</v>
      </c>
      <c r="K147" s="27">
        <f>'Global (Gross)'!K147</f>
        <v>-0.77148480624924998</v>
      </c>
      <c r="L147" s="46">
        <f t="shared" si="23"/>
        <v>1911220.3008575849</v>
      </c>
      <c r="M147" s="6"/>
      <c r="N147" s="49"/>
      <c r="O147" s="258"/>
      <c r="P147" s="20">
        <f t="shared" si="20"/>
        <v>42338</v>
      </c>
      <c r="Q147" s="45">
        <f>'Global (Gross)'!Q147</f>
        <v>-1.3646369277787764</v>
      </c>
      <c r="R147" s="46">
        <f t="shared" si="24"/>
        <v>1887604.4496329401</v>
      </c>
      <c r="S147" s="14"/>
      <c r="T147" s="49"/>
      <c r="U147" s="258"/>
      <c r="V147" s="256"/>
      <c r="W147" s="256"/>
      <c r="X147" s="101" t="s">
        <v>56</v>
      </c>
      <c r="Y147" s="256"/>
      <c r="Z147" s="256"/>
      <c r="AA147" s="256"/>
      <c r="AB147" s="256"/>
      <c r="AC147" s="256"/>
      <c r="AD147" s="256"/>
      <c r="AE147" s="256"/>
    </row>
    <row r="148" spans="1:31" x14ac:dyDescent="0.25">
      <c r="A148" s="21">
        <v>42369</v>
      </c>
      <c r="B148" s="24">
        <f t="shared" si="21"/>
        <v>132</v>
      </c>
      <c r="C148" s="97" t="s">
        <v>118</v>
      </c>
      <c r="D148" s="29">
        <v>-0.54</v>
      </c>
      <c r="E148" s="47">
        <f t="shared" si="22"/>
        <v>2507752.1442180178</v>
      </c>
      <c r="F148" s="6">
        <f>(E148-E$136)/E$136*100</f>
        <v>-0.26220067805580838</v>
      </c>
      <c r="G148" s="49">
        <f>(E148/E145-1)*100</f>
        <v>3.7131085199999969</v>
      </c>
      <c r="H148" s="49"/>
      <c r="I148" s="258"/>
      <c r="J148" s="20">
        <f t="shared" si="19"/>
        <v>42369</v>
      </c>
      <c r="K148" s="27">
        <f>'Global (Gross)'!K148</f>
        <v>-1.7553961121070101</v>
      </c>
      <c r="L148" s="46">
        <f t="shared" si="23"/>
        <v>1877670.8140025309</v>
      </c>
      <c r="M148" s="6">
        <f>(L148-L$136)/L$136*100</f>
        <v>-1.8033043915244629</v>
      </c>
      <c r="N148" s="49">
        <f>(L148/L145-1)*100</f>
        <v>5.166544813730356</v>
      </c>
      <c r="O148" s="258"/>
      <c r="P148" s="20">
        <f t="shared" si="20"/>
        <v>42369</v>
      </c>
      <c r="Q148" s="45">
        <f>'Global (Gross)'!Q148</f>
        <v>0.74711970738668643</v>
      </c>
      <c r="R148" s="46">
        <f t="shared" si="24"/>
        <v>1901707.1144736558</v>
      </c>
      <c r="S148" s="6">
        <f>(R148-R$136)/R$136*100</f>
        <v>3.3522414863744889</v>
      </c>
      <c r="T148" s="49">
        <f>(R148/R145-1)*100</f>
        <v>5.2508347386722054</v>
      </c>
      <c r="U148" s="258"/>
      <c r="V148" s="256"/>
      <c r="W148" s="92"/>
      <c r="X148" s="324" t="s">
        <v>121</v>
      </c>
      <c r="Y148" s="325"/>
      <c r="Z148" s="324" t="s">
        <v>122</v>
      </c>
      <c r="AA148" s="325" t="s">
        <v>81</v>
      </c>
      <c r="AB148" s="230"/>
      <c r="AC148" s="230"/>
      <c r="AD148" s="324" t="s">
        <v>68</v>
      </c>
      <c r="AE148" s="325"/>
    </row>
    <row r="149" spans="1:31" x14ac:dyDescent="0.25">
      <c r="A149" s="21">
        <v>42400</v>
      </c>
      <c r="B149" s="24">
        <f t="shared" si="21"/>
        <v>133</v>
      </c>
      <c r="C149" s="97" t="s">
        <v>118</v>
      </c>
      <c r="D149" s="29">
        <v>-0.37</v>
      </c>
      <c r="E149" s="47">
        <f t="shared" si="22"/>
        <v>2498473.4612844111</v>
      </c>
      <c r="F149" s="6"/>
      <c r="G149" s="49"/>
      <c r="H149" s="49"/>
      <c r="I149" s="258"/>
      <c r="J149" s="20">
        <f t="shared" si="19"/>
        <v>42400</v>
      </c>
      <c r="K149" s="27">
        <f>'Global (Gross)'!K149</f>
        <v>-6.0046807125479891</v>
      </c>
      <c r="L149" s="46">
        <f t="shared" si="23"/>
        <v>1764922.676788978</v>
      </c>
      <c r="M149" s="6"/>
      <c r="N149" s="49"/>
      <c r="O149" s="258"/>
      <c r="P149" s="20">
        <f t="shared" si="20"/>
        <v>42400</v>
      </c>
      <c r="Q149" s="45">
        <f>'Global (Gross)'!Q149</f>
        <v>-1.8487153594228762</v>
      </c>
      <c r="R149" s="46">
        <f t="shared" si="24"/>
        <v>1866549.9629571438</v>
      </c>
      <c r="S149" s="14"/>
      <c r="T149" s="49"/>
      <c r="U149" s="258"/>
      <c r="V149" s="267"/>
      <c r="W149" s="109"/>
      <c r="X149" s="270" t="s">
        <v>41</v>
      </c>
      <c r="Y149" s="271" t="s">
        <v>76</v>
      </c>
      <c r="Z149" s="270" t="s">
        <v>41</v>
      </c>
      <c r="AA149" s="271" t="s">
        <v>76</v>
      </c>
      <c r="AB149" s="272"/>
      <c r="AC149" s="272"/>
      <c r="AD149" s="270" t="s">
        <v>41</v>
      </c>
      <c r="AE149" s="271" t="s">
        <v>76</v>
      </c>
    </row>
    <row r="150" spans="1:31" x14ac:dyDescent="0.25">
      <c r="A150" s="21">
        <v>42429</v>
      </c>
      <c r="B150" s="24">
        <f t="shared" si="21"/>
        <v>134</v>
      </c>
      <c r="C150" s="97" t="s">
        <v>118</v>
      </c>
      <c r="D150" s="29">
        <v>0.48</v>
      </c>
      <c r="E150" s="47">
        <f t="shared" si="22"/>
        <v>2510466.1338985763</v>
      </c>
      <c r="F150" s="6"/>
      <c r="G150" s="49"/>
      <c r="H150" s="49"/>
      <c r="I150" s="258"/>
      <c r="J150" s="20">
        <f t="shared" si="19"/>
        <v>42429</v>
      </c>
      <c r="K150" s="27">
        <f>'Global (Gross)'!K150</f>
        <v>-0.62960539338588173</v>
      </c>
      <c r="L150" s="46">
        <f t="shared" si="23"/>
        <v>1753810.6284268242</v>
      </c>
      <c r="M150" s="6"/>
      <c r="N150" s="49"/>
      <c r="O150" s="258"/>
      <c r="P150" s="20">
        <f t="shared" si="20"/>
        <v>42429</v>
      </c>
      <c r="Q150" s="45">
        <f>'Global (Gross)'!Q150</f>
        <v>1.954421566978356</v>
      </c>
      <c r="R150" s="46">
        <f t="shared" si="24"/>
        <v>1903030.2179916047</v>
      </c>
      <c r="S150" s="14"/>
      <c r="T150" s="49"/>
      <c r="U150" s="258"/>
      <c r="V150" s="267"/>
      <c r="W150" s="259"/>
      <c r="X150" s="107"/>
      <c r="Y150" s="108">
        <v>201276.3</v>
      </c>
      <c r="Z150" s="107"/>
      <c r="AA150" s="108">
        <v>211426.36</v>
      </c>
      <c r="AB150" s="133"/>
      <c r="AC150" s="133"/>
      <c r="AD150" s="95"/>
      <c r="AE150" s="111">
        <f t="shared" ref="AE150:AE158" si="25">Y150+AA150</f>
        <v>412702.66</v>
      </c>
    </row>
    <row r="151" spans="1:31" x14ac:dyDescent="0.25">
      <c r="A151" s="21">
        <v>42460</v>
      </c>
      <c r="B151" s="24">
        <f t="shared" si="21"/>
        <v>135</v>
      </c>
      <c r="C151" s="97" t="s">
        <v>123</v>
      </c>
      <c r="D151" s="76">
        <f>AD151</f>
        <v>6.6353999999999997</v>
      </c>
      <c r="E151" s="47">
        <f t="shared" si="22"/>
        <v>2677045.6037472822</v>
      </c>
      <c r="F151" s="6"/>
      <c r="G151" s="49">
        <f>(E151/E148-1)*100</f>
        <v>6.7508050952959975</v>
      </c>
      <c r="H151" s="49"/>
      <c r="I151" s="258"/>
      <c r="J151" s="20">
        <f t="shared" si="19"/>
        <v>42460</v>
      </c>
      <c r="K151" s="27">
        <f>'Global (Gross)'!K151</f>
        <v>7.4820108129513274</v>
      </c>
      <c r="L151" s="46">
        <f t="shared" si="23"/>
        <v>1885030.9292844089</v>
      </c>
      <c r="M151" s="6"/>
      <c r="N151" s="49">
        <f>(L151/L148-1)*100</f>
        <v>0.39198113039786708</v>
      </c>
      <c r="O151" s="258"/>
      <c r="P151" s="20">
        <f t="shared" si="20"/>
        <v>42460</v>
      </c>
      <c r="Q151" s="45">
        <f>'Global (Gross)'!Q151</f>
        <v>5.9798204895968823</v>
      </c>
      <c r="R151" s="46">
        <f t="shared" si="24"/>
        <v>2016828.008890287</v>
      </c>
      <c r="S151" s="6"/>
      <c r="T151" s="49">
        <f>(R151/R148-1)*100</f>
        <v>6.0535554366106359</v>
      </c>
      <c r="U151" s="258"/>
      <c r="V151" s="267"/>
      <c r="W151" s="259"/>
      <c r="X151" s="107">
        <v>6.62</v>
      </c>
      <c r="Y151" s="108">
        <v>214126.57</v>
      </c>
      <c r="Z151" s="107">
        <v>6.65</v>
      </c>
      <c r="AA151" s="108">
        <v>224927.69</v>
      </c>
      <c r="AB151" s="133"/>
      <c r="AC151" s="133"/>
      <c r="AD151" s="110">
        <f t="shared" ref="AD151:AD158" si="26">ROUND(Y150/AE150*X151+AA150/AE150*Z151,4)</f>
        <v>6.6353999999999997</v>
      </c>
      <c r="AE151" s="111">
        <f t="shared" si="25"/>
        <v>439054.26</v>
      </c>
    </row>
    <row r="152" spans="1:31" x14ac:dyDescent="0.25">
      <c r="A152" s="21">
        <v>42490</v>
      </c>
      <c r="B152" s="24">
        <f t="shared" si="21"/>
        <v>136</v>
      </c>
      <c r="C152" s="97" t="s">
        <v>123</v>
      </c>
      <c r="D152" s="76">
        <f t="shared" ref="D152:D180" si="27">AD152</f>
        <v>0.22070000000000001</v>
      </c>
      <c r="E152" s="47">
        <f t="shared" si="22"/>
        <v>2682953.8433947526</v>
      </c>
      <c r="F152" s="6"/>
      <c r="G152" s="49"/>
      <c r="H152" s="49"/>
      <c r="I152" s="258"/>
      <c r="J152" s="20">
        <f t="shared" si="19"/>
        <v>42490</v>
      </c>
      <c r="K152" s="27">
        <f>'Global (Gross)'!K152</f>
        <v>1.5259663378262285</v>
      </c>
      <c r="L152" s="46">
        <f t="shared" si="23"/>
        <v>1913795.8667229021</v>
      </c>
      <c r="M152" s="6"/>
      <c r="N152" s="6"/>
      <c r="O152" s="258"/>
      <c r="P152" s="20">
        <f t="shared" si="20"/>
        <v>42490</v>
      </c>
      <c r="Q152" s="45">
        <f>'Global (Gross)'!Q152</f>
        <v>0.68696619835551365</v>
      </c>
      <c r="R152" s="46">
        <f t="shared" si="24"/>
        <v>2030682.9355903298</v>
      </c>
      <c r="S152" s="6"/>
      <c r="T152" s="49"/>
      <c r="U152" s="258"/>
      <c r="V152" s="267"/>
      <c r="W152" s="259"/>
      <c r="X152" s="107">
        <v>0.19</v>
      </c>
      <c r="Y152" s="108">
        <v>213958.06</v>
      </c>
      <c r="Z152" s="107">
        <v>0.25</v>
      </c>
      <c r="AA152" s="108">
        <v>224752.07</v>
      </c>
      <c r="AB152" s="133"/>
      <c r="AC152" s="133"/>
      <c r="AD152" s="110">
        <f t="shared" si="26"/>
        <v>0.22070000000000001</v>
      </c>
      <c r="AE152" s="111">
        <f t="shared" si="25"/>
        <v>438710.13</v>
      </c>
    </row>
    <row r="153" spans="1:31" x14ac:dyDescent="0.25">
      <c r="A153" s="21">
        <v>42521</v>
      </c>
      <c r="B153" s="24">
        <f t="shared" si="21"/>
        <v>137</v>
      </c>
      <c r="C153" s="97" t="s">
        <v>123</v>
      </c>
      <c r="D153" s="76">
        <f t="shared" si="27"/>
        <v>1.62</v>
      </c>
      <c r="E153" s="47">
        <f t="shared" si="22"/>
        <v>2726417.6956577478</v>
      </c>
      <c r="F153" s="6"/>
      <c r="G153" s="138"/>
      <c r="H153" s="49"/>
      <c r="I153" s="258"/>
      <c r="J153" s="20">
        <f t="shared" si="19"/>
        <v>42521</v>
      </c>
      <c r="K153" s="27">
        <f>'Global (Gross)'!K153</f>
        <v>0.20647800641014066</v>
      </c>
      <c r="L153" s="46">
        <f t="shared" si="23"/>
        <v>1917747.4342752711</v>
      </c>
      <c r="M153" s="6"/>
      <c r="N153" s="130"/>
      <c r="O153" s="258"/>
      <c r="P153" s="20">
        <f t="shared" si="20"/>
        <v>42521</v>
      </c>
      <c r="Q153" s="45">
        <f>'Global (Gross)'!Q153</f>
        <v>-0.2652491008837714</v>
      </c>
      <c r="R153" s="46">
        <f t="shared" si="24"/>
        <v>2025296.5673618764</v>
      </c>
      <c r="S153" s="6"/>
      <c r="T153" s="130"/>
      <c r="U153" s="258"/>
      <c r="V153" s="267"/>
      <c r="W153" s="259"/>
      <c r="X153" s="107">
        <v>1.62</v>
      </c>
      <c r="Y153" s="108">
        <v>216677.02</v>
      </c>
      <c r="Z153" s="107">
        <v>1.62</v>
      </c>
      <c r="AA153" s="108">
        <v>227607.48</v>
      </c>
      <c r="AB153" s="133"/>
      <c r="AC153" s="133"/>
      <c r="AD153" s="110">
        <f t="shared" si="26"/>
        <v>1.62</v>
      </c>
      <c r="AE153" s="111">
        <f t="shared" si="25"/>
        <v>444284.5</v>
      </c>
    </row>
    <row r="154" spans="1:31" x14ac:dyDescent="0.25">
      <c r="A154" s="21">
        <v>42551</v>
      </c>
      <c r="B154" s="24">
        <f t="shared" si="21"/>
        <v>138</v>
      </c>
      <c r="C154" s="97" t="s">
        <v>123</v>
      </c>
      <c r="D154" s="76">
        <f t="shared" si="27"/>
        <v>4.25</v>
      </c>
      <c r="E154" s="47">
        <f t="shared" si="22"/>
        <v>2842290.4477232019</v>
      </c>
      <c r="F154" s="6"/>
      <c r="G154" s="131">
        <f>(E154/E151-1)*100</f>
        <v>6.1726570419500026</v>
      </c>
      <c r="H154" s="49"/>
      <c r="I154" s="258"/>
      <c r="J154" s="20">
        <f t="shared" si="19"/>
        <v>42551</v>
      </c>
      <c r="K154" s="27">
        <f>'Global (Gross)'!K154</f>
        <v>-0.55098852259972941</v>
      </c>
      <c r="L154" s="46">
        <f t="shared" si="23"/>
        <v>1907180.8660199635</v>
      </c>
      <c r="M154" s="6"/>
      <c r="N154" s="131">
        <f>(L154/L151-1)*100</f>
        <v>1.1750436765492811</v>
      </c>
      <c r="O154" s="258"/>
      <c r="P154" s="20">
        <f t="shared" si="20"/>
        <v>42551</v>
      </c>
      <c r="Q154" s="45">
        <f>'Global (Gross)'!Q154</f>
        <v>4.5319740433686952</v>
      </c>
      <c r="R154" s="46">
        <f t="shared" si="24"/>
        <v>2117082.482095954</v>
      </c>
      <c r="S154" s="6"/>
      <c r="T154" s="131">
        <f>(R154/R151-1)*100</f>
        <v>4.9708984982229421</v>
      </c>
      <c r="U154" s="258"/>
      <c r="V154" s="267"/>
      <c r="W154" s="259"/>
      <c r="X154" s="107">
        <v>4.25</v>
      </c>
      <c r="Y154" s="108">
        <v>225370</v>
      </c>
      <c r="Z154" s="107">
        <v>4.25</v>
      </c>
      <c r="AA154" s="108">
        <v>236740</v>
      </c>
      <c r="AB154" s="133"/>
      <c r="AC154" s="133"/>
      <c r="AD154" s="110">
        <f t="shared" si="26"/>
        <v>4.25</v>
      </c>
      <c r="AE154" s="111">
        <f t="shared" si="25"/>
        <v>462110</v>
      </c>
    </row>
    <row r="155" spans="1:31" x14ac:dyDescent="0.25">
      <c r="A155" s="21">
        <v>42582</v>
      </c>
      <c r="B155" s="24">
        <f t="shared" si="21"/>
        <v>139</v>
      </c>
      <c r="C155" s="97" t="s">
        <v>123</v>
      </c>
      <c r="D155" s="76">
        <f t="shared" si="27"/>
        <v>1.3451</v>
      </c>
      <c r="E155" s="47">
        <f t="shared" si="22"/>
        <v>2880522.0965355267</v>
      </c>
      <c r="F155" s="104"/>
      <c r="G155" s="139"/>
      <c r="H155" s="49"/>
      <c r="I155" s="258"/>
      <c r="J155" s="20">
        <f t="shared" si="19"/>
        <v>42582</v>
      </c>
      <c r="K155" s="27">
        <f>'Global (Gross)'!K155</f>
        <v>4.3578224690770719</v>
      </c>
      <c r="L155" s="46">
        <f t="shared" si="23"/>
        <v>1990292.4223253201</v>
      </c>
      <c r="M155" s="104"/>
      <c r="N155" s="104"/>
      <c r="O155" s="258"/>
      <c r="P155" s="20">
        <f t="shared" si="20"/>
        <v>42582</v>
      </c>
      <c r="Q155" s="45">
        <f>'Global (Gross)'!Q155</f>
        <v>2.0357905288696925</v>
      </c>
      <c r="R155" s="46">
        <f t="shared" si="24"/>
        <v>2160181.8467548229</v>
      </c>
      <c r="S155" s="104"/>
      <c r="T155" s="104"/>
      <c r="U155" s="258"/>
      <c r="V155" s="267"/>
      <c r="W155" s="259"/>
      <c r="X155" s="107">
        <v>1.34</v>
      </c>
      <c r="Y155" s="108">
        <v>228064</v>
      </c>
      <c r="Z155" s="107">
        <v>1.35</v>
      </c>
      <c r="AA155" s="108">
        <v>239572</v>
      </c>
      <c r="AB155" s="133"/>
      <c r="AC155" s="133"/>
      <c r="AD155" s="110">
        <f t="shared" si="26"/>
        <v>1.3451</v>
      </c>
      <c r="AE155" s="111">
        <f t="shared" si="25"/>
        <v>467636</v>
      </c>
    </row>
    <row r="156" spans="1:31" x14ac:dyDescent="0.25">
      <c r="A156" s="21">
        <v>42613</v>
      </c>
      <c r="B156" s="24">
        <f t="shared" si="21"/>
        <v>140</v>
      </c>
      <c r="C156" s="97" t="s">
        <v>123</v>
      </c>
      <c r="D156" s="76">
        <f t="shared" si="27"/>
        <v>-1.55</v>
      </c>
      <c r="E156" s="47">
        <f t="shared" si="22"/>
        <v>2835874.0040392261</v>
      </c>
      <c r="F156" s="104"/>
      <c r="G156" s="139"/>
      <c r="H156" s="49"/>
      <c r="I156" s="258"/>
      <c r="J156" s="20">
        <f t="shared" si="19"/>
        <v>42613</v>
      </c>
      <c r="K156" s="27">
        <f>'Global (Gross)'!K156</f>
        <v>0.39014406351650333</v>
      </c>
      <c r="L156" s="46">
        <f t="shared" si="23"/>
        <v>1998057.4300576411</v>
      </c>
      <c r="M156" s="104"/>
      <c r="N156" s="104"/>
      <c r="O156" s="258"/>
      <c r="P156" s="20">
        <f t="shared" si="20"/>
        <v>42613</v>
      </c>
      <c r="Q156" s="45">
        <f>'Global (Gross)'!Q156</f>
        <v>-2.4016955553767954</v>
      </c>
      <c r="R156" s="46">
        <f t="shared" si="24"/>
        <v>2108300.8553532558</v>
      </c>
      <c r="S156" s="104"/>
      <c r="T156" s="104"/>
      <c r="U156" s="258"/>
      <c r="V156" s="267"/>
      <c r="W156" s="259"/>
      <c r="X156" s="107">
        <v>-1.55</v>
      </c>
      <c r="Y156" s="108">
        <v>223724.14</v>
      </c>
      <c r="Z156" s="107">
        <v>-1.55</v>
      </c>
      <c r="AA156" s="108">
        <v>235013.43</v>
      </c>
      <c r="AB156" s="133"/>
      <c r="AC156" s="133"/>
      <c r="AD156" s="110">
        <f t="shared" si="26"/>
        <v>-1.55</v>
      </c>
      <c r="AE156" s="111">
        <f t="shared" si="25"/>
        <v>458737.57</v>
      </c>
    </row>
    <row r="157" spans="1:31" x14ac:dyDescent="0.25">
      <c r="A157" s="21">
        <v>42643</v>
      </c>
      <c r="B157" s="24">
        <f t="shared" si="21"/>
        <v>141</v>
      </c>
      <c r="C157" s="97" t="s">
        <v>123</v>
      </c>
      <c r="D157" s="76">
        <f t="shared" si="27"/>
        <v>-0.44</v>
      </c>
      <c r="E157" s="47">
        <f t="shared" si="22"/>
        <v>2823396.1584214536</v>
      </c>
      <c r="F157" s="104"/>
      <c r="G157" s="131">
        <f>(E157/E$154-1)*100</f>
        <v>-0.66475575418000199</v>
      </c>
      <c r="H157" s="49"/>
      <c r="I157" s="258"/>
      <c r="J157" s="20">
        <f t="shared" si="19"/>
        <v>42643</v>
      </c>
      <c r="K157" s="27">
        <f>'Global (Gross)'!K157</f>
        <v>0.6579390603800731</v>
      </c>
      <c r="L157" s="46">
        <f t="shared" si="23"/>
        <v>2011203.4303388165</v>
      </c>
      <c r="M157" s="104"/>
      <c r="N157" s="131">
        <f>(L157/L$154-1)*100</f>
        <v>5.4542579664158763</v>
      </c>
      <c r="O157" s="258"/>
      <c r="P157" s="20">
        <f t="shared" si="20"/>
        <v>42643</v>
      </c>
      <c r="Q157" s="45">
        <f>'Global (Gross)'!Q157</f>
        <v>0.296863876489457</v>
      </c>
      <c r="R157" s="46">
        <f t="shared" si="24"/>
        <v>2114559.6390005178</v>
      </c>
      <c r="S157" s="104"/>
      <c r="T157" s="131">
        <f>(R157/R$154-1)*100</f>
        <v>-0.11916602762395145</v>
      </c>
      <c r="U157" s="258"/>
      <c r="V157" s="267"/>
      <c r="W157" s="259"/>
      <c r="X157" s="107">
        <v>-0.44</v>
      </c>
      <c r="Y157" s="108">
        <v>222454.17</v>
      </c>
      <c r="Z157" s="107">
        <v>-0.44</v>
      </c>
      <c r="AA157" s="108">
        <v>233679.35999999999</v>
      </c>
      <c r="AB157" s="133"/>
      <c r="AC157" s="133"/>
      <c r="AD157" s="110">
        <f t="shared" si="26"/>
        <v>-0.44</v>
      </c>
      <c r="AE157" s="111">
        <f t="shared" si="25"/>
        <v>456133.53</v>
      </c>
    </row>
    <row r="158" spans="1:31" ht="16.5" thickBot="1" x14ac:dyDescent="0.3">
      <c r="A158" s="21">
        <v>42674</v>
      </c>
      <c r="B158" s="24">
        <f t="shared" si="21"/>
        <v>142</v>
      </c>
      <c r="C158" s="97" t="s">
        <v>123</v>
      </c>
      <c r="D158" s="76">
        <f t="shared" si="27"/>
        <v>-2.85</v>
      </c>
      <c r="E158" s="47">
        <f t="shared" si="22"/>
        <v>2742929.3679064419</v>
      </c>
      <c r="F158" s="256"/>
      <c r="G158" s="256"/>
      <c r="H158" s="49"/>
      <c r="I158" s="258"/>
      <c r="J158" s="20">
        <f t="shared" si="19"/>
        <v>42674</v>
      </c>
      <c r="K158" s="27">
        <f>'Global (Gross)'!K158</f>
        <v>-1.6692833411041332</v>
      </c>
      <c r="L158" s="46">
        <f t="shared" si="23"/>
        <v>1977630.7465204557</v>
      </c>
      <c r="M158" s="3"/>
      <c r="N158" s="256"/>
      <c r="O158" s="258"/>
      <c r="P158" s="20">
        <f t="shared" si="20"/>
        <v>42674</v>
      </c>
      <c r="Q158" s="45">
        <f>'Global (Gross)'!Q158</f>
        <v>-2.9743388892292217</v>
      </c>
      <c r="R158" s="46">
        <f t="shared" si="24"/>
        <v>2051665.4693217804</v>
      </c>
      <c r="S158" s="3"/>
      <c r="T158" s="256"/>
      <c r="U158" s="258"/>
      <c r="V158" s="267"/>
      <c r="W158" s="259"/>
      <c r="X158" s="225">
        <v>-2.85</v>
      </c>
      <c r="Y158" s="226">
        <v>215710.24</v>
      </c>
      <c r="Z158" s="225">
        <v>-2.85</v>
      </c>
      <c r="AA158" s="276">
        <v>226595.14</v>
      </c>
      <c r="AB158" s="231"/>
      <c r="AC158" s="108"/>
      <c r="AD158" s="110">
        <f t="shared" si="26"/>
        <v>-2.85</v>
      </c>
      <c r="AE158" s="111">
        <f t="shared" si="25"/>
        <v>442305.38</v>
      </c>
    </row>
    <row r="159" spans="1:31" x14ac:dyDescent="0.25">
      <c r="A159" s="21">
        <v>42704</v>
      </c>
      <c r="B159" s="24">
        <f t="shared" si="21"/>
        <v>143</v>
      </c>
      <c r="C159" s="97" t="s">
        <v>124</v>
      </c>
      <c r="D159" s="76">
        <f t="shared" si="27"/>
        <v>-0.53</v>
      </c>
      <c r="E159" s="47">
        <f t="shared" si="22"/>
        <v>2728391.8422565376</v>
      </c>
      <c r="F159" s="256"/>
      <c r="G159" s="256"/>
      <c r="H159" s="49"/>
      <c r="I159" s="258"/>
      <c r="J159" s="20">
        <f t="shared" si="19"/>
        <v>42704</v>
      </c>
      <c r="K159" s="27">
        <f>'Global (Gross)'!K159</f>
        <v>0.82294324170858391</v>
      </c>
      <c r="L159" s="46">
        <f t="shared" si="23"/>
        <v>1993905.5250948968</v>
      </c>
      <c r="M159" s="3"/>
      <c r="N159" s="256"/>
      <c r="O159" s="258"/>
      <c r="P159" s="20">
        <f t="shared" si="20"/>
        <v>42704</v>
      </c>
      <c r="Q159" s="45">
        <f>'Global (Gross)'!Q159</f>
        <v>-1.6182767557452011</v>
      </c>
      <c r="R159" s="46">
        <f t="shared" si="24"/>
        <v>2018463.8439260954</v>
      </c>
      <c r="S159" s="3"/>
      <c r="T159" s="256"/>
      <c r="U159" s="258"/>
      <c r="V159" s="267"/>
      <c r="W159" s="279" t="s">
        <v>124</v>
      </c>
      <c r="X159" s="107"/>
      <c r="Y159" s="108"/>
      <c r="Z159" s="107">
        <v>-0.52800000000000002</v>
      </c>
      <c r="AA159" s="108">
        <v>161233.01</v>
      </c>
      <c r="AB159" s="133"/>
      <c r="AC159" s="133"/>
      <c r="AD159" s="110">
        <v>-0.53</v>
      </c>
      <c r="AE159" s="111">
        <f>AA159</f>
        <v>161233.01</v>
      </c>
    </row>
    <row r="160" spans="1:31" ht="16.5" thickBot="1" x14ac:dyDescent="0.3">
      <c r="A160" s="21">
        <v>42735</v>
      </c>
      <c r="B160" s="24">
        <f t="shared" si="21"/>
        <v>144</v>
      </c>
      <c r="C160" s="97" t="s">
        <v>124</v>
      </c>
      <c r="D160" s="76">
        <f t="shared" si="27"/>
        <v>1.74</v>
      </c>
      <c r="E160" s="47">
        <f t="shared" si="22"/>
        <v>2775865.8603118015</v>
      </c>
      <c r="F160" s="253">
        <f>(E160/E$148-1)*100</f>
        <v>10.691396145825593</v>
      </c>
      <c r="G160" s="131">
        <f>(E160/E$157-1)*100</f>
        <v>-1.6834441730000038</v>
      </c>
      <c r="H160" s="49"/>
      <c r="I160" s="258"/>
      <c r="J160" s="20">
        <f t="shared" si="19"/>
        <v>42735</v>
      </c>
      <c r="K160" s="27">
        <f>'Global (Gross)'!K160</f>
        <v>2.2033787761807404</v>
      </c>
      <c r="L160" s="46">
        <f t="shared" si="23"/>
        <v>2037838.8162519329</v>
      </c>
      <c r="M160" s="253">
        <f>(L160/L$148-1)*100</f>
        <v>8.5301428266853829</v>
      </c>
      <c r="N160" s="131">
        <f>(L160/L$157-1)*100</f>
        <v>1.3243506604714517</v>
      </c>
      <c r="O160" s="258"/>
      <c r="P160" s="20">
        <f t="shared" si="20"/>
        <v>42735</v>
      </c>
      <c r="Q160" s="45">
        <f>'Global (Gross)'!Q160</f>
        <v>1.8563886692055138</v>
      </c>
      <c r="R160" s="46">
        <f t="shared" si="24"/>
        <v>2055934.3780167494</v>
      </c>
      <c r="S160" s="253">
        <f>(R160/R$148-1)*100</f>
        <v>8.1099377695592167</v>
      </c>
      <c r="T160" s="131">
        <f>(R160/R$157-1)*100</f>
        <v>-2.7724572011352033</v>
      </c>
      <c r="U160" s="258"/>
      <c r="V160" s="267"/>
      <c r="W160" s="279" t="s">
        <v>124</v>
      </c>
      <c r="X160" s="107"/>
      <c r="Y160" s="108"/>
      <c r="Z160" s="107">
        <v>1.74</v>
      </c>
      <c r="AA160" s="108">
        <v>164031.74</v>
      </c>
      <c r="AB160" s="133"/>
      <c r="AC160" s="133"/>
      <c r="AD160" s="110">
        <v>1.74</v>
      </c>
      <c r="AE160" s="111">
        <f>AA160</f>
        <v>164031.74</v>
      </c>
    </row>
    <row r="161" spans="1:33" ht="16.5" thickBot="1" x14ac:dyDescent="0.3">
      <c r="A161" s="21">
        <v>42766</v>
      </c>
      <c r="B161" s="24">
        <f t="shared" si="21"/>
        <v>145</v>
      </c>
      <c r="C161" s="97" t="s">
        <v>124</v>
      </c>
      <c r="D161" s="76">
        <f t="shared" si="27"/>
        <v>1.6621999999999999</v>
      </c>
      <c r="E161" s="47">
        <f t="shared" si="22"/>
        <v>2822006.3026419044</v>
      </c>
      <c r="F161" s="253"/>
      <c r="G161" s="131"/>
      <c r="H161" s="49"/>
      <c r="I161" s="258"/>
      <c r="J161" s="20">
        <f t="shared" si="19"/>
        <v>42766</v>
      </c>
      <c r="K161" s="27">
        <f>'Global (Gross)'!K161</f>
        <v>2.7574400329489568</v>
      </c>
      <c r="L161" s="46">
        <f t="shared" si="23"/>
        <v>2094030.9995782368</v>
      </c>
      <c r="M161" s="14"/>
      <c r="N161" s="10"/>
      <c r="O161" s="258"/>
      <c r="P161" s="20">
        <f t="shared" si="20"/>
        <v>42766</v>
      </c>
      <c r="Q161" s="45">
        <f>'Global (Gross)'!Q161</f>
        <v>1.7552513044008613</v>
      </c>
      <c r="R161" s="46">
        <f t="shared" si="24"/>
        <v>2092021.1930045141</v>
      </c>
      <c r="S161" s="14"/>
      <c r="T161" s="10"/>
      <c r="U161" s="258"/>
      <c r="V161" s="256"/>
      <c r="W161" s="279" t="s">
        <v>124</v>
      </c>
      <c r="X161" s="107"/>
      <c r="Y161" s="108">
        <v>25707804.91</v>
      </c>
      <c r="Z161" s="225">
        <v>1.6621999999999999</v>
      </c>
      <c r="AA161" s="226">
        <v>164031.74</v>
      </c>
      <c r="AB161" s="133"/>
      <c r="AC161" s="133"/>
      <c r="AD161" s="110">
        <f>ROUND(Y160/AE160*X161+AA160/AE160*Z161,4)</f>
        <v>1.6621999999999999</v>
      </c>
      <c r="AE161" s="111">
        <f>AA161</f>
        <v>164031.74</v>
      </c>
      <c r="AF161" s="149">
        <v>25707804.91</v>
      </c>
      <c r="AG161" s="256"/>
    </row>
    <row r="162" spans="1:33" x14ac:dyDescent="0.25">
      <c r="A162" s="21">
        <v>42794</v>
      </c>
      <c r="B162" s="24">
        <f t="shared" si="21"/>
        <v>146</v>
      </c>
      <c r="C162" s="97" t="s">
        <v>126</v>
      </c>
      <c r="D162" s="76">
        <f t="shared" si="27"/>
        <v>3.6686000000000001</v>
      </c>
      <c r="E162" s="47">
        <f t="shared" si="22"/>
        <v>2925534.4258606252</v>
      </c>
      <c r="F162" s="253"/>
      <c r="G162" s="131"/>
      <c r="H162" s="49"/>
      <c r="I162" s="258"/>
      <c r="J162" s="20">
        <f t="shared" si="19"/>
        <v>42794</v>
      </c>
      <c r="K162" s="27">
        <f>'Global (Gross)'!K162</f>
        <v>2.8537898269149213</v>
      </c>
      <c r="L162" s="46">
        <f t="shared" si="23"/>
        <v>2153790.2432166454</v>
      </c>
      <c r="M162" s="14"/>
      <c r="N162" s="10"/>
      <c r="O162" s="258"/>
      <c r="P162" s="20">
        <f t="shared" si="20"/>
        <v>42794</v>
      </c>
      <c r="Q162" s="45">
        <f>'Global (Gross)'!Q162</f>
        <v>3.4158431247981071</v>
      </c>
      <c r="R162" s="46">
        <f t="shared" si="24"/>
        <v>2163481.3550950782</v>
      </c>
      <c r="S162" s="14"/>
      <c r="T162" s="10"/>
      <c r="U162" s="258"/>
      <c r="V162" s="256"/>
      <c r="W162" s="43" t="s">
        <v>126</v>
      </c>
      <c r="X162" s="107">
        <f>'Global (Gross)'!X162</f>
        <v>3.6685902720527492</v>
      </c>
      <c r="Y162" s="108">
        <f>'Global (Gross)'!Y162</f>
        <v>24018941.530000001</v>
      </c>
      <c r="Z162" s="256"/>
      <c r="AA162" s="280"/>
      <c r="AB162" s="280"/>
      <c r="AC162" s="280"/>
      <c r="AD162" s="110">
        <f>ROUND(Y161/AF161*(X162),4)</f>
        <v>3.6686000000000001</v>
      </c>
      <c r="AE162" s="111">
        <f>Y162</f>
        <v>24018941.530000001</v>
      </c>
      <c r="AF162" s="256"/>
      <c r="AG162" s="256"/>
    </row>
    <row r="163" spans="1:33" x14ac:dyDescent="0.25">
      <c r="A163" s="21">
        <v>42825</v>
      </c>
      <c r="B163" s="24">
        <f t="shared" si="21"/>
        <v>147</v>
      </c>
      <c r="C163" s="97" t="s">
        <v>126</v>
      </c>
      <c r="D163" s="76">
        <f t="shared" si="27"/>
        <v>1.5108999999999999</v>
      </c>
      <c r="E163" s="47">
        <f t="shared" si="22"/>
        <v>2969736.3255009535</v>
      </c>
      <c r="F163" s="256"/>
      <c r="G163" s="131">
        <f>(E163/E$160-1)*100</f>
        <v>6.9841438652001431</v>
      </c>
      <c r="H163" s="49"/>
      <c r="I163" s="258"/>
      <c r="J163" s="20">
        <f t="shared" si="19"/>
        <v>42825</v>
      </c>
      <c r="K163" s="27">
        <f>'Global (Gross)'!K163</f>
        <v>1.2979841265386129</v>
      </c>
      <c r="L163" s="46">
        <f t="shared" si="23"/>
        <v>2181746.098692535</v>
      </c>
      <c r="M163" s="14"/>
      <c r="N163" s="131">
        <f>(L163/L$160-1)*100</f>
        <v>7.0617598061696318</v>
      </c>
      <c r="O163" s="258"/>
      <c r="P163" s="20">
        <f t="shared" si="20"/>
        <v>42825</v>
      </c>
      <c r="Q163" s="45">
        <f>'Global (Gross)'!Q163</f>
        <v>0.6939807269948205</v>
      </c>
      <c r="R163" s="46">
        <f t="shared" si="24"/>
        <v>2178495.4987315643</v>
      </c>
      <c r="S163" s="14"/>
      <c r="T163" s="131">
        <f>(R163/R$160-1)*100</f>
        <v>5.9613342733751518</v>
      </c>
      <c r="U163" s="258"/>
      <c r="V163" s="256"/>
      <c r="W163" s="43" t="s">
        <v>126</v>
      </c>
      <c r="X163" s="107">
        <f>'Global (Gross)'!X163</f>
        <v>1.5109343936381814</v>
      </c>
      <c r="Y163" s="108">
        <f>'Global (Gross)'!Y163</f>
        <v>23502173.510000002</v>
      </c>
      <c r="Z163" s="256"/>
      <c r="AA163" s="256"/>
      <c r="AB163" s="256"/>
      <c r="AC163" s="256"/>
      <c r="AD163" s="110">
        <f>ROUND(Y162/AE162*(X163),4)</f>
        <v>1.5108999999999999</v>
      </c>
      <c r="AE163" s="111">
        <f>Y163</f>
        <v>23502173.510000002</v>
      </c>
      <c r="AF163" s="256"/>
      <c r="AG163" s="256"/>
    </row>
    <row r="164" spans="1:33" ht="16.5" thickBot="1" x14ac:dyDescent="0.3">
      <c r="A164" s="21">
        <v>42855</v>
      </c>
      <c r="B164" s="24">
        <f t="shared" si="21"/>
        <v>148</v>
      </c>
      <c r="C164" s="97" t="s">
        <v>126</v>
      </c>
      <c r="D164" s="76">
        <f t="shared" si="27"/>
        <v>0.97919999999999996</v>
      </c>
      <c r="E164" s="47">
        <f t="shared" si="22"/>
        <v>2998815.9836002588</v>
      </c>
      <c r="F164" s="256"/>
      <c r="G164" s="256"/>
      <c r="H164" s="49"/>
      <c r="I164" s="258"/>
      <c r="J164" s="20">
        <f t="shared" si="19"/>
        <v>42855</v>
      </c>
      <c r="K164" s="27">
        <f>'Global (Gross)'!K164</f>
        <v>1.6037847096030915</v>
      </c>
      <c r="L164" s="46">
        <f t="shared" si="23"/>
        <v>2216736.609025728</v>
      </c>
      <c r="M164" s="14"/>
      <c r="N164" s="10"/>
      <c r="O164" s="258"/>
      <c r="P164" s="20">
        <f t="shared" si="20"/>
        <v>42855</v>
      </c>
      <c r="Q164" s="45">
        <f>'Global (Gross)'!Q164</f>
        <v>1.1772501596689244</v>
      </c>
      <c r="R164" s="46">
        <f t="shared" si="24"/>
        <v>2204141.840468762</v>
      </c>
      <c r="S164" s="14"/>
      <c r="T164" s="10"/>
      <c r="U164" s="258"/>
      <c r="V164" s="256"/>
      <c r="W164" s="43" t="s">
        <v>126</v>
      </c>
      <c r="X164" s="107">
        <f>'Global (Gross)'!X164</f>
        <v>0.97924010967489228</v>
      </c>
      <c r="Y164" s="108">
        <f>'Global (Gross)'!Y164</f>
        <v>22855948.266666699</v>
      </c>
      <c r="Z164" s="256"/>
      <c r="AA164" s="256"/>
      <c r="AB164" s="256"/>
      <c r="AC164" s="256"/>
      <c r="AD164" s="110">
        <f>ROUND(Y163/AE163*(X164),4)</f>
        <v>0.97919999999999996</v>
      </c>
      <c r="AE164" s="111">
        <f>Y164</f>
        <v>22855948.266666699</v>
      </c>
      <c r="AF164" s="256"/>
      <c r="AG164" s="256"/>
    </row>
    <row r="165" spans="1:33" ht="16.5" thickBot="1" x14ac:dyDescent="0.3">
      <c r="A165" s="21">
        <v>42886</v>
      </c>
      <c r="B165" s="24">
        <f t="shared" si="21"/>
        <v>149</v>
      </c>
      <c r="C165" s="97" t="s">
        <v>126</v>
      </c>
      <c r="D165" s="76">
        <f t="shared" si="27"/>
        <v>2.7541000000000002</v>
      </c>
      <c r="E165" s="47">
        <f t="shared" si="22"/>
        <v>3081406.3746045935</v>
      </c>
      <c r="F165" s="256"/>
      <c r="G165" s="256"/>
      <c r="H165" s="49"/>
      <c r="I165" s="258"/>
      <c r="J165" s="20">
        <f t="shared" si="19"/>
        <v>42886</v>
      </c>
      <c r="K165" s="27">
        <f>'Global (Gross)'!K165</f>
        <v>2.2794300798517919</v>
      </c>
      <c r="L165" s="46">
        <f t="shared" si="23"/>
        <v>2267265.5700829471</v>
      </c>
      <c r="M165" s="14"/>
      <c r="N165" s="10"/>
      <c r="O165" s="258"/>
      <c r="P165" s="20">
        <f t="shared" si="20"/>
        <v>42886</v>
      </c>
      <c r="Q165" s="45">
        <f>'Global (Gross)'!Q165</f>
        <v>2.9279350623437277</v>
      </c>
      <c r="R165" s="46">
        <f t="shared" si="24"/>
        <v>2268677.6822396354</v>
      </c>
      <c r="S165" s="14"/>
      <c r="T165" s="10"/>
      <c r="U165" s="258"/>
      <c r="V165" s="256"/>
      <c r="W165" s="43" t="s">
        <v>126</v>
      </c>
      <c r="X165" s="107">
        <f>'Global (Gross)'!X165</f>
        <v>2.7540729247478559</v>
      </c>
      <c r="Y165" s="108">
        <f>'Global (Gross)'!Y165</f>
        <v>22435710.190000001</v>
      </c>
      <c r="Z165" s="324" t="s">
        <v>112</v>
      </c>
      <c r="AA165" s="325" t="s">
        <v>81</v>
      </c>
      <c r="AB165" s="256"/>
      <c r="AC165" s="256"/>
      <c r="AD165" s="110">
        <f>ROUND(Y164/AE164*(X165),4)</f>
        <v>2.7541000000000002</v>
      </c>
      <c r="AE165" s="111">
        <f>Y165</f>
        <v>22435710.190000001</v>
      </c>
      <c r="AF165"/>
      <c r="AG165" s="256"/>
    </row>
    <row r="166" spans="1:33" ht="16.5" thickBot="1" x14ac:dyDescent="0.3">
      <c r="A166" s="21">
        <v>42916</v>
      </c>
      <c r="B166" s="24">
        <f t="shared" si="21"/>
        <v>150</v>
      </c>
      <c r="C166" s="97" t="s">
        <v>126</v>
      </c>
      <c r="D166" s="76">
        <f t="shared" si="27"/>
        <v>-0.30199999999999999</v>
      </c>
      <c r="E166" s="47">
        <f t="shared" si="22"/>
        <v>3072100.5273532877</v>
      </c>
      <c r="F166" s="253"/>
      <c r="G166" s="131">
        <f>(E166/E$163-1)*100</f>
        <v>3.4469121373954525</v>
      </c>
      <c r="H166" s="49"/>
      <c r="I166" s="258"/>
      <c r="J166" s="20">
        <f t="shared" si="19"/>
        <v>42916</v>
      </c>
      <c r="K166" s="27">
        <f>'Global (Gross)'!K166</f>
        <v>0.49756434216775997</v>
      </c>
      <c r="L166" s="46">
        <f t="shared" si="23"/>
        <v>2278546.6751019266</v>
      </c>
      <c r="M166" s="253"/>
      <c r="N166" s="131">
        <f>(L166/L$163-1)*100</f>
        <v>4.4368396701798485</v>
      </c>
      <c r="O166" s="258"/>
      <c r="P166" s="20">
        <f t="shared" si="20"/>
        <v>42916</v>
      </c>
      <c r="Q166" s="45">
        <f>'Global (Gross)'!Q166</f>
        <v>-0.42232986794843708</v>
      </c>
      <c r="R166" s="46">
        <f t="shared" si="24"/>
        <v>2259096.3787800572</v>
      </c>
      <c r="S166" s="253"/>
      <c r="T166" s="131">
        <f>(R166/R$163-1)*100</f>
        <v>3.6998414775436972</v>
      </c>
      <c r="U166" s="258"/>
      <c r="V166" s="256"/>
      <c r="W166" s="43" t="s">
        <v>126</v>
      </c>
      <c r="X166" s="107">
        <f>'Global (Gross)'!X166</f>
        <v>-0.30200075500188106</v>
      </c>
      <c r="Y166" s="108">
        <f>'Global (Gross)'!Y166</f>
        <v>22484294.789999999</v>
      </c>
      <c r="Z166" s="107"/>
      <c r="AA166" s="108">
        <f>'Global (Gross)'!AA166</f>
        <v>9908609.8599999994</v>
      </c>
      <c r="AB166" s="133"/>
      <c r="AC166" s="133"/>
      <c r="AD166" s="110">
        <f>ROUND(Y165/AE165*(X166),4)</f>
        <v>-0.30199999999999999</v>
      </c>
      <c r="AE166" s="111">
        <f>Y166</f>
        <v>22484294.789999999</v>
      </c>
      <c r="AF166" s="149">
        <f>Y166+AA166</f>
        <v>32392904.649999999</v>
      </c>
      <c r="AG166" s="256"/>
    </row>
    <row r="167" spans="1:33" x14ac:dyDescent="0.25">
      <c r="A167" s="21">
        <v>42947</v>
      </c>
      <c r="B167" s="24">
        <f t="shared" si="21"/>
        <v>151</v>
      </c>
      <c r="C167" s="97" t="s">
        <v>135</v>
      </c>
      <c r="D167" s="76">
        <f t="shared" si="27"/>
        <v>1.1109</v>
      </c>
      <c r="E167" s="47">
        <f t="shared" si="22"/>
        <v>3106228.4921116554</v>
      </c>
      <c r="F167" s="253"/>
      <c r="G167" s="131"/>
      <c r="H167" s="49"/>
      <c r="I167" s="258"/>
      <c r="J167" s="20">
        <f t="shared" si="19"/>
        <v>42947</v>
      </c>
      <c r="K167" s="27">
        <f>'Global (Gross)'!K167</f>
        <v>2.8323498003446272</v>
      </c>
      <c r="L167" s="46">
        <f t="shared" si="23"/>
        <v>2343083.0873049353</v>
      </c>
      <c r="M167" s="253"/>
      <c r="N167" s="10"/>
      <c r="O167" s="258"/>
      <c r="P167" s="20">
        <f t="shared" si="20"/>
        <v>42947</v>
      </c>
      <c r="Q167" s="45">
        <f>'Global (Gross)'!Q167</f>
        <v>1.8490775779406101</v>
      </c>
      <c r="R167" s="46">
        <f t="shared" si="24"/>
        <v>2300868.8233841476</v>
      </c>
      <c r="S167" s="253"/>
      <c r="T167" s="10"/>
      <c r="U167" s="258"/>
      <c r="V167" s="256"/>
      <c r="W167" s="43" t="s">
        <v>128</v>
      </c>
      <c r="X167" s="107">
        <f>'Global (Gross)'!X167</f>
        <v>1.0980689132904171</v>
      </c>
      <c r="Y167" s="108">
        <f>'Global (Gross)'!Y167</f>
        <v>22562171.329999998</v>
      </c>
      <c r="Z167" s="107">
        <v>1.1399999999999999</v>
      </c>
      <c r="AA167" s="108">
        <f>'Global (Gross)'!AA167</f>
        <v>10021700.619999999</v>
      </c>
      <c r="AB167" s="133"/>
      <c r="AC167" s="133"/>
      <c r="AD167" s="110">
        <f>ROUND(Y166/AF166*(X167)+AA166/AF166*Z167,4)</f>
        <v>1.1109</v>
      </c>
      <c r="AE167" s="111">
        <f t="shared" ref="AE167:AE177" si="28">Y167+AA167</f>
        <v>32583871.949999996</v>
      </c>
      <c r="AF167"/>
      <c r="AG167" s="256"/>
    </row>
    <row r="168" spans="1:33" x14ac:dyDescent="0.25">
      <c r="A168" s="21">
        <v>42978</v>
      </c>
      <c r="B168" s="24">
        <f t="shared" si="21"/>
        <v>152</v>
      </c>
      <c r="C168" s="97" t="s">
        <v>135</v>
      </c>
      <c r="D168" s="76">
        <f t="shared" si="27"/>
        <v>1.8187</v>
      </c>
      <c r="E168" s="47">
        <f t="shared" si="22"/>
        <v>3162721.4696976901</v>
      </c>
      <c r="F168" s="253"/>
      <c r="G168" s="131"/>
      <c r="H168" s="49"/>
      <c r="I168" s="258"/>
      <c r="J168" s="20">
        <f t="shared" si="19"/>
        <v>42978</v>
      </c>
      <c r="K168" s="27">
        <f>'Global (Gross)'!K168</f>
        <v>0.43875833640838496</v>
      </c>
      <c r="L168" s="46">
        <f t="shared" si="23"/>
        <v>2353363.5596794607</v>
      </c>
      <c r="M168" s="253"/>
      <c r="N168" s="10"/>
      <c r="O168" s="258"/>
      <c r="P168" s="20">
        <f t="shared" si="20"/>
        <v>42978</v>
      </c>
      <c r="Q168" s="45">
        <f>'Global (Gross)'!Q168</f>
        <v>0.92712679387554964</v>
      </c>
      <c r="R168" s="46">
        <f t="shared" si="24"/>
        <v>2322200.794737671</v>
      </c>
      <c r="S168" s="253"/>
      <c r="T168" s="10"/>
      <c r="U168" s="258"/>
      <c r="V168" s="256"/>
      <c r="W168" s="43" t="s">
        <v>128</v>
      </c>
      <c r="X168" s="107">
        <f>'Global (Gross)'!X168</f>
        <v>1.9101123595505678</v>
      </c>
      <c r="Y168" s="108">
        <f>'Global (Gross)'!Y168</f>
        <v>22758313.34</v>
      </c>
      <c r="Z168" s="107">
        <v>1.61297</v>
      </c>
      <c r="AA168" s="108">
        <f>'Global (Gross)'!AA168</f>
        <v>15198956.880000001</v>
      </c>
      <c r="AB168" s="133"/>
      <c r="AC168" s="133"/>
      <c r="AD168" s="110">
        <f t="shared" ref="AD168:AD178" si="29">ROUND(Y167/AE167*(X168)+AA167/AE167*Z168,4)</f>
        <v>1.8187</v>
      </c>
      <c r="AE168" s="111">
        <f t="shared" si="28"/>
        <v>37957270.219999999</v>
      </c>
      <c r="AF168"/>
      <c r="AG168" s="256"/>
    </row>
    <row r="169" spans="1:33" x14ac:dyDescent="0.25">
      <c r="A169" s="21">
        <v>43008</v>
      </c>
      <c r="B169" s="24">
        <f t="shared" si="21"/>
        <v>153</v>
      </c>
      <c r="C169" s="97" t="s">
        <v>135</v>
      </c>
      <c r="D169" s="76">
        <f t="shared" si="27"/>
        <v>1.4439</v>
      </c>
      <c r="E169" s="47">
        <f t="shared" si="22"/>
        <v>3208388.0049986551</v>
      </c>
      <c r="F169" s="253"/>
      <c r="G169" s="131">
        <f>(E169/E$166-1)*100</f>
        <v>4.4362961573651161</v>
      </c>
      <c r="H169" s="49"/>
      <c r="I169" s="258"/>
      <c r="J169" s="20">
        <f t="shared" si="19"/>
        <v>43008</v>
      </c>
      <c r="K169" s="27">
        <f>'Global (Gross)'!K169</f>
        <v>1.9743600083037331</v>
      </c>
      <c r="L169" s="46">
        <f t="shared" si="23"/>
        <v>2399827.428651765</v>
      </c>
      <c r="M169" s="253"/>
      <c r="N169" s="131">
        <f>(L169/L$166-1)*100</f>
        <v>5.3227241238941625</v>
      </c>
      <c r="O169" s="258"/>
      <c r="P169" s="20">
        <f t="shared" si="20"/>
        <v>43008</v>
      </c>
      <c r="Q169" s="45">
        <f>'Global (Gross)'!Q169</f>
        <v>0.14370956688072881</v>
      </c>
      <c r="R169" s="46">
        <f t="shared" si="24"/>
        <v>2325538.0194418896</v>
      </c>
      <c r="S169" s="253"/>
      <c r="T169" s="131">
        <f>(R169/R$166-1)*100</f>
        <v>2.9410715401930743</v>
      </c>
      <c r="U169" s="258"/>
      <c r="V169" s="256"/>
      <c r="W169" s="43" t="s">
        <v>128</v>
      </c>
      <c r="X169" s="107">
        <f>'Global (Gross)'!X169</f>
        <v>1.2862918044836378</v>
      </c>
      <c r="Y169" s="108">
        <f>'Global (Gross)'!Y169</f>
        <v>22416582.149999999</v>
      </c>
      <c r="Z169" s="107">
        <v>1.68</v>
      </c>
      <c r="AA169" s="108">
        <f>'Global (Gross)'!AA169</f>
        <v>15454865.289999999</v>
      </c>
      <c r="AB169" s="133"/>
      <c r="AC169" s="133"/>
      <c r="AD169" s="110">
        <f t="shared" si="29"/>
        <v>1.4439</v>
      </c>
      <c r="AE169" s="111">
        <f t="shared" si="28"/>
        <v>37871447.439999998</v>
      </c>
      <c r="AF169"/>
      <c r="AG169" s="256"/>
    </row>
    <row r="170" spans="1:33" x14ac:dyDescent="0.25">
      <c r="A170" s="21">
        <v>43039</v>
      </c>
      <c r="B170" s="24">
        <f t="shared" si="21"/>
        <v>154</v>
      </c>
      <c r="C170" s="97" t="s">
        <v>135</v>
      </c>
      <c r="D170" s="76">
        <f t="shared" si="27"/>
        <v>1.3496999999999999</v>
      </c>
      <c r="E170" s="47">
        <f t="shared" si="22"/>
        <v>3251691.617902122</v>
      </c>
      <c r="F170" s="256"/>
      <c r="G170" s="256"/>
      <c r="H170" s="49"/>
      <c r="I170" s="258"/>
      <c r="J170" s="20">
        <f t="shared" si="19"/>
        <v>43039</v>
      </c>
      <c r="K170" s="27">
        <f>'Global (Gross)'!K170</f>
        <v>2.1003109407469802</v>
      </c>
      <c r="L170" s="46">
        <f t="shared" si="23"/>
        <v>2450231.2666947851</v>
      </c>
      <c r="M170" s="18"/>
      <c r="N170" s="10"/>
      <c r="O170" s="258"/>
      <c r="P170" s="20">
        <f t="shared" si="20"/>
        <v>43039</v>
      </c>
      <c r="Q170" s="45">
        <f>'Global (Gross)'!Q170</f>
        <v>1.6313814819777706</v>
      </c>
      <c r="R170" s="46">
        <f t="shared" si="24"/>
        <v>2363476.4160474171</v>
      </c>
      <c r="S170" s="18"/>
      <c r="T170" s="10"/>
      <c r="U170" s="258"/>
      <c r="V170" s="256"/>
      <c r="W170" s="43" t="s">
        <v>128</v>
      </c>
      <c r="X170" s="107">
        <f>'Global (Gross)'!X170</f>
        <v>1.3425253991291763</v>
      </c>
      <c r="Y170" s="108">
        <f>'Global (Gross)'!Y170</f>
        <v>22155043.879999999</v>
      </c>
      <c r="Z170" s="107">
        <v>1.36</v>
      </c>
      <c r="AA170" s="108">
        <f>'Global (Gross)'!AA170</f>
        <v>15664492.960000001</v>
      </c>
      <c r="AB170" s="133"/>
      <c r="AC170" s="133"/>
      <c r="AD170" s="110">
        <f t="shared" si="29"/>
        <v>1.3496999999999999</v>
      </c>
      <c r="AE170" s="111">
        <f t="shared" si="28"/>
        <v>37819536.840000004</v>
      </c>
      <c r="AF170" s="256"/>
      <c r="AG170" s="256"/>
    </row>
    <row r="171" spans="1:33" x14ac:dyDescent="0.25">
      <c r="A171" s="21">
        <v>43069</v>
      </c>
      <c r="B171" s="24">
        <f t="shared" si="21"/>
        <v>155</v>
      </c>
      <c r="C171" s="97" t="s">
        <v>135</v>
      </c>
      <c r="D171" s="76">
        <f t="shared" si="27"/>
        <v>2.3206000000000002</v>
      </c>
      <c r="E171" s="47">
        <f t="shared" si="22"/>
        <v>3327150.3735871585</v>
      </c>
      <c r="F171" s="256"/>
      <c r="G171" s="256"/>
      <c r="H171" s="49"/>
      <c r="I171" s="258"/>
      <c r="J171" s="20">
        <f t="shared" si="19"/>
        <v>43069</v>
      </c>
      <c r="K171" s="27">
        <f>'Global (Gross)'!K171</f>
        <v>1.9861009226556732</v>
      </c>
      <c r="L171" s="46">
        <f t="shared" si="23"/>
        <v>2498895.3324898081</v>
      </c>
      <c r="M171" s="253"/>
      <c r="N171" s="10"/>
      <c r="O171" s="258"/>
      <c r="P171" s="20">
        <f t="shared" si="20"/>
        <v>43069</v>
      </c>
      <c r="Q171" s="45">
        <f>'Global (Gross)'!Q171</f>
        <v>2.5247935599578653</v>
      </c>
      <c r="R171" s="46">
        <f t="shared" si="24"/>
        <v>2423149.3163909051</v>
      </c>
      <c r="S171" s="253"/>
      <c r="T171" s="10"/>
      <c r="U171" s="258"/>
      <c r="V171" s="256"/>
      <c r="W171" s="43" t="s">
        <v>128</v>
      </c>
      <c r="X171" s="107">
        <f>'Global (Gross)'!X171</f>
        <v>2.3988542785535327</v>
      </c>
      <c r="Y171" s="108">
        <f>'Global (Gross)'!Y171</f>
        <v>22545614.75</v>
      </c>
      <c r="Z171" s="107">
        <v>2.21</v>
      </c>
      <c r="AA171" s="108">
        <f>'Global (Gross)'!AA171</f>
        <v>16010588.59</v>
      </c>
      <c r="AB171" s="133"/>
      <c r="AC171" s="133"/>
      <c r="AD171" s="110">
        <f t="shared" si="29"/>
        <v>2.3206000000000002</v>
      </c>
      <c r="AE171" s="111">
        <f t="shared" si="28"/>
        <v>38556203.340000004</v>
      </c>
      <c r="AF171" s="256"/>
      <c r="AG171" s="256"/>
    </row>
    <row r="172" spans="1:33" x14ac:dyDescent="0.25">
      <c r="A172" s="21">
        <v>43100</v>
      </c>
      <c r="B172" s="24">
        <f t="shared" si="21"/>
        <v>156</v>
      </c>
      <c r="C172" s="97" t="s">
        <v>135</v>
      </c>
      <c r="D172" s="76">
        <f t="shared" si="27"/>
        <v>0.74050000000000005</v>
      </c>
      <c r="E172" s="47">
        <f t="shared" si="22"/>
        <v>3351787.9221035712</v>
      </c>
      <c r="F172" s="253">
        <f t="shared" ref="F172" si="30">(E172/E$160-1)*100</f>
        <v>20.747474509704112</v>
      </c>
      <c r="G172" s="131">
        <f>(E172/E$169-1)*100</f>
        <v>4.4695316427283638</v>
      </c>
      <c r="H172" s="49"/>
      <c r="I172" s="258"/>
      <c r="J172" s="20">
        <f t="shared" si="19"/>
        <v>43100</v>
      </c>
      <c r="K172" s="27">
        <f>'Global (Gross)'!K172</f>
        <v>1.6544917851371832</v>
      </c>
      <c r="L172" s="46">
        <f t="shared" si="23"/>
        <v>2540239.3504850287</v>
      </c>
      <c r="M172" s="253">
        <f>(L172/L$160-1)*100</f>
        <v>24.653595280765582</v>
      </c>
      <c r="N172" s="131">
        <f>(L172/L$169-1)*100</f>
        <v>5.8509174516830909</v>
      </c>
      <c r="O172" s="258"/>
      <c r="P172" s="20">
        <f t="shared" si="20"/>
        <v>43100</v>
      </c>
      <c r="Q172" s="45">
        <f>'Global (Gross)'!Q172</f>
        <v>0.65633884452345159</v>
      </c>
      <c r="R172" s="46">
        <f t="shared" si="24"/>
        <v>2439053.3866151832</v>
      </c>
      <c r="S172" s="253">
        <f>(R172/R$160-1)*100</f>
        <v>18.634787797459197</v>
      </c>
      <c r="T172" s="131">
        <f>(R172/R$169-1)*100</f>
        <v>4.8812518318034792</v>
      </c>
      <c r="U172" s="258"/>
      <c r="V172" s="256"/>
      <c r="W172" s="43" t="s">
        <v>128</v>
      </c>
      <c r="X172" s="107">
        <f>'Global (Gross)'!X172</f>
        <v>0.76923079999999999</v>
      </c>
      <c r="Y172" s="108">
        <f>'Global (Gross)'!Y172</f>
        <v>22581175.32</v>
      </c>
      <c r="Z172" s="107">
        <v>0.7</v>
      </c>
      <c r="AA172" s="108">
        <f>'Global (Gross)'!AA172</f>
        <v>16122294.09</v>
      </c>
      <c r="AB172" s="133"/>
      <c r="AC172" s="133"/>
      <c r="AD172" s="110">
        <f t="shared" si="29"/>
        <v>0.74050000000000005</v>
      </c>
      <c r="AE172" s="111">
        <f t="shared" si="28"/>
        <v>38703469.409999996</v>
      </c>
      <c r="AF172" s="256"/>
      <c r="AG172" s="256"/>
    </row>
    <row r="173" spans="1:33" x14ac:dyDescent="0.25">
      <c r="A173" s="21">
        <v>43131</v>
      </c>
      <c r="B173" s="24">
        <f t="shared" si="21"/>
        <v>157</v>
      </c>
      <c r="C173" s="97" t="s">
        <v>136</v>
      </c>
      <c r="D173" s="76">
        <f t="shared" si="27"/>
        <v>3.9064999999999999</v>
      </c>
      <c r="E173" s="47">
        <f t="shared" si="22"/>
        <v>3482725.5172805474</v>
      </c>
      <c r="F173" s="256"/>
      <c r="G173" s="256"/>
      <c r="H173" s="49"/>
      <c r="I173" s="258"/>
      <c r="J173" s="20">
        <f t="shared" si="19"/>
        <v>43131</v>
      </c>
      <c r="K173" s="27">
        <f>'Global (Gross)'!K173</f>
        <v>5.6627213245823897</v>
      </c>
      <c r="L173" s="46">
        <f t="shared" si="23"/>
        <v>2684086.0258803777</v>
      </c>
      <c r="M173" s="18"/>
      <c r="N173" s="10"/>
      <c r="O173" s="258"/>
      <c r="P173" s="20">
        <f t="shared" si="20"/>
        <v>43131</v>
      </c>
      <c r="Q173" s="45">
        <f>'Global (Gross)'!Q173</f>
        <v>3.3185323770554125</v>
      </c>
      <c r="R173" s="46">
        <f t="shared" si="24"/>
        <v>2519994.1629436747</v>
      </c>
      <c r="S173" s="18"/>
      <c r="T173" s="10"/>
      <c r="U173" s="258"/>
      <c r="V173" s="256"/>
      <c r="W173" s="43" t="s">
        <v>130</v>
      </c>
      <c r="X173" s="107">
        <f>'Global (Gross)'!X173</f>
        <v>3.9902845246356651</v>
      </c>
      <c r="Y173" s="108">
        <f>'Global (Gross)'!Y173</f>
        <v>22567922.879999999</v>
      </c>
      <c r="Z173" s="107">
        <v>3.7892429999999999</v>
      </c>
      <c r="AA173" s="108">
        <f>'Global (Gross)'!AA173</f>
        <v>16733207.039999999</v>
      </c>
      <c r="AB173" s="133"/>
      <c r="AC173" s="133"/>
      <c r="AD173" s="110">
        <f t="shared" si="29"/>
        <v>3.9064999999999999</v>
      </c>
      <c r="AE173" s="111">
        <f t="shared" si="28"/>
        <v>39301129.920000002</v>
      </c>
      <c r="AF173" s="280"/>
      <c r="AG173" s="282"/>
    </row>
    <row r="174" spans="1:33" x14ac:dyDescent="0.25">
      <c r="A174" s="21">
        <v>43159</v>
      </c>
      <c r="B174" s="24">
        <f t="shared" si="21"/>
        <v>158</v>
      </c>
      <c r="C174" s="97" t="s">
        <v>136</v>
      </c>
      <c r="D174" s="76">
        <f t="shared" si="27"/>
        <v>-3.649</v>
      </c>
      <c r="E174" s="47">
        <f t="shared" si="22"/>
        <v>3355640.8631549804</v>
      </c>
      <c r="F174" s="256"/>
      <c r="G174" s="256"/>
      <c r="H174" s="49"/>
      <c r="I174" s="258"/>
      <c r="J174" s="20">
        <f t="shared" si="19"/>
        <v>43159</v>
      </c>
      <c r="K174" s="27">
        <f>'Global (Gross)'!K174</f>
        <v>-4.1599596242029993</v>
      </c>
      <c r="L174" s="46">
        <f t="shared" si="23"/>
        <v>2572429.1309248791</v>
      </c>
      <c r="M174" s="18"/>
      <c r="N174" s="10"/>
      <c r="O174" s="258"/>
      <c r="P174" s="20">
        <f t="shared" si="20"/>
        <v>43159</v>
      </c>
      <c r="Q174" s="45">
        <f>'Global (Gross)'!Q174</f>
        <v>-3.8988633215172368</v>
      </c>
      <c r="R174" s="46">
        <f t="shared" si="24"/>
        <v>2421743.0348202884</v>
      </c>
      <c r="S174" s="18"/>
      <c r="T174" s="10"/>
      <c r="U174" s="258"/>
      <c r="V174" s="256"/>
      <c r="W174" s="43" t="s">
        <v>130</v>
      </c>
      <c r="X174" s="107">
        <f>'Global (Gross)'!X174</f>
        <v>-3.7370704037370617</v>
      </c>
      <c r="Y174" s="108">
        <f>'Global (Gross)'!Y174</f>
        <v>21278276.989999998</v>
      </c>
      <c r="Z174" s="107">
        <v>-3.5301999999999998</v>
      </c>
      <c r="AA174" s="108">
        <f>'Global (Gross)'!AA174</f>
        <v>16142490.529999999</v>
      </c>
      <c r="AB174" s="133"/>
      <c r="AC174" s="133"/>
      <c r="AD174" s="110">
        <f t="shared" si="29"/>
        <v>-3.649</v>
      </c>
      <c r="AE174" s="111">
        <f t="shared" si="28"/>
        <v>37420767.519999996</v>
      </c>
      <c r="AF174" s="280"/>
      <c r="AG174" s="256"/>
    </row>
    <row r="175" spans="1:33" x14ac:dyDescent="0.25">
      <c r="A175" s="21">
        <v>43190</v>
      </c>
      <c r="B175" s="24">
        <f t="shared" si="21"/>
        <v>159</v>
      </c>
      <c r="C175" s="97" t="s">
        <v>136</v>
      </c>
      <c r="D175" s="76">
        <f t="shared" si="27"/>
        <v>-0.47520000000000001</v>
      </c>
      <c r="E175" s="47">
        <f t="shared" si="22"/>
        <v>3339694.8577732677</v>
      </c>
      <c r="F175" s="256"/>
      <c r="G175" s="131">
        <f>(E175/E$172-1)*100</f>
        <v>-0.36079443602488048</v>
      </c>
      <c r="H175" s="49"/>
      <c r="I175" s="258"/>
      <c r="J175" s="20">
        <f t="shared" si="19"/>
        <v>43190</v>
      </c>
      <c r="K175" s="27">
        <f>'Global (Gross)'!K175</f>
        <v>-2.0704953594466229</v>
      </c>
      <c r="L175" s="46">
        <f t="shared" si="23"/>
        <v>2519167.1051440262</v>
      </c>
      <c r="M175" s="253"/>
      <c r="N175" s="131">
        <f>(L175/L$172-1)*100</f>
        <v>-0.82953778890870744</v>
      </c>
      <c r="O175" s="258"/>
      <c r="P175" s="20">
        <f t="shared" si="20"/>
        <v>43190</v>
      </c>
      <c r="Q175" s="45">
        <f>'Global (Gross)'!Q175</f>
        <v>0.11478450789224663</v>
      </c>
      <c r="R175" s="46">
        <f t="shared" si="24"/>
        <v>2424522.8206452215</v>
      </c>
      <c r="S175" s="18"/>
      <c r="T175" s="131">
        <f>(R175/R$172-1)*100</f>
        <v>-0.59574612223337597</v>
      </c>
      <c r="U175" s="258"/>
      <c r="V175" s="256"/>
      <c r="W175" s="43" t="s">
        <v>130</v>
      </c>
      <c r="X175" s="107">
        <f>'Global (Gross)'!X175</f>
        <v>-0.41594454072790643</v>
      </c>
      <c r="Y175" s="108">
        <f>'Global (Gross)'!Y175</f>
        <v>20822420.670000002</v>
      </c>
      <c r="Z175" s="107">
        <v>-0.55335000000000001</v>
      </c>
      <c r="AA175" s="108">
        <f>'Global (Gross)'!AA175</f>
        <v>16053165.77</v>
      </c>
      <c r="AB175" s="133"/>
      <c r="AC175" s="133"/>
      <c r="AD175" s="110">
        <f t="shared" si="29"/>
        <v>-0.47520000000000001</v>
      </c>
      <c r="AE175" s="111">
        <f t="shared" si="28"/>
        <v>36875586.439999998</v>
      </c>
      <c r="AF175" s="256"/>
      <c r="AG175" s="256"/>
    </row>
    <row r="176" spans="1:33" x14ac:dyDescent="0.25">
      <c r="A176" s="21">
        <v>43220</v>
      </c>
      <c r="B176" s="24">
        <f t="shared" si="21"/>
        <v>160</v>
      </c>
      <c r="C176" s="97" t="s">
        <v>136</v>
      </c>
      <c r="D176" s="76">
        <f t="shared" si="27"/>
        <v>-0.86219999999999997</v>
      </c>
      <c r="E176" s="47">
        <f t="shared" ref="E176" si="31">E175*D176/100+E175</f>
        <v>3310900.0087095466</v>
      </c>
      <c r="F176" s="253"/>
      <c r="G176" s="256"/>
      <c r="H176" s="49"/>
      <c r="I176" s="258"/>
      <c r="J176" s="20">
        <f t="shared" si="19"/>
        <v>43220</v>
      </c>
      <c r="K176" s="27">
        <f>'Global (Gross)'!K176</f>
        <v>1.0052949511522167</v>
      </c>
      <c r="L176" s="46">
        <f t="shared" si="23"/>
        <v>2544492.1648631264</v>
      </c>
      <c r="M176" s="253"/>
      <c r="N176" s="10"/>
      <c r="O176" s="258"/>
      <c r="P176" s="20">
        <f t="shared" si="20"/>
        <v>43220</v>
      </c>
      <c r="Q176" s="45">
        <f>'Global (Gross)'!Q176</f>
        <v>6.4423968697948003E-2</v>
      </c>
      <c r="R176" s="46">
        <f t="shared" si="24"/>
        <v>2426084.7944682688</v>
      </c>
      <c r="S176" s="253"/>
      <c r="T176" s="10"/>
      <c r="U176" s="258"/>
      <c r="V176" s="256"/>
      <c r="W176" s="43" t="s">
        <v>130</v>
      </c>
      <c r="X176" s="107">
        <f>'Global (Gross)'!X176</f>
        <v>-0.9049773755656163</v>
      </c>
      <c r="Y176" s="108">
        <f>'Global (Gross)'!Y176</f>
        <v>20159722.949999999</v>
      </c>
      <c r="Z176" s="107">
        <v>-0.80664000000000002</v>
      </c>
      <c r="AA176" s="108">
        <f>'Global (Gross)'!AA176</f>
        <v>15923674.039999999</v>
      </c>
      <c r="AB176" s="133"/>
      <c r="AC176" s="133"/>
      <c r="AD176" s="110">
        <f t="shared" si="29"/>
        <v>-0.86219999999999997</v>
      </c>
      <c r="AE176" s="111">
        <f t="shared" si="28"/>
        <v>36083396.989999995</v>
      </c>
      <c r="AF176" s="280"/>
      <c r="AG176" s="282"/>
    </row>
    <row r="177" spans="1:31" x14ac:dyDescent="0.25">
      <c r="A177" s="21">
        <v>43251</v>
      </c>
      <c r="B177" s="24">
        <f t="shared" si="21"/>
        <v>161</v>
      </c>
      <c r="C177" s="97" t="s">
        <v>136</v>
      </c>
      <c r="D177" s="76">
        <f t="shared" si="27"/>
        <v>1.2008000000000001</v>
      </c>
      <c r="E177" s="47">
        <f t="shared" ref="E177" si="32">E176*D177/100+E176</f>
        <v>3350657.296014131</v>
      </c>
      <c r="F177" s="253"/>
      <c r="G177" s="256"/>
      <c r="H177" s="49"/>
      <c r="I177" s="258"/>
      <c r="J177" s="20">
        <f t="shared" si="19"/>
        <v>43251</v>
      </c>
      <c r="K177" s="27">
        <f>'Global (Gross)'!K177</f>
        <v>0.19171716559374258</v>
      </c>
      <c r="L177" s="46">
        <f t="shared" ref="L177" si="33">L176*K177/100+L176</f>
        <v>2549370.3931203568</v>
      </c>
      <c r="M177" s="253"/>
      <c r="N177" s="10"/>
      <c r="O177" s="258"/>
      <c r="P177" s="20">
        <f t="shared" si="20"/>
        <v>43251</v>
      </c>
      <c r="Q177" s="45">
        <f>'Global (Gross)'!Q177</f>
        <v>0.15923735596586983</v>
      </c>
      <c r="R177" s="46">
        <f t="shared" ref="R177" si="34">R176*Q177/100+R176</f>
        <v>2429948.0277484702</v>
      </c>
      <c r="S177" s="253"/>
      <c r="T177" s="10"/>
      <c r="U177" s="258"/>
      <c r="V177" s="256"/>
      <c r="W177" s="43" t="s">
        <v>130</v>
      </c>
      <c r="X177" s="107">
        <f>'Global (Gross)'!X177</f>
        <v>1.2644889357218105</v>
      </c>
      <c r="Y177" s="108">
        <f>'Global (Gross)'!Y177</f>
        <v>19672502.600000001</v>
      </c>
      <c r="Z177" s="107">
        <v>1.1202000000000001</v>
      </c>
      <c r="AA177" s="108">
        <f>'Global (Gross)'!AA177</f>
        <v>16102046.717499999</v>
      </c>
      <c r="AB177" s="133"/>
      <c r="AC177" s="133"/>
      <c r="AD177" s="110">
        <f t="shared" si="29"/>
        <v>1.2008000000000001</v>
      </c>
      <c r="AE177" s="111">
        <f t="shared" si="28"/>
        <v>35774549.317500003</v>
      </c>
    </row>
    <row r="178" spans="1:31" x14ac:dyDescent="0.25">
      <c r="A178" s="21">
        <v>43281</v>
      </c>
      <c r="B178" s="24">
        <f t="shared" si="21"/>
        <v>162</v>
      </c>
      <c r="C178" s="97" t="s">
        <v>136</v>
      </c>
      <c r="D178" s="76">
        <f t="shared" si="27"/>
        <v>6.1800000000000001E-2</v>
      </c>
      <c r="E178" s="47">
        <f t="shared" ref="E178" si="35">E177*D178/100+E177</f>
        <v>3352728.0022230679</v>
      </c>
      <c r="F178" s="253"/>
      <c r="G178" s="131">
        <f>(E178/E$175-1)*100</f>
        <v>0.39024955886208801</v>
      </c>
      <c r="H178" s="49"/>
      <c r="I178" s="258"/>
      <c r="J178" s="20">
        <f t="shared" si="19"/>
        <v>43281</v>
      </c>
      <c r="K178" s="27">
        <f>'Global (Gross)'!K178</f>
        <v>-0.49960137775330743</v>
      </c>
      <c r="L178" s="46">
        <f t="shared" ref="L178" si="36">L177*K178/100+L177</f>
        <v>2536633.7035122928</v>
      </c>
      <c r="M178" s="253"/>
      <c r="N178" s="131">
        <f>(L178/L$175-1)*100</f>
        <v>0.69334814401953437</v>
      </c>
      <c r="O178" s="258"/>
      <c r="P178" s="20">
        <f t="shared" si="20"/>
        <v>43281</v>
      </c>
      <c r="Q178" s="45">
        <f>'Global (Gross)'!Q178</f>
        <v>0.35740493042246702</v>
      </c>
      <c r="R178" s="46">
        <f t="shared" ref="R178" si="37">R177*Q178/100+R177</f>
        <v>2438632.7818063465</v>
      </c>
      <c r="S178" s="253"/>
      <c r="T178" s="131">
        <f>(R178/R$175-1)*100</f>
        <v>0.58196858536352369</v>
      </c>
      <c r="U178" s="258"/>
      <c r="V178" s="256"/>
      <c r="W178" s="43" t="s">
        <v>130</v>
      </c>
      <c r="X178" s="107">
        <f>'Global (Gross)'!X178</f>
        <v>-6.9372181755114726E-2</v>
      </c>
      <c r="Y178" s="108">
        <f>'Global (Gross)'!Y178</f>
        <v>19437260.050000001</v>
      </c>
      <c r="Z178" s="107">
        <v>0.22195200000000001</v>
      </c>
      <c r="AA178" s="108">
        <f>'Global (Gross)'!AA178</f>
        <v>16137785.5</v>
      </c>
      <c r="AB178" s="256"/>
      <c r="AC178" s="256"/>
      <c r="AD178" s="110">
        <f t="shared" si="29"/>
        <v>6.1800000000000001E-2</v>
      </c>
      <c r="AE178" s="111">
        <f t="shared" ref="AE178:AE188" si="38">Y178+AA178</f>
        <v>35575045.549999997</v>
      </c>
    </row>
    <row r="179" spans="1:31" x14ac:dyDescent="0.25">
      <c r="A179" s="21">
        <v>43312</v>
      </c>
      <c r="B179" s="24">
        <f t="shared" ref="B179" si="39">IF(A179&gt;A178,1+B178,"-")</f>
        <v>163</v>
      </c>
      <c r="C179" s="97" t="s">
        <v>136</v>
      </c>
      <c r="D179" s="76">
        <f t="shared" si="27"/>
        <v>3.6377999999999999</v>
      </c>
      <c r="E179" s="47">
        <f t="shared" ref="E179" si="40">E178*D179/100+E178</f>
        <v>3474693.5414879387</v>
      </c>
      <c r="F179" s="253"/>
      <c r="G179" s="256"/>
      <c r="H179" s="256"/>
      <c r="I179" s="258"/>
      <c r="J179" s="20">
        <f t="shared" ref="J179" si="41">A179</f>
        <v>43312</v>
      </c>
      <c r="K179" s="27">
        <f>'Global (Gross)'!K179</f>
        <v>3.0499640500831338</v>
      </c>
      <c r="L179" s="46">
        <f t="shared" ref="L179" si="42">L178*K179/100+L178</f>
        <v>2614000.1195517103</v>
      </c>
      <c r="M179" s="253"/>
      <c r="N179" s="10"/>
      <c r="O179" s="258"/>
      <c r="P179" s="20">
        <f t="shared" si="20"/>
        <v>43312</v>
      </c>
      <c r="Q179" s="45">
        <f>'Global (Gross)'!Q179</f>
        <v>3.12008798790544</v>
      </c>
      <c r="R179" s="46">
        <f t="shared" ref="R179" si="43">R178*Q179/100+R178</f>
        <v>2514720.2703006105</v>
      </c>
      <c r="S179" s="253"/>
      <c r="T179" s="10"/>
      <c r="U179" s="258"/>
      <c r="V179" s="256"/>
      <c r="W179" s="43" t="s">
        <v>130</v>
      </c>
      <c r="X179" s="107">
        <f>'Global (Gross)'!X179</f>
        <v>3.644567858382509</v>
      </c>
      <c r="Y179" s="108">
        <f>'Global (Gross)'!Y179</f>
        <v>19910035.919999994</v>
      </c>
      <c r="Z179" s="107">
        <v>3.6297557999999999</v>
      </c>
      <c r="AA179" s="108">
        <f>'Global (Gross)'!AA179</f>
        <v>16723547.710000005</v>
      </c>
      <c r="AB179" s="133"/>
      <c r="AC179" s="108"/>
      <c r="AD179" s="110">
        <f t="shared" ref="AD179:AD189" si="44">ROUND(Y178/AE178*(X179)+AA178/AE178*Z179,4)</f>
        <v>3.6377999999999999</v>
      </c>
      <c r="AE179" s="111">
        <f t="shared" si="38"/>
        <v>36633583.629999995</v>
      </c>
    </row>
    <row r="180" spans="1:31" x14ac:dyDescent="0.25">
      <c r="A180" s="21">
        <v>43343</v>
      </c>
      <c r="B180" s="24">
        <f t="shared" si="21"/>
        <v>164</v>
      </c>
      <c r="C180" s="97" t="s">
        <v>136</v>
      </c>
      <c r="D180" s="76">
        <f t="shared" si="27"/>
        <v>1.4927999999999999</v>
      </c>
      <c r="E180" s="47">
        <f t="shared" ref="E180" si="45">E179*D180/100+E179</f>
        <v>3526563.7666752706</v>
      </c>
      <c r="F180" s="253"/>
      <c r="G180" s="256"/>
      <c r="H180" s="256"/>
      <c r="I180" s="258"/>
      <c r="J180" s="20">
        <f t="shared" ref="J180" si="46">A180</f>
        <v>43343</v>
      </c>
      <c r="K180" s="27">
        <f>'Global (Gross)'!K180</f>
        <v>0.83616483852146717</v>
      </c>
      <c r="L180" s="46">
        <f t="shared" ref="L180" si="47">L179*K180/100+L179</f>
        <v>2635857.4694303107</v>
      </c>
      <c r="M180" s="253"/>
      <c r="N180" s="10"/>
      <c r="O180" s="258"/>
      <c r="P180" s="20">
        <f t="shared" si="20"/>
        <v>43343</v>
      </c>
      <c r="Q180" s="45">
        <f>'Global (Gross)'!Q180</f>
        <v>1.5884201489315783</v>
      </c>
      <c r="R180" s="46">
        <f t="shared" ref="R180" si="48">R179*Q180/100+R179</f>
        <v>2554664.5937633319</v>
      </c>
      <c r="S180" s="253"/>
      <c r="T180" s="10"/>
      <c r="U180" s="258"/>
      <c r="V180" s="256"/>
      <c r="W180" s="43" t="s">
        <v>130</v>
      </c>
      <c r="X180" s="107">
        <f>'Global (Gross)'!X180</f>
        <v>1.4735432016075058</v>
      </c>
      <c r="Y180" s="108">
        <f>'Global (Gross)'!Y180</f>
        <v>19561939.780000001</v>
      </c>
      <c r="Z180" s="107">
        <v>1.5157780000000001</v>
      </c>
      <c r="AA180" s="108">
        <f>'Global (Gross)'!AA180</f>
        <v>16977039.560000002</v>
      </c>
      <c r="AB180" s="107"/>
      <c r="AC180" s="108"/>
      <c r="AD180" s="110">
        <f t="shared" si="44"/>
        <v>1.4927999999999999</v>
      </c>
      <c r="AE180" s="111">
        <f t="shared" si="38"/>
        <v>36538979.340000004</v>
      </c>
    </row>
    <row r="181" spans="1:31" x14ac:dyDescent="0.25">
      <c r="A181" s="21">
        <v>43373</v>
      </c>
      <c r="B181" s="24">
        <f t="shared" si="21"/>
        <v>165</v>
      </c>
      <c r="C181" s="97" t="s">
        <v>136</v>
      </c>
      <c r="D181" s="76">
        <f t="shared" ref="D181:D182" si="49">AD181</f>
        <v>1.4698</v>
      </c>
      <c r="E181" s="47">
        <f t="shared" ref="E181" si="50">E180*D181/100+E180</f>
        <v>3578397.2009178638</v>
      </c>
      <c r="F181" s="253"/>
      <c r="G181" s="131">
        <f>(E181/E$178-1)*100</f>
        <v>6.7309128132423179</v>
      </c>
      <c r="H181" s="256"/>
      <c r="I181" s="258"/>
      <c r="J181" s="20">
        <f t="shared" ref="J181" si="51">A181</f>
        <v>43373</v>
      </c>
      <c r="K181" s="27">
        <f>'Global (Gross)'!K181</f>
        <v>0.47908212501488806</v>
      </c>
      <c r="L181" s="46">
        <f t="shared" ref="L181" si="52">L180*K181/100+L180</f>
        <v>2648485.3914072211</v>
      </c>
      <c r="M181" s="253"/>
      <c r="N181" s="131">
        <f>(L181/L$178-1)*100</f>
        <v>4.4094536684605057</v>
      </c>
      <c r="O181" s="258"/>
      <c r="P181" s="20">
        <f t="shared" si="20"/>
        <v>43373</v>
      </c>
      <c r="Q181" s="45">
        <f>'Global (Gross)'!Q181</f>
        <v>1.1218585068382076</v>
      </c>
      <c r="R181" s="46">
        <f t="shared" ref="R181" si="53">R180*Q181/100+R180</f>
        <v>2583324.3158296496</v>
      </c>
      <c r="S181" s="253"/>
      <c r="T181" s="131">
        <f>(R181/R$178-1)*100</f>
        <v>5.933305543285905</v>
      </c>
      <c r="U181" s="258"/>
      <c r="V181" s="256"/>
      <c r="W181" s="43" t="s">
        <v>130</v>
      </c>
      <c r="X181" s="107">
        <f>'Global (Gross)'!X181</f>
        <v>1.4191419141914181</v>
      </c>
      <c r="Y181" s="108">
        <f>'Global (Gross)'!Y181</f>
        <v>19452300.050000004</v>
      </c>
      <c r="Z181" s="107">
        <v>1.5282629999999999</v>
      </c>
      <c r="AA181" s="108">
        <f>'Global (Gross)'!AA181</f>
        <v>17236493.379999999</v>
      </c>
      <c r="AB181" s="107"/>
      <c r="AC181" s="108"/>
      <c r="AD181" s="110">
        <f t="shared" si="44"/>
        <v>1.4698</v>
      </c>
      <c r="AE181" s="111">
        <f t="shared" si="38"/>
        <v>36688793.430000007</v>
      </c>
    </row>
    <row r="182" spans="1:31" x14ac:dyDescent="0.25">
      <c r="A182" s="21">
        <v>43404</v>
      </c>
      <c r="B182" s="24">
        <f t="shared" si="21"/>
        <v>166</v>
      </c>
      <c r="C182" s="97" t="s">
        <v>136</v>
      </c>
      <c r="D182" s="76">
        <f t="shared" si="49"/>
        <v>-5.6406000000000001</v>
      </c>
      <c r="E182" s="47">
        <f t="shared" ref="E182" si="54">E181*D182/100+E181</f>
        <v>3376554.1284028906</v>
      </c>
      <c r="F182" s="253"/>
      <c r="G182" s="256"/>
      <c r="H182" s="256"/>
      <c r="I182" s="258"/>
      <c r="J182" s="20">
        <f t="shared" ref="J182" si="55">A182</f>
        <v>43404</v>
      </c>
      <c r="K182" s="27">
        <f>'Global (Gross)'!K182</f>
        <v>-7.4721107219412737</v>
      </c>
      <c r="L182" s="46">
        <f t="shared" ref="L182" si="56">L181*K182/100+L181</f>
        <v>2450587.630506834</v>
      </c>
      <c r="M182" s="253"/>
      <c r="N182" s="131"/>
      <c r="O182" s="258"/>
      <c r="P182" s="20">
        <f t="shared" si="20"/>
        <v>43404</v>
      </c>
      <c r="Q182" s="45">
        <f>'Global (Gross)'!Q182</f>
        <v>-4.6730824974907446</v>
      </c>
      <c r="R182" s="46">
        <f t="shared" ref="R182" si="57">R181*Q182/100+R181</f>
        <v>2462603.4393731919</v>
      </c>
      <c r="S182" s="253"/>
      <c r="T182" s="131"/>
      <c r="U182" s="258"/>
      <c r="V182" s="256"/>
      <c r="W182" s="43" t="s">
        <v>130</v>
      </c>
      <c r="X182" s="107">
        <f>'Global (Gross)'!X182</f>
        <v>-5.7598438008460775</v>
      </c>
      <c r="Y182" s="108">
        <f>'Global (Gross)'!Y182</f>
        <v>18322539.800000004</v>
      </c>
      <c r="Z182" s="107">
        <v>-5.5060758530646572</v>
      </c>
      <c r="AA182" s="108">
        <f>'Global (Gross)'!AA182</f>
        <v>15707687.130000001</v>
      </c>
      <c r="AB182" s="107"/>
      <c r="AC182" s="108"/>
      <c r="AD182" s="110">
        <f t="shared" si="44"/>
        <v>-5.6406000000000001</v>
      </c>
      <c r="AE182" s="111">
        <f t="shared" si="38"/>
        <v>34030226.930000007</v>
      </c>
    </row>
    <row r="183" spans="1:31" x14ac:dyDescent="0.25">
      <c r="A183" s="21">
        <v>43434</v>
      </c>
      <c r="B183" s="24">
        <f t="shared" si="21"/>
        <v>167</v>
      </c>
      <c r="C183" s="97" t="s">
        <v>136</v>
      </c>
      <c r="D183" s="76">
        <f t="shared" ref="D183:D187" si="58">AD183</f>
        <v>3.5960999999999999</v>
      </c>
      <c r="E183" s="47">
        <f t="shared" ref="E183" si="59">E182*D183/100+E182</f>
        <v>3497978.3914143872</v>
      </c>
      <c r="F183" s="253"/>
      <c r="G183" s="256"/>
      <c r="H183" s="256"/>
      <c r="I183" s="258"/>
      <c r="J183" s="20">
        <f t="shared" ref="J183" si="60">A183</f>
        <v>43434</v>
      </c>
      <c r="K183" s="27">
        <f>'Global (Gross)'!K183</f>
        <v>1.5142311215893969</v>
      </c>
      <c r="L183" s="46">
        <f t="shared" ref="L183" si="61">L182*K183/100+L182</f>
        <v>2487695.1910697888</v>
      </c>
      <c r="M183" s="253"/>
      <c r="N183" s="54"/>
      <c r="O183" s="258"/>
      <c r="P183" s="20">
        <f t="shared" si="20"/>
        <v>43434</v>
      </c>
      <c r="Q183" s="45">
        <f>'Global (Gross)'!Q183</f>
        <v>3.1622251975296889</v>
      </c>
      <c r="R183" s="46">
        <f t="shared" ref="R183" si="62">R182*Q183/100+R182</f>
        <v>2540476.5058482839</v>
      </c>
      <c r="S183" s="253"/>
      <c r="T183" s="54"/>
      <c r="U183" s="258"/>
      <c r="V183" s="256"/>
      <c r="W183" s="43" t="s">
        <v>130</v>
      </c>
      <c r="X183" s="107">
        <f>'Global (Gross)'!X183</f>
        <v>3.8328729281767933</v>
      </c>
      <c r="Y183" s="108">
        <f>'Global (Gross)'!Y183</f>
        <v>19092665.049999997</v>
      </c>
      <c r="Z183" s="107">
        <v>3.3199422402806489</v>
      </c>
      <c r="AA183" s="108">
        <f>'Global (Gross)'!AA183</f>
        <v>16229173.270000003</v>
      </c>
      <c r="AB183" s="107"/>
      <c r="AC183" s="108"/>
      <c r="AD183" s="110">
        <f t="shared" si="44"/>
        <v>3.5960999999999999</v>
      </c>
      <c r="AE183" s="111">
        <f t="shared" si="38"/>
        <v>35321838.32</v>
      </c>
    </row>
    <row r="184" spans="1:31" x14ac:dyDescent="0.25">
      <c r="A184" s="21">
        <v>43465</v>
      </c>
      <c r="B184" s="24">
        <f t="shared" ref="B184" si="63">IF(A184&gt;A183,1+B183,"-")</f>
        <v>168</v>
      </c>
      <c r="C184" s="97" t="s">
        <v>136</v>
      </c>
      <c r="D184" s="76">
        <f t="shared" si="58"/>
        <v>-6.8482000000000003</v>
      </c>
      <c r="E184" s="47">
        <f t="shared" ref="E184:E186" si="64">E183*D184/100+E183</f>
        <v>3258429.8352135471</v>
      </c>
      <c r="F184" s="253">
        <f>(E184/E$172-1)*100</f>
        <v>-2.7853220149869462</v>
      </c>
      <c r="G184" s="131">
        <f>(E184/E$181-1)*100</f>
        <v>-8.941639168011994</v>
      </c>
      <c r="H184" s="256"/>
      <c r="I184" s="258"/>
      <c r="J184" s="20">
        <f t="shared" ref="J184" si="65">A184</f>
        <v>43465</v>
      </c>
      <c r="K184" s="27">
        <f>'Global (Gross)'!K184</f>
        <v>-6.9989559159407539</v>
      </c>
      <c r="L184" s="46">
        <f t="shared" ref="L184:L186" si="66">L183*K184/100+L183</f>
        <v>2313582.5013238359</v>
      </c>
      <c r="M184" s="253">
        <f>(L184/L$172-1)*100</f>
        <v>-8.9226571944063249</v>
      </c>
      <c r="N184" s="131">
        <f>(L184/L$181-1)*100</f>
        <v>-12.64507220504022</v>
      </c>
      <c r="O184" s="258"/>
      <c r="P184" s="20">
        <f t="shared" si="20"/>
        <v>43465</v>
      </c>
      <c r="Q184" s="45">
        <f>'Global (Gross)'!Q184</f>
        <v>-4.9358324810405279</v>
      </c>
      <c r="R184" s="46">
        <f t="shared" ref="R184" si="67">R183*Q184/100+R183</f>
        <v>2415082.8412994207</v>
      </c>
      <c r="S184" s="253">
        <f>(R184/R$172-1)*100</f>
        <v>-0.98278067414619974</v>
      </c>
      <c r="T184" s="131">
        <f>(R184/R$181-1)*100</f>
        <v>-6.5125959407925542</v>
      </c>
      <c r="U184" s="258"/>
      <c r="V184" s="256"/>
      <c r="W184" s="43" t="s">
        <v>130</v>
      </c>
      <c r="X184" s="107">
        <f>'Global (Gross)'!X184</f>
        <v>-6.879372</v>
      </c>
      <c r="Y184" s="108">
        <f>'Global (Gross)'!Y184</f>
        <v>17632437.830000002</v>
      </c>
      <c r="Z184" s="107">
        <v>-6.8116018703397563</v>
      </c>
      <c r="AA184" s="108">
        <f>'Global (Gross)'!AA184</f>
        <v>15123706.600000001</v>
      </c>
      <c r="AB184" s="107"/>
      <c r="AC184" s="108"/>
      <c r="AD184" s="110">
        <f t="shared" si="44"/>
        <v>-6.8482000000000003</v>
      </c>
      <c r="AE184" s="111">
        <f t="shared" si="38"/>
        <v>32756144.430000003</v>
      </c>
    </row>
    <row r="185" spans="1:31" x14ac:dyDescent="0.25">
      <c r="A185" s="21">
        <v>43496</v>
      </c>
      <c r="B185" s="24">
        <f t="shared" si="21"/>
        <v>169</v>
      </c>
      <c r="C185" s="97" t="s">
        <v>136</v>
      </c>
      <c r="D185" s="76">
        <f t="shared" si="58"/>
        <v>5.4931000000000001</v>
      </c>
      <c r="E185" s="47">
        <f t="shared" si="64"/>
        <v>3437418.6444916623</v>
      </c>
      <c r="F185" s="256"/>
      <c r="G185" s="256"/>
      <c r="H185" s="256"/>
      <c r="I185" s="258"/>
      <c r="J185" s="20">
        <f t="shared" ref="J185" si="68">A185</f>
        <v>43496</v>
      </c>
      <c r="K185" s="27">
        <f>'Global (Gross)'!K185</f>
        <v>7.932141646624137</v>
      </c>
      <c r="L185" s="46">
        <f t="shared" si="66"/>
        <v>2497099.1424403521</v>
      </c>
      <c r="M185" s="18"/>
      <c r="N185" s="10"/>
      <c r="O185" s="258"/>
      <c r="P185" s="20">
        <f t="shared" si="20"/>
        <v>43496</v>
      </c>
      <c r="Q185" s="45">
        <f>'Global (Gross)'!Q185</f>
        <v>4.9648972923875769</v>
      </c>
      <c r="R185" s="46">
        <f t="shared" ref="R185:R186" si="69">R184*Q185/100+R184</f>
        <v>2534989.2238960126</v>
      </c>
      <c r="S185" s="18"/>
      <c r="T185" s="10"/>
      <c r="U185" s="258"/>
      <c r="V185" s="256"/>
      <c r="W185" s="43" t="s">
        <v>130</v>
      </c>
      <c r="X185" s="107">
        <f>'Global (Gross)'!X185</f>
        <v>5.5414704817095295</v>
      </c>
      <c r="Y185" s="108">
        <f>'Global (Gross)'!Y185</f>
        <v>18474074.5</v>
      </c>
      <c r="Z185" s="107">
        <v>5.4366131382104443</v>
      </c>
      <c r="AA185" s="108">
        <f>'Global (Gross)'!AA185</f>
        <v>15945924.02</v>
      </c>
      <c r="AB185" s="107"/>
      <c r="AC185" s="108"/>
      <c r="AD185" s="110">
        <f t="shared" si="44"/>
        <v>5.4931000000000001</v>
      </c>
      <c r="AE185" s="111">
        <f t="shared" si="38"/>
        <v>34419998.519999996</v>
      </c>
    </row>
    <row r="186" spans="1:31" x14ac:dyDescent="0.25">
      <c r="A186" s="21">
        <v>43524</v>
      </c>
      <c r="B186" s="24">
        <f t="shared" si="21"/>
        <v>170</v>
      </c>
      <c r="C186" s="97" t="s">
        <v>136</v>
      </c>
      <c r="D186" s="76">
        <f t="shared" si="58"/>
        <v>3.9076</v>
      </c>
      <c r="E186" s="47">
        <f t="shared" si="64"/>
        <v>3571739.2154438184</v>
      </c>
      <c r="F186" s="256"/>
      <c r="G186" s="256"/>
      <c r="H186" s="256"/>
      <c r="I186" s="258"/>
      <c r="J186" s="20">
        <f t="shared" ref="J186" si="70">A186</f>
        <v>43524</v>
      </c>
      <c r="K186" s="27">
        <f>'Global (Gross)'!K186</f>
        <v>2.7255672855674291</v>
      </c>
      <c r="L186" s="46">
        <f t="shared" si="66"/>
        <v>2565159.259754891</v>
      </c>
      <c r="M186" s="253"/>
      <c r="N186" s="10"/>
      <c r="O186" s="258"/>
      <c r="P186" s="20">
        <f t="shared" si="20"/>
        <v>43524</v>
      </c>
      <c r="Q186" s="45">
        <f>'Global (Gross)'!Q186</f>
        <v>2.7657101815265102</v>
      </c>
      <c r="R186" s="46">
        <f t="shared" si="69"/>
        <v>2605099.6789619047</v>
      </c>
      <c r="S186" s="18"/>
      <c r="T186" s="10"/>
      <c r="U186" s="258"/>
      <c r="V186" s="256"/>
      <c r="W186" s="43" t="s">
        <v>130</v>
      </c>
      <c r="X186" s="107">
        <f>'Global (Gross)'!X186</f>
        <v>3.9121482498284164</v>
      </c>
      <c r="Y186" s="108">
        <f>'Global (Gross)'!Y186</f>
        <v>19109488.34</v>
      </c>
      <c r="Z186" s="107">
        <v>3.902351781054092</v>
      </c>
      <c r="AA186" s="108">
        <f>'Global (Gross)'!AA186</f>
        <v>16568190.070000006</v>
      </c>
      <c r="AB186" s="107"/>
      <c r="AC186" s="108"/>
      <c r="AD186" s="110">
        <f t="shared" si="44"/>
        <v>3.9076</v>
      </c>
      <c r="AE186" s="111">
        <f t="shared" si="38"/>
        <v>35677678.410000004</v>
      </c>
    </row>
    <row r="187" spans="1:31" ht="16.5" thickBot="1" x14ac:dyDescent="0.3">
      <c r="A187" s="21">
        <v>43555</v>
      </c>
      <c r="B187" s="24">
        <f t="shared" si="21"/>
        <v>171</v>
      </c>
      <c r="C187" s="97" t="s">
        <v>136</v>
      </c>
      <c r="D187" s="76">
        <f t="shared" si="58"/>
        <v>1.8062</v>
      </c>
      <c r="E187" s="47">
        <f t="shared" ref="E187" si="71">E186*D187/100+E186</f>
        <v>3636251.9691531644</v>
      </c>
      <c r="F187" s="253"/>
      <c r="G187" s="131">
        <f>(E187/E$184-1)*100</f>
        <v>11.595220797960071</v>
      </c>
      <c r="H187" s="256"/>
      <c r="I187" s="258"/>
      <c r="J187" s="20">
        <f t="shared" ref="J187" si="72">A187</f>
        <v>43555</v>
      </c>
      <c r="K187" s="27">
        <f>'Global (Gross)'!K187</f>
        <v>1.3291747259706461</v>
      </c>
      <c r="L187" s="46">
        <f t="shared" ref="L187" si="73">L186*K187/100+L186</f>
        <v>2599254.7083164486</v>
      </c>
      <c r="M187" s="253"/>
      <c r="N187" s="131">
        <f>(L187/L$184-1)*100</f>
        <v>12.347612710121659</v>
      </c>
      <c r="O187" s="258"/>
      <c r="P187" s="20">
        <f t="shared" si="20"/>
        <v>43555</v>
      </c>
      <c r="Q187" s="45">
        <f>'Global (Gross)'!Q187</f>
        <v>2.0997431422921689</v>
      </c>
      <c r="R187" s="46">
        <f t="shared" ref="R187" si="74">R186*Q187/100+R186</f>
        <v>2659800.0808207826</v>
      </c>
      <c r="S187" s="253"/>
      <c r="T187" s="131">
        <f>(R187/R$184-1)*100</f>
        <v>10.132871441780168</v>
      </c>
      <c r="U187" s="258"/>
      <c r="V187" s="256"/>
      <c r="W187" s="43" t="s">
        <v>130</v>
      </c>
      <c r="X187" s="107">
        <f>'Global (Gross)'!X187</f>
        <v>1.7503302509907448</v>
      </c>
      <c r="Y187" s="108">
        <f>'Global (Gross)'!Y187</f>
        <v>19789283.229999997</v>
      </c>
      <c r="Z187" s="213">
        <v>1.8706479023390399</v>
      </c>
      <c r="AA187" s="108">
        <f>'Global (Gross)'!AA187</f>
        <v>16878122.57</v>
      </c>
      <c r="AB187" s="107"/>
      <c r="AC187" s="108"/>
      <c r="AD187" s="110">
        <f t="shared" si="44"/>
        <v>1.8062</v>
      </c>
      <c r="AE187" s="111">
        <f t="shared" si="38"/>
        <v>36667405.799999997</v>
      </c>
    </row>
    <row r="188" spans="1:31" x14ac:dyDescent="0.25">
      <c r="A188" s="21">
        <v>43585</v>
      </c>
      <c r="B188" s="24">
        <f t="shared" si="21"/>
        <v>172</v>
      </c>
      <c r="C188" s="97" t="s">
        <v>136</v>
      </c>
      <c r="D188" s="76">
        <f t="shared" ref="D188:D189" si="75">AD188</f>
        <v>2.8711000000000002</v>
      </c>
      <c r="E188" s="47">
        <f t="shared" ref="E188" si="76">E187*D188/100+E187</f>
        <v>3740652.3994395211</v>
      </c>
      <c r="F188" s="253"/>
      <c r="G188" s="256"/>
      <c r="H188" s="256"/>
      <c r="I188" s="258"/>
      <c r="J188" s="20">
        <f t="shared" ref="J188" si="77">A188</f>
        <v>43585</v>
      </c>
      <c r="K188" s="27">
        <f>'Global (Gross)'!K188</f>
        <v>3.4239396443720134</v>
      </c>
      <c r="L188" s="46">
        <f t="shared" ref="L188" si="78">L187*K188/100+L187</f>
        <v>2688251.6207327018</v>
      </c>
      <c r="M188" s="253"/>
      <c r="N188" s="10"/>
      <c r="O188" s="258"/>
      <c r="P188" s="20">
        <f t="shared" si="20"/>
        <v>43585</v>
      </c>
      <c r="Q188" s="45">
        <f>'Global (Gross)'!Q188</f>
        <v>0.93638366927838645</v>
      </c>
      <c r="R188" s="46">
        <f t="shared" ref="R188" si="79">R187*Q188/100+R187</f>
        <v>2684706.0144130415</v>
      </c>
      <c r="S188" s="253"/>
      <c r="T188" s="10"/>
      <c r="U188" s="258"/>
      <c r="V188" s="256"/>
      <c r="W188" s="43" t="s">
        <v>130</v>
      </c>
      <c r="X188" s="107">
        <f>'Global (Gross)'!X188</f>
        <v>2.8886725089256755</v>
      </c>
      <c r="Y188" s="108">
        <f>'Global (Gross)'!Y188</f>
        <v>20423187.789999999</v>
      </c>
      <c r="Z188" s="213">
        <v>2.8504955335207027</v>
      </c>
      <c r="AA188" s="108">
        <f>'Global (Gross)'!AA188</f>
        <v>17359232.700000003</v>
      </c>
      <c r="AB188" s="324" t="s">
        <v>113</v>
      </c>
      <c r="AC188" s="325" t="s">
        <v>81</v>
      </c>
      <c r="AD188" s="110">
        <f t="shared" si="44"/>
        <v>2.8711000000000002</v>
      </c>
      <c r="AE188" s="111">
        <f t="shared" si="38"/>
        <v>37782420.490000002</v>
      </c>
    </row>
    <row r="189" spans="1:31" x14ac:dyDescent="0.25">
      <c r="A189" s="21">
        <v>43616</v>
      </c>
      <c r="B189" s="24">
        <f t="shared" si="21"/>
        <v>173</v>
      </c>
      <c r="C189" s="97" t="s">
        <v>136</v>
      </c>
      <c r="D189" s="76">
        <f t="shared" si="75"/>
        <v>-1.7662</v>
      </c>
      <c r="E189" s="47">
        <f t="shared" ref="E189" si="80">E188*D189/100+E188</f>
        <v>3674584.9967606203</v>
      </c>
      <c r="F189" s="253"/>
      <c r="G189" s="131"/>
      <c r="H189" s="256"/>
      <c r="I189" s="258"/>
      <c r="J189" s="20">
        <f t="shared" ref="J189" si="81">A189</f>
        <v>43616</v>
      </c>
      <c r="K189" s="27">
        <f>'Global (Gross)'!K189</f>
        <v>-5.856421248835038</v>
      </c>
      <c r="L189" s="46">
        <f t="shared" ref="L189" si="82">L188*K189/100+L188</f>
        <v>2530816.2815939598</v>
      </c>
      <c r="M189" s="253"/>
      <c r="N189" s="131"/>
      <c r="O189" s="258"/>
      <c r="P189" s="20">
        <f t="shared" si="20"/>
        <v>43616</v>
      </c>
      <c r="Q189" s="45">
        <f>'Global (Gross)'!Q189</f>
        <v>-1.0313721987883779</v>
      </c>
      <c r="R189" s="46">
        <f t="shared" ref="R189" si="83">R188*Q189/100+R188</f>
        <v>2657016.7029611859</v>
      </c>
      <c r="S189" s="253"/>
      <c r="T189" s="131"/>
      <c r="U189" s="258"/>
      <c r="V189" s="256"/>
      <c r="W189" s="43" t="s">
        <v>130</v>
      </c>
      <c r="X189" s="107">
        <f>'Global (Gross)'!X189</f>
        <v>-1.8927444794952615</v>
      </c>
      <c r="Y189" s="108">
        <f>'Global (Gross)'!Y189</f>
        <v>20700370.749999996</v>
      </c>
      <c r="Z189" s="213">
        <v>-1.6173803948948393</v>
      </c>
      <c r="AA189" s="108">
        <f>'Global (Gross)'!AA189</f>
        <v>12096728.620000003</v>
      </c>
      <c r="AB189" s="107"/>
      <c r="AC189" s="108">
        <f>'Global (Gross)'!AC189</f>
        <v>6453582.1100000003</v>
      </c>
      <c r="AD189" s="110">
        <f t="shared" si="44"/>
        <v>-1.7662</v>
      </c>
      <c r="AE189" s="111">
        <f t="shared" ref="AE189:AE196" si="84">Y189+AA189+AC189</f>
        <v>39250681.479999997</v>
      </c>
    </row>
    <row r="190" spans="1:31" x14ac:dyDescent="0.25">
      <c r="A190" s="21">
        <v>43646</v>
      </c>
      <c r="B190" s="24">
        <f t="shared" si="21"/>
        <v>174</v>
      </c>
      <c r="C190" s="97" t="s">
        <v>331</v>
      </c>
      <c r="D190" s="76">
        <f t="shared" ref="D190" si="85">AD190</f>
        <v>4.5270999999999999</v>
      </c>
      <c r="E190" s="47">
        <f t="shared" ref="E190" si="86">E189*D190/100+E189</f>
        <v>3840937.1341489702</v>
      </c>
      <c r="F190" s="253"/>
      <c r="G190" s="131">
        <f>(E190/E187-1)*100</f>
        <v>5.6290148958922259</v>
      </c>
      <c r="H190" s="256"/>
      <c r="I190" s="258"/>
      <c r="J190" s="20">
        <f t="shared" ref="J190" si="87">A190</f>
        <v>43646</v>
      </c>
      <c r="K190" s="27">
        <f>'Global (Gross)'!K190</f>
        <v>6.5977240000000004</v>
      </c>
      <c r="L190" s="46">
        <f t="shared" ref="L190" si="88">L189*K190/100+L189</f>
        <v>2697792.5548005919</v>
      </c>
      <c r="M190" s="253"/>
      <c r="N190" s="131">
        <f>(L190/L$187-1)*100</f>
        <v>3.7910038661800316</v>
      </c>
      <c r="O190" s="258"/>
      <c r="P190" s="20">
        <f t="shared" si="20"/>
        <v>43646</v>
      </c>
      <c r="Q190" s="45">
        <f>'Global (Gross)'!Q190</f>
        <v>4.3560455235483158</v>
      </c>
      <c r="R190" s="46">
        <f t="shared" ref="R190" si="89">R189*Q190/100+R189</f>
        <v>2772757.5601104577</v>
      </c>
      <c r="S190" s="253"/>
      <c r="T190" s="131">
        <f>(R190/R$187-1)*100</f>
        <v>4.2468409601227552</v>
      </c>
      <c r="U190" s="258"/>
      <c r="V190" s="256"/>
      <c r="W190" s="43" t="s">
        <v>132</v>
      </c>
      <c r="X190" s="107">
        <f>'Global (Gross)'!X190</f>
        <v>4.4372990000000003</v>
      </c>
      <c r="Y190" s="108">
        <f>'Global (Gross)'!Y190</f>
        <v>21749593.419999998</v>
      </c>
      <c r="Z190" s="107">
        <v>4.6449196113320879</v>
      </c>
      <c r="AA190" s="108">
        <f>'Global (Gross)'!AA190</f>
        <v>12658611.939999998</v>
      </c>
      <c r="AB190" s="107">
        <v>4.5940956657325094</v>
      </c>
      <c r="AC190" s="108">
        <f>'Global (Gross)'!AC190</f>
        <v>6750065.845999999</v>
      </c>
      <c r="AD190" s="110">
        <f t="shared" ref="AD190:AD196" si="90">ROUND(Y189/AE189*(X190)+(AA189/AE189*Z190)+(AC189/AE189*AB190),4)</f>
        <v>4.5270999999999999</v>
      </c>
      <c r="AE190" s="111">
        <f t="shared" si="84"/>
        <v>41158271.206</v>
      </c>
    </row>
    <row r="191" spans="1:31" x14ac:dyDescent="0.25">
      <c r="A191" s="21">
        <v>43677</v>
      </c>
      <c r="B191" s="24">
        <f t="shared" si="21"/>
        <v>175</v>
      </c>
      <c r="C191" s="97" t="s">
        <v>331</v>
      </c>
      <c r="D191" s="76">
        <f t="shared" ref="D191" si="91">AD191</f>
        <v>-5.0599999999999999E-2</v>
      </c>
      <c r="E191" s="47">
        <f t="shared" ref="E191" si="92">E190*D191/100+E190</f>
        <v>3838993.6199590908</v>
      </c>
      <c r="F191" s="253"/>
      <c r="G191" s="131"/>
      <c r="H191" s="256"/>
      <c r="I191" s="258"/>
      <c r="J191" s="20">
        <f t="shared" ref="J191" si="93">A191</f>
        <v>43677</v>
      </c>
      <c r="K191" s="27">
        <f>'Global (Gross)'!K191</f>
        <v>0.32810790000000001</v>
      </c>
      <c r="L191" s="46">
        <f t="shared" ref="L191" si="94">L190*K191/100+L190</f>
        <v>2706644.2252985043</v>
      </c>
      <c r="M191" s="253"/>
      <c r="N191" s="131"/>
      <c r="O191" s="258"/>
      <c r="P191" s="20">
        <f t="shared" si="20"/>
        <v>43677</v>
      </c>
      <c r="Q191" s="45">
        <f>'Global (Gross)'!Q191</f>
        <v>0.24967827718830277</v>
      </c>
      <c r="R191" s="46">
        <f t="shared" ref="R191" si="95">R190*Q191/100+R190</f>
        <v>2779680.5334171499</v>
      </c>
      <c r="S191" s="253"/>
      <c r="T191" s="131"/>
      <c r="U191" s="258"/>
      <c r="V191" s="256"/>
      <c r="W191" s="43" t="s">
        <v>132</v>
      </c>
      <c r="X191" s="107">
        <f>'Global (Gross)'!X191</f>
        <v>-6.1576359999999997E-2</v>
      </c>
      <c r="Y191" s="108">
        <f>'Global (Gross)'!Y191</f>
        <v>21542734.800000001</v>
      </c>
      <c r="Z191" s="213">
        <v>-1.7479483615490121E-2</v>
      </c>
      <c r="AA191" s="108">
        <f>'Global (Gross)'!AA191</f>
        <v>12656399.279999999</v>
      </c>
      <c r="AB191" s="107">
        <v>-7.7235097350780713E-2</v>
      </c>
      <c r="AC191" s="108">
        <f>'Global (Gross)'!AC191</f>
        <v>6744852.6449999996</v>
      </c>
      <c r="AD191" s="110">
        <f t="shared" si="90"/>
        <v>-5.0599999999999999E-2</v>
      </c>
      <c r="AE191" s="111">
        <f t="shared" si="84"/>
        <v>40943986.724999994</v>
      </c>
    </row>
    <row r="192" spans="1:31" x14ac:dyDescent="0.25">
      <c r="A192" s="21">
        <v>43708</v>
      </c>
      <c r="B192" s="24">
        <f t="shared" si="21"/>
        <v>176</v>
      </c>
      <c r="C192" s="97" t="s">
        <v>331</v>
      </c>
      <c r="D192" s="76">
        <f>AD192</f>
        <v>0.38890000000000002</v>
      </c>
      <c r="E192" s="47">
        <f t="shared" ref="E192" si="96">E191*D192/100+E191</f>
        <v>3853923.4661471117</v>
      </c>
      <c r="F192" s="253"/>
      <c r="G192" s="256"/>
      <c r="H192" s="256"/>
      <c r="I192" s="258"/>
      <c r="J192" s="20">
        <f t="shared" ref="J192" si="97">A192</f>
        <v>43708</v>
      </c>
      <c r="K192" s="27">
        <f>'Global (Gross)'!K192</f>
        <v>-2.3207909999999998</v>
      </c>
      <c r="L192" s="46">
        <f t="shared" ref="L192" si="98">L191*K192/100+L191</f>
        <v>2643828.669715757</v>
      </c>
      <c r="M192" s="253"/>
      <c r="N192" s="54"/>
      <c r="O192" s="258"/>
      <c r="P192" s="20">
        <f t="shared" si="20"/>
        <v>43708</v>
      </c>
      <c r="Q192" s="45">
        <f>'Global (Gross)'!Q192</f>
        <v>1.4560961806742698</v>
      </c>
      <c r="R192" s="46">
        <f t="shared" ref="R192" si="99">R191*Q192/100+R191</f>
        <v>2820155.3554991833</v>
      </c>
      <c r="S192" s="253"/>
      <c r="T192" s="131"/>
      <c r="U192" s="258"/>
      <c r="V192" s="256"/>
      <c r="W192" s="43" t="s">
        <v>132</v>
      </c>
      <c r="X192" s="107">
        <f>'Global (Gross)'!X192</f>
        <v>0.49291430000000003</v>
      </c>
      <c r="Y192" s="108">
        <f>'Global (Gross)'!Y192</f>
        <v>21489263.040000003</v>
      </c>
      <c r="Z192" s="107">
        <v>0.2735597955945579</v>
      </c>
      <c r="AA192" s="108">
        <f>'Global (Gross)'!AA192</f>
        <v>12691022.100000001</v>
      </c>
      <c r="AB192" s="107">
        <v>0.27315304441972721</v>
      </c>
      <c r="AC192" s="108">
        <f>'Global (Gross)'!AC192</f>
        <v>6763276.2900000028</v>
      </c>
      <c r="AD192" s="110">
        <f t="shared" si="90"/>
        <v>0.38890000000000002</v>
      </c>
      <c r="AE192" s="111">
        <f t="shared" si="84"/>
        <v>40943561.430000007</v>
      </c>
    </row>
    <row r="193" spans="1:31" x14ac:dyDescent="0.25">
      <c r="A193" s="21">
        <v>43738</v>
      </c>
      <c r="B193" s="24">
        <f t="shared" si="21"/>
        <v>177</v>
      </c>
      <c r="C193" s="97" t="s">
        <v>331</v>
      </c>
      <c r="D193" s="76">
        <f>AD193</f>
        <v>1.4902</v>
      </c>
      <c r="E193" s="47">
        <f t="shared" ref="E193" si="100">E192*D193/100+E192</f>
        <v>3911354.633639636</v>
      </c>
      <c r="F193" s="253"/>
      <c r="G193" s="131">
        <f>(E193/E190-1)*100</f>
        <v>1.8333416307337647</v>
      </c>
      <c r="H193" s="256"/>
      <c r="I193" s="258"/>
      <c r="J193" s="20">
        <f t="shared" ref="J193" si="101">A193</f>
        <v>43738</v>
      </c>
      <c r="K193" s="27">
        <f>'Global (Gross)'!K193</f>
        <v>2.1464979999999998</v>
      </c>
      <c r="L193" s="46">
        <f t="shared" ref="L193" si="102">L192*K193/100+L192</f>
        <v>2700578.3992346325</v>
      </c>
      <c r="M193" s="253"/>
      <c r="N193" s="131">
        <f>(L193/L190-1)*100</f>
        <v>0.10326384914522979</v>
      </c>
      <c r="O193" s="258"/>
      <c r="P193" s="20">
        <f t="shared" si="20"/>
        <v>43738</v>
      </c>
      <c r="Q193" s="45">
        <f>'Global (Gross)'!Q193</f>
        <v>1.1785595046831587</v>
      </c>
      <c r="R193" s="46">
        <f t="shared" ref="R193" si="103">R192*Q193/100+R192</f>
        <v>2853392.5644882498</v>
      </c>
      <c r="S193" s="253"/>
      <c r="T193" s="131">
        <f>(R193/R190-1)*100</f>
        <v>2.908115932594546</v>
      </c>
      <c r="U193" s="258"/>
      <c r="V193" s="256"/>
      <c r="W193" s="256"/>
      <c r="X193" s="107">
        <f>'Global (Gross)'!X193</f>
        <v>1.3795219999999999</v>
      </c>
      <c r="Y193" s="108">
        <f>'Global (Gross)'!Y193</f>
        <v>21045555.34</v>
      </c>
      <c r="Z193" s="213">
        <v>1.6092210571440058</v>
      </c>
      <c r="AA193" s="108">
        <f>'Global (Gross)'!AA193</f>
        <v>12895248.699999999</v>
      </c>
      <c r="AB193" s="227">
        <v>1.6187392811657597</v>
      </c>
      <c r="AC193" s="108">
        <f>'Global (Gross)'!AC193</f>
        <v>6872756.0400000019</v>
      </c>
      <c r="AD193" s="110">
        <f t="shared" si="90"/>
        <v>1.4902</v>
      </c>
      <c r="AE193" s="111">
        <f t="shared" si="84"/>
        <v>40813560.079999998</v>
      </c>
    </row>
    <row r="194" spans="1:31" x14ac:dyDescent="0.25">
      <c r="A194" s="21">
        <v>43769</v>
      </c>
      <c r="B194" s="24">
        <f t="shared" si="21"/>
        <v>178</v>
      </c>
      <c r="C194" s="97" t="s">
        <v>331</v>
      </c>
      <c r="D194" s="76">
        <f>AD194</f>
        <v>-9.2700000000000005E-2</v>
      </c>
      <c r="E194" s="47">
        <f t="shared" ref="E194" si="104">E193*D194/100+E193</f>
        <v>3907728.8078942522</v>
      </c>
      <c r="F194" s="253"/>
      <c r="G194" s="131"/>
      <c r="H194" s="256"/>
      <c r="I194" s="258"/>
      <c r="J194" s="20">
        <f t="shared" ref="J194" si="105">A194</f>
        <v>43769</v>
      </c>
      <c r="K194" s="27">
        <f>'Global (Gross)'!K194</f>
        <v>2.762095</v>
      </c>
      <c r="L194" s="46">
        <f t="shared" ref="L194" si="106">L193*K194/100+L193</f>
        <v>2775170.9401709721</v>
      </c>
      <c r="M194" s="253"/>
      <c r="N194" s="131"/>
      <c r="O194" s="258"/>
      <c r="P194" s="20">
        <f t="shared" si="20"/>
        <v>43769</v>
      </c>
      <c r="Q194" s="45">
        <f>'Global (Gross)'!Q194</f>
        <v>1.0793504400695297</v>
      </c>
      <c r="R194" s="46">
        <f t="shared" ref="R194" si="107">R193*Q194/100+R193</f>
        <v>2884190.669689965</v>
      </c>
      <c r="S194" s="253"/>
      <c r="T194" s="131"/>
      <c r="U194" s="258"/>
      <c r="V194" s="256"/>
      <c r="W194" s="256"/>
      <c r="X194" s="107">
        <f>'Global (Gross)'!X194</f>
        <v>-0.2116722</v>
      </c>
      <c r="Y194" s="108">
        <f>'Global (Gross)'!Y194</f>
        <v>27554962.840000004</v>
      </c>
      <c r="Z194" s="213">
        <v>7.983250450998014E-2</v>
      </c>
      <c r="AA194" s="108">
        <f>'Global (Gross)'!AA194</f>
        <v>9405543.3000000026</v>
      </c>
      <c r="AB194" s="227">
        <v>-5.2204238704167683E-2</v>
      </c>
      <c r="AC194" s="108">
        <f>'Global (Gross)'!AC194</f>
        <v>6869168.2299999986</v>
      </c>
      <c r="AD194" s="110">
        <f t="shared" si="90"/>
        <v>-9.2700000000000005E-2</v>
      </c>
      <c r="AE194" s="111">
        <f t="shared" si="84"/>
        <v>43829674.370000005</v>
      </c>
    </row>
    <row r="195" spans="1:31" x14ac:dyDescent="0.25">
      <c r="A195" s="21">
        <v>43799</v>
      </c>
      <c r="B195" s="24">
        <f t="shared" si="21"/>
        <v>179</v>
      </c>
      <c r="C195" s="97" t="s">
        <v>331</v>
      </c>
      <c r="D195" s="76">
        <f>AD195</f>
        <v>1.5698000000000001</v>
      </c>
      <c r="E195" s="47">
        <f t="shared" ref="E195" si="108">E194*D195/100+E194</f>
        <v>3969072.3347205762</v>
      </c>
      <c r="F195" s="253"/>
      <c r="G195" s="131"/>
      <c r="H195" s="256"/>
      <c r="I195" s="258"/>
      <c r="J195" s="20">
        <f t="shared" ref="J195" si="109">A195</f>
        <v>43799</v>
      </c>
      <c r="K195" s="27">
        <f>'Global (Gross)'!K195</f>
        <v>2.488449164891311</v>
      </c>
      <c r="L195" s="46">
        <f t="shared" ref="L195" si="110">L194*K195/100+L194</f>
        <v>2844229.6582559631</v>
      </c>
      <c r="M195" s="253"/>
      <c r="N195" s="131"/>
      <c r="O195" s="258"/>
      <c r="P195" s="20">
        <f t="shared" si="20"/>
        <v>43799</v>
      </c>
      <c r="Q195" s="45">
        <f>'Global (Gross)'!Q195</f>
        <v>9.209117688141473E-2</v>
      </c>
      <c r="R195" s="46">
        <f t="shared" ref="R195" si="111">R194*Q195/100+R194</f>
        <v>2886846.7548211864</v>
      </c>
      <c r="S195" s="253"/>
      <c r="T195" s="131"/>
      <c r="U195" s="258"/>
      <c r="V195" s="256"/>
      <c r="W195" s="256"/>
      <c r="X195" s="107">
        <f>'Global (Gross)'!X195</f>
        <v>1.6060606060606095</v>
      </c>
      <c r="Y195" s="108">
        <f>'Global (Gross)'!Y195</f>
        <v>28342017.02</v>
      </c>
      <c r="Z195" s="107">
        <v>1.46</v>
      </c>
      <c r="AA195" s="108">
        <f>'Global (Gross)'!AA195</f>
        <v>6006305.3999999994</v>
      </c>
      <c r="AB195" s="107">
        <v>1.5747055011345878</v>
      </c>
      <c r="AC195" s="108">
        <f>'Global (Gross)'!AC195</f>
        <v>6977337.3999999994</v>
      </c>
      <c r="AD195" s="110">
        <f t="shared" si="90"/>
        <v>1.5698000000000001</v>
      </c>
      <c r="AE195" s="111">
        <f t="shared" si="84"/>
        <v>41325659.82</v>
      </c>
    </row>
    <row r="196" spans="1:31" x14ac:dyDescent="0.25">
      <c r="A196" s="21">
        <v>43830</v>
      </c>
      <c r="B196" s="24">
        <f t="shared" si="21"/>
        <v>180</v>
      </c>
      <c r="C196" s="97" t="s">
        <v>331</v>
      </c>
      <c r="D196" s="76">
        <f>AD196</f>
        <v>2.157</v>
      </c>
      <c r="E196" s="47">
        <f t="shared" ref="E196" si="112">E195*D196/100+E195</f>
        <v>4054685.2249804991</v>
      </c>
      <c r="F196" s="253">
        <f>(E196/E$184-1)*100</f>
        <v>24.43678182546374</v>
      </c>
      <c r="G196" s="131">
        <f>(E196/E193-1)*100</f>
        <v>3.664474453636779</v>
      </c>
      <c r="H196" s="256"/>
      <c r="I196" s="258"/>
      <c r="J196" s="20">
        <f t="shared" ref="J196" si="113">A196</f>
        <v>43830</v>
      </c>
      <c r="K196" s="27">
        <f>'Global (Gross)'!K196</f>
        <v>3.5623201575041645</v>
      </c>
      <c r="L196" s="46">
        <f t="shared" ref="L196" si="114">L195*K196/100+L195</f>
        <v>2945550.2246977272</v>
      </c>
      <c r="M196" s="253">
        <f>(L196/L$184-1)*100</f>
        <v>27.31554733891177</v>
      </c>
      <c r="N196" s="131">
        <f>(L196/L193-1)*100</f>
        <v>9.0710873467891862</v>
      </c>
      <c r="O196" s="258"/>
      <c r="P196" s="20">
        <f t="shared" si="20"/>
        <v>43830</v>
      </c>
      <c r="Q196" s="45">
        <f>'Global (Gross)'!Q196</f>
        <v>1.8871198089818233</v>
      </c>
      <c r="R196" s="46">
        <f t="shared" ref="R196" si="115">R195*Q196/100+R195</f>
        <v>2941325.0117863659</v>
      </c>
      <c r="S196" s="253">
        <f>(R196/R$184-1)*100</f>
        <v>21.789818613584444</v>
      </c>
      <c r="T196" s="131">
        <f>(R196/R193-1)*100</f>
        <v>3.081680676976406</v>
      </c>
      <c r="U196" s="258"/>
      <c r="V196" s="256"/>
      <c r="W196" s="256"/>
      <c r="X196" s="107">
        <f>'Global (Gross)'!X196</f>
        <v>2.1251359999999999</v>
      </c>
      <c r="Y196" s="108">
        <f>'Global (Gross)'!Y196</f>
        <v>28649715.059999995</v>
      </c>
      <c r="Z196" s="107">
        <v>2.2332499645597128</v>
      </c>
      <c r="AA196" s="108">
        <f>'Global (Gross)'!AA196</f>
        <v>5119549.5199999996</v>
      </c>
      <c r="AB196" s="227">
        <v>2.2205170986858036</v>
      </c>
      <c r="AC196" s="108">
        <f>'Global (Gross)'!AC196</f>
        <v>7132270.3399999999</v>
      </c>
      <c r="AD196" s="110">
        <f t="shared" si="90"/>
        <v>2.157</v>
      </c>
      <c r="AE196" s="111">
        <f t="shared" si="84"/>
        <v>40901534.920000002</v>
      </c>
    </row>
    <row r="197" spans="1:31" x14ac:dyDescent="0.25">
      <c r="A197" s="21">
        <v>43861</v>
      </c>
      <c r="B197" s="24">
        <f t="shared" si="21"/>
        <v>181</v>
      </c>
      <c r="C197" s="97" t="s">
        <v>331</v>
      </c>
      <c r="D197" s="76">
        <f t="shared" ref="D197:D199" si="116">AD197</f>
        <v>0.96460000000000001</v>
      </c>
      <c r="E197" s="47">
        <f t="shared" ref="E197:E199" si="117">E196*D197/100+E196</f>
        <v>4093796.718660661</v>
      </c>
      <c r="F197" s="253"/>
      <c r="G197" s="131"/>
      <c r="H197" s="256"/>
      <c r="I197" s="258"/>
      <c r="J197" s="20">
        <f t="shared" ref="J197" si="118">A197</f>
        <v>43861</v>
      </c>
      <c r="K197" s="27">
        <f>'Global (Gross)'!K197</f>
        <v>-1.0770090000000001</v>
      </c>
      <c r="L197" s="46">
        <f t="shared" ref="L197" si="119">L196*K197/100+L196</f>
        <v>2913826.3836782123</v>
      </c>
      <c r="M197" s="253"/>
      <c r="N197" s="131"/>
      <c r="O197" s="258"/>
      <c r="P197" s="20">
        <f t="shared" si="20"/>
        <v>43861</v>
      </c>
      <c r="Q197" s="45">
        <f>'Global (Gross)'!Q197</f>
        <v>1.4263776849507244</v>
      </c>
      <c r="R197" s="46">
        <f t="shared" ref="R197" si="120">R196*Q197/100+R196</f>
        <v>2983279.4153963607</v>
      </c>
      <c r="S197" s="253"/>
      <c r="T197" s="131"/>
      <c r="U197" s="258"/>
      <c r="V197" s="256"/>
      <c r="W197" s="256"/>
      <c r="X197" s="107">
        <f>'Global (Gross)'!X197</f>
        <v>0.96764439999999996</v>
      </c>
      <c r="Y197" s="108">
        <f>'Global (Gross)'!Y197</f>
        <v>33761564.439999998</v>
      </c>
      <c r="Z197" s="240">
        <v>1.01</v>
      </c>
      <c r="AA197" s="108">
        <f>'Global (Gross)'!AA197</f>
        <v>5172171.6700000009</v>
      </c>
      <c r="AB197" s="227">
        <v>0.92</v>
      </c>
      <c r="AC197" s="108">
        <f>'Global (Gross)'!AC197</f>
        <v>7203667.9470000006</v>
      </c>
      <c r="AD197" s="110">
        <f t="shared" ref="AD197:AD209" si="121">ROUND(Y196/AE196*(X197)+(AA196/AE196*Z197)+(AC196/AE196*AB197),4)</f>
        <v>0.96460000000000001</v>
      </c>
      <c r="AE197" s="111">
        <f t="shared" ref="AE197:AE203" si="122">Y197+AA197+AC197</f>
        <v>46137404.056999996</v>
      </c>
    </row>
    <row r="198" spans="1:31" x14ac:dyDescent="0.25">
      <c r="A198" s="21">
        <v>43890</v>
      </c>
      <c r="B198" s="24">
        <f t="shared" si="21"/>
        <v>182</v>
      </c>
      <c r="C198" s="97" t="s">
        <v>331</v>
      </c>
      <c r="D198" s="76">
        <f t="shared" si="116"/>
        <v>-7.3845999999999998</v>
      </c>
      <c r="E198" s="47">
        <f t="shared" si="117"/>
        <v>3791486.2061744458</v>
      </c>
      <c r="F198" s="253"/>
      <c r="G198" s="131"/>
      <c r="H198" s="256"/>
      <c r="I198" s="258"/>
      <c r="J198" s="20">
        <f t="shared" ref="J198" si="123">A198</f>
        <v>43890</v>
      </c>
      <c r="K198" s="27">
        <f>'Global (Gross)'!K198</f>
        <v>-8.0440470000000008</v>
      </c>
      <c r="L198" s="46">
        <f t="shared" ref="L198" si="124">L197*K198/100+L197</f>
        <v>2679436.8198767365</v>
      </c>
      <c r="M198" s="253"/>
      <c r="N198" s="256"/>
      <c r="O198" s="258"/>
      <c r="P198" s="20">
        <f t="shared" si="20"/>
        <v>43890</v>
      </c>
      <c r="Q198" s="45">
        <f>'Global (Gross)'!Q198</f>
        <v>-7.653139991081706</v>
      </c>
      <c r="R198" s="46">
        <f t="shared" ref="R198" si="125">R197*Q198/100+R197</f>
        <v>2754964.8654109533</v>
      </c>
      <c r="S198" s="253"/>
      <c r="T198" s="256"/>
      <c r="U198" s="258"/>
      <c r="V198" s="256"/>
      <c r="W198" s="256"/>
      <c r="X198" s="107">
        <f>'Global (Gross)'!X198</f>
        <v>-7.277628</v>
      </c>
      <c r="Y198" s="108">
        <f>'Global (Gross)'!Y198</f>
        <v>30871542.510000002</v>
      </c>
      <c r="Z198" s="240">
        <v>-7.56</v>
      </c>
      <c r="AA198" s="108">
        <f>'Global (Gross)'!AA198</f>
        <v>4706365.9799999995</v>
      </c>
      <c r="AB198" s="227">
        <v>-7.76</v>
      </c>
      <c r="AC198" s="108">
        <f>'Global (Gross)'!AC198</f>
        <v>6647942.8714999985</v>
      </c>
      <c r="AD198" s="110">
        <f t="shared" si="121"/>
        <v>-7.3845999999999998</v>
      </c>
      <c r="AE198" s="111">
        <f t="shared" si="122"/>
        <v>42225851.361500002</v>
      </c>
    </row>
    <row r="199" spans="1:31" x14ac:dyDescent="0.25">
      <c r="A199" s="21">
        <v>43921</v>
      </c>
      <c r="B199" s="24">
        <f t="shared" ref="B199:B200" si="126">IF(A199&gt;A198,1+B198,"-")</f>
        <v>183</v>
      </c>
      <c r="C199" s="97" t="s">
        <v>331</v>
      </c>
      <c r="D199" s="76">
        <f t="shared" si="116"/>
        <v>-13.869400000000001</v>
      </c>
      <c r="E199" s="47">
        <f t="shared" si="117"/>
        <v>3265629.818295287</v>
      </c>
      <c r="F199" s="253"/>
      <c r="G199" s="131">
        <f t="shared" ref="G199" si="127">(E199/E196-1)*100</f>
        <v>-19.460336941174194</v>
      </c>
      <c r="H199" s="256"/>
      <c r="I199" s="258"/>
      <c r="J199" s="20">
        <f t="shared" ref="J199" si="128">A199</f>
        <v>43921</v>
      </c>
      <c r="K199" s="27">
        <f>'Global (Gross)'!K199</f>
        <v>-13.440240284830459</v>
      </c>
      <c r="L199" s="46">
        <f t="shared" ref="L199" si="129">L198*K199/100+L198</f>
        <v>2319314.073005083</v>
      </c>
      <c r="M199" s="253"/>
      <c r="N199" s="131">
        <f>(L199/L196-1)*100</f>
        <v>-21.260413298738058</v>
      </c>
      <c r="O199" s="258"/>
      <c r="P199" s="20">
        <f t="shared" si="20"/>
        <v>43921</v>
      </c>
      <c r="Q199" s="45">
        <f>'Global (Gross)'!Q199</f>
        <v>-10.186571421120906</v>
      </c>
      <c r="R199" s="46">
        <f t="shared" ref="R199" si="130">R198*Q199/100+R198</f>
        <v>2474328.4017690793</v>
      </c>
      <c r="S199" s="253"/>
      <c r="T199" s="131">
        <f>(R199/R196-1)*100</f>
        <v>-15.877082884276827</v>
      </c>
      <c r="U199" s="258"/>
      <c r="V199" s="256"/>
      <c r="W199" s="256"/>
      <c r="X199" s="107">
        <f>'Global (Gross)'!X199</f>
        <v>-13.921189999999999</v>
      </c>
      <c r="Y199" s="108">
        <f>'Global (Gross)'!Y199</f>
        <v>29459261.709999997</v>
      </c>
      <c r="Z199" s="240">
        <v>-13.67</v>
      </c>
      <c r="AA199" s="108">
        <f>'Global (Gross)'!AA199</f>
        <v>4120139.4299999997</v>
      </c>
      <c r="AB199" s="227">
        <v>-13.77</v>
      </c>
      <c r="AC199" s="108">
        <f>'Global (Gross)'!AC199</f>
        <v>5715754.5431999993</v>
      </c>
      <c r="AD199" s="110">
        <f t="shared" si="121"/>
        <v>-13.869400000000001</v>
      </c>
      <c r="AE199" s="111">
        <f t="shared" si="122"/>
        <v>39295155.683200002</v>
      </c>
    </row>
    <row r="200" spans="1:31" x14ac:dyDescent="0.25">
      <c r="A200" s="21">
        <v>43951</v>
      </c>
      <c r="B200" s="24">
        <f t="shared" si="126"/>
        <v>184</v>
      </c>
      <c r="C200" s="97" t="s">
        <v>331</v>
      </c>
      <c r="D200" s="76">
        <f t="shared" ref="D200:D202" si="131">AD200</f>
        <v>7.8601999999999999</v>
      </c>
      <c r="E200" s="47">
        <f t="shared" ref="E200:E202" si="132">E199*D200/100+E199</f>
        <v>3522314.853272933</v>
      </c>
      <c r="F200" s="256"/>
      <c r="G200" s="256"/>
      <c r="H200" s="256"/>
      <c r="I200" s="258"/>
      <c r="J200" s="20">
        <f t="shared" ref="J200:J201" si="133">A200</f>
        <v>43951</v>
      </c>
      <c r="K200" s="27">
        <f>'Global (Gross)'!K200</f>
        <v>10.78213</v>
      </c>
      <c r="L200" s="46">
        <f t="shared" ref="L200:L201" si="134">L199*K200/100+L199</f>
        <v>2569385.5314647858</v>
      </c>
      <c r="M200" s="253"/>
      <c r="N200" s="131"/>
      <c r="O200" s="258"/>
      <c r="P200" s="20">
        <f t="shared" si="20"/>
        <v>43951</v>
      </c>
      <c r="Q200" s="45">
        <f>'Global (Gross)'!Q200</f>
        <v>7.565603501768968</v>
      </c>
      <c r="R200" s="46">
        <f t="shared" ref="R200:R201" si="135">R199*Q200/100+R199</f>
        <v>2661526.2779785851</v>
      </c>
      <c r="S200" s="253"/>
      <c r="T200" s="131"/>
      <c r="U200" s="258"/>
      <c r="V200" s="256"/>
      <c r="W200" s="256"/>
      <c r="X200" s="107">
        <f>'Global (Gross)'!X200</f>
        <v>8.0675419999999995</v>
      </c>
      <c r="Y200" s="108">
        <f>'Global (Gross)'!Y200</f>
        <v>40981878.379999995</v>
      </c>
      <c r="Z200" s="240">
        <v>6.85</v>
      </c>
      <c r="AA200" s="108">
        <f>'Global (Gross)'!AA200</f>
        <v>4409940.6700000009</v>
      </c>
      <c r="AB200" s="227">
        <v>7.52</v>
      </c>
      <c r="AC200" s="108">
        <f>'Global (Gross)'!AC200</f>
        <v>6155638.4400000023</v>
      </c>
      <c r="AD200" s="110">
        <f t="shared" si="121"/>
        <v>7.8601999999999999</v>
      </c>
      <c r="AE200" s="111">
        <f t="shared" si="122"/>
        <v>51547457.490000002</v>
      </c>
    </row>
    <row r="201" spans="1:31" x14ac:dyDescent="0.25">
      <c r="A201" s="21">
        <v>43982</v>
      </c>
      <c r="B201" s="24">
        <f t="shared" si="21"/>
        <v>185</v>
      </c>
      <c r="C201" s="97" t="s">
        <v>331</v>
      </c>
      <c r="D201" s="76">
        <f t="shared" si="131"/>
        <v>3.6785999999999999</v>
      </c>
      <c r="E201" s="47">
        <f t="shared" si="132"/>
        <v>3651886.7274654312</v>
      </c>
      <c r="F201" s="256"/>
      <c r="G201" s="256"/>
      <c r="H201" s="256"/>
      <c r="I201" s="258"/>
      <c r="J201" s="20">
        <f t="shared" si="133"/>
        <v>43982</v>
      </c>
      <c r="K201" s="27">
        <f>'Global (Gross)'!K201</f>
        <v>4.406822</v>
      </c>
      <c r="L201" s="46">
        <f t="shared" si="134"/>
        <v>2682613.7783301929</v>
      </c>
      <c r="M201" s="253"/>
      <c r="N201" s="131"/>
      <c r="O201" s="258"/>
      <c r="P201" s="20">
        <f t="shared" si="20"/>
        <v>43982</v>
      </c>
      <c r="Q201" s="45">
        <f>'Global (Gross)'!Q201</f>
        <v>2.2675633674621283</v>
      </c>
      <c r="R201" s="46">
        <f t="shared" si="135"/>
        <v>2721878.0728734056</v>
      </c>
      <c r="S201" s="253"/>
      <c r="T201" s="131"/>
      <c r="U201" s="258"/>
      <c r="V201" s="256"/>
      <c r="W201" s="256"/>
      <c r="X201" s="107">
        <f>'Global (Gross)'!X201</f>
        <v>3.6805560000000002</v>
      </c>
      <c r="Y201" s="108">
        <f>'Global (Gross)'!Y201</f>
        <v>44021799.290000007</v>
      </c>
      <c r="Z201" s="240">
        <v>3.77</v>
      </c>
      <c r="AA201" s="108">
        <f>'Global (Gross)'!AA201</f>
        <v>4568603.879999999</v>
      </c>
      <c r="AB201" s="227">
        <v>3.6</v>
      </c>
      <c r="AC201" s="108">
        <f>'Global (Gross)'!AC201</f>
        <v>6386784.0600000005</v>
      </c>
      <c r="AD201" s="110">
        <f t="shared" si="121"/>
        <v>3.6785999999999999</v>
      </c>
      <c r="AE201" s="111">
        <f t="shared" si="122"/>
        <v>54977187.230000004</v>
      </c>
    </row>
    <row r="202" spans="1:31" x14ac:dyDescent="0.25">
      <c r="A202" s="21">
        <v>44012</v>
      </c>
      <c r="B202" s="24">
        <f t="shared" si="21"/>
        <v>186</v>
      </c>
      <c r="C202" s="97" t="s">
        <v>331</v>
      </c>
      <c r="D202" s="76">
        <f t="shared" si="131"/>
        <v>0.59670000000000001</v>
      </c>
      <c r="E202" s="47">
        <f t="shared" si="132"/>
        <v>3673677.5355682173</v>
      </c>
      <c r="F202" s="253"/>
      <c r="G202" s="131">
        <f>(E202/E199-1)*100</f>
        <v>12.495222666907724</v>
      </c>
      <c r="H202" s="256"/>
      <c r="I202" s="258"/>
      <c r="J202" s="20">
        <f t="shared" ref="J202" si="136">A202</f>
        <v>44012</v>
      </c>
      <c r="K202" s="27">
        <f>'Global (Gross)'!K202</f>
        <v>3.2419301230355577</v>
      </c>
      <c r="L202" s="46">
        <f t="shared" ref="L202" si="137">L201*K202/100+L201</f>
        <v>2769582.2424945817</v>
      </c>
      <c r="M202" s="253"/>
      <c r="N202" s="131">
        <f t="shared" ref="N202" si="138">(L202/L199-1)*100</f>
        <v>19.413850617743055</v>
      </c>
      <c r="O202" s="258"/>
      <c r="P202" s="20">
        <f t="shared" si="20"/>
        <v>44012</v>
      </c>
      <c r="Q202" s="45">
        <f>'Global (Gross)'!Q202</f>
        <v>-5.3534040552333746E-2</v>
      </c>
      <c r="R202" s="46">
        <f t="shared" ref="R202" si="139">R201*Q202/100+R201</f>
        <v>2720420.9415620887</v>
      </c>
      <c r="S202" s="253"/>
      <c r="T202" s="131">
        <f t="shared" ref="T202" si="140">(R202/R199-1)*100</f>
        <v>9.9458317504281126</v>
      </c>
      <c r="U202" s="258"/>
      <c r="V202" s="256"/>
      <c r="W202" s="256"/>
      <c r="X202" s="107">
        <f>'Global (Gross)'!X202</f>
        <v>0.56932349999999998</v>
      </c>
      <c r="Y202" s="108">
        <f>'Global (Gross)'!Y202</f>
        <v>49114434.909999996</v>
      </c>
      <c r="Z202" s="107">
        <v>0.65956363894697223</v>
      </c>
      <c r="AA202" s="108">
        <f>'Global (Gross)'!AA202</f>
        <v>4598736.7299999995</v>
      </c>
      <c r="AB202" s="227">
        <v>0.74</v>
      </c>
      <c r="AC202" s="108">
        <f>'Global (Gross)'!AC202</f>
        <v>6433354.1900000004</v>
      </c>
      <c r="AD202" s="110">
        <f t="shared" si="121"/>
        <v>0.59670000000000001</v>
      </c>
      <c r="AE202" s="111">
        <f t="shared" si="122"/>
        <v>60146525.829999991</v>
      </c>
    </row>
    <row r="203" spans="1:31" x14ac:dyDescent="0.25">
      <c r="A203" s="21">
        <v>44043</v>
      </c>
      <c r="B203" s="24">
        <f t="shared" ref="B203:B205" si="141">IF(A203&gt;A202,1+B202,"-")</f>
        <v>187</v>
      </c>
      <c r="C203" s="97" t="s">
        <v>331</v>
      </c>
      <c r="D203" s="76">
        <f t="shared" ref="D203" si="142">AD203</f>
        <v>4.4809999999999999</v>
      </c>
      <c r="E203" s="47">
        <f t="shared" ref="E203" si="143">E202*D203/100+E202</f>
        <v>3838295.0259370292</v>
      </c>
      <c r="F203" s="253"/>
      <c r="G203" s="256"/>
      <c r="H203" s="256"/>
      <c r="I203" s="258"/>
      <c r="J203" s="20">
        <f t="shared" ref="J203" si="144">A203</f>
        <v>44043</v>
      </c>
      <c r="K203" s="27">
        <f>'Global (Gross)'!K203</f>
        <v>5.3293939999999997</v>
      </c>
      <c r="L203" s="46">
        <f t="shared" ref="L203" si="145">L202*K203/100+L202</f>
        <v>2917184.1923511536</v>
      </c>
      <c r="M203" s="253"/>
      <c r="N203" s="131"/>
      <c r="O203" s="258"/>
      <c r="P203" s="20">
        <f t="shared" si="20"/>
        <v>44043</v>
      </c>
      <c r="Q203" s="45">
        <f>'Global (Gross)'!Q203</f>
        <v>3.9367460689935303</v>
      </c>
      <c r="R203" s="46">
        <f t="shared" ref="R203" si="146">R202*Q203/100+R202</f>
        <v>2827517.0060391109</v>
      </c>
      <c r="S203" s="253"/>
      <c r="T203" s="131"/>
      <c r="U203" s="258"/>
      <c r="V203" s="256"/>
      <c r="W203" s="256"/>
      <c r="X203" s="107">
        <f>'Global (Gross)'!X203</f>
        <v>4.4955040000000004</v>
      </c>
      <c r="Y203" s="108">
        <f>'Global (Gross)'!Y203</f>
        <v>52417082.200000003</v>
      </c>
      <c r="Z203" s="240">
        <v>4.37</v>
      </c>
      <c r="AA203" s="108">
        <f>'Global (Gross)'!AA203</f>
        <v>4799678.1700000009</v>
      </c>
      <c r="AB203" s="227">
        <v>4.45</v>
      </c>
      <c r="AC203" s="108">
        <f>'Global (Gross)'!AC203</f>
        <v>6719765.4999999981</v>
      </c>
      <c r="AD203" s="110">
        <f t="shared" si="121"/>
        <v>4.4809999999999999</v>
      </c>
      <c r="AE203" s="111">
        <f t="shared" si="122"/>
        <v>63936525.870000005</v>
      </c>
    </row>
    <row r="204" spans="1:31" x14ac:dyDescent="0.25">
      <c r="A204" s="21">
        <v>44074</v>
      </c>
      <c r="B204" s="24">
        <f t="shared" si="141"/>
        <v>188</v>
      </c>
      <c r="C204" s="97" t="s">
        <v>331</v>
      </c>
      <c r="D204" s="76">
        <f t="shared" ref="D204:D205" si="147">AD204</f>
        <v>4.9740000000000002</v>
      </c>
      <c r="E204" s="47">
        <f t="shared" ref="E204:E205" si="148">E203*D204/100+E203</f>
        <v>4029211.8205271368</v>
      </c>
      <c r="F204" s="253"/>
      <c r="G204" s="256"/>
      <c r="H204" s="256"/>
      <c r="I204" s="258"/>
      <c r="J204" s="20">
        <f t="shared" ref="J204" si="149">A204</f>
        <v>44074</v>
      </c>
      <c r="K204" s="27">
        <f>'Global (Gross)'!K204</f>
        <v>6.1644670000000001</v>
      </c>
      <c r="L204" s="46">
        <f t="shared" ref="L204" si="150">L203*K204/100+L203</f>
        <v>3097013.049217857</v>
      </c>
      <c r="M204" s="253"/>
      <c r="N204" s="131"/>
      <c r="O204" s="258"/>
      <c r="P204" s="20">
        <f t="shared" si="20"/>
        <v>44074</v>
      </c>
      <c r="Q204" s="45">
        <f>'Global (Gross)'!Q204</f>
        <v>2.254575747448758</v>
      </c>
      <c r="R204" s="46">
        <f t="shared" ref="R204" si="151">R203*Q204/100+R203</f>
        <v>2891265.518712258</v>
      </c>
      <c r="S204" s="253"/>
      <c r="T204" s="131"/>
      <c r="U204" s="258"/>
      <c r="V204" s="256"/>
      <c r="W204" s="256"/>
      <c r="X204" s="107">
        <f>'Global (Gross)'!X204</f>
        <v>4.9394520000000002</v>
      </c>
      <c r="Y204" s="108">
        <f>'Global (Gross)'!Y204</f>
        <v>58188592.600000001</v>
      </c>
      <c r="Z204" s="107">
        <v>5.1241848159165189</v>
      </c>
      <c r="AA204" s="108">
        <f>'Global (Gross)'!AA204</f>
        <v>5045622.5500000007</v>
      </c>
      <c r="AB204" s="240">
        <v>5.1357478173903965</v>
      </c>
      <c r="AC204" s="108">
        <f>'Global (Gross)'!AC204</f>
        <v>7064875.7100000009</v>
      </c>
      <c r="AD204" s="110">
        <f t="shared" si="121"/>
        <v>4.9740000000000002</v>
      </c>
      <c r="AE204" s="111">
        <f>Y204+AA204+AC204</f>
        <v>70299090.860000014</v>
      </c>
    </row>
    <row r="205" spans="1:31" x14ac:dyDescent="0.25">
      <c r="A205" s="21">
        <v>44104</v>
      </c>
      <c r="B205" s="24">
        <f t="shared" si="141"/>
        <v>189</v>
      </c>
      <c r="C205" s="97" t="s">
        <v>331</v>
      </c>
      <c r="D205" s="76">
        <f t="shared" si="147"/>
        <v>-2.6295999999999999</v>
      </c>
      <c r="E205" s="47">
        <f t="shared" si="148"/>
        <v>3923259.6664945553</v>
      </c>
      <c r="F205" s="253"/>
      <c r="G205" s="131">
        <f>(E205/E202-1)*100</f>
        <v>6.7937952776177646</v>
      </c>
      <c r="H205" s="256"/>
      <c r="I205" s="258"/>
      <c r="J205" s="20">
        <f t="shared" ref="J205" si="152">A205</f>
        <v>44104</v>
      </c>
      <c r="K205" s="27">
        <f>'Global (Gross)'!K205</f>
        <v>-3.1833709846272513</v>
      </c>
      <c r="L205" s="46">
        <f t="shared" ref="L205" si="153">L204*K205/100+L204</f>
        <v>2998423.634418936</v>
      </c>
      <c r="M205" s="253"/>
      <c r="N205" s="131">
        <f t="shared" ref="N205" si="154">(L205/L202-1)*100</f>
        <v>8.2626682253073458</v>
      </c>
      <c r="O205" s="258"/>
      <c r="P205" s="20">
        <f t="shared" si="20"/>
        <v>44104</v>
      </c>
      <c r="Q205" s="45">
        <f>'Global (Gross)'!Q205</f>
        <v>-1.2630988982933076</v>
      </c>
      <c r="R205" s="46">
        <f t="shared" ref="R205" si="155">R204*Q205/100+R204</f>
        <v>2854745.9757986693</v>
      </c>
      <c r="S205" s="253"/>
      <c r="T205" s="131">
        <f t="shared" ref="T205" si="156">(R205/R202-1)*100</f>
        <v>4.9376562349005448</v>
      </c>
      <c r="U205" s="258"/>
      <c r="V205" s="256"/>
      <c r="W205" s="256"/>
      <c r="X205" s="107">
        <f>'Global (Gross)'!X205</f>
        <v>-2.6419679999999999</v>
      </c>
      <c r="Y205" s="108">
        <f>'Global (Gross)'!Y205</f>
        <v>57170363.299999997</v>
      </c>
      <c r="Z205" s="107">
        <v>-2.5714176737219709</v>
      </c>
      <c r="AA205" s="108">
        <f>'Global (Gross)'!AA205</f>
        <v>4915878.5199999996</v>
      </c>
      <c r="AB205" s="240">
        <v>-2.5689606930113347</v>
      </c>
      <c r="AC205" s="108">
        <f>'Global (Gross)'!AC205</f>
        <v>6883381.8299999954</v>
      </c>
      <c r="AD205" s="110">
        <f t="shared" si="121"/>
        <v>-2.6295999999999999</v>
      </c>
      <c r="AE205" s="111">
        <f>Y205+AA205+AC205</f>
        <v>68969623.649999991</v>
      </c>
    </row>
    <row r="206" spans="1:31" x14ac:dyDescent="0.25">
      <c r="A206" s="21">
        <v>44135</v>
      </c>
      <c r="B206" s="24">
        <f t="shared" ref="B206:B209" si="157">IF(A206&gt;A205,1+B205,"-")</f>
        <v>190</v>
      </c>
      <c r="C206" s="97" t="s">
        <v>331</v>
      </c>
      <c r="D206" s="76">
        <f t="shared" ref="D206:D208" si="158">AD206</f>
        <v>-3.1631999999999998</v>
      </c>
      <c r="E206" s="47">
        <f t="shared" ref="E206:E208" si="159">E205*D206/100+E205</f>
        <v>3799159.1167239994</v>
      </c>
      <c r="F206" s="256"/>
      <c r="G206" s="256"/>
      <c r="H206" s="256"/>
      <c r="I206" s="258"/>
      <c r="J206" s="20">
        <f t="shared" ref="J206" si="160">A206</f>
        <v>44135</v>
      </c>
      <c r="K206" s="27">
        <f>'Global (Gross)'!K206</f>
        <v>-2.4079459999999999</v>
      </c>
      <c r="L206" s="46">
        <f t="shared" ref="L206" si="161">L205*K206/100+L205</f>
        <v>2926223.2124508908</v>
      </c>
      <c r="M206" s="253"/>
      <c r="N206" s="256"/>
      <c r="O206" s="258"/>
      <c r="P206" s="20">
        <f t="shared" si="20"/>
        <v>44135</v>
      </c>
      <c r="Q206" s="45">
        <f>'Global (Gross)'!Q206</f>
        <v>-2.5946069859809406</v>
      </c>
      <c r="R206" s="46">
        <f t="shared" ref="R206" si="162">R205*Q206/100+R205</f>
        <v>2780676.537278587</v>
      </c>
      <c r="S206" s="253"/>
      <c r="T206" s="256"/>
      <c r="U206" s="258"/>
      <c r="V206" s="256"/>
      <c r="W206" s="256"/>
      <c r="X206" s="107">
        <f>'Global (Gross)'!X206</f>
        <v>-3.1503429999999999</v>
      </c>
      <c r="Y206" s="108">
        <f>'Global (Gross)'!Y206</f>
        <v>56536450.039999999</v>
      </c>
      <c r="Z206" s="107">
        <v>-3.1839995509083461</v>
      </c>
      <c r="AA206" s="108">
        <f>'Global (Gross)'!AA206</f>
        <v>4759356.9700000007</v>
      </c>
      <c r="AB206" s="240">
        <v>-3.2551785667830679</v>
      </c>
      <c r="AC206" s="108">
        <f>'Global (Gross)'!AC206</f>
        <v>6659315.4599999981</v>
      </c>
      <c r="AD206" s="110">
        <f t="shared" si="121"/>
        <v>-3.1631999999999998</v>
      </c>
      <c r="AE206" s="111">
        <f t="shared" ref="AE206:AE208" si="163">Y206+AA206+AC206</f>
        <v>67955122.469999999</v>
      </c>
    </row>
    <row r="207" spans="1:31" x14ac:dyDescent="0.25">
      <c r="A207" s="21">
        <v>44165</v>
      </c>
      <c r="B207" s="24">
        <f t="shared" si="157"/>
        <v>191</v>
      </c>
      <c r="C207" s="97" t="s">
        <v>331</v>
      </c>
      <c r="D207" s="76">
        <f t="shared" si="158"/>
        <v>7.8117000000000001</v>
      </c>
      <c r="E207" s="47">
        <f t="shared" si="159"/>
        <v>4095938.029445128</v>
      </c>
      <c r="F207" s="256"/>
      <c r="G207" s="256"/>
      <c r="H207" s="256"/>
      <c r="I207" s="258"/>
      <c r="J207" s="20">
        <f t="shared" ref="J207:J208" si="164">A207</f>
        <v>44165</v>
      </c>
      <c r="K207" s="27">
        <f>'Global (Gross)'!K207</f>
        <v>12.362284519542568</v>
      </c>
      <c r="L207" s="46">
        <f t="shared" ref="L207:L208" si="165">L206*K207/100+L206</f>
        <v>3287971.2516509686</v>
      </c>
      <c r="M207" s="253"/>
      <c r="N207" s="256"/>
      <c r="O207" s="258"/>
      <c r="P207" s="20">
        <f t="shared" si="20"/>
        <v>44165</v>
      </c>
      <c r="Q207" s="45">
        <f>'Global (Gross)'!Q207</f>
        <v>6.7624349894346301</v>
      </c>
      <c r="R207" s="46">
        <f t="shared" ref="R207:R208" si="166">R206*Q207/100+R206</f>
        <v>2968717.9803785132</v>
      </c>
      <c r="S207" s="253"/>
      <c r="T207" s="256"/>
      <c r="U207" s="258"/>
      <c r="V207" s="256"/>
      <c r="W207" s="256"/>
      <c r="X207" s="107">
        <f>'Global (Gross)'!X207</f>
        <v>7.761674718196458</v>
      </c>
      <c r="Y207" s="108">
        <f>'Global (Gross)'!Y207</f>
        <v>83496555.450000003</v>
      </c>
      <c r="Z207" s="107">
        <v>8.0513601399392556</v>
      </c>
      <c r="AA207" s="108">
        <f>'Global (Gross)'!AA207</f>
        <v>5142549.9399999995</v>
      </c>
      <c r="AB207" s="240">
        <v>8.0648630212211021</v>
      </c>
      <c r="AC207" s="108">
        <f>'Global (Gross)'!AC207</f>
        <v>7196380.0689999992</v>
      </c>
      <c r="AD207" s="110">
        <f t="shared" si="121"/>
        <v>7.8117000000000001</v>
      </c>
      <c r="AE207" s="111">
        <f t="shared" si="163"/>
        <v>95835485.459000006</v>
      </c>
    </row>
    <row r="208" spans="1:31" x14ac:dyDescent="0.25">
      <c r="A208" s="21">
        <v>44196</v>
      </c>
      <c r="B208" s="24">
        <f t="shared" si="157"/>
        <v>192</v>
      </c>
      <c r="C208" s="97" t="s">
        <v>331</v>
      </c>
      <c r="D208" s="76">
        <f t="shared" si="158"/>
        <v>3.0718999999999999</v>
      </c>
      <c r="E208" s="47">
        <f t="shared" si="159"/>
        <v>4221761.1497716531</v>
      </c>
      <c r="F208" s="253">
        <f t="shared" ref="F208" si="167">(E208/E$196-1)*100</f>
        <v>4.1205646189700795</v>
      </c>
      <c r="G208" s="131">
        <f>(E208/E205-1)*100</f>
        <v>7.608506921587721</v>
      </c>
      <c r="H208" s="256"/>
      <c r="I208" s="258"/>
      <c r="J208" s="20">
        <f t="shared" si="164"/>
        <v>44196</v>
      </c>
      <c r="K208" s="27">
        <f>'Global (Gross)'!K208</f>
        <v>4.6630419999999999</v>
      </c>
      <c r="L208" s="46">
        <f t="shared" si="165"/>
        <v>3441290.7320633791</v>
      </c>
      <c r="M208" s="253">
        <f t="shared" ref="M208" si="168">(L208/L$196-1)*100</f>
        <v>16.830149532300865</v>
      </c>
      <c r="N208" s="131">
        <f t="shared" ref="N208" si="169">(L208/L205-1)*100</f>
        <v>14.769997560076797</v>
      </c>
      <c r="O208" s="258"/>
      <c r="P208" s="20">
        <f t="shared" si="20"/>
        <v>44196</v>
      </c>
      <c r="Q208" s="45">
        <f>'Global (Gross)'!Q208</f>
        <v>2.4457747215660861</v>
      </c>
      <c r="R208" s="46">
        <f t="shared" si="166"/>
        <v>3041326.1342971982</v>
      </c>
      <c r="S208" s="253">
        <f t="shared" ref="S208" si="170">(R208/R$196-1)*100</f>
        <v>3.3998664584876437</v>
      </c>
      <c r="T208" s="131">
        <f t="shared" ref="T208" si="171">(R208/R205-1)*100</f>
        <v>6.5357884757619944</v>
      </c>
      <c r="U208" s="258"/>
      <c r="V208" s="256"/>
      <c r="W208" s="256"/>
      <c r="X208" s="107">
        <f>'Global (Gross)'!X208</f>
        <v>3.0509200000000001</v>
      </c>
      <c r="Y208" s="108">
        <f>'Global (Gross)'!Y208</f>
        <v>87559534.089999989</v>
      </c>
      <c r="Z208" s="107">
        <v>3.1968603497898096</v>
      </c>
      <c r="AA208" s="108">
        <f>'Global (Gross)'!AA208</f>
        <v>5306950.08</v>
      </c>
      <c r="AB208" s="240">
        <v>3.2259197791987706</v>
      </c>
      <c r="AC208" s="108">
        <f>'Global (Gross)'!AC208</f>
        <v>7428529.5609999988</v>
      </c>
      <c r="AD208" s="110">
        <f t="shared" si="121"/>
        <v>3.0718999999999999</v>
      </c>
      <c r="AE208" s="111">
        <f t="shared" si="163"/>
        <v>100295013.73099999</v>
      </c>
    </row>
    <row r="209" spans="1:31" x14ac:dyDescent="0.25">
      <c r="A209" s="21">
        <v>44227</v>
      </c>
      <c r="B209" s="24">
        <f t="shared" si="157"/>
        <v>193</v>
      </c>
      <c r="C209" s="97" t="s">
        <v>331</v>
      </c>
      <c r="D209" s="76">
        <f t="shared" ref="D209:D211" si="172">AD209</f>
        <v>-2.0243000000000002</v>
      </c>
      <c r="E209" s="47">
        <f t="shared" ref="E209:E211" si="173">E208*D209/100+E208</f>
        <v>4136300.0388168255</v>
      </c>
      <c r="F209" s="256"/>
      <c r="G209" s="256"/>
      <c r="H209" s="256"/>
      <c r="I209" s="258"/>
      <c r="J209" s="20">
        <f t="shared" ref="J209" si="174">A209</f>
        <v>44227</v>
      </c>
      <c r="K209" s="27">
        <f>'Global (Gross)'!K209</f>
        <v>-0.44216030000000001</v>
      </c>
      <c r="L209" s="46">
        <f t="shared" ref="L209" si="175">L208*K209/100+L208</f>
        <v>3426074.7106386153</v>
      </c>
      <c r="M209" s="256"/>
      <c r="N209" s="256"/>
      <c r="O209" s="258"/>
      <c r="P209" s="20">
        <f t="shared" si="20"/>
        <v>44227</v>
      </c>
      <c r="Q209" s="45">
        <f>'Global (Gross)'!Q209</f>
        <v>-1.5846854121498177</v>
      </c>
      <c r="R209" s="46">
        <f t="shared" ref="R209" si="176">R208*Q209/100+R208</f>
        <v>2993130.6827110904</v>
      </c>
      <c r="S209" s="256"/>
      <c r="T209" s="256"/>
      <c r="U209" s="258"/>
      <c r="V209" s="256"/>
      <c r="W209" s="256"/>
      <c r="X209" s="107">
        <f>'Global (Gross)'!X209</f>
        <v>-2.0140099999999999</v>
      </c>
      <c r="Y209" s="108">
        <f>'Global (Gross)'!Y209</f>
        <v>84319104.859999999</v>
      </c>
      <c r="Z209" s="107">
        <v>-2.052610037</v>
      </c>
      <c r="AA209" s="108">
        <f>'Global (Gross)'!AA209</f>
        <v>5198019.0899999961</v>
      </c>
      <c r="AB209" s="240">
        <v>-2.1248547009999998</v>
      </c>
      <c r="AC209" s="108">
        <f>'Global (Gross)'!AC209</f>
        <v>7270684.1200000001</v>
      </c>
      <c r="AD209" s="110">
        <f t="shared" si="121"/>
        <v>-2.0243000000000002</v>
      </c>
      <c r="AE209" s="111">
        <f>Y209+AC209</f>
        <v>91589788.980000004</v>
      </c>
    </row>
    <row r="210" spans="1:31" x14ac:dyDescent="0.25">
      <c r="A210" s="21">
        <v>44255</v>
      </c>
      <c r="B210" s="24">
        <f t="shared" ref="B210:B211" si="177">IF(A210&gt;A209,1+B209,"-")</f>
        <v>194</v>
      </c>
      <c r="C210" s="97" t="s">
        <v>332</v>
      </c>
      <c r="D210" s="76">
        <f t="shared" si="172"/>
        <v>0.15429999999999999</v>
      </c>
      <c r="E210" s="47">
        <f t="shared" si="173"/>
        <v>4142682.3497767197</v>
      </c>
      <c r="F210" s="256"/>
      <c r="G210" s="256"/>
      <c r="H210" s="256"/>
      <c r="I210" s="258"/>
      <c r="J210" s="20">
        <f t="shared" ref="J210" si="178">A210</f>
        <v>44255</v>
      </c>
      <c r="K210" s="27">
        <f>'Global (Gross)'!K210</f>
        <v>2.348236</v>
      </c>
      <c r="L210" s="46">
        <f t="shared" ref="L210" si="179">L209*K210/100+L209</f>
        <v>3506527.0303807273</v>
      </c>
      <c r="M210" s="253"/>
      <c r="N210" s="256"/>
      <c r="O210" s="258"/>
      <c r="P210" s="20">
        <f t="shared" si="20"/>
        <v>44255</v>
      </c>
      <c r="Q210" s="45">
        <f>'Global (Gross)'!Q210</f>
        <v>-1.1630529999999999</v>
      </c>
      <c r="R210" s="46">
        <f t="shared" ref="R210" si="180">R209*Q210/100+R209</f>
        <v>2958318.9865118987</v>
      </c>
      <c r="S210" s="253"/>
      <c r="T210" s="256"/>
      <c r="U210" s="258"/>
      <c r="V210" s="256"/>
      <c r="W210" s="256"/>
      <c r="X210" s="107">
        <f>'Global (Gross)'!X210</f>
        <v>0.14894250000000001</v>
      </c>
      <c r="Y210" s="108">
        <f>'Global (Gross)'!Y210</f>
        <v>92600703.159999996</v>
      </c>
      <c r="Z210" s="107"/>
      <c r="AA210" s="256"/>
      <c r="AB210" s="240">
        <v>0.2161736054</v>
      </c>
      <c r="AC210" s="108">
        <f>'Global (Gross)'!AC210</f>
        <v>7286401.415</v>
      </c>
      <c r="AD210" s="110">
        <f>ROUND(Y209/AE209*(X210)+(AC209/AE209*AB210),4)</f>
        <v>0.15429999999999999</v>
      </c>
      <c r="AE210" s="111">
        <f t="shared" ref="AE210:AE218" si="181">Y210+AC210</f>
        <v>99887104.575000003</v>
      </c>
    </row>
    <row r="211" spans="1:31" x14ac:dyDescent="0.25">
      <c r="A211" s="21">
        <v>44286</v>
      </c>
      <c r="B211" s="24">
        <f t="shared" si="177"/>
        <v>195</v>
      </c>
      <c r="C211" s="97" t="s">
        <v>332</v>
      </c>
      <c r="D211" s="76">
        <f t="shared" si="172"/>
        <v>2.5960000000000001</v>
      </c>
      <c r="E211" s="47">
        <f t="shared" si="173"/>
        <v>4250226.383576923</v>
      </c>
      <c r="F211" s="253"/>
      <c r="G211" s="131">
        <f>(E211/E208-1)*100</f>
        <v>0.67425021917237871</v>
      </c>
      <c r="H211" s="256"/>
      <c r="I211" s="258"/>
      <c r="J211" s="20">
        <f t="shared" ref="J211" si="182">A211</f>
        <v>44286</v>
      </c>
      <c r="K211" s="27">
        <f>'Global (Gross)'!K211</f>
        <v>2.7345459999999999</v>
      </c>
      <c r="L211" s="46">
        <f t="shared" ref="L211" si="183">L210*K211/100+L210</f>
        <v>3602414.6250289222</v>
      </c>
      <c r="M211" s="253"/>
      <c r="N211" s="131">
        <f t="shared" ref="N211" si="184">(L211/L208-1)*100</f>
        <v>4.6820773224508727</v>
      </c>
      <c r="O211" s="258"/>
      <c r="P211" s="20">
        <f t="shared" si="20"/>
        <v>44286</v>
      </c>
      <c r="Q211" s="45">
        <f>'Global (Gross)'!Q211</f>
        <v>4.7067930000000002</v>
      </c>
      <c r="R211" s="46">
        <f t="shared" ref="R211" si="185">R210*Q211/100+R210</f>
        <v>3097560.9374867119</v>
      </c>
      <c r="S211" s="253"/>
      <c r="T211" s="131">
        <f t="shared" ref="T211" si="186">(R211/R208-1)*100</f>
        <v>1.8490224562025981</v>
      </c>
      <c r="U211" s="258"/>
      <c r="V211" s="256"/>
      <c r="W211" s="256"/>
      <c r="X211" s="107">
        <f>'Global (Gross)'!X211</f>
        <v>2.587745</v>
      </c>
      <c r="Y211" s="108">
        <f>'Global (Gross)'!Y211</f>
        <v>97179910.680000007</v>
      </c>
      <c r="Z211" s="107"/>
      <c r="AA211" s="256"/>
      <c r="AB211" s="240">
        <v>2.7002676449999998</v>
      </c>
      <c r="AC211" s="108">
        <f>'Global (Gross)'!AC211</f>
        <v>7483153.7599999988</v>
      </c>
      <c r="AD211" s="110">
        <f>ROUND(Y210/AE210*(X211)+(AC210/AE210*AB211),4)</f>
        <v>2.5960000000000001</v>
      </c>
      <c r="AE211" s="111">
        <f t="shared" si="181"/>
        <v>104663064.44000001</v>
      </c>
    </row>
    <row r="212" spans="1:31" x14ac:dyDescent="0.25">
      <c r="A212" s="21">
        <v>44316</v>
      </c>
      <c r="B212" s="24">
        <f t="shared" ref="B212:B273" si="187">IF(A212&gt;A211,1+B211,"-")</f>
        <v>196</v>
      </c>
      <c r="C212" s="97" t="s">
        <v>332</v>
      </c>
      <c r="D212" s="76">
        <f t="shared" ref="D212:D213" si="188">AD212</f>
        <v>4.1094999999999997</v>
      </c>
      <c r="E212" s="47">
        <f t="shared" ref="E212:E213" si="189">E211*D212/100+E211</f>
        <v>4424889.4368100166</v>
      </c>
      <c r="F212" s="256"/>
      <c r="G212" s="256"/>
      <c r="H212" s="256"/>
      <c r="I212" s="258"/>
      <c r="J212" s="20">
        <f t="shared" ref="J212" si="190">A212</f>
        <v>44316</v>
      </c>
      <c r="K212" s="27">
        <f>'Global (Gross)'!K212</f>
        <v>4.4090100000000003</v>
      </c>
      <c r="L212" s="46">
        <f t="shared" ref="L212:L213" si="191">L211*K212/100+L211</f>
        <v>3761245.4460879099</v>
      </c>
      <c r="M212" s="253"/>
      <c r="N212" s="256"/>
      <c r="O212" s="258"/>
      <c r="P212" s="20">
        <f t="shared" si="20"/>
        <v>44316</v>
      </c>
      <c r="Q212" s="45">
        <f>'Global (Gross)'!Q212</f>
        <v>2.7670539999999999</v>
      </c>
      <c r="R212" s="46">
        <f t="shared" ref="R212:R213" si="192">R211*Q212/100+R211</f>
        <v>3183272.1213098755</v>
      </c>
      <c r="S212" s="253"/>
      <c r="T212" s="256"/>
      <c r="U212" s="258"/>
      <c r="V212" s="256"/>
      <c r="W212" s="256"/>
      <c r="X212" s="107">
        <f>'Global (Gross)'!X212</f>
        <v>4.1171360000000004</v>
      </c>
      <c r="Y212" s="108">
        <f>'Global (Gross)'!Y212</f>
        <v>103297189.34</v>
      </c>
      <c r="Z212" s="256"/>
      <c r="AA212" s="256"/>
      <c r="AB212" s="240">
        <v>4.01</v>
      </c>
      <c r="AC212" s="108">
        <f>'Global (Gross)'!AC212</f>
        <v>7782996.5300000003</v>
      </c>
      <c r="AD212" s="110">
        <f t="shared" ref="AD212:AD215" si="193">ROUND(Y211/AE211*(X212)+(AC211/AE211*AB212),4)</f>
        <v>4.1094999999999997</v>
      </c>
      <c r="AE212" s="111">
        <f t="shared" si="181"/>
        <v>111080185.87</v>
      </c>
    </row>
    <row r="213" spans="1:31" x14ac:dyDescent="0.25">
      <c r="A213" s="21">
        <v>44347</v>
      </c>
      <c r="B213" s="24">
        <f t="shared" si="187"/>
        <v>197</v>
      </c>
      <c r="C213" s="97" t="s">
        <v>332</v>
      </c>
      <c r="D213" s="76">
        <f t="shared" si="188"/>
        <v>1.1135999999999999</v>
      </c>
      <c r="E213" s="47">
        <f t="shared" si="189"/>
        <v>4474165.0055783326</v>
      </c>
      <c r="F213" s="253"/>
      <c r="G213" s="256"/>
      <c r="H213" s="256"/>
      <c r="I213" s="258"/>
      <c r="J213" s="20">
        <f t="shared" ref="J213" si="194">A213</f>
        <v>44347</v>
      </c>
      <c r="K213" s="27">
        <f>'Global (Gross)'!K213</f>
        <v>1.6038460000000001</v>
      </c>
      <c r="L213" s="46">
        <f t="shared" si="191"/>
        <v>3821570.0307251732</v>
      </c>
      <c r="M213" s="253"/>
      <c r="N213" s="256"/>
      <c r="O213" s="258"/>
      <c r="P213" s="20">
        <f t="shared" ref="P213:P268" si="195">$A213</f>
        <v>44347</v>
      </c>
      <c r="Q213" s="45">
        <f>'Global (Gross)'!Q213</f>
        <v>1.8857821167551705</v>
      </c>
      <c r="R213" s="46">
        <f t="shared" si="192"/>
        <v>3243301.6977011901</v>
      </c>
      <c r="S213" s="253"/>
      <c r="T213" s="256"/>
      <c r="U213" s="258"/>
      <c r="V213" s="256"/>
      <c r="W213" s="256"/>
      <c r="X213" s="107">
        <f>'Global (Gross)'!X213</f>
        <v>1.113896</v>
      </c>
      <c r="Y213" s="108">
        <f>'Global (Gross)'!Y213</f>
        <v>104302281.73999999</v>
      </c>
      <c r="Z213" s="256"/>
      <c r="AA213" s="256"/>
      <c r="AB213" s="240">
        <v>1.1100000000000001</v>
      </c>
      <c r="AC213" s="108">
        <f>'Global (Gross)'!AC213</f>
        <v>7869532.9199999981</v>
      </c>
      <c r="AD213" s="110">
        <f t="shared" si="193"/>
        <v>1.1135999999999999</v>
      </c>
      <c r="AE213" s="111">
        <f t="shared" si="181"/>
        <v>112171814.66</v>
      </c>
    </row>
    <row r="214" spans="1:31" x14ac:dyDescent="0.25">
      <c r="A214" s="21">
        <v>44377</v>
      </c>
      <c r="B214" s="24">
        <f t="shared" si="187"/>
        <v>198</v>
      </c>
      <c r="C214" s="97" t="s">
        <v>332</v>
      </c>
      <c r="D214" s="76">
        <f t="shared" ref="D214" si="196">AD214</f>
        <v>1.7113</v>
      </c>
      <c r="E214" s="47">
        <f t="shared" ref="E214" si="197">E213*D214/100+E213</f>
        <v>4550731.3913187943</v>
      </c>
      <c r="F214" s="253"/>
      <c r="G214" s="131">
        <f>(E214/E211-1)*100</f>
        <v>7.0703294512272752</v>
      </c>
      <c r="H214" s="256"/>
      <c r="I214" s="258"/>
      <c r="J214" s="20">
        <f t="shared" ref="J214" si="198">A214</f>
        <v>44377</v>
      </c>
      <c r="K214" s="27">
        <f>'Global (Gross)'!K214</f>
        <v>1.35379</v>
      </c>
      <c r="L214" s="46">
        <f t="shared" ref="L214" si="199">L213*K214/100+L213</f>
        <v>3873306.0636441275</v>
      </c>
      <c r="M214" s="253"/>
      <c r="N214" s="131">
        <f t="shared" ref="N214" si="200">(L214/L211-1)*100</f>
        <v>7.5197184891794722</v>
      </c>
      <c r="O214" s="258"/>
      <c r="P214" s="20">
        <f t="shared" si="195"/>
        <v>44377</v>
      </c>
      <c r="Q214" s="45">
        <f>'Global (Gross)'!Q214</f>
        <v>0.69622417643923351</v>
      </c>
      <c r="R214" s="46">
        <f t="shared" ref="R214" si="201">R213*Q214/100+R213</f>
        <v>3265882.3482354498</v>
      </c>
      <c r="S214" s="253"/>
      <c r="T214" s="131">
        <f t="shared" ref="T214" si="202">(R214/R211-1)*100</f>
        <v>5.4339983666410019</v>
      </c>
      <c r="U214" s="258"/>
      <c r="V214" s="256"/>
      <c r="W214" s="256"/>
      <c r="X214" s="107">
        <f>'Global (Gross)'!X214</f>
        <v>1.707519</v>
      </c>
      <c r="Y214" s="108">
        <f>'Global (Gross)'!Y214</f>
        <v>106553487.91</v>
      </c>
      <c r="Z214" s="256"/>
      <c r="AA214" s="256"/>
      <c r="AB214" s="240">
        <v>1.76169</v>
      </c>
      <c r="AC214" s="108">
        <f>'Global (Gross)'!AC214</f>
        <v>8008169.9500000011</v>
      </c>
      <c r="AD214" s="110">
        <f t="shared" si="193"/>
        <v>1.7113</v>
      </c>
      <c r="AE214" s="111">
        <f t="shared" si="181"/>
        <v>114561657.86</v>
      </c>
    </row>
    <row r="215" spans="1:31" x14ac:dyDescent="0.25">
      <c r="A215" s="21">
        <v>44408</v>
      </c>
      <c r="B215" s="24">
        <f t="shared" si="187"/>
        <v>199</v>
      </c>
      <c r="C215" s="97" t="s">
        <v>332</v>
      </c>
      <c r="D215" s="76">
        <f t="shared" ref="D215:D217" si="203">AD215</f>
        <v>1.3266</v>
      </c>
      <c r="E215" s="47">
        <f t="shared" ref="E215" si="204">E214*D215/100+E214</f>
        <v>4611101.3939560298</v>
      </c>
      <c r="F215" s="253"/>
      <c r="G215" s="256"/>
      <c r="H215" s="256"/>
      <c r="I215" s="258"/>
      <c r="J215" s="20">
        <f t="shared" ref="J215" si="205">A215</f>
        <v>44408</v>
      </c>
      <c r="K215" s="27">
        <f>'Global (Gross)'!K215</f>
        <v>0.71776589999999996</v>
      </c>
      <c r="L215" s="46">
        <f t="shared" ref="L215" si="206">L214*K215/100+L214</f>
        <v>3901107.3337715971</v>
      </c>
      <c r="M215" s="253"/>
      <c r="N215" s="131"/>
      <c r="O215" s="258"/>
      <c r="P215" s="20">
        <f t="shared" si="195"/>
        <v>44408</v>
      </c>
      <c r="Q215" s="45">
        <f>'Global (Gross)'!Q215</f>
        <v>1.6058762145677741</v>
      </c>
      <c r="R215" s="46">
        <f t="shared" ref="R215" si="207">R214*Q215/100+R214</f>
        <v>3318328.3760615303</v>
      </c>
      <c r="S215" s="253"/>
      <c r="T215" s="131"/>
      <c r="U215" s="258"/>
      <c r="V215" s="256"/>
      <c r="W215" s="256"/>
      <c r="X215" s="107">
        <f>'Global (Gross)'!X215</f>
        <v>1.3268345518548659</v>
      </c>
      <c r="Y215" s="108">
        <f>'Global (Gross)'!Y215</f>
        <v>107109363.21000001</v>
      </c>
      <c r="Z215" s="256"/>
      <c r="AA215" s="256"/>
      <c r="AB215" s="240">
        <v>1.3237376409999999</v>
      </c>
      <c r="AC215" s="108">
        <f>'Global (Gross)'!AC215</f>
        <v>8114177.1100000013</v>
      </c>
      <c r="AD215" s="110">
        <f t="shared" si="193"/>
        <v>1.3266</v>
      </c>
      <c r="AE215" s="111">
        <f t="shared" si="181"/>
        <v>115223540.32000001</v>
      </c>
    </row>
    <row r="216" spans="1:31" x14ac:dyDescent="0.25">
      <c r="A216" s="21">
        <v>44439</v>
      </c>
      <c r="B216" s="24">
        <f t="shared" si="187"/>
        <v>200</v>
      </c>
      <c r="C216" s="97" t="s">
        <v>332</v>
      </c>
      <c r="D216" s="76">
        <f t="shared" si="203"/>
        <v>2.4363999999999999</v>
      </c>
      <c r="E216" s="47">
        <f t="shared" ref="E216:E217" si="208">E215*D216/100+E215</f>
        <v>4723446.2683183746</v>
      </c>
      <c r="F216" s="253"/>
      <c r="G216" s="256"/>
      <c r="H216" s="256"/>
      <c r="I216" s="258"/>
      <c r="J216" s="20">
        <f t="shared" ref="J216" si="209">A216</f>
        <v>44439</v>
      </c>
      <c r="K216" s="27">
        <f>'Global (Gross)'!K216</f>
        <v>2.535803</v>
      </c>
      <c r="L216" s="46">
        <f t="shared" ref="L216" si="210">L215*K216/100+L215</f>
        <v>4000031.7305745971</v>
      </c>
      <c r="M216" s="253"/>
      <c r="N216" s="131"/>
      <c r="O216" s="258"/>
      <c r="P216" s="20">
        <f t="shared" si="195"/>
        <v>44439</v>
      </c>
      <c r="Q216" s="45">
        <f>'Global (Gross)'!Q216</f>
        <v>2.2169819999999998</v>
      </c>
      <c r="R216" s="46">
        <f t="shared" ref="R216" si="211">R215*Q216/100+R215</f>
        <v>3391895.1188597069</v>
      </c>
      <c r="S216" s="253"/>
      <c r="T216" s="131"/>
      <c r="U216" s="258"/>
      <c r="V216" s="256"/>
      <c r="W216" s="256"/>
      <c r="X216" s="107">
        <f>'Global (Gross)'!X216</f>
        <v>2.4318550000000001</v>
      </c>
      <c r="Y216" s="108">
        <f>'Global (Gross)'!Y216</f>
        <v>112138096.16999999</v>
      </c>
      <c r="Z216" s="256"/>
      <c r="AA216" s="256"/>
      <c r="AB216" s="240">
        <v>2.4962883759385894</v>
      </c>
      <c r="AC216" s="108">
        <f>'Global (Gross)'!AC216</f>
        <v>8316730.370000001</v>
      </c>
      <c r="AD216" s="110">
        <f t="shared" ref="AD216:AD217" si="212">ROUND(Y215/AE215*(X216)+(AC215/AE215*AB216),4)</f>
        <v>2.4363999999999999</v>
      </c>
      <c r="AE216" s="111">
        <f t="shared" si="181"/>
        <v>120454826.53999999</v>
      </c>
    </row>
    <row r="217" spans="1:31" x14ac:dyDescent="0.25">
      <c r="A217" s="21">
        <v>44469</v>
      </c>
      <c r="B217" s="24">
        <f t="shared" ref="B217:B220" si="213">IF(A217&gt;A216,1+B216,"-")</f>
        <v>201</v>
      </c>
      <c r="C217" s="97" t="s">
        <v>332</v>
      </c>
      <c r="D217" s="76">
        <f t="shared" si="203"/>
        <v>-3.7831000000000001</v>
      </c>
      <c r="E217" s="47">
        <f t="shared" si="208"/>
        <v>4544753.5725416224</v>
      </c>
      <c r="F217" s="253"/>
      <c r="G217" s="131">
        <f>(E217/E214-1)*100</f>
        <v>-0.13135951703445725</v>
      </c>
      <c r="H217" s="256"/>
      <c r="I217" s="258"/>
      <c r="J217" s="20">
        <f t="shared" ref="J217" si="214">A217</f>
        <v>44469</v>
      </c>
      <c r="K217" s="27">
        <f>'Global (Gross)'!K217</f>
        <v>-4.080425</v>
      </c>
      <c r="L217" s="46">
        <f t="shared" ref="L217" si="215">L216*K217/100+L216</f>
        <v>3836813.4358322988</v>
      </c>
      <c r="M217" s="253"/>
      <c r="N217" s="131">
        <f t="shared" ref="N217" si="216">(L217/L214-1)*100</f>
        <v>-0.94215709298983707</v>
      </c>
      <c r="O217" s="258"/>
      <c r="P217" s="20">
        <f t="shared" si="195"/>
        <v>44469</v>
      </c>
      <c r="Q217" s="45">
        <f>'Global (Gross)'!Q217</f>
        <v>-3.5062980000000001</v>
      </c>
      <c r="R217" s="46">
        <f t="shared" ref="R217" si="217">R216*Q217/100+R216</f>
        <v>3272965.1681450312</v>
      </c>
      <c r="S217" s="253"/>
      <c r="T217" s="131">
        <f t="shared" ref="T217" si="218">(R217/R214-1)*100</f>
        <v>0.21687308832201158</v>
      </c>
      <c r="U217" s="258"/>
      <c r="V217" s="256"/>
      <c r="W217" s="256"/>
      <c r="X217" s="107">
        <f>'Global (Gross)'!X217</f>
        <v>-3.7829380000000001</v>
      </c>
      <c r="Y217" s="108">
        <f>'Global (Gross)'!Y217</f>
        <v>109774769.88</v>
      </c>
      <c r="Z217" s="256"/>
      <c r="AA217" s="256"/>
      <c r="AB217" s="240">
        <v>-3.7852439119052645</v>
      </c>
      <c r="AC217" s="108">
        <f>'Global (Gross)'!AC217</f>
        <v>8001921.8399999999</v>
      </c>
      <c r="AD217" s="110">
        <f t="shared" si="212"/>
        <v>-3.7831000000000001</v>
      </c>
      <c r="AE217" s="111">
        <f t="shared" si="181"/>
        <v>117776691.72</v>
      </c>
    </row>
    <row r="218" spans="1:31" x14ac:dyDescent="0.25">
      <c r="A218" s="21">
        <v>44500</v>
      </c>
      <c r="B218" s="24">
        <f t="shared" si="213"/>
        <v>202</v>
      </c>
      <c r="C218" s="97" t="s">
        <v>332</v>
      </c>
      <c r="D218" s="76">
        <f t="shared" ref="D218:D221" si="219">AD218</f>
        <v>5.8882000000000003</v>
      </c>
      <c r="E218" s="47">
        <f t="shared" ref="E218" si="220">E217*D218/100+E217</f>
        <v>4812357.7524000183</v>
      </c>
      <c r="F218" s="253"/>
      <c r="G218" s="256"/>
      <c r="H218" s="256"/>
      <c r="I218" s="258"/>
      <c r="J218" s="20">
        <f t="shared" ref="J218" si="221">A218</f>
        <v>44500</v>
      </c>
      <c r="K218" s="27">
        <f>'Global (Gross)'!K218</f>
        <v>5.1259629999999996</v>
      </c>
      <c r="L218" s="46">
        <f t="shared" ref="L218" si="222">L217*K218/100+L217</f>
        <v>4033487.0729320911</v>
      </c>
      <c r="M218" s="253"/>
      <c r="N218" s="256"/>
      <c r="O218" s="258"/>
      <c r="P218" s="20">
        <f t="shared" si="195"/>
        <v>44500</v>
      </c>
      <c r="Q218" s="45">
        <f>'Global (Gross)'!Q218</f>
        <v>2.5486770000000001</v>
      </c>
      <c r="R218" s="46">
        <f t="shared" ref="R218" si="223">R217*Q218/100+R217</f>
        <v>3356382.4786035549</v>
      </c>
      <c r="S218" s="253"/>
      <c r="T218" s="256"/>
      <c r="U218" s="258"/>
      <c r="V218" s="256"/>
      <c r="W218" s="256"/>
      <c r="X218" s="107">
        <f>'Global (Gross)'!X218</f>
        <v>5.8839480000000002</v>
      </c>
      <c r="Y218" s="108">
        <f>'Global (Gross)'!Y218</f>
        <v>116815163.88</v>
      </c>
      <c r="Z218" s="256"/>
      <c r="AA218" s="256"/>
      <c r="AB218" s="240">
        <v>5.946865384528623</v>
      </c>
      <c r="AC218" s="108">
        <f>'Global (Gross)'!AC218</f>
        <v>8477785.3599999957</v>
      </c>
      <c r="AD218" s="110">
        <f t="shared" ref="AD218" si="224">ROUND(Y217/AE217*(X218)+(AC217/AE217*AB218),4)</f>
        <v>5.8882000000000003</v>
      </c>
      <c r="AE218" s="111">
        <f t="shared" si="181"/>
        <v>125292949.23999999</v>
      </c>
    </row>
    <row r="219" spans="1:31" x14ac:dyDescent="0.25">
      <c r="A219" s="21">
        <v>44530</v>
      </c>
      <c r="B219" s="24">
        <f t="shared" si="213"/>
        <v>203</v>
      </c>
      <c r="C219" s="97" t="s">
        <v>332</v>
      </c>
      <c r="D219" s="76">
        <f t="shared" si="219"/>
        <v>-2.0478000000000001</v>
      </c>
      <c r="E219" s="47">
        <f t="shared" ref="E219" si="225">E218*D219/100+E218</f>
        <v>4713810.290346371</v>
      </c>
      <c r="F219" s="253"/>
      <c r="G219" s="256"/>
      <c r="H219" s="256"/>
      <c r="I219" s="258"/>
      <c r="J219" s="20">
        <f t="shared" ref="J219" si="226">A219</f>
        <v>44530</v>
      </c>
      <c r="K219" s="27">
        <f>'Global (Gross)'!K219</f>
        <v>-2.3772950000000002</v>
      </c>
      <c r="L219" s="46">
        <f t="shared" ref="L219" si="227">L218*K219/100+L218</f>
        <v>3937599.18642163</v>
      </c>
      <c r="M219" s="253"/>
      <c r="N219" s="256"/>
      <c r="O219" s="258"/>
      <c r="P219" s="20">
        <f t="shared" si="195"/>
        <v>44530</v>
      </c>
      <c r="Q219" s="45">
        <f>'Global (Gross)'!Q219</f>
        <v>-1.904134</v>
      </c>
      <c r="R219" s="46">
        <f t="shared" ref="R219" si="228">R218*Q219/100+R218</f>
        <v>3292472.4586584219</v>
      </c>
      <c r="S219" s="253"/>
      <c r="T219" s="256"/>
      <c r="U219" s="258"/>
      <c r="V219" s="256"/>
      <c r="W219" s="256"/>
      <c r="X219" s="107">
        <f>'Global (Gross)'!X219</f>
        <v>-2.0486559999999998</v>
      </c>
      <c r="Y219" s="108">
        <f>'Global (Gross)'!Y219</f>
        <v>114371590.67</v>
      </c>
      <c r="Z219" s="256"/>
      <c r="AA219" s="256"/>
      <c r="AB219" s="240">
        <v>-2.0363917304931078</v>
      </c>
      <c r="AC219" s="108">
        <f>'Global (Gross)'!AC219</f>
        <v>8305144.4400000004</v>
      </c>
      <c r="AD219" s="110">
        <f t="shared" ref="AD219:AD221" si="229">ROUND(Y218/AE218*(X219)+(AC218/AE218*AB219),4)</f>
        <v>-2.0478000000000001</v>
      </c>
      <c r="AE219" s="111">
        <f t="shared" ref="AE219:AE221" si="230">Y219+AC219</f>
        <v>122676735.11</v>
      </c>
    </row>
    <row r="220" spans="1:31" x14ac:dyDescent="0.25">
      <c r="A220" s="21">
        <v>44561</v>
      </c>
      <c r="B220" s="24">
        <f t="shared" si="213"/>
        <v>204</v>
      </c>
      <c r="C220" s="97" t="s">
        <v>332</v>
      </c>
      <c r="D220" s="76">
        <f t="shared" si="219"/>
        <v>3.899</v>
      </c>
      <c r="E220" s="47">
        <f t="shared" ref="E220:E221" si="231">E219*D220/100+E219</f>
        <v>4897601.7535669757</v>
      </c>
      <c r="F220" s="253">
        <f t="shared" ref="F220" si="232">(E220/E$208-1)*100</f>
        <v>16.008499292573131</v>
      </c>
      <c r="G220" s="131">
        <f>(E220/E217-1)*100</f>
        <v>7.763857278361197</v>
      </c>
      <c r="H220" s="256"/>
      <c r="I220" s="258"/>
      <c r="J220" s="20">
        <f t="shared" ref="J220" si="233">A220</f>
        <v>44561</v>
      </c>
      <c r="K220" s="27">
        <f>'Global (Gross)'!K220</f>
        <v>4.0393689999999998</v>
      </c>
      <c r="L220" s="46">
        <f t="shared" ref="L220" si="234">L219*K220/100+L219</f>
        <v>4096653.3473021975</v>
      </c>
      <c r="M220" s="253">
        <f t="shared" ref="M220" si="235">(L220/L$208-1)*100</f>
        <v>19.044093227364911</v>
      </c>
      <c r="N220" s="131">
        <f t="shared" ref="N220" si="236">(L220/L217-1)*100</f>
        <v>6.7722842357471391</v>
      </c>
      <c r="O220" s="258"/>
      <c r="P220" s="20">
        <f t="shared" si="195"/>
        <v>44561</v>
      </c>
      <c r="Q220" s="45">
        <f>'Global (Gross)'!Q220</f>
        <v>5.7531400000000001</v>
      </c>
      <c r="R220" s="46">
        <f t="shared" ref="R220" si="237">R219*Q220/100+R219</f>
        <v>3481893.0086664832</v>
      </c>
      <c r="S220" s="253">
        <f t="shared" ref="S220" si="238">(R220/R$208-1)*100</f>
        <v>14.486012183993967</v>
      </c>
      <c r="T220" s="131">
        <f t="shared" ref="T220" si="239">(R220/R217-1)*100</f>
        <v>6.3834422240387934</v>
      </c>
      <c r="U220" s="258"/>
      <c r="V220" s="256"/>
      <c r="W220" s="256"/>
      <c r="X220" s="107">
        <f>'Global (Gross)'!X220</f>
        <v>3.8881679999999998</v>
      </c>
      <c r="Y220" s="108">
        <f>'Global (Gross)'!Y220</f>
        <v>125206392.76000001</v>
      </c>
      <c r="Z220" s="256"/>
      <c r="AA220" s="256"/>
      <c r="AB220" s="240">
        <v>4.0479635535393497</v>
      </c>
      <c r="AC220" s="108">
        <f>'Global (Gross)'!AC220</f>
        <v>8641333.6600000001</v>
      </c>
      <c r="AD220" s="110">
        <f t="shared" si="229"/>
        <v>3.899</v>
      </c>
      <c r="AE220" s="111">
        <f t="shared" si="230"/>
        <v>133847726.42</v>
      </c>
    </row>
    <row r="221" spans="1:31" x14ac:dyDescent="0.25">
      <c r="A221" s="21">
        <v>44592</v>
      </c>
      <c r="B221" s="24">
        <f t="shared" ref="B221:B226" si="240">IF(A221&gt;A220,1+B220,"-")</f>
        <v>205</v>
      </c>
      <c r="C221" s="97" t="s">
        <v>332</v>
      </c>
      <c r="D221" s="76">
        <f t="shared" si="219"/>
        <v>-2.3536000000000001</v>
      </c>
      <c r="E221" s="47">
        <f t="shared" si="231"/>
        <v>4782331.7986950232</v>
      </c>
      <c r="F221" s="256"/>
      <c r="G221" s="256"/>
      <c r="H221" s="256"/>
      <c r="I221" s="258"/>
      <c r="J221" s="20">
        <f t="shared" ref="J221" si="241">A221</f>
        <v>44592</v>
      </c>
      <c r="K221" s="27">
        <f>'Global (Gross)'!K221</f>
        <v>-4.8918509999999999</v>
      </c>
      <c r="L221" s="46">
        <f t="shared" ref="L221" si="242">L220*K221/100+L220</f>
        <v>3896251.1695656613</v>
      </c>
      <c r="M221" s="256"/>
      <c r="N221" s="256"/>
      <c r="O221" s="258"/>
      <c r="P221" s="20">
        <f t="shared" si="195"/>
        <v>44592</v>
      </c>
      <c r="Q221" s="45">
        <f>'Global (Gross)'!Q221</f>
        <v>-4.8988990000000001</v>
      </c>
      <c r="R221" s="46">
        <f t="shared" ref="R221" si="243">R220*Q221/100+R220</f>
        <v>3311318.5868838509</v>
      </c>
      <c r="S221" s="256"/>
      <c r="T221" s="256"/>
      <c r="U221" s="258"/>
      <c r="V221" s="256"/>
      <c r="W221" s="256"/>
      <c r="X221" s="107">
        <f>'Global (Gross)'!X221</f>
        <v>-2.3507660000000001</v>
      </c>
      <c r="Y221" s="108">
        <f>'Global (Gross)'!Y221</f>
        <v>123239266.24999999</v>
      </c>
      <c r="Z221" s="256"/>
      <c r="AA221" s="256"/>
      <c r="AB221" s="240">
        <v>-2.394584</v>
      </c>
      <c r="AC221" s="108">
        <f>'Global (Gross)'!AC221</f>
        <v>8434409.6400000025</v>
      </c>
      <c r="AD221" s="110">
        <f t="shared" si="229"/>
        <v>-2.3536000000000001</v>
      </c>
      <c r="AE221" s="111">
        <f t="shared" si="230"/>
        <v>131673675.88999999</v>
      </c>
    </row>
    <row r="222" spans="1:31" x14ac:dyDescent="0.25">
      <c r="A222" s="21">
        <v>44620</v>
      </c>
      <c r="B222" s="24">
        <f t="shared" si="240"/>
        <v>206</v>
      </c>
      <c r="C222" s="97" t="s">
        <v>332</v>
      </c>
      <c r="D222" s="76">
        <f t="shared" ref="D222:D227" si="244">AD222</f>
        <v>-2.9672999999999998</v>
      </c>
      <c r="E222" s="47">
        <f t="shared" ref="E222" si="245">E221*D222/100+E221</f>
        <v>4640425.6672323458</v>
      </c>
      <c r="F222" s="253"/>
      <c r="G222" s="256"/>
      <c r="H222" s="256"/>
      <c r="I222" s="258"/>
      <c r="J222" s="20">
        <f t="shared" ref="J222" si="246">A222</f>
        <v>44620</v>
      </c>
      <c r="K222" s="27">
        <f>'Global (Gross)'!K222</f>
        <v>-2.5484659999999999</v>
      </c>
      <c r="L222" s="46">
        <f t="shared" ref="L222" si="247">L221*K222/100+L221</f>
        <v>3796956.5332346782</v>
      </c>
      <c r="M222" s="253"/>
      <c r="N222" s="256"/>
      <c r="O222" s="258"/>
      <c r="P222" s="20">
        <f t="shared" si="195"/>
        <v>44620</v>
      </c>
      <c r="Q222" s="45">
        <f>'Global (Gross)'!Q222</f>
        <v>-1.5370600000000001</v>
      </c>
      <c r="R222" s="46">
        <f t="shared" ref="R222" si="248">R221*Q222/100+R221</f>
        <v>3260421.6334122941</v>
      </c>
      <c r="S222" s="253"/>
      <c r="T222" s="256"/>
      <c r="U222" s="258"/>
      <c r="V222" s="256"/>
      <c r="W222" s="256"/>
      <c r="X222" s="107">
        <f>'Global (Gross)'!X222</f>
        <v>-2.9753850000000002</v>
      </c>
      <c r="Y222" s="108">
        <f>'Global (Gross)'!Y222</f>
        <v>120614796.03</v>
      </c>
      <c r="Z222" s="256"/>
      <c r="AA222" s="256"/>
      <c r="AB222" s="240">
        <v>-2.849453</v>
      </c>
      <c r="AC222" s="108">
        <f>'Global (Gross)'!AC222</f>
        <v>8194075.0628000004</v>
      </c>
      <c r="AD222" s="110">
        <f t="shared" ref="AD222:AD223" si="249">ROUND(Y221/AE221*(X222)+(AC221/AE221*AB222),4)</f>
        <v>-2.9672999999999998</v>
      </c>
      <c r="AE222" s="111">
        <f t="shared" ref="AE222:AE223" si="250">Y222+AC222</f>
        <v>128808871.09280001</v>
      </c>
    </row>
    <row r="223" spans="1:31" x14ac:dyDescent="0.25">
      <c r="A223" s="21">
        <v>44651</v>
      </c>
      <c r="B223" s="24">
        <f t="shared" si="240"/>
        <v>207</v>
      </c>
      <c r="C223" s="97" t="s">
        <v>332</v>
      </c>
      <c r="D223" s="76">
        <f t="shared" si="244"/>
        <v>2.5977000000000001</v>
      </c>
      <c r="E223" s="47">
        <f t="shared" ref="E223" si="251">E222*D223/100+E222</f>
        <v>4760970.0047900407</v>
      </c>
      <c r="F223" s="253"/>
      <c r="G223" s="131">
        <f>(E223/E220-1)*100</f>
        <v>-2.7897684550897694</v>
      </c>
      <c r="H223" s="256"/>
      <c r="I223" s="258"/>
      <c r="J223" s="20">
        <f t="shared" ref="J223" si="252">A223</f>
        <v>44651</v>
      </c>
      <c r="K223" s="27">
        <f>'Global (Gross)'!K223</f>
        <v>2.23217</v>
      </c>
      <c r="L223" s="46">
        <f t="shared" ref="L223" si="253">L222*K223/100+L222</f>
        <v>3881711.0578825828</v>
      </c>
      <c r="M223" s="253"/>
      <c r="N223" s="131">
        <f t="shared" ref="N223" si="254">(L223/L220-1)*100</f>
        <v>-5.2467775815388968</v>
      </c>
      <c r="O223" s="258"/>
      <c r="P223" s="20">
        <f t="shared" si="195"/>
        <v>44651</v>
      </c>
      <c r="Q223" s="45">
        <f>'Global (Gross)'!Q223</f>
        <v>3.7015509999999998</v>
      </c>
      <c r="R223" s="46">
        <f t="shared" ref="R223" si="255">R222*Q223/100+R222</f>
        <v>3381107.8029880831</v>
      </c>
      <c r="S223" s="253"/>
      <c r="T223" s="131">
        <f t="shared" ref="T223" si="256">(R223/R220-1)*100</f>
        <v>-2.8945520562390747</v>
      </c>
      <c r="U223" s="258"/>
      <c r="V223" s="256"/>
      <c r="W223" s="256"/>
      <c r="X223" s="107">
        <f>'Global (Gross)'!X223</f>
        <v>2.5926960000000001</v>
      </c>
      <c r="Y223" s="108">
        <f>'Global (Gross)'!Y223</f>
        <v>127102627.34</v>
      </c>
      <c r="Z223" s="256"/>
      <c r="AA223" s="256"/>
      <c r="AB223" s="240">
        <v>2.6712959999999999</v>
      </c>
      <c r="AC223" s="108">
        <f>'Global (Gross)'!AC223</f>
        <v>8412963.0574999973</v>
      </c>
      <c r="AD223" s="110">
        <f t="shared" si="249"/>
        <v>2.5977000000000001</v>
      </c>
      <c r="AE223" s="111">
        <f t="shared" si="250"/>
        <v>135515590.39750001</v>
      </c>
    </row>
    <row r="224" spans="1:31" x14ac:dyDescent="0.25">
      <c r="A224" s="21">
        <v>44681</v>
      </c>
      <c r="B224" s="24">
        <f t="shared" si="240"/>
        <v>208</v>
      </c>
      <c r="C224" s="97" t="s">
        <v>332</v>
      </c>
      <c r="D224" s="76">
        <f t="shared" si="244"/>
        <v>-6.0736999999999997</v>
      </c>
      <c r="E224" s="47">
        <f t="shared" ref="E224" si="257">E223*D224/100+E223</f>
        <v>4471802.9696091078</v>
      </c>
      <c r="F224" s="253"/>
      <c r="G224" s="131"/>
      <c r="H224" s="256"/>
      <c r="I224" s="258"/>
      <c r="J224" s="20">
        <f t="shared" ref="J224" si="258">A224</f>
        <v>44681</v>
      </c>
      <c r="K224" s="27">
        <f>'Global (Gross)'!K224</f>
        <v>-7.9712139999999998</v>
      </c>
      <c r="L224" s="46">
        <f t="shared" ref="L224" si="259">L223*K224/100+L223</f>
        <v>3572291.5625970983</v>
      </c>
      <c r="M224" s="253"/>
      <c r="N224" s="131"/>
      <c r="O224" s="258"/>
      <c r="P224" s="20">
        <f t="shared" si="195"/>
        <v>44681</v>
      </c>
      <c r="Q224" s="45">
        <f>'Global (Gross)'!Q224</f>
        <v>-4.2598269999999996</v>
      </c>
      <c r="R224" s="46">
        <f t="shared" ref="R224" si="260">R223*Q224/100+R223</f>
        <v>3237078.45989729</v>
      </c>
      <c r="S224" s="253"/>
      <c r="T224" s="131"/>
      <c r="U224" s="258"/>
      <c r="V224" s="256"/>
      <c r="W224" s="256"/>
      <c r="X224" s="107">
        <f>'Global (Gross)'!X224</f>
        <v>-6.0597830000000004</v>
      </c>
      <c r="Y224" s="108">
        <f>'Global (Gross)'!Y224</f>
        <v>120106940.45999999</v>
      </c>
      <c r="Z224" s="256"/>
      <c r="AA224" s="256"/>
      <c r="AB224" s="240">
        <v>-6.284287</v>
      </c>
      <c r="AC224" s="108">
        <f>'Global (Gross)'!AC224</f>
        <v>7884271.6600000001</v>
      </c>
      <c r="AD224" s="110">
        <f t="shared" ref="AD224" si="261">ROUND(Y223/AE223*(X224)+(AC223/AE223*AB224),4)</f>
        <v>-6.0736999999999997</v>
      </c>
      <c r="AE224" s="111">
        <f t="shared" ref="AE224" si="262">Y224+AC224</f>
        <v>127991212.11999999</v>
      </c>
    </row>
    <row r="225" spans="1:31" x14ac:dyDescent="0.25">
      <c r="A225" s="21">
        <v>44712</v>
      </c>
      <c r="B225" s="24">
        <f t="shared" si="240"/>
        <v>209</v>
      </c>
      <c r="C225" s="97" t="s">
        <v>332</v>
      </c>
      <c r="D225" s="76">
        <f t="shared" si="244"/>
        <v>0.97940000000000005</v>
      </c>
      <c r="E225" s="47">
        <f t="shared" ref="E225" si="263">E224*D225/100+E224</f>
        <v>4515599.8078934597</v>
      </c>
      <c r="F225" s="253"/>
      <c r="G225" s="131"/>
      <c r="H225" s="256"/>
      <c r="I225" s="258"/>
      <c r="J225" s="20">
        <f t="shared" ref="J225" si="264">A225</f>
        <v>44712</v>
      </c>
      <c r="K225" s="27">
        <f>'Global (Gross)'!K225</f>
        <v>0.1835774</v>
      </c>
      <c r="L225" s="46">
        <f t="shared" ref="L225" si="265">L224*K225/100+L224</f>
        <v>3578849.4825681336</v>
      </c>
      <c r="M225" s="253"/>
      <c r="N225" s="131"/>
      <c r="O225" s="258"/>
      <c r="P225" s="20">
        <f t="shared" si="195"/>
        <v>44712</v>
      </c>
      <c r="Q225" s="45">
        <f>'Global (Gross)'!Q225</f>
        <v>-1.062646</v>
      </c>
      <c r="R225" s="46">
        <f t="shared" ref="R225" si="266">R224*Q225/100+R224</f>
        <v>3202679.7751263296</v>
      </c>
      <c r="S225" s="253"/>
      <c r="T225" s="131"/>
      <c r="U225" s="258"/>
      <c r="V225" s="256"/>
      <c r="W225" s="256"/>
      <c r="X225" s="107">
        <f>'Global (Gross)'!X225</f>
        <v>0.98351169999999999</v>
      </c>
      <c r="Y225" s="108">
        <f>'Global (Gross)'!Y225</f>
        <v>121806708.87</v>
      </c>
      <c r="Z225" s="256"/>
      <c r="AA225" s="256"/>
      <c r="AB225" s="240">
        <v>0.91599958000000004</v>
      </c>
      <c r="AC225" s="108">
        <f>'Global (Gross)'!AC225</f>
        <v>7956491.5554999989</v>
      </c>
      <c r="AD225" s="110">
        <f t="shared" ref="AD225" si="267">ROUND(Y224/AE224*(X225)+(AC224/AE224*AB225),4)</f>
        <v>0.97940000000000005</v>
      </c>
      <c r="AE225" s="111">
        <f t="shared" ref="AE225" si="268">Y225+AC225</f>
        <v>129763200.42550001</v>
      </c>
    </row>
    <row r="226" spans="1:31" x14ac:dyDescent="0.25">
      <c r="A226" s="21">
        <v>44742</v>
      </c>
      <c r="B226" s="24">
        <f t="shared" si="240"/>
        <v>210</v>
      </c>
      <c r="C226" s="97" t="s">
        <v>332</v>
      </c>
      <c r="D226" s="76">
        <f t="shared" si="244"/>
        <v>-5.7584</v>
      </c>
      <c r="E226" s="47">
        <f t="shared" ref="E226" si="269">E225*D226/100+E225</f>
        <v>4255573.5085557224</v>
      </c>
      <c r="F226" s="253"/>
      <c r="G226" s="131">
        <f>(E226/E223-1)*100</f>
        <v>-10.615410215267806</v>
      </c>
      <c r="H226" s="256"/>
      <c r="I226" s="258"/>
      <c r="J226" s="20">
        <f t="shared" ref="J226" si="270">A226</f>
        <v>44742</v>
      </c>
      <c r="K226" s="27">
        <f>'Global (Gross)'!K226</f>
        <v>-8.3909459999999996</v>
      </c>
      <c r="L226" s="46">
        <f t="shared" ref="L226" si="271">L225*K226/100+L225</f>
        <v>3278550.1550645623</v>
      </c>
      <c r="M226" s="253"/>
      <c r="N226" s="131">
        <f t="shared" ref="N226" si="272">(L226/L223-1)*100</f>
        <v>-15.538531689348256</v>
      </c>
      <c r="O226" s="258"/>
      <c r="P226" s="20">
        <f t="shared" si="195"/>
        <v>44742</v>
      </c>
      <c r="Q226" s="45">
        <f>'Global (Gross)'!Q226</f>
        <v>-4.0701739999999997</v>
      </c>
      <c r="R226" s="46">
        <f t="shared" ref="R226" si="273">R225*Q226/100+R225</f>
        <v>3072325.1356158792</v>
      </c>
      <c r="S226" s="253"/>
      <c r="T226" s="131">
        <f t="shared" ref="T226" si="274">(R226/R223-1)*100</f>
        <v>-9.1325886474046936</v>
      </c>
      <c r="U226" s="258"/>
      <c r="V226" s="256"/>
      <c r="W226" s="256"/>
      <c r="X226" s="107">
        <f>'Global (Gross)'!X226</f>
        <v>-5.757663</v>
      </c>
      <c r="Y226" s="108">
        <f>'Global (Gross)'!Y226</f>
        <v>116598519.52</v>
      </c>
      <c r="Z226" s="256"/>
      <c r="AA226" s="256"/>
      <c r="AB226" s="240">
        <v>-5.7692417699999998</v>
      </c>
      <c r="AC226" s="108">
        <f>'Global (Gross)'!AC226</f>
        <v>7497462.3211000003</v>
      </c>
      <c r="AD226" s="110">
        <f t="shared" ref="AD226" si="275">ROUND(Y225/AE225*(X226)+(AC225/AE225*AB226),4)</f>
        <v>-5.7584</v>
      </c>
      <c r="AE226" s="111">
        <f t="shared" ref="AE226" si="276">Y226+AC226</f>
        <v>124095981.84109999</v>
      </c>
    </row>
    <row r="227" spans="1:31" x14ac:dyDescent="0.25">
      <c r="A227" s="21">
        <v>44773</v>
      </c>
      <c r="B227" s="24">
        <f t="shared" ref="B227:B231" si="277">IF(A227&gt;A226,1+B226,"-")</f>
        <v>211</v>
      </c>
      <c r="C227" s="97" t="s">
        <v>332</v>
      </c>
      <c r="D227" s="76">
        <f t="shared" si="244"/>
        <v>5.1585000000000001</v>
      </c>
      <c r="E227" s="47">
        <f t="shared" ref="E227" si="278">E226*D227/100+E226</f>
        <v>4475097.2679945696</v>
      </c>
      <c r="F227" s="253"/>
      <c r="G227" s="256"/>
      <c r="H227" s="256"/>
      <c r="I227" s="258"/>
      <c r="J227" s="20">
        <f t="shared" ref="J227" si="279">A227</f>
        <v>44773</v>
      </c>
      <c r="K227" s="27">
        <f>'Global (Gross)'!K227</f>
        <v>7.0209169999999999</v>
      </c>
      <c r="L227" s="46">
        <f t="shared" ref="L227" si="280">L226*K227/100+L226</f>
        <v>3508734.4402550166</v>
      </c>
      <c r="M227" s="253"/>
      <c r="N227" s="256"/>
      <c r="O227" s="258"/>
      <c r="P227" s="20">
        <f t="shared" si="195"/>
        <v>44773</v>
      </c>
      <c r="Q227" s="45">
        <f>'Global (Gross)'!Q227</f>
        <v>3.076047</v>
      </c>
      <c r="R227" s="46">
        <f t="shared" ref="R227" si="281">R226*Q227/100+R226</f>
        <v>3166831.3007802372</v>
      </c>
      <c r="S227" s="253"/>
      <c r="U227" s="258"/>
      <c r="X227" s="107">
        <f>'Global (Gross)'!X227</f>
        <v>5.167173</v>
      </c>
      <c r="Y227" s="108">
        <f>'Global (Gross)'!Y227</f>
        <v>123900572.04000001</v>
      </c>
      <c r="AB227" s="240">
        <v>5.0228549999999998</v>
      </c>
      <c r="AC227" s="108">
        <f>'Global (Gross)'!AC227</f>
        <v>7874494.4000000004</v>
      </c>
      <c r="AD227" s="110">
        <f t="shared" ref="AD227" si="282">ROUND(Y226/AE226*(X227)+(AC226/AE226*AB227),4)</f>
        <v>5.1585000000000001</v>
      </c>
      <c r="AE227" s="111">
        <f t="shared" ref="AE227" si="283">Y227+AC227</f>
        <v>131775066.44000001</v>
      </c>
    </row>
    <row r="228" spans="1:31" x14ac:dyDescent="0.25">
      <c r="A228" s="21">
        <v>44804</v>
      </c>
      <c r="B228" s="24">
        <f t="shared" si="277"/>
        <v>212</v>
      </c>
      <c r="C228" s="97" t="s">
        <v>332</v>
      </c>
      <c r="D228" s="76">
        <f t="shared" ref="D228:D229" si="284">AD228</f>
        <v>-4.1554000000000002</v>
      </c>
      <c r="E228" s="47">
        <f t="shared" ref="E228" si="285">E227*D228/100+E227</f>
        <v>4289139.0761203235</v>
      </c>
      <c r="F228" s="253"/>
      <c r="G228" s="256"/>
      <c r="H228" s="256"/>
      <c r="I228" s="258"/>
      <c r="J228" s="20">
        <f t="shared" ref="J228" si="286">A228</f>
        <v>44804</v>
      </c>
      <c r="K228" s="27">
        <f>'Global (Gross)'!K228</f>
        <v>-3.639303</v>
      </c>
      <c r="L228" s="46">
        <f t="shared" ref="L228" si="287">L227*K228/100+L227</f>
        <v>3381040.9625087827</v>
      </c>
      <c r="M228" s="253"/>
      <c r="N228" s="256"/>
      <c r="O228" s="258"/>
      <c r="P228" s="20">
        <f t="shared" si="195"/>
        <v>44804</v>
      </c>
      <c r="Q228" s="45">
        <f>'Global (Gross)'!Q228</f>
        <v>-2.1229930000000001</v>
      </c>
      <c r="R228" s="46">
        <f t="shared" ref="R228" si="288">R227*Q228/100+R227</f>
        <v>3099599.693942864</v>
      </c>
      <c r="S228" s="253"/>
      <c r="U228" s="258"/>
      <c r="X228" s="107">
        <f>'Global (Gross)'!X228</f>
        <v>-4.1618490000000001</v>
      </c>
      <c r="Y228" s="108">
        <f>'Global (Gross)'!Y228</f>
        <v>117880698.11</v>
      </c>
      <c r="AB228" s="240">
        <v>-4.0534872899999996</v>
      </c>
      <c r="AC228" s="108">
        <f>'Global (Gross)'!AC228</f>
        <v>7555185.6870330004</v>
      </c>
      <c r="AD228" s="110">
        <f t="shared" ref="AD228" si="289">ROUND(Y227/AE227*(X228)+(AC227/AE227*AB228),4)</f>
        <v>-4.1554000000000002</v>
      </c>
      <c r="AE228" s="111">
        <f t="shared" ref="AE228" si="290">Y228+AC228</f>
        <v>125435883.797033</v>
      </c>
    </row>
    <row r="229" spans="1:31" x14ac:dyDescent="0.25">
      <c r="A229" s="21">
        <v>44834</v>
      </c>
      <c r="B229" s="24">
        <f t="shared" si="277"/>
        <v>213</v>
      </c>
      <c r="C229" s="97" t="s">
        <v>332</v>
      </c>
      <c r="D229" s="76">
        <f t="shared" si="284"/>
        <v>-7.8059000000000003</v>
      </c>
      <c r="E229" s="47">
        <f t="shared" ref="E229" si="291">E228*D229/100+E228</f>
        <v>3954333.1689774473</v>
      </c>
      <c r="F229" s="253"/>
      <c r="G229" s="131">
        <f>(E229/E226-1)*100</f>
        <v>-7.0787248527757534</v>
      </c>
      <c r="H229" s="256"/>
      <c r="I229" s="258"/>
      <c r="J229" s="20">
        <f t="shared" ref="J229" si="292">A229</f>
        <v>44834</v>
      </c>
      <c r="K229" s="27">
        <f>'Global (Gross)'!K229</f>
        <v>-9.5221459999999993</v>
      </c>
      <c r="L229" s="46">
        <f t="shared" ref="L229" si="293">L228*K229/100+L228</f>
        <v>3059093.3057388915</v>
      </c>
      <c r="M229" s="253"/>
      <c r="N229" s="131">
        <f t="shared" ref="N229" si="294">(L229/L226-1)*100</f>
        <v>-6.6937163973734943</v>
      </c>
      <c r="O229" s="258"/>
      <c r="P229" s="20">
        <f t="shared" si="195"/>
        <v>44834</v>
      </c>
      <c r="Q229" s="45">
        <f>'Global (Gross)'!Q229</f>
        <v>-6.7019080000000004</v>
      </c>
      <c r="R229" s="46">
        <f t="shared" ref="R229" si="295">R228*Q229/100+R228</f>
        <v>2891867.3740865318</v>
      </c>
      <c r="S229" s="253"/>
      <c r="T229" s="131">
        <f t="shared" ref="T229" si="296">(R229/R226-1)*100</f>
        <v>-5.873654433165088</v>
      </c>
      <c r="U229" s="258"/>
      <c r="X229" s="107">
        <f>'Global (Gross)'!X229</f>
        <v>-7.8106150000000003</v>
      </c>
      <c r="Y229" s="108">
        <f>'Global (Gross)'!Y229</f>
        <v>110572453.41</v>
      </c>
      <c r="AB229" s="240">
        <v>-7.7316047015187195</v>
      </c>
      <c r="AC229" s="108">
        <f>'Global (Gross)'!AC229</f>
        <v>6970898.1512479996</v>
      </c>
      <c r="AD229" s="110">
        <f t="shared" ref="AD229" si="297">ROUND(Y228/AE228*(X229)+(AC228/AE228*AB229),4)</f>
        <v>-7.8059000000000003</v>
      </c>
      <c r="AE229" s="111">
        <f t="shared" ref="AE229" si="298">Y229+AC229</f>
        <v>117543351.56124799</v>
      </c>
    </row>
    <row r="230" spans="1:31" x14ac:dyDescent="0.25">
      <c r="A230" s="21">
        <v>44865</v>
      </c>
      <c r="B230" s="24">
        <f t="shared" si="277"/>
        <v>214</v>
      </c>
      <c r="C230" s="97" t="s">
        <v>332</v>
      </c>
      <c r="D230" s="76">
        <f t="shared" ref="D230" si="299">AD230</f>
        <v>6.835</v>
      </c>
      <c r="E230" s="47">
        <f t="shared" ref="E230" si="300">E229*D230/100+E229</f>
        <v>4224611.8410770558</v>
      </c>
      <c r="F230" s="253"/>
      <c r="G230" s="131"/>
      <c r="H230" s="256"/>
      <c r="I230" s="258"/>
      <c r="J230" s="20">
        <f t="shared" ref="J230" si="301">A230</f>
        <v>44865</v>
      </c>
      <c r="K230" s="27">
        <f>'Global (Gross)'!K230</f>
        <v>6.0588069999999998</v>
      </c>
      <c r="L230" s="46">
        <f t="shared" ref="L230" si="302">L229*K230/100+L229</f>
        <v>3244437.865083531</v>
      </c>
      <c r="M230" s="253"/>
      <c r="N230" s="131"/>
      <c r="O230" s="258"/>
      <c r="P230" s="20">
        <f t="shared" si="195"/>
        <v>44865</v>
      </c>
      <c r="Q230" s="45">
        <f>'Global (Gross)'!Q230</f>
        <v>4.180364</v>
      </c>
      <c r="R230" s="46">
        <f t="shared" ref="R230" si="303">R229*Q230/100+R229</f>
        <v>3012757.9567205906</v>
      </c>
      <c r="S230" s="253"/>
      <c r="T230" s="131"/>
      <c r="U230" s="258"/>
      <c r="X230" s="107">
        <f>'Global (Gross)'!X230</f>
        <v>6.8367680000000002</v>
      </c>
      <c r="Y230" s="108">
        <f>'Global (Gross)'!Y230</f>
        <v>121323458.78</v>
      </c>
      <c r="AB230" s="240">
        <v>6.8068307800000003</v>
      </c>
      <c r="AC230" s="108">
        <f>'Global (Gross)'!AC230</f>
        <v>6970898.1515000006</v>
      </c>
      <c r="AD230" s="110">
        <f t="shared" ref="AD230:AD231" si="304">ROUND(Y229/AE229*(X230)+(AC229/AE229*AB230),4)</f>
        <v>6.835</v>
      </c>
      <c r="AE230" s="111">
        <f t="shared" ref="AE230" si="305">Y230+AC230</f>
        <v>128294356.9315</v>
      </c>
    </row>
    <row r="231" spans="1:31" x14ac:dyDescent="0.25">
      <c r="A231" s="21">
        <v>44895</v>
      </c>
      <c r="B231" s="24">
        <f t="shared" si="277"/>
        <v>215</v>
      </c>
      <c r="C231" s="97" t="s">
        <v>332</v>
      </c>
      <c r="D231" s="76">
        <f t="shared" ref="D231" si="306">AD231</f>
        <v>6.1849999999999996</v>
      </c>
      <c r="E231" s="47">
        <f t="shared" ref="E231:E237" si="307">E230*D231/100+E230</f>
        <v>4485904.0834476715</v>
      </c>
      <c r="F231" s="253"/>
      <c r="G231" s="131"/>
      <c r="H231" s="256"/>
      <c r="I231" s="258"/>
      <c r="J231" s="20">
        <f t="shared" ref="J231" si="308">A231</f>
        <v>44895</v>
      </c>
      <c r="K231" s="27">
        <f>'Global (Gross)'!K231</f>
        <v>7.8056330000000003</v>
      </c>
      <c r="L231" s="46">
        <f t="shared" ref="L231:L237" si="309">L230*K231/100+L230</f>
        <v>3497686.7777449866</v>
      </c>
      <c r="M231" s="253"/>
      <c r="N231" s="131"/>
      <c r="O231" s="258"/>
      <c r="P231" s="20">
        <f t="shared" si="195"/>
        <v>44895</v>
      </c>
      <c r="Q231" s="45">
        <f>'Global (Gross)'!Q231</f>
        <v>6.2927</v>
      </c>
      <c r="R231" s="46">
        <f t="shared" ref="R231:R237" si="310">R230*Q231/100+R230</f>
        <v>3202341.7766631474</v>
      </c>
      <c r="S231" s="253"/>
      <c r="T231" s="131"/>
      <c r="U231" s="258"/>
      <c r="X231" s="107">
        <f>'Global (Gross)'!X231</f>
        <v>6.1849360000000004</v>
      </c>
      <c r="Y231" s="108">
        <f>'Global (Gross)'!Y231</f>
        <v>130150422.5</v>
      </c>
      <c r="AB231" s="240">
        <v>6.1863432999999999</v>
      </c>
      <c r="AC231" s="108">
        <f>'Global (Gross)'!AC231</f>
        <v>7905796.7212490002</v>
      </c>
      <c r="AD231" s="110">
        <f t="shared" si="304"/>
        <v>6.1849999999999996</v>
      </c>
      <c r="AE231" s="111">
        <f t="shared" ref="AE231" si="311">Y231+AC231</f>
        <v>138056219.22124901</v>
      </c>
    </row>
    <row r="232" spans="1:31" x14ac:dyDescent="0.25">
      <c r="A232" s="21">
        <v>44926</v>
      </c>
      <c r="B232" s="24">
        <f t="shared" ref="B232:B237" si="312">IF(A232&gt;A231,1+B231,"-")</f>
        <v>216</v>
      </c>
      <c r="C232" s="97" t="s">
        <v>332</v>
      </c>
      <c r="D232" s="76">
        <v>-5.0713382839088155</v>
      </c>
      <c r="E232" s="47">
        <f t="shared" si="307"/>
        <v>4258408.712284361</v>
      </c>
      <c r="F232" s="253">
        <f>(E232/E$220-1)*100</f>
        <v>-13.051143670819776</v>
      </c>
      <c r="G232" s="131">
        <f>(E232/E229-1)*100</f>
        <v>7.6896794051762862</v>
      </c>
      <c r="H232" s="256"/>
      <c r="I232" s="258"/>
      <c r="J232" s="20">
        <f t="shared" ref="J232:J237" si="313">A232</f>
        <v>44926</v>
      </c>
      <c r="K232" s="27">
        <f>'Global (Gross)'!K232</f>
        <v>-3.8958050000000002</v>
      </c>
      <c r="L232" s="46">
        <f t="shared" si="309"/>
        <v>3361423.7213732586</v>
      </c>
      <c r="M232" s="253">
        <f>(L232/L$220-1)*100</f>
        <v>-17.947079325447824</v>
      </c>
      <c r="N232" s="131">
        <f>(L232/L229-1)*100</f>
        <v>9.8830073298906029</v>
      </c>
      <c r="O232" s="258"/>
      <c r="P232" s="20">
        <f t="shared" si="195"/>
        <v>44926</v>
      </c>
      <c r="Q232" s="45">
        <f>'Global (Gross)'!Q232</f>
        <v>-1.943875</v>
      </c>
      <c r="R232" s="46">
        <f t="shared" si="310"/>
        <v>3140092.2554520369</v>
      </c>
      <c r="S232" s="253">
        <f>(R232/R$220-1)*100</f>
        <v>-9.8165208512639328</v>
      </c>
      <c r="T232" s="131">
        <f>(R232/R229-1)*100</f>
        <v>8.5835499784603151</v>
      </c>
      <c r="U232" s="258"/>
      <c r="X232" s="107">
        <f>'Global (Gross)'!X232</f>
        <v>-5.0768690000000003</v>
      </c>
    </row>
    <row r="233" spans="1:31" x14ac:dyDescent="0.25">
      <c r="A233" s="21">
        <v>44957</v>
      </c>
      <c r="B233" s="24">
        <f t="shared" si="312"/>
        <v>217</v>
      </c>
      <c r="C233" s="97" t="s">
        <v>332</v>
      </c>
      <c r="D233" s="76">
        <v>6.591489653176609</v>
      </c>
      <c r="E233" s="47">
        <f t="shared" si="307"/>
        <v>4539101.2819445562</v>
      </c>
      <c r="F233" s="256"/>
      <c r="G233" s="256"/>
      <c r="H233" s="256"/>
      <c r="I233" s="258"/>
      <c r="J233" s="20">
        <f t="shared" si="313"/>
        <v>44957</v>
      </c>
      <c r="K233" s="27">
        <f>'Global (Gross)'!K233</f>
        <v>7.1951999999999998</v>
      </c>
      <c r="L233" s="46">
        <f t="shared" si="309"/>
        <v>3603284.8809735072</v>
      </c>
      <c r="M233" s="256"/>
      <c r="N233" s="256"/>
      <c r="O233" s="258"/>
      <c r="P233" s="20">
        <f t="shared" si="195"/>
        <v>44957</v>
      </c>
      <c r="Q233" s="45">
        <f>'Global (Gross)'!Q233</f>
        <v>1.7564</v>
      </c>
      <c r="R233" s="46">
        <f t="shared" si="310"/>
        <v>3195244.8358267965</v>
      </c>
      <c r="S233" s="256"/>
      <c r="T233" s="256"/>
      <c r="U233" s="258"/>
      <c r="X233" s="107">
        <f>'Global (Gross)'!X233</f>
        <v>6.5975489999999999</v>
      </c>
    </row>
    <row r="234" spans="1:31" x14ac:dyDescent="0.25">
      <c r="A234" s="21">
        <v>44985</v>
      </c>
      <c r="B234" s="24">
        <f t="shared" si="312"/>
        <v>218</v>
      </c>
      <c r="C234" s="97" t="s">
        <v>332</v>
      </c>
      <c r="D234" s="76">
        <v>-3.2075639342745008</v>
      </c>
      <c r="E234" s="47">
        <f t="shared" si="307"/>
        <v>4393506.7062847111</v>
      </c>
      <c r="F234" s="256"/>
      <c r="G234" s="256"/>
      <c r="H234" s="256"/>
      <c r="I234" s="258"/>
      <c r="J234" s="20">
        <f t="shared" si="313"/>
        <v>44985</v>
      </c>
      <c r="K234" s="27">
        <f>'Global (Gross)'!K234</f>
        <v>-2.8328000000000002</v>
      </c>
      <c r="L234" s="46">
        <f t="shared" si="309"/>
        <v>3501211.0268652895</v>
      </c>
      <c r="M234" s="256"/>
      <c r="N234" s="256"/>
      <c r="O234" s="258"/>
      <c r="P234" s="20">
        <f t="shared" si="195"/>
        <v>44985</v>
      </c>
      <c r="Q234" s="45">
        <f>'Global (Gross)'!Q234</f>
        <v>-3.738</v>
      </c>
      <c r="R234" s="46">
        <f t="shared" si="310"/>
        <v>3075806.5838635908</v>
      </c>
      <c r="S234" s="256"/>
      <c r="T234" s="256"/>
      <c r="U234" s="258"/>
      <c r="X234" s="107">
        <f>'Global (Gross)'!X234</f>
        <v>-3.2124959999999998</v>
      </c>
    </row>
    <row r="235" spans="1:31" x14ac:dyDescent="0.25">
      <c r="A235" s="21">
        <v>45016</v>
      </c>
      <c r="B235" s="24">
        <f t="shared" si="312"/>
        <v>219</v>
      </c>
      <c r="C235" s="97" t="s">
        <v>332</v>
      </c>
      <c r="D235" s="76">
        <v>1.8907131180832366</v>
      </c>
      <c r="E235" s="47">
        <f t="shared" si="307"/>
        <v>4476575.3139243033</v>
      </c>
      <c r="F235" s="256"/>
      <c r="G235" s="131">
        <f>(E235/E232-1)*100</f>
        <v>5.1231954558657256</v>
      </c>
      <c r="H235" s="256"/>
      <c r="I235" s="258"/>
      <c r="J235" s="20">
        <f t="shared" si="313"/>
        <v>45016</v>
      </c>
      <c r="K235" s="27">
        <f>'Global (Gross)'!K235</f>
        <v>3.1547999999999998</v>
      </c>
      <c r="L235" s="46">
        <f t="shared" si="309"/>
        <v>3611667.2323408355</v>
      </c>
      <c r="M235" s="256"/>
      <c r="N235" s="131">
        <f>(L235/L232-1)*100</f>
        <v>7.4445690787635632</v>
      </c>
      <c r="O235" s="258"/>
      <c r="P235" s="20">
        <f t="shared" si="195"/>
        <v>45016</v>
      </c>
      <c r="Q235" s="45">
        <f>'Global (Gross)'!Q235</f>
        <v>3.8073999999999999</v>
      </c>
      <c r="R235" s="46">
        <f t="shared" si="310"/>
        <v>3192914.8437376134</v>
      </c>
      <c r="S235" s="256"/>
      <c r="T235" s="131">
        <f>(R235/R232-1)*100</f>
        <v>1.6821986103708442</v>
      </c>
      <c r="U235" s="258"/>
      <c r="X235" s="107">
        <f>'Global (Gross)'!X235</f>
        <v>1.8879410000000001</v>
      </c>
    </row>
    <row r="236" spans="1:31" x14ac:dyDescent="0.25">
      <c r="A236" s="21">
        <v>45046</v>
      </c>
      <c r="B236" s="24">
        <f t="shared" si="312"/>
        <v>220</v>
      </c>
      <c r="C236" s="97" t="s">
        <v>332</v>
      </c>
      <c r="D236" s="76">
        <v>1.495800755285821</v>
      </c>
      <c r="E236" s="47">
        <f t="shared" si="307"/>
        <v>4543535.9612809215</v>
      </c>
      <c r="F236" s="256"/>
      <c r="G236" s="256"/>
      <c r="H236" s="256"/>
      <c r="I236" s="258"/>
      <c r="J236" s="20">
        <f t="shared" si="313"/>
        <v>45046</v>
      </c>
      <c r="K236" s="27">
        <f>'Global (Gross)'!K236</f>
        <v>1.4809000000000001</v>
      </c>
      <c r="L236" s="46">
        <f t="shared" si="309"/>
        <v>3665152.412384571</v>
      </c>
      <c r="M236" s="256"/>
      <c r="N236" s="256"/>
      <c r="O236" s="258"/>
      <c r="P236" s="20">
        <f t="shared" si="195"/>
        <v>45046</v>
      </c>
      <c r="Q236" s="45">
        <f>'Global (Gross)'!Q236</f>
        <v>2.8603000000000001</v>
      </c>
      <c r="R236" s="46">
        <f t="shared" si="310"/>
        <v>3284241.7870130404</v>
      </c>
      <c r="S236" s="256"/>
      <c r="T236" s="256"/>
      <c r="U236" s="258"/>
      <c r="X236" s="107">
        <f>'Global (Gross)'!X236</f>
        <v>1.4943219999999999</v>
      </c>
    </row>
    <row r="237" spans="1:31" x14ac:dyDescent="0.25">
      <c r="A237" s="21">
        <v>45077</v>
      </c>
      <c r="B237" s="24">
        <f t="shared" si="312"/>
        <v>221</v>
      </c>
      <c r="C237" s="97" t="s">
        <v>332</v>
      </c>
      <c r="D237" s="76">
        <v>-2.7492766843027363</v>
      </c>
      <c r="E237" s="47">
        <f t="shared" si="307"/>
        <v>4418621.5864545153</v>
      </c>
      <c r="F237" s="253"/>
      <c r="G237" s="256"/>
      <c r="H237" s="256"/>
      <c r="I237" s="258"/>
      <c r="J237" s="20">
        <f t="shared" si="313"/>
        <v>45077</v>
      </c>
      <c r="K237" s="27">
        <f>'Global (Gross)'!K237</f>
        <v>-1.0115000000000001</v>
      </c>
      <c r="L237" s="46">
        <f t="shared" si="309"/>
        <v>3628079.3957333011</v>
      </c>
      <c r="M237" s="253"/>
      <c r="N237" s="256"/>
      <c r="O237" s="258"/>
      <c r="P237" s="20">
        <f t="shared" si="195"/>
        <v>45077</v>
      </c>
      <c r="Q237" s="45">
        <f>'Global (Gross)'!Q237</f>
        <v>-3.1490999999999998</v>
      </c>
      <c r="R237" s="46">
        <f t="shared" si="310"/>
        <v>3180817.7288982128</v>
      </c>
      <c r="S237" s="253"/>
      <c r="T237" s="256"/>
      <c r="U237" s="258"/>
      <c r="X237" s="107">
        <f>'Global (Gross)'!X237</f>
        <v>-2.7385160000000002</v>
      </c>
    </row>
    <row r="238" spans="1:31" x14ac:dyDescent="0.25">
      <c r="A238" s="21">
        <v>45107</v>
      </c>
      <c r="B238" s="24">
        <f t="shared" ref="B238:B241" si="314">IF(A238&gt;A237,1+B237,"-")</f>
        <v>222</v>
      </c>
      <c r="C238" s="97" t="s">
        <v>332</v>
      </c>
      <c r="D238" s="76">
        <v>4.3532564540588767</v>
      </c>
      <c r="E238" s="47">
        <f t="shared" ref="E238" si="315">E237*D238/100+E237</f>
        <v>4610975.5158472853</v>
      </c>
      <c r="F238" s="253"/>
      <c r="G238" s="131">
        <f>(E238/E235-1)*100</f>
        <v>3.0022995816675557</v>
      </c>
      <c r="H238" s="256"/>
      <c r="I238" s="258"/>
      <c r="J238" s="20">
        <f t="shared" ref="J238" si="316">A238</f>
        <v>45107</v>
      </c>
      <c r="K238" s="27">
        <f>'Global (Gross)'!K238</f>
        <v>5.8438999999999997</v>
      </c>
      <c r="L238" s="46">
        <f t="shared" ref="L238" si="317">L237*K238/100+L237</f>
        <v>3840100.7275405596</v>
      </c>
      <c r="M238" s="253"/>
      <c r="N238" s="131">
        <f>(L238/L235-1)*100</f>
        <v>6.3248765875827617</v>
      </c>
      <c r="O238" s="258"/>
      <c r="P238" s="20">
        <f t="shared" si="195"/>
        <v>45107</v>
      </c>
      <c r="Q238" s="45">
        <f>'Global (Gross)'!Q238</f>
        <v>2.7199</v>
      </c>
      <c r="R238" s="46">
        <f t="shared" ref="R238" si="318">R237*Q238/100+R237</f>
        <v>3267332.7903065151</v>
      </c>
      <c r="S238" s="253"/>
      <c r="T238" s="131">
        <f>(R238/R235-1)*100</f>
        <v>2.3307213067351507</v>
      </c>
      <c r="U238" s="258"/>
      <c r="X238" s="107">
        <f>'Global (Gross)'!X238</f>
        <v>4.3293980000000003</v>
      </c>
    </row>
    <row r="239" spans="1:31" x14ac:dyDescent="0.25">
      <c r="A239" s="21">
        <v>45138</v>
      </c>
      <c r="B239" s="24">
        <f t="shared" si="314"/>
        <v>223</v>
      </c>
      <c r="C239" s="97" t="s">
        <v>332</v>
      </c>
      <c r="D239" s="76">
        <v>1.0720313867897895</v>
      </c>
      <c r="E239" s="47">
        <f t="shared" ref="E239" si="319">E238*D239/100+E238</f>
        <v>4660406.620614361</v>
      </c>
      <c r="F239" s="253"/>
      <c r="G239" s="131"/>
      <c r="H239" s="256"/>
      <c r="I239" s="258"/>
      <c r="J239" s="20">
        <f t="shared" ref="J239" si="320">A239</f>
        <v>45138</v>
      </c>
      <c r="K239" s="27">
        <f>'Global (Gross)'!K239</f>
        <v>3.6905999999999999</v>
      </c>
      <c r="L239" s="46">
        <f t="shared" ref="L239" si="321">L238*K239/100+L238</f>
        <v>3981823.4849911714</v>
      </c>
      <c r="M239" s="253"/>
      <c r="N239" s="131"/>
      <c r="O239" s="258"/>
      <c r="P239" s="20">
        <f t="shared" si="195"/>
        <v>45138</v>
      </c>
      <c r="Q239" s="45">
        <f>'Global (Gross)'!Q239</f>
        <v>1.6835</v>
      </c>
      <c r="R239" s="46">
        <f t="shared" ref="R239" si="322">R238*Q239/100+R238</f>
        <v>3322338.3378313254</v>
      </c>
      <c r="S239" s="253"/>
      <c r="T239" s="131"/>
      <c r="U239" s="258"/>
      <c r="X239" s="107">
        <f>'Global (Gross)'!X239</f>
        <v>1.073709</v>
      </c>
    </row>
    <row r="240" spans="1:31" x14ac:dyDescent="0.25">
      <c r="A240" s="21">
        <v>45169</v>
      </c>
      <c r="B240" s="24">
        <f t="shared" si="314"/>
        <v>224</v>
      </c>
      <c r="C240" s="97" t="s">
        <v>332</v>
      </c>
      <c r="D240" s="76">
        <v>-2.0673644510230766</v>
      </c>
      <c r="E240" s="47">
        <f t="shared" ref="E240" si="323">E239*D240/100+E239</f>
        <v>4564059.0308666537</v>
      </c>
      <c r="F240" s="253"/>
      <c r="G240" s="131"/>
      <c r="H240" s="256"/>
      <c r="I240" s="258"/>
      <c r="J240" s="20">
        <f t="shared" ref="J240" si="324">A240</f>
        <v>45169</v>
      </c>
      <c r="K240" s="27">
        <f>'Global (Gross)'!K240</f>
        <v>-2.7650000000000001</v>
      </c>
      <c r="L240" s="46">
        <f t="shared" ref="L240" si="325">L239*K240/100+L239</f>
        <v>3871726.0656311656</v>
      </c>
      <c r="M240" s="253"/>
      <c r="N240" s="131"/>
      <c r="O240" s="258"/>
      <c r="P240" s="20">
        <f t="shared" si="195"/>
        <v>45169</v>
      </c>
      <c r="Q240" s="45">
        <f>'Global (Gross)'!Q240</f>
        <v>-1.8962000000000001</v>
      </c>
      <c r="R240" s="46">
        <f t="shared" ref="R240" si="326">R239*Q240/100+R239</f>
        <v>3259340.1582693676</v>
      </c>
      <c r="S240" s="253"/>
      <c r="T240" s="131"/>
      <c r="U240" s="258"/>
      <c r="X240" s="107">
        <f>'Global (Gross)'!X240</f>
        <v>-2.067183</v>
      </c>
    </row>
    <row r="241" spans="1:24" x14ac:dyDescent="0.25">
      <c r="A241" s="21">
        <v>45199</v>
      </c>
      <c r="B241" s="24">
        <f t="shared" si="314"/>
        <v>225</v>
      </c>
      <c r="C241" s="97" t="s">
        <v>332</v>
      </c>
      <c r="D241" s="76">
        <v>-2.3112636895573733</v>
      </c>
      <c r="E241" s="47">
        <f t="shared" ref="E241" si="327">E240*D241/100+E240</f>
        <v>4458571.5917162681</v>
      </c>
      <c r="F241" s="253"/>
      <c r="G241" s="131">
        <f>(E241/E238-1)*100</f>
        <v>-3.3052425372294025</v>
      </c>
      <c r="H241" s="256"/>
      <c r="I241" s="258"/>
      <c r="J241" s="20">
        <f t="shared" ref="J241" si="328">A241</f>
        <v>45199</v>
      </c>
      <c r="K241" s="27">
        <f>'Global (Gross)'!K241</f>
        <v>-4.0971000000000002</v>
      </c>
      <c r="L241" s="46">
        <f t="shared" ref="L241" si="329">L240*K241/100+L240</f>
        <v>3713097.5769961909</v>
      </c>
      <c r="M241" s="253"/>
      <c r="N241" s="131">
        <f>(L241/L238-1)*100</f>
        <v>-3.3072869582176145</v>
      </c>
      <c r="O241" s="258"/>
      <c r="P241" s="20">
        <f t="shared" si="195"/>
        <v>45199</v>
      </c>
      <c r="Q241" s="45">
        <f>'Global (Gross)'!Q241</f>
        <v>-2.1179999999999999</v>
      </c>
      <c r="R241" s="46">
        <f t="shared" ref="R241" si="330">R240*Q241/100+R240</f>
        <v>3190307.3337172223</v>
      </c>
      <c r="S241" s="253"/>
      <c r="T241" s="131">
        <f>(R241/R238-1)*100</f>
        <v>-2.3574414218781481</v>
      </c>
      <c r="U241" s="258"/>
      <c r="X241" s="107">
        <f>'Global (Gross)'!X241</f>
        <v>-2.316036</v>
      </c>
    </row>
    <row r="242" spans="1:24" x14ac:dyDescent="0.25">
      <c r="A242" s="21">
        <v>45230</v>
      </c>
      <c r="B242" s="24">
        <f t="shared" ref="B242:B245" si="331">IF(A242&gt;A241,1+B241,"-")</f>
        <v>226</v>
      </c>
      <c r="C242" s="97" t="s">
        <v>332</v>
      </c>
      <c r="D242" s="76">
        <v>-1.3198598656500817</v>
      </c>
      <c r="E242" s="47">
        <f t="shared" ref="E242:E244" si="332">E241*D242/100+E241</f>
        <v>4399724.6946959291</v>
      </c>
      <c r="F242" s="253"/>
      <c r="G242" s="131"/>
      <c r="H242" s="256"/>
      <c r="I242" s="258"/>
      <c r="J242" s="20">
        <f t="shared" ref="J242:J244" si="333">A242</f>
        <v>45230</v>
      </c>
      <c r="K242" s="27">
        <f>'Global (Gross)'!K242</f>
        <v>-2.9870000000000001</v>
      </c>
      <c r="L242" s="46">
        <f t="shared" ref="L242:L244" si="334">L241*K242/100+L241</f>
        <v>3602187.3523713145</v>
      </c>
      <c r="M242" s="253"/>
      <c r="N242" s="131"/>
      <c r="O242" s="258"/>
      <c r="P242" s="20">
        <f t="shared" si="195"/>
        <v>45230</v>
      </c>
      <c r="Q242" s="45">
        <f>'Global (Gross)'!Q242</f>
        <v>-1.6892</v>
      </c>
      <c r="R242" s="46">
        <f t="shared" ref="R242:R244" si="335">R241*Q242/100+R241</f>
        <v>3136416.6622360712</v>
      </c>
      <c r="S242" s="253"/>
      <c r="T242" s="131"/>
      <c r="U242" s="258"/>
      <c r="X242" s="107">
        <f>'Global (Gross)'!X242</f>
        <v>-1.3205279999999999</v>
      </c>
    </row>
    <row r="243" spans="1:24" x14ac:dyDescent="0.25">
      <c r="A243" s="21">
        <v>45260</v>
      </c>
      <c r="B243" s="24">
        <f t="shared" si="331"/>
        <v>227</v>
      </c>
      <c r="C243" s="97" t="s">
        <v>332</v>
      </c>
      <c r="D243" s="76">
        <v>5.9218905451178605</v>
      </c>
      <c r="E243" s="47">
        <f t="shared" si="332"/>
        <v>4660271.5754023427</v>
      </c>
      <c r="F243" s="253"/>
      <c r="G243" s="131"/>
      <c r="H243" s="256"/>
      <c r="I243" s="258"/>
      <c r="J243" s="20">
        <f t="shared" si="333"/>
        <v>45260</v>
      </c>
      <c r="K243" s="27">
        <f>'Global (Gross)'!K243</f>
        <v>9.2788260000000005</v>
      </c>
      <c r="L243" s="46">
        <f t="shared" si="334"/>
        <v>3936428.0489918557</v>
      </c>
      <c r="M243" s="253"/>
      <c r="N243" s="131"/>
      <c r="O243" s="258"/>
      <c r="P243" s="20">
        <f t="shared" si="195"/>
        <v>45260</v>
      </c>
      <c r="Q243" s="45">
        <f>'Global (Gross)'!Q243</f>
        <v>5.0140750000000001</v>
      </c>
      <c r="R243" s="46">
        <f t="shared" si="335"/>
        <v>3293678.9459930845</v>
      </c>
      <c r="S243" s="253"/>
      <c r="T243" s="131"/>
      <c r="U243" s="258"/>
      <c r="X243" s="107">
        <f>'Global (Gross)'!X243</f>
        <v>5.9306570000000001</v>
      </c>
    </row>
    <row r="244" spans="1:24" x14ac:dyDescent="0.25">
      <c r="A244" s="21">
        <v>45291</v>
      </c>
      <c r="B244" s="24">
        <f t="shared" si="331"/>
        <v>228</v>
      </c>
      <c r="C244" s="97" t="s">
        <v>332</v>
      </c>
      <c r="D244" s="76">
        <v>3.6500408411167204</v>
      </c>
      <c r="E244" s="47">
        <f t="shared" si="332"/>
        <v>4830373.3912114818</v>
      </c>
      <c r="F244" s="253">
        <f t="shared" ref="F244" si="336">(E244/E$232-1)*100</f>
        <v>13.431418108768112</v>
      </c>
      <c r="G244" s="131">
        <f t="shared" ref="G244" si="337">(E244/E241-1)*100</f>
        <v>8.3390339674257241</v>
      </c>
      <c r="H244" s="256"/>
      <c r="I244" s="258"/>
      <c r="J244" s="20">
        <f t="shared" si="333"/>
        <v>45291</v>
      </c>
      <c r="K244" s="27">
        <f>'Global (Gross)'!K244</f>
        <v>4.8394820000000003</v>
      </c>
      <c r="L244" s="46">
        <f t="shared" si="334"/>
        <v>4126930.7758657676</v>
      </c>
      <c r="M244" s="253">
        <f t="shared" ref="M244" si="338">(L244/L$232-1)*100</f>
        <v>22.773298398089857</v>
      </c>
      <c r="N244" s="131">
        <f t="shared" ref="N244" si="339">(L244/L241-1)*100</f>
        <v>11.14522821682371</v>
      </c>
      <c r="O244" s="258"/>
      <c r="P244" s="20">
        <f t="shared" si="195"/>
        <v>45291</v>
      </c>
      <c r="Q244" s="45">
        <f>'Global (Gross)'!Q244</f>
        <v>3.2473839999999998</v>
      </c>
      <c r="R244" s="46">
        <f t="shared" si="335"/>
        <v>3400637.3490966326</v>
      </c>
      <c r="S244" s="253">
        <f>(R244/R$232-1)*100</f>
        <v>8.2973706645790521</v>
      </c>
      <c r="T244" s="131">
        <f t="shared" ref="T244" si="340">(R244/R241-1)*100</f>
        <v>6.5927822425290161</v>
      </c>
      <c r="U244" s="258"/>
      <c r="X244" s="107">
        <f>'Global (Gross)'!X244</f>
        <v>3.6380789999999998</v>
      </c>
    </row>
    <row r="245" spans="1:24" x14ac:dyDescent="0.25">
      <c r="A245" s="21">
        <v>45322</v>
      </c>
      <c r="B245" s="24">
        <f t="shared" si="331"/>
        <v>229</v>
      </c>
      <c r="C245" s="97" t="s">
        <v>332</v>
      </c>
      <c r="D245" s="76">
        <v>0.92289443191436416</v>
      </c>
      <c r="E245" s="47">
        <f t="shared" ref="E245" si="341">E244*D245/100+E244</f>
        <v>4874952.6382796457</v>
      </c>
      <c r="F245" s="253"/>
      <c r="G245" s="131"/>
      <c r="H245" s="256"/>
      <c r="I245" s="258"/>
      <c r="J245" s="20">
        <f t="shared" ref="J245" si="342">A245</f>
        <v>45322</v>
      </c>
      <c r="K245" s="27">
        <f>'Global (Gross)'!K245</f>
        <v>0.60940530000000004</v>
      </c>
      <c r="L245" s="46">
        <f t="shared" ref="L245" si="343">L244*K245/100+L244</f>
        <v>4152080.5107412245</v>
      </c>
      <c r="M245" s="253"/>
      <c r="N245" s="131"/>
      <c r="O245" s="258"/>
      <c r="P245" s="20">
        <f t="shared" si="195"/>
        <v>45322</v>
      </c>
      <c r="Q245" s="45">
        <f>'Global (Gross)'!Q245</f>
        <v>1.3183180000000001</v>
      </c>
      <c r="R245" s="46">
        <f t="shared" ref="R245" si="344">R244*Q245/100+R244</f>
        <v>3445468.5633844961</v>
      </c>
      <c r="S245" s="253"/>
      <c r="T245" s="131"/>
      <c r="U245" s="258"/>
      <c r="X245" s="107">
        <f>'Global (Gross)'!X245</f>
        <v>0.92592589999999997</v>
      </c>
    </row>
    <row r="246" spans="1:24" x14ac:dyDescent="0.25">
      <c r="A246" s="21">
        <v>45351</v>
      </c>
      <c r="B246" s="24">
        <f t="shared" ref="B246:B250" si="345">IF(A246&gt;A245,1+B245,"-")</f>
        <v>230</v>
      </c>
      <c r="C246" s="97" t="s">
        <v>332</v>
      </c>
      <c r="D246" s="76">
        <v>2.69715856717665</v>
      </c>
      <c r="E246" s="47">
        <f t="shared" ref="E246:E247" si="346">E245*D246/100+E245</f>
        <v>5006437.8410088094</v>
      </c>
      <c r="F246" s="253"/>
      <c r="G246" s="131"/>
      <c r="H246" s="256"/>
      <c r="I246" s="258"/>
      <c r="J246" s="20">
        <f t="shared" ref="J246:J247" si="347">A246</f>
        <v>45351</v>
      </c>
      <c r="K246" s="27">
        <f>'Global (Gross)'!K246</f>
        <v>4.3309620000000004</v>
      </c>
      <c r="L246" s="46">
        <f t="shared" ref="L246:L247" si="348">L245*K246/100+L245</f>
        <v>4331905.539870833</v>
      </c>
      <c r="M246" s="253"/>
      <c r="N246" s="131"/>
      <c r="O246" s="258"/>
      <c r="P246" s="20">
        <f t="shared" si="195"/>
        <v>45351</v>
      </c>
      <c r="Q246" s="45">
        <f>'Global (Gross)'!Q246</f>
        <v>1.509868</v>
      </c>
      <c r="R246" s="46">
        <f t="shared" ref="R246:R247" si="349">R245*Q246/100+R245</f>
        <v>3497490.5906730983</v>
      </c>
      <c r="S246" s="253"/>
      <c r="T246" s="131"/>
      <c r="U246" s="258"/>
      <c r="X246" s="107">
        <f>'Global (Gross)'!X246</f>
        <v>2.6966920000000001</v>
      </c>
    </row>
    <row r="247" spans="1:24" x14ac:dyDescent="0.25">
      <c r="A247" s="21">
        <v>45382</v>
      </c>
      <c r="B247" s="24">
        <f t="shared" si="345"/>
        <v>231</v>
      </c>
      <c r="C247" s="97" t="s">
        <v>332</v>
      </c>
      <c r="D247" s="76">
        <v>3.086481518044732</v>
      </c>
      <c r="E247" s="47">
        <f t="shared" si="346"/>
        <v>5160960.6196839437</v>
      </c>
      <c r="F247" s="253"/>
      <c r="G247" s="131">
        <f t="shared" ref="G247" si="350">(E247/E244-1)*100</f>
        <v>6.8439269948352477</v>
      </c>
      <c r="H247" s="256"/>
      <c r="I247" s="258"/>
      <c r="J247" s="20">
        <f t="shared" si="347"/>
        <v>45382</v>
      </c>
      <c r="K247" s="27">
        <f>'Global (Gross)'!K247</f>
        <v>3.2044410000000001</v>
      </c>
      <c r="L247" s="46">
        <f t="shared" si="348"/>
        <v>4470718.8970717257</v>
      </c>
      <c r="M247" s="253"/>
      <c r="N247" s="131">
        <f t="shared" ref="N247" si="351">(L247/L244-1)*100</f>
        <v>8.3303583189819008</v>
      </c>
      <c r="O247" s="258"/>
      <c r="P247" s="20">
        <f t="shared" si="195"/>
        <v>45382</v>
      </c>
      <c r="Q247" s="45">
        <f>'Global (Gross)'!Q247</f>
        <v>1.9413100000000001</v>
      </c>
      <c r="R247" s="46">
        <f t="shared" si="349"/>
        <v>3565387.7252588943</v>
      </c>
      <c r="S247" s="253"/>
      <c r="T247" s="131">
        <f t="shared" ref="T247" si="352">(R247/R244-1)*100</f>
        <v>4.8446911343259513</v>
      </c>
      <c r="U247" s="258"/>
      <c r="X247" s="107">
        <f>'Global (Gross)'!X247</f>
        <v>3.0860859999999999</v>
      </c>
    </row>
    <row r="248" spans="1:24" x14ac:dyDescent="0.25">
      <c r="A248" s="21">
        <v>45412</v>
      </c>
      <c r="B248" s="24">
        <f t="shared" si="345"/>
        <v>232</v>
      </c>
      <c r="C248" s="97" t="s">
        <v>332</v>
      </c>
      <c r="D248" s="76">
        <v>-2.6488353266014744</v>
      </c>
      <c r="E248" s="47">
        <f t="shared" ref="E248:E250" si="353">E247*D248/100+E247</f>
        <v>5024255.2715977654</v>
      </c>
      <c r="F248" s="253"/>
      <c r="G248" s="131"/>
      <c r="H248" s="256"/>
      <c r="I248" s="258"/>
      <c r="J248" s="20">
        <f t="shared" ref="J248:J250" si="354">A248</f>
        <v>45412</v>
      </c>
      <c r="K248" s="27">
        <f>'Global (Gross)'!K248</f>
        <v>-3.262016</v>
      </c>
      <c r="L248" s="46">
        <f t="shared" ref="L248:L250" si="355">L247*K248/100+L247</f>
        <v>4324883.3313342221</v>
      </c>
      <c r="M248" s="253"/>
      <c r="N248" s="131"/>
      <c r="O248" s="258"/>
      <c r="P248" s="20">
        <f t="shared" si="195"/>
        <v>45412</v>
      </c>
      <c r="Q248" s="45">
        <f>'Global (Gross)'!Q248</f>
        <v>-2.5968499999999999</v>
      </c>
      <c r="R248" s="46">
        <f t="shared" ref="R248:R250" si="356">R247*Q248/100+R247</f>
        <v>3472799.9541155086</v>
      </c>
      <c r="S248" s="253"/>
      <c r="T248" s="131"/>
      <c r="U248" s="258"/>
      <c r="X248" s="107">
        <f>'Global (Gross)'!X248</f>
        <v>-2.6523110000000001</v>
      </c>
    </row>
    <row r="249" spans="1:24" x14ac:dyDescent="0.25">
      <c r="A249" s="21">
        <v>45443</v>
      </c>
      <c r="B249" s="24">
        <f t="shared" si="345"/>
        <v>233</v>
      </c>
      <c r="C249" s="97" t="s">
        <v>332</v>
      </c>
      <c r="D249" s="76">
        <v>2.2411244282231961</v>
      </c>
      <c r="E249" s="47">
        <f t="shared" si="353"/>
        <v>5136855.083825835</v>
      </c>
      <c r="F249" s="253"/>
      <c r="G249" s="131"/>
      <c r="H249" s="256"/>
      <c r="I249" s="258"/>
      <c r="J249" s="20">
        <f t="shared" si="354"/>
        <v>45443</v>
      </c>
      <c r="K249" s="27">
        <f>'Global (Gross)'!K249</f>
        <v>4.1195639999999996</v>
      </c>
      <c r="L249" s="46">
        <f t="shared" si="355"/>
        <v>4503049.6680938676</v>
      </c>
      <c r="M249" s="253"/>
      <c r="N249" s="131"/>
      <c r="O249" s="258"/>
      <c r="P249" s="20">
        <f t="shared" si="195"/>
        <v>45443</v>
      </c>
      <c r="Q249" s="45">
        <f>'Global (Gross)'!Q249</f>
        <v>1.8897520000000001</v>
      </c>
      <c r="R249" s="46">
        <f t="shared" si="356"/>
        <v>3538427.2607044056</v>
      </c>
      <c r="S249" s="253"/>
      <c r="T249" s="131"/>
      <c r="U249" s="258"/>
      <c r="X249" s="107">
        <f>'Global (Gross)'!X249</f>
        <v>2.2120310000000001</v>
      </c>
    </row>
    <row r="250" spans="1:24" x14ac:dyDescent="0.25">
      <c r="A250" s="21">
        <v>45473</v>
      </c>
      <c r="B250" s="24">
        <f t="shared" si="345"/>
        <v>234</v>
      </c>
      <c r="C250" s="97" t="s">
        <v>332</v>
      </c>
      <c r="D250" s="76">
        <v>0.22657466972229179</v>
      </c>
      <c r="E250" s="47">
        <f t="shared" si="353"/>
        <v>5148493.8962661261</v>
      </c>
      <c r="F250" s="253"/>
      <c r="G250" s="131">
        <f t="shared" ref="G250" si="357">(E250/E247-1)*100</f>
        <v>-0.24155819694243741</v>
      </c>
      <c r="H250" s="256"/>
      <c r="I250" s="258"/>
      <c r="J250" s="20">
        <f t="shared" si="354"/>
        <v>45473</v>
      </c>
      <c r="K250" s="27">
        <f>'Global (Gross)'!K250</f>
        <v>2.2624209999999998</v>
      </c>
      <c r="L250" s="46">
        <f t="shared" si="355"/>
        <v>4604927.6094252532</v>
      </c>
      <c r="M250" s="253"/>
      <c r="N250" s="131">
        <f t="shared" ref="N250" si="358">(L250/L247-1)*100</f>
        <v>3.0019492489548494</v>
      </c>
      <c r="O250" s="258"/>
      <c r="P250" s="20">
        <f t="shared" si="195"/>
        <v>45473</v>
      </c>
      <c r="Q250" s="45">
        <f>'Global (Gross)'!Q250</f>
        <v>1.229474</v>
      </c>
      <c r="R250" s="46">
        <f t="shared" si="356"/>
        <v>3581931.3038836783</v>
      </c>
      <c r="S250" s="253"/>
      <c r="T250" s="131">
        <f t="shared" ref="T250" si="359">(R250/R247-1)*100</f>
        <v>0.46400503674766114</v>
      </c>
      <c r="U250" s="258"/>
      <c r="X250" s="107">
        <f>'Global (Gross)'!X250</f>
        <v>0.21113750000000001</v>
      </c>
    </row>
    <row r="251" spans="1:24" x14ac:dyDescent="0.25">
      <c r="A251" s="21">
        <v>45504</v>
      </c>
      <c r="B251" s="24">
        <f t="shared" ref="B251:B255" si="360">IF(A251&gt;A250,1+B250,"-")</f>
        <v>235</v>
      </c>
      <c r="C251" s="97" t="s">
        <v>332</v>
      </c>
      <c r="D251" s="76">
        <v>2.5553737156955223</v>
      </c>
      <c r="E251" s="47">
        <f t="shared" ref="E251:E253" si="361">E250*D251/100+E250</f>
        <v>5280057.1560454993</v>
      </c>
      <c r="F251" s="253"/>
      <c r="G251" s="131"/>
      <c r="H251" s="256"/>
      <c r="I251" s="258"/>
      <c r="J251" s="20">
        <f t="shared" ref="J251:J253" si="362">A251</f>
        <v>45504</v>
      </c>
      <c r="K251" s="27">
        <f>'Global (Gross)'!K251</f>
        <v>1.643608</v>
      </c>
      <c r="L251" s="46">
        <f t="shared" ref="L251:L253" si="363">L250*K251/100+L250</f>
        <v>4680614.5680079758</v>
      </c>
      <c r="M251" s="253"/>
      <c r="N251" s="131"/>
      <c r="O251" s="258"/>
      <c r="P251" s="20">
        <f t="shared" si="195"/>
        <v>45504</v>
      </c>
      <c r="Q251" s="45">
        <f>'Global (Gross)'!Q251</f>
        <v>4.0605929999999999</v>
      </c>
      <c r="R251" s="46">
        <f t="shared" ref="R251:R253" si="364">R250*Q251/100+R250</f>
        <v>3727378.9556739875</v>
      </c>
      <c r="S251" s="253"/>
      <c r="T251" s="131"/>
      <c r="U251" s="258"/>
      <c r="X251" s="107">
        <f>'Global (Gross)'!X251</f>
        <v>2.5546479999999998</v>
      </c>
    </row>
    <row r="252" spans="1:24" x14ac:dyDescent="0.25">
      <c r="A252" s="21">
        <v>45535</v>
      </c>
      <c r="B252" s="24">
        <f t="shared" si="360"/>
        <v>236</v>
      </c>
      <c r="C252" s="97" t="s">
        <v>332</v>
      </c>
      <c r="D252" s="76">
        <v>3.6476639369329273</v>
      </c>
      <c r="E252" s="47">
        <f t="shared" si="361"/>
        <v>5472655.8967760177</v>
      </c>
      <c r="F252" s="253"/>
      <c r="G252" s="131"/>
      <c r="H252" s="256"/>
      <c r="I252" s="258"/>
      <c r="J252" s="20">
        <f t="shared" si="362"/>
        <v>45535</v>
      </c>
      <c r="K252" s="27">
        <f>'Global (Gross)'!K252</f>
        <v>2.5737969999999999</v>
      </c>
      <c r="L252" s="46">
        <f t="shared" si="363"/>
        <v>4801084.0853409283</v>
      </c>
      <c r="M252" s="253"/>
      <c r="N252" s="131"/>
      <c r="O252" s="258"/>
      <c r="P252" s="20">
        <f t="shared" si="195"/>
        <v>45535</v>
      </c>
      <c r="Q252" s="45">
        <f>'Global (Gross)'!Q252</f>
        <v>4.6167090000000002</v>
      </c>
      <c r="R252" s="46">
        <f t="shared" si="364"/>
        <v>3899461.1953846943</v>
      </c>
      <c r="S252" s="253"/>
      <c r="T252" s="131"/>
      <c r="U252" s="258"/>
      <c r="X252" s="107">
        <f>'Global (Gross)'!X252</f>
        <v>3.646636</v>
      </c>
    </row>
    <row r="253" spans="1:24" x14ac:dyDescent="0.25">
      <c r="A253" s="21">
        <v>45565</v>
      </c>
      <c r="B253" s="24">
        <f t="shared" si="360"/>
        <v>237</v>
      </c>
      <c r="C253" s="97" t="s">
        <v>111</v>
      </c>
      <c r="D253" s="76">
        <v>-4.9554010000000009E-2</v>
      </c>
      <c r="E253" s="47">
        <f t="shared" si="361"/>
        <v>5469943.9763256637</v>
      </c>
      <c r="F253" s="253"/>
      <c r="G253" s="131">
        <f t="shared" ref="G253" si="365">(E253/E250-1)*100</f>
        <v>6.2435750442020543</v>
      </c>
      <c r="H253" s="256"/>
      <c r="I253" s="258"/>
      <c r="J253" s="20">
        <f t="shared" si="362"/>
        <v>45565</v>
      </c>
      <c r="K253" s="27">
        <f>'Global (Gross)'!K253</f>
        <v>2.3676279999999998</v>
      </c>
      <c r="L253" s="46">
        <f t="shared" si="363"/>
        <v>4914755.8964490043</v>
      </c>
      <c r="M253" s="253"/>
      <c r="N253" s="131">
        <f t="shared" ref="N253" si="366">(L253/L250-1)*100</f>
        <v>6.7281901758803331</v>
      </c>
      <c r="O253" s="258"/>
      <c r="P253" s="20">
        <f t="shared" si="195"/>
        <v>45565</v>
      </c>
      <c r="Q253" s="45">
        <f>'Global (Gross)'!Q253</f>
        <v>1.028713</v>
      </c>
      <c r="R253" s="46">
        <f t="shared" si="364"/>
        <v>3939575.459631572</v>
      </c>
      <c r="S253" s="253"/>
      <c r="T253" s="131">
        <f t="shared" ref="T253" si="367">(R253/R250-1)*100</f>
        <v>9.9846737808768395</v>
      </c>
      <c r="U253" s="258"/>
      <c r="X253" s="107">
        <f>'Global (Gross)'!X253</f>
        <v>-4.9554010000000003E-2</v>
      </c>
    </row>
    <row r="254" spans="1:24" x14ac:dyDescent="0.25">
      <c r="A254" s="21">
        <v>45596</v>
      </c>
      <c r="B254" s="24">
        <f t="shared" si="360"/>
        <v>238</v>
      </c>
      <c r="C254" s="97" t="s">
        <v>111</v>
      </c>
      <c r="D254" s="76">
        <f>X254</f>
        <v>-3.4705010000000001</v>
      </c>
      <c r="E254" s="47">
        <f t="shared" ref="E254:E258" si="368">E253*D254/100+E253</f>
        <v>5280109.5159278419</v>
      </c>
      <c r="F254" s="253"/>
      <c r="G254" s="131"/>
      <c r="H254" s="256"/>
      <c r="I254" s="258"/>
      <c r="J254" s="20">
        <f t="shared" ref="J254:J258" si="369">A254</f>
        <v>45596</v>
      </c>
      <c r="K254" s="27">
        <f>'Global (Gross)'!K254</f>
        <v>-2.2116310000000001</v>
      </c>
      <c r="L254" s="46">
        <f t="shared" ref="L254:L258" si="370">L253*K254/100+L253</f>
        <v>4806059.6314688101</v>
      </c>
      <c r="M254" s="253"/>
      <c r="N254" s="131"/>
      <c r="O254" s="258"/>
      <c r="P254" s="20">
        <f t="shared" si="195"/>
        <v>45596</v>
      </c>
      <c r="Q254" s="45">
        <f>'Global (Gross)'!Q254</f>
        <v>-2.4867189999999999</v>
      </c>
      <c r="R254" s="46">
        <f t="shared" ref="R254:R258" si="371">R253*Q254/100+R253</f>
        <v>3841609.2881575762</v>
      </c>
      <c r="S254" s="253"/>
      <c r="T254" s="131"/>
      <c r="U254" s="258"/>
      <c r="X254" s="107">
        <f>'Global (Gross)'!X254</f>
        <v>-3.4705010000000001</v>
      </c>
    </row>
    <row r="255" spans="1:24" x14ac:dyDescent="0.25">
      <c r="A255" s="21">
        <v>45626</v>
      </c>
      <c r="B255" s="24">
        <f t="shared" si="360"/>
        <v>239</v>
      </c>
      <c r="C255" s="97" t="s">
        <v>111</v>
      </c>
      <c r="D255" s="76">
        <f t="shared" ref="D255:D256" si="372">X255</f>
        <v>3.980483</v>
      </c>
      <c r="E255" s="47">
        <f t="shared" si="368"/>
        <v>5490283.3775907317</v>
      </c>
      <c r="F255" s="253"/>
      <c r="G255" s="131"/>
      <c r="H255" s="256"/>
      <c r="I255" s="258"/>
      <c r="J255" s="20">
        <f t="shared" si="369"/>
        <v>45626</v>
      </c>
      <c r="K255" s="27">
        <f>'Global (Gross)'!K255</f>
        <v>3.7734209999999999</v>
      </c>
      <c r="L255" s="46">
        <f t="shared" si="370"/>
        <v>4987412.4948751768</v>
      </c>
      <c r="M255" s="253"/>
      <c r="N255" s="131"/>
      <c r="O255" s="258"/>
      <c r="P255" s="20">
        <f t="shared" si="195"/>
        <v>45626</v>
      </c>
      <c r="Q255" s="45">
        <f>'Global (Gross)'!Q255</f>
        <v>2.9571960000000002</v>
      </c>
      <c r="R255" s="46">
        <f t="shared" si="371"/>
        <v>3955213.2043626006</v>
      </c>
      <c r="S255" s="253"/>
      <c r="T255" s="131"/>
      <c r="U255" s="258"/>
      <c r="X255" s="107">
        <f>'Global (Gross)'!X255</f>
        <v>3.980483</v>
      </c>
    </row>
    <row r="256" spans="1:24" x14ac:dyDescent="0.25">
      <c r="A256" s="21">
        <v>45657</v>
      </c>
      <c r="B256" s="24">
        <f t="shared" ref="B256:B259" si="373">IF(A256&gt;A255,1+B255,"-")</f>
        <v>240</v>
      </c>
      <c r="C256" s="97" t="s">
        <v>111</v>
      </c>
      <c r="D256" s="76">
        <f t="shared" si="372"/>
        <v>-3.9078729999999999</v>
      </c>
      <c r="E256" s="47">
        <f t="shared" si="368"/>
        <v>5275730.075854375</v>
      </c>
      <c r="F256" s="253">
        <f t="shared" ref="F256" si="374">(E256/E$244-1)*100</f>
        <v>9.2199225313137845</v>
      </c>
      <c r="G256" s="131">
        <f t="shared" ref="G256" si="375">(E256/E253-1)*100</f>
        <v>-3.5505647098372783</v>
      </c>
      <c r="H256" s="256"/>
      <c r="I256" s="258"/>
      <c r="J256" s="20">
        <f t="shared" si="369"/>
        <v>45657</v>
      </c>
      <c r="K256" s="27">
        <f>'Global (Gross)'!K256</f>
        <v>-2.33378</v>
      </c>
      <c r="L256" s="46">
        <f t="shared" si="370"/>
        <v>4871017.2595522786</v>
      </c>
      <c r="M256" s="253">
        <f t="shared" ref="M256" si="376">(L256/L$244-1)*100</f>
        <v>18.030020954989556</v>
      </c>
      <c r="N256" s="131">
        <f t="shared" ref="N256" si="377">(L256/L253-1)*100</f>
        <v>-0.88994525502940069</v>
      </c>
      <c r="O256" s="258"/>
      <c r="P256" s="20">
        <f t="shared" si="195"/>
        <v>45657</v>
      </c>
      <c r="Q256" s="45">
        <f>'Global (Gross)'!Q256</f>
        <v>-3.7643550000000001</v>
      </c>
      <c r="R256" s="46">
        <f t="shared" si="371"/>
        <v>3806324.9383435166</v>
      </c>
      <c r="S256" s="253">
        <f t="shared" ref="S256" si="378">(R256/R$244-1)*100</f>
        <v>11.929751620079498</v>
      </c>
      <c r="T256" s="131">
        <f t="shared" ref="T256" si="379">(R256/R253-1)*100</f>
        <v>-3.3823573797090556</v>
      </c>
      <c r="U256" s="258"/>
      <c r="X256" s="107">
        <f>'Global (Gross)'!X256</f>
        <v>-3.9078729999999999</v>
      </c>
    </row>
    <row r="257" spans="1:24" x14ac:dyDescent="0.25">
      <c r="A257" s="21">
        <v>45688</v>
      </c>
      <c r="B257" s="24">
        <f t="shared" si="373"/>
        <v>241</v>
      </c>
      <c r="C257" s="97" t="s">
        <v>111</v>
      </c>
      <c r="D257" s="76">
        <f>X257</f>
        <v>2.523962</v>
      </c>
      <c r="E257" s="47">
        <f t="shared" si="368"/>
        <v>5408887.4981915103</v>
      </c>
      <c r="F257" s="253"/>
      <c r="G257" s="131"/>
      <c r="H257" s="256"/>
      <c r="I257" s="258"/>
      <c r="J257" s="20">
        <f t="shared" si="369"/>
        <v>45688</v>
      </c>
      <c r="K257" s="27">
        <f>'Global (Gross)'!K257</f>
        <v>3.3814129999999998</v>
      </c>
      <c r="L257" s="46">
        <f t="shared" si="370"/>
        <v>5035726.470399023</v>
      </c>
      <c r="M257" s="253"/>
      <c r="N257" s="131"/>
      <c r="O257" s="258"/>
      <c r="P257" s="20">
        <f t="shared" si="195"/>
        <v>45688</v>
      </c>
      <c r="Q257" s="45">
        <f>'Global (Gross)'!Q257</f>
        <v>2.6802619999999999</v>
      </c>
      <c r="R257" s="46">
        <f t="shared" si="371"/>
        <v>3908344.4192624614</v>
      </c>
      <c r="S257" s="253"/>
      <c r="T257" s="131"/>
      <c r="U257" s="258"/>
      <c r="X257" s="107">
        <f>'Global (Gross)'!X257</f>
        <v>2.523962</v>
      </c>
    </row>
    <row r="258" spans="1:24" x14ac:dyDescent="0.25">
      <c r="A258" s="21">
        <v>45716</v>
      </c>
      <c r="B258" s="24">
        <f t="shared" si="373"/>
        <v>242</v>
      </c>
      <c r="C258" s="97" t="s">
        <v>111</v>
      </c>
      <c r="D258" s="76">
        <f t="shared" ref="D258:D265" si="380">X258</f>
        <v>1.277657</v>
      </c>
      <c r="E258" s="47">
        <f t="shared" si="368"/>
        <v>5477994.5279342793</v>
      </c>
      <c r="F258" s="253"/>
      <c r="G258" s="131"/>
      <c r="H258" s="256"/>
      <c r="I258" s="258"/>
      <c r="J258" s="20">
        <f t="shared" si="369"/>
        <v>45716</v>
      </c>
      <c r="K258" s="27">
        <f>'Global (Gross)'!K258</f>
        <v>-0.57200150000000005</v>
      </c>
      <c r="L258" s="46">
        <f t="shared" si="370"/>
        <v>5006922.0394524438</v>
      </c>
      <c r="M258" s="253"/>
      <c r="N258" s="131"/>
      <c r="O258" s="258"/>
      <c r="P258" s="20">
        <f t="shared" si="195"/>
        <v>45716</v>
      </c>
      <c r="Q258" s="45">
        <f>'Global (Gross)'!Q258</f>
        <v>2.4719690000000001</v>
      </c>
      <c r="R258" s="46">
        <f t="shared" si="371"/>
        <v>4004957.4817198594</v>
      </c>
      <c r="S258" s="253"/>
      <c r="T258" s="131"/>
      <c r="U258" s="258"/>
      <c r="X258" s="107">
        <f>'Global (Gross)'!X258</f>
        <v>1.277657</v>
      </c>
    </row>
    <row r="259" spans="1:24" x14ac:dyDescent="0.25">
      <c r="A259" s="21">
        <v>45747</v>
      </c>
      <c r="B259" s="24">
        <f t="shared" si="373"/>
        <v>243</v>
      </c>
      <c r="C259" s="97" t="s">
        <v>111</v>
      </c>
      <c r="D259" s="76">
        <f t="shared" si="380"/>
        <v>0.43076920000000002</v>
      </c>
      <c r="E259" s="47">
        <f t="shared" ref="E259:E261" si="381">E258*D259/100+E258</f>
        <v>5501592.0411383053</v>
      </c>
      <c r="F259" s="253"/>
      <c r="G259" s="131">
        <f>(E259/E256-1)*100</f>
        <v>4.2811508935538756</v>
      </c>
      <c r="H259" s="256"/>
      <c r="I259" s="258"/>
      <c r="J259" s="20">
        <f t="shared" ref="J259:J261" si="382">A259</f>
        <v>45747</v>
      </c>
      <c r="K259" s="27">
        <f>'Global (Gross)'!K259</f>
        <v>-3.8918849999999998</v>
      </c>
      <c r="L259" s="46">
        <f t="shared" ref="L259:L261" si="383">L258*K259/100+L258</f>
        <v>4812058.3916373001</v>
      </c>
      <c r="M259" s="253"/>
      <c r="N259" s="131">
        <f>(L259/L256-1)*100</f>
        <v>-1.2104015398294421</v>
      </c>
      <c r="O259" s="258"/>
      <c r="P259" s="20">
        <f t="shared" si="195"/>
        <v>45747</v>
      </c>
      <c r="Q259" s="45">
        <f>'Global (Gross)'!Q259</f>
        <v>1.072357</v>
      </c>
      <c r="R259" s="46">
        <f t="shared" ref="R259:R261" si="384">R258*Q259/100+R258</f>
        <v>4047904.9236221062</v>
      </c>
      <c r="S259" s="253"/>
      <c r="T259" s="131">
        <f>(R259/R256-1)*100</f>
        <v>6.346804048309207</v>
      </c>
      <c r="U259" s="258"/>
      <c r="X259" s="107">
        <f>'Global (Gross)'!X259</f>
        <v>0.43076920000000002</v>
      </c>
    </row>
    <row r="260" spans="1:24" x14ac:dyDescent="0.25">
      <c r="A260" s="21">
        <v>45777</v>
      </c>
      <c r="B260" s="24">
        <f t="shared" ref="B260:B262" si="385">IF(A260&gt;A259,1+B259,"-")</f>
        <v>244</v>
      </c>
      <c r="C260" s="97" t="s">
        <v>111</v>
      </c>
      <c r="D260" s="76">
        <f t="shared" si="380"/>
        <v>-9.1911759999999995E-2</v>
      </c>
      <c r="E260" s="47">
        <f t="shared" si="381"/>
        <v>5496535.4310652753</v>
      </c>
      <c r="F260" s="253"/>
      <c r="G260" s="131"/>
      <c r="H260" s="256"/>
      <c r="I260" s="258"/>
      <c r="J260" s="20">
        <f t="shared" si="382"/>
        <v>45777</v>
      </c>
      <c r="K260" s="27">
        <f>'Global (Gross)'!K260</f>
        <v>0.97781580000000001</v>
      </c>
      <c r="L260" s="46">
        <f t="shared" si="383"/>
        <v>4859111.4588959552</v>
      </c>
      <c r="M260" s="253"/>
      <c r="N260" s="131"/>
      <c r="O260" s="258"/>
      <c r="P260" s="20">
        <f t="shared" si="195"/>
        <v>45777</v>
      </c>
      <c r="Q260" s="45">
        <f>'Global (Gross)'!Q260</f>
        <v>0.76429170000000002</v>
      </c>
      <c r="R260" s="46">
        <f t="shared" si="384"/>
        <v>4078842.7249772414</v>
      </c>
      <c r="S260" s="253"/>
      <c r="T260" s="131"/>
      <c r="U260" s="258"/>
      <c r="X260" s="107">
        <f>'Global (Gross)'!X260</f>
        <v>-9.1911759999999995E-2</v>
      </c>
    </row>
    <row r="261" spans="1:24" x14ac:dyDescent="0.25">
      <c r="A261" s="21">
        <v>45808</v>
      </c>
      <c r="B261" s="24">
        <f t="shared" si="385"/>
        <v>245</v>
      </c>
      <c r="C261" s="97" t="s">
        <v>111</v>
      </c>
      <c r="D261" s="76">
        <f t="shared" si="380"/>
        <v>1.9319230000000001</v>
      </c>
      <c r="E261" s="47">
        <f t="shared" si="381"/>
        <v>5602724.2632611748</v>
      </c>
      <c r="F261" s="253"/>
      <c r="G261" s="131"/>
      <c r="H261" s="256"/>
      <c r="I261" s="258"/>
      <c r="J261" s="20">
        <f t="shared" si="382"/>
        <v>45808</v>
      </c>
      <c r="K261" s="27">
        <f>'Global (Gross)'!K261</f>
        <v>5.8145300000000004</v>
      </c>
      <c r="L261" s="46">
        <f t="shared" si="383"/>
        <v>5141645.9524068981</v>
      </c>
      <c r="M261" s="253"/>
      <c r="N261" s="131"/>
      <c r="O261" s="258"/>
      <c r="P261" s="20">
        <f t="shared" si="195"/>
        <v>45808</v>
      </c>
      <c r="Q261" s="45">
        <f>'Global (Gross)'!Q261</f>
        <v>1.281803</v>
      </c>
      <c r="R261" s="46">
        <f t="shared" si="384"/>
        <v>4131125.4533912814</v>
      </c>
      <c r="S261" s="253"/>
      <c r="T261" s="131"/>
      <c r="U261" s="258"/>
      <c r="X261" s="107">
        <f>'Global (Gross)'!X261</f>
        <v>1.9319230000000001</v>
      </c>
    </row>
    <row r="262" spans="1:24" x14ac:dyDescent="0.25">
      <c r="A262" s="21">
        <v>45838</v>
      </c>
      <c r="B262" s="24">
        <f t="shared" si="385"/>
        <v>246</v>
      </c>
      <c r="C262" s="97" t="s">
        <v>111</v>
      </c>
      <c r="D262" s="76">
        <f t="shared" si="380"/>
        <v>1.052948</v>
      </c>
      <c r="E262" s="47">
        <f t="shared" ref="E262:E264" si="386">E261*D262/100+E261</f>
        <v>5661718.0363366976</v>
      </c>
      <c r="F262" s="253"/>
      <c r="G262" s="131">
        <f>(E262/E259-1)*100</f>
        <v>2.9105392402970942</v>
      </c>
      <c r="H262" s="256"/>
      <c r="I262" s="258"/>
      <c r="J262" s="20">
        <f t="shared" ref="J262:J264" si="387">A262</f>
        <v>45838</v>
      </c>
      <c r="K262" s="27">
        <f>'Global (Gross)'!K262</f>
        <v>4.5320140000000002</v>
      </c>
      <c r="L262" s="46">
        <f t="shared" ref="L262:L264" si="388">L261*K262/100+L261</f>
        <v>5374666.0668004118</v>
      </c>
      <c r="M262" s="253"/>
      <c r="N262" s="131">
        <f>(L262/L259-1)*100</f>
        <v>11.691621949992271</v>
      </c>
      <c r="O262" s="258"/>
      <c r="P262" s="20">
        <f t="shared" si="195"/>
        <v>45838</v>
      </c>
      <c r="Q262" s="45">
        <f>'Global (Gross)'!Q262</f>
        <v>1.0078929999999999</v>
      </c>
      <c r="R262" s="46">
        <f t="shared" ref="R262:R264" si="389">R261*Q262/100+R261</f>
        <v>4172762.7776572304</v>
      </c>
      <c r="S262" s="253"/>
      <c r="T262" s="131">
        <f>(R262/R259-1)*100</f>
        <v>3.0845055995880388</v>
      </c>
      <c r="U262" s="258"/>
      <c r="X262" s="107">
        <f>'Global (Gross)'!X262</f>
        <v>1.052948</v>
      </c>
    </row>
    <row r="263" spans="1:24" x14ac:dyDescent="0.25">
      <c r="A263" s="21">
        <v>45869</v>
      </c>
      <c r="B263" s="24">
        <f t="shared" ref="B263:B265" si="390">IF(A263&gt;A262,1+B262,"-")</f>
        <v>247</v>
      </c>
      <c r="C263" s="97" t="s">
        <v>111</v>
      </c>
      <c r="D263" s="76">
        <f t="shared" si="380"/>
        <v>-2.6495980000000001</v>
      </c>
      <c r="E263" s="47">
        <f t="shared" si="386"/>
        <v>5511705.2684802813</v>
      </c>
      <c r="F263" s="253"/>
      <c r="G263" s="131"/>
      <c r="H263" s="256"/>
      <c r="I263" s="258"/>
      <c r="J263" s="20">
        <f t="shared" si="387"/>
        <v>45869</v>
      </c>
      <c r="K263" s="27">
        <f>'Global (Gross)'!K263</f>
        <v>1.3846879999999999</v>
      </c>
      <c r="L263" s="46">
        <f t="shared" si="388"/>
        <v>5449088.4228674695</v>
      </c>
      <c r="M263" s="253"/>
      <c r="N263" s="131"/>
      <c r="O263" s="258"/>
      <c r="P263" s="20">
        <f t="shared" si="195"/>
        <v>45869</v>
      </c>
      <c r="Q263" s="45">
        <f>'Global (Gross)'!Q263</f>
        <v>-1.6278600000000001</v>
      </c>
      <c r="R263" s="46">
        <f t="shared" si="389"/>
        <v>4104836.0415048595</v>
      </c>
      <c r="S263" s="253"/>
      <c r="T263" s="131"/>
      <c r="U263" s="258"/>
      <c r="X263" s="107">
        <f>'Global (Gross)'!X263</f>
        <v>-2.6495980000000001</v>
      </c>
    </row>
    <row r="264" spans="1:24" x14ac:dyDescent="0.25">
      <c r="A264" s="21">
        <v>45900</v>
      </c>
      <c r="B264" s="24">
        <f t="shared" si="390"/>
        <v>248</v>
      </c>
      <c r="C264" s="97" t="s">
        <v>111</v>
      </c>
      <c r="D264" s="76">
        <f t="shared" si="380"/>
        <v>2.2629969999999999</v>
      </c>
      <c r="E264" s="47">
        <f t="shared" si="386"/>
        <v>5636434.9933548318</v>
      </c>
      <c r="F264" s="253"/>
      <c r="G264" s="131"/>
      <c r="H264" s="256"/>
      <c r="I264" s="258"/>
      <c r="J264" s="20">
        <f t="shared" si="387"/>
        <v>45900</v>
      </c>
      <c r="K264" s="27">
        <f>'Global (Gross)'!K264</f>
        <v>2.5172910000000002</v>
      </c>
      <c r="L264" s="46">
        <f t="shared" si="388"/>
        <v>5586257.835318354</v>
      </c>
      <c r="M264" s="253"/>
      <c r="N264" s="131"/>
      <c r="O264" s="258"/>
      <c r="P264" s="20">
        <f t="shared" si="195"/>
        <v>45900</v>
      </c>
      <c r="Q264" s="45">
        <f>'Global (Gross)'!Q264</f>
        <v>2.3530319999999998</v>
      </c>
      <c r="R264" s="46">
        <f t="shared" si="389"/>
        <v>4201424.1471090019</v>
      </c>
      <c r="S264" s="253"/>
      <c r="T264" s="131"/>
      <c r="U264" s="258"/>
      <c r="X264" s="107">
        <f>'Global (Gross)'!X264</f>
        <v>2.2629969999999999</v>
      </c>
    </row>
    <row r="265" spans="1:24" x14ac:dyDescent="0.25">
      <c r="A265" s="21">
        <v>45930</v>
      </c>
      <c r="B265" s="24">
        <f t="shared" si="390"/>
        <v>249</v>
      </c>
      <c r="C265" s="97" t="s">
        <v>111</v>
      </c>
      <c r="D265" s="76">
        <f t="shared" si="380"/>
        <v>3.2595689999999999</v>
      </c>
      <c r="E265" s="47">
        <f t="shared" ref="E265:E267" si="391">E264*D265/100+E264</f>
        <v>5820158.4811033783</v>
      </c>
      <c r="F265" s="253">
        <f>(E265/E$256-1)*100</f>
        <v>10.31948938670515</v>
      </c>
      <c r="G265" s="131">
        <f>(E265/E262-1)*100</f>
        <v>2.7984517022892286</v>
      </c>
      <c r="H265" s="256"/>
      <c r="I265" s="258"/>
      <c r="J265" s="20">
        <f t="shared" ref="J265:J267" si="392">A265</f>
        <v>45930</v>
      </c>
      <c r="K265" s="27">
        <f>'Global (Gross)'!K265</f>
        <v>3.6652930000000001</v>
      </c>
      <c r="L265" s="46">
        <f t="shared" ref="L265:L267" si="393">L264*K265/100+L264</f>
        <v>5791010.5527182287</v>
      </c>
      <c r="M265" s="253">
        <f>(L265/L$256-1)*100</f>
        <v>18.887087524927225</v>
      </c>
      <c r="N265" s="131">
        <f>(L265/L262-1)*100</f>
        <v>7.7464251870380973</v>
      </c>
      <c r="O265" s="258"/>
      <c r="P265" s="20">
        <f t="shared" si="195"/>
        <v>45930</v>
      </c>
      <c r="Q265" s="45">
        <f>'Global (Gross)'!Q265</f>
        <v>0.53214649999999997</v>
      </c>
      <c r="R265" s="46">
        <f t="shared" ref="R265:R267" si="394">R264*Q265/100+R264</f>
        <v>4223781.8786579976</v>
      </c>
      <c r="S265" s="253">
        <f>(R265/R$256-1)*100</f>
        <v>10.967454094871766</v>
      </c>
      <c r="T265" s="131">
        <f>(R265/R262-1)*100</f>
        <v>1.2226695769514073</v>
      </c>
      <c r="U265" s="258"/>
      <c r="X265" s="107">
        <f>'Global (Gross)'!X265</f>
        <v>3.2595689999999999</v>
      </c>
    </row>
    <row r="266" spans="1:24" x14ac:dyDescent="0.25">
      <c r="A266" s="21">
        <v>45961</v>
      </c>
      <c r="B266" s="24">
        <f t="shared" ref="B266:B268" si="395">IF(A266&gt;A265,1+B265,"-")</f>
        <v>250</v>
      </c>
      <c r="C266" s="97" t="s">
        <v>111</v>
      </c>
      <c r="D266" s="76">
        <f t="shared" ref="D266:D268" si="396">X266</f>
        <v>-1.998262</v>
      </c>
      <c r="E266" s="47">
        <f t="shared" si="391"/>
        <v>5703856.4658357119</v>
      </c>
      <c r="F266" s="253"/>
      <c r="G266" s="131"/>
      <c r="H266" s="256"/>
      <c r="I266" s="258"/>
      <c r="J266" s="20">
        <f t="shared" si="392"/>
        <v>45961</v>
      </c>
      <c r="K266" s="27">
        <f>'Global (Gross)'!K266</f>
        <v>2.2553679999999998</v>
      </c>
      <c r="L266" s="46">
        <f t="shared" si="393"/>
        <v>5921619.1516008591</v>
      </c>
      <c r="M266" s="253"/>
      <c r="N266" s="131"/>
      <c r="O266" s="258"/>
      <c r="P266" s="20">
        <f t="shared" si="195"/>
        <v>45961</v>
      </c>
      <c r="Q266" s="45">
        <f>'Global (Gross)'!Q266</f>
        <v>-1.4094850000000001</v>
      </c>
      <c r="R266" s="46">
        <f t="shared" si="394"/>
        <v>4164248.306645595</v>
      </c>
      <c r="S266" s="253"/>
      <c r="T266" s="131"/>
      <c r="U266" s="258"/>
      <c r="X266" s="107">
        <f>'Global (Gross)'!X266</f>
        <v>-1.998262</v>
      </c>
    </row>
    <row r="267" spans="1:24" x14ac:dyDescent="0.25">
      <c r="A267" s="21">
        <v>45991</v>
      </c>
      <c r="B267" s="24">
        <f t="shared" si="395"/>
        <v>251</v>
      </c>
      <c r="C267" s="97" t="s">
        <v>111</v>
      </c>
      <c r="D267" s="76">
        <f t="shared" si="396"/>
        <v>3.0437349999999999</v>
      </c>
      <c r="E267" s="47">
        <f t="shared" si="391"/>
        <v>5877466.7414361164</v>
      </c>
      <c r="F267" s="253"/>
      <c r="G267" s="131"/>
      <c r="H267" s="256"/>
      <c r="I267" s="258"/>
      <c r="J267" s="20">
        <f t="shared" si="392"/>
        <v>45991</v>
      </c>
      <c r="K267" s="27">
        <f>'Global (Gross)'!K267</f>
        <v>1.873611E-2</v>
      </c>
      <c r="L267" s="46">
        <f t="shared" si="393"/>
        <v>5922728.6326788841</v>
      </c>
      <c r="M267" s="253"/>
      <c r="N267" s="131"/>
      <c r="O267" s="258"/>
      <c r="P267" s="20">
        <f t="shared" si="195"/>
        <v>45991</v>
      </c>
      <c r="Q267" s="45">
        <f>'Global (Gross)'!Q267</f>
        <v>2.3607</v>
      </c>
      <c r="R267" s="46">
        <f t="shared" si="394"/>
        <v>4262553.7164205778</v>
      </c>
      <c r="S267" s="253"/>
      <c r="T267" s="131"/>
      <c r="U267" s="258"/>
      <c r="X267" s="107">
        <f>'Global (Gross)'!X267</f>
        <v>3.0437349999999999</v>
      </c>
    </row>
    <row r="268" spans="1:24" x14ac:dyDescent="0.25">
      <c r="A268" s="21">
        <v>46022</v>
      </c>
      <c r="B268" s="24">
        <f t="shared" si="395"/>
        <v>252</v>
      </c>
      <c r="C268" s="97" t="s">
        <v>111</v>
      </c>
      <c r="D268" s="76">
        <f t="shared" si="396"/>
        <v>0.28737099999999999</v>
      </c>
      <c r="E268" s="47">
        <f t="shared" ref="E268" si="397">E267*D268/100+E267</f>
        <v>5894356.8763856487</v>
      </c>
      <c r="F268" s="253">
        <f>(E268/E$256-1)*100</f>
        <v>11.725899385235138</v>
      </c>
      <c r="G268" s="131">
        <f>(E268/E265-1)*100</f>
        <v>1.2748518021145738</v>
      </c>
      <c r="H268" s="256"/>
      <c r="I268" s="258"/>
      <c r="J268" s="20">
        <f t="shared" ref="J268" si="398">A268</f>
        <v>46022</v>
      </c>
      <c r="K268" s="27">
        <f>'Global (Gross)'!K268</f>
        <v>1.0703</v>
      </c>
      <c r="L268" s="46">
        <f t="shared" ref="L268" si="399">L267*K268/100+L267</f>
        <v>5986119.5972344466</v>
      </c>
      <c r="M268" s="253">
        <f>(L268/L$256-1)*100</f>
        <v>22.892596725979629</v>
      </c>
      <c r="N268" s="131">
        <f>(L268/L265-1)*100</f>
        <v>3.3691709372664969</v>
      </c>
      <c r="O268" s="258"/>
      <c r="P268" s="20">
        <f t="shared" si="195"/>
        <v>46022</v>
      </c>
      <c r="Q268" s="45">
        <f>'Global (Gross)'!Q268</f>
        <v>-0.68503060000000005</v>
      </c>
      <c r="R268" s="46">
        <f t="shared" ref="R268" si="400">R267*Q268/100+R267</f>
        <v>4233353.9191216594</v>
      </c>
      <c r="S268" s="253">
        <f>(R268/R$256-1)*100</f>
        <v>11.21893132339833</v>
      </c>
      <c r="T268" s="131">
        <f>(R268/R265-1)*100</f>
        <v>0.22662250889486923</v>
      </c>
      <c r="U268" s="258"/>
      <c r="X268" s="107">
        <f>'Global (Gross)'!X268</f>
        <v>0.28737099999999999</v>
      </c>
    </row>
    <row r="269" spans="1:24" x14ac:dyDescent="0.25">
      <c r="B269" s="24" t="str">
        <f t="shared" si="187"/>
        <v>-</v>
      </c>
      <c r="C269" s="257"/>
      <c r="D269" s="257"/>
      <c r="E269" s="283"/>
      <c r="F269" s="256"/>
      <c r="G269" s="256"/>
      <c r="H269" s="256"/>
      <c r="I269" s="256"/>
      <c r="J269" s="256"/>
      <c r="K269" s="27"/>
      <c r="L269" s="256"/>
      <c r="M269" s="256"/>
      <c r="N269" s="256"/>
      <c r="O269" s="256"/>
      <c r="P269" s="256"/>
      <c r="Q269" s="27"/>
    </row>
    <row r="270" spans="1:24" x14ac:dyDescent="0.25">
      <c r="B270" s="24" t="str">
        <f t="shared" si="187"/>
        <v>-</v>
      </c>
      <c r="C270" s="257"/>
      <c r="D270" s="257"/>
      <c r="E270" s="283"/>
      <c r="F270" s="256"/>
      <c r="G270" s="256"/>
      <c r="H270" s="256"/>
      <c r="I270" s="256"/>
      <c r="J270" s="256"/>
      <c r="K270" s="27"/>
      <c r="L270" s="256"/>
      <c r="M270" s="256"/>
      <c r="N270" s="256"/>
      <c r="O270" s="256"/>
      <c r="P270" s="256"/>
      <c r="Q270" s="27"/>
    </row>
    <row r="271" spans="1:24" x14ac:dyDescent="0.25">
      <c r="B271" s="24" t="str">
        <f t="shared" si="187"/>
        <v>-</v>
      </c>
      <c r="C271" s="257"/>
      <c r="D271" s="257"/>
      <c r="E271" s="283"/>
      <c r="F271" s="256"/>
      <c r="G271" s="256"/>
      <c r="H271" s="256"/>
      <c r="I271" s="256"/>
      <c r="J271" s="256"/>
      <c r="K271" s="27"/>
      <c r="L271" s="256"/>
      <c r="M271" s="256"/>
      <c r="N271" s="256"/>
      <c r="O271" s="256"/>
      <c r="P271" s="256"/>
      <c r="Q271" s="27"/>
    </row>
    <row r="272" spans="1:24" x14ac:dyDescent="0.25">
      <c r="B272" s="24" t="str">
        <f t="shared" si="187"/>
        <v>-</v>
      </c>
      <c r="C272" s="257"/>
      <c r="D272" s="257"/>
      <c r="E272" s="283"/>
      <c r="F272" s="256"/>
      <c r="G272" s="256"/>
      <c r="H272" s="256"/>
      <c r="I272" s="256"/>
      <c r="J272" s="256"/>
      <c r="K272" s="27"/>
      <c r="L272" s="256"/>
      <c r="M272" s="256"/>
      <c r="N272" s="256"/>
      <c r="O272" s="256"/>
      <c r="P272" s="256"/>
      <c r="Q272" s="27"/>
    </row>
    <row r="273" spans="2:17" x14ac:dyDescent="0.25">
      <c r="B273" s="24" t="str">
        <f t="shared" si="187"/>
        <v>-</v>
      </c>
      <c r="C273" s="257"/>
      <c r="D273" s="257"/>
      <c r="E273" s="283"/>
      <c r="F273" s="256"/>
      <c r="G273" s="256"/>
      <c r="H273" s="256"/>
      <c r="I273" s="256"/>
      <c r="J273" s="256"/>
      <c r="K273" s="27"/>
      <c r="L273" s="256"/>
      <c r="M273" s="256"/>
      <c r="N273" s="256"/>
      <c r="O273" s="256"/>
      <c r="P273" s="256"/>
      <c r="Q273" s="27"/>
    </row>
    <row r="274" spans="2:17" x14ac:dyDescent="0.25">
      <c r="B274" s="24" t="str">
        <f t="shared" ref="B274:B337" si="401">IF(A274&gt;A273,1+B273,"-")</f>
        <v>-</v>
      </c>
      <c r="C274" s="257"/>
      <c r="D274" s="257"/>
      <c r="E274" s="283"/>
      <c r="F274" s="256"/>
      <c r="G274" s="256"/>
      <c r="H274" s="256"/>
      <c r="I274" s="256"/>
      <c r="J274" s="256"/>
      <c r="K274" s="27"/>
      <c r="L274" s="256"/>
      <c r="M274" s="256"/>
      <c r="N274" s="256"/>
      <c r="O274" s="256"/>
      <c r="P274" s="256"/>
      <c r="Q274" s="27"/>
    </row>
    <row r="275" spans="2:17" x14ac:dyDescent="0.25">
      <c r="B275" s="24" t="str">
        <f t="shared" si="401"/>
        <v>-</v>
      </c>
      <c r="C275" s="257"/>
      <c r="D275" s="257"/>
      <c r="E275" s="283"/>
      <c r="F275" s="256"/>
      <c r="G275" s="256"/>
      <c r="H275" s="256"/>
      <c r="I275" s="256"/>
      <c r="J275" s="256"/>
      <c r="K275" s="27"/>
      <c r="L275" s="256"/>
      <c r="M275" s="256"/>
      <c r="N275" s="256"/>
      <c r="O275" s="256"/>
      <c r="P275" s="256"/>
      <c r="Q275" s="27"/>
    </row>
    <row r="276" spans="2:17" x14ac:dyDescent="0.25">
      <c r="B276" s="24" t="str">
        <f t="shared" si="401"/>
        <v>-</v>
      </c>
      <c r="C276" s="257"/>
      <c r="D276" s="257"/>
      <c r="E276" s="283"/>
      <c r="F276" s="256"/>
      <c r="G276" s="256"/>
      <c r="H276" s="256"/>
      <c r="I276" s="256"/>
      <c r="J276" s="256"/>
      <c r="K276" s="27"/>
      <c r="L276" s="256"/>
      <c r="M276" s="256"/>
      <c r="N276" s="256"/>
      <c r="O276" s="256"/>
      <c r="P276" s="256"/>
      <c r="Q276" s="27"/>
    </row>
    <row r="277" spans="2:17" x14ac:dyDescent="0.25">
      <c r="B277" s="24" t="str">
        <f t="shared" si="401"/>
        <v>-</v>
      </c>
      <c r="C277" s="257"/>
      <c r="D277" s="257"/>
      <c r="E277" s="283"/>
      <c r="F277" s="256"/>
      <c r="G277" s="256"/>
      <c r="H277" s="256"/>
      <c r="I277" s="256"/>
      <c r="J277" s="256"/>
      <c r="K277" s="27"/>
      <c r="L277" s="256"/>
      <c r="M277" s="256"/>
      <c r="N277" s="256"/>
      <c r="O277" s="256"/>
      <c r="P277" s="256"/>
      <c r="Q277" s="27"/>
    </row>
    <row r="278" spans="2:17" x14ac:dyDescent="0.25">
      <c r="B278" s="24" t="str">
        <f t="shared" si="401"/>
        <v>-</v>
      </c>
      <c r="C278" s="257"/>
      <c r="D278" s="257"/>
      <c r="E278" s="283"/>
      <c r="F278" s="256"/>
      <c r="G278" s="256"/>
      <c r="H278" s="256"/>
      <c r="I278" s="256"/>
      <c r="J278" s="256"/>
      <c r="K278" s="27"/>
      <c r="L278" s="256"/>
      <c r="M278" s="256"/>
      <c r="N278" s="256"/>
      <c r="O278" s="256"/>
      <c r="P278" s="256"/>
      <c r="Q278" s="27"/>
    </row>
    <row r="279" spans="2:17" x14ac:dyDescent="0.25">
      <c r="B279" s="24" t="str">
        <f t="shared" si="401"/>
        <v>-</v>
      </c>
      <c r="C279" s="257"/>
      <c r="D279" s="257"/>
      <c r="E279" s="283"/>
      <c r="F279" s="256"/>
      <c r="G279" s="256"/>
      <c r="H279" s="256"/>
      <c r="I279" s="256"/>
      <c r="J279" s="256"/>
      <c r="K279" s="27"/>
      <c r="L279" s="256"/>
      <c r="M279" s="256"/>
      <c r="N279" s="256"/>
      <c r="O279" s="256"/>
      <c r="P279" s="256"/>
      <c r="Q279" s="27"/>
    </row>
    <row r="280" spans="2:17" x14ac:dyDescent="0.25">
      <c r="B280" s="24" t="str">
        <f t="shared" si="401"/>
        <v>-</v>
      </c>
      <c r="C280" s="257"/>
      <c r="D280" s="257"/>
      <c r="E280" s="283"/>
      <c r="F280" s="256"/>
      <c r="G280" s="256"/>
      <c r="H280" s="256"/>
      <c r="I280" s="256"/>
      <c r="J280" s="256"/>
      <c r="K280" s="27"/>
      <c r="L280" s="256"/>
      <c r="M280" s="256"/>
      <c r="N280" s="256"/>
      <c r="O280" s="256"/>
      <c r="P280" s="256"/>
      <c r="Q280" s="27"/>
    </row>
    <row r="281" spans="2:17" x14ac:dyDescent="0.25">
      <c r="B281" s="24" t="str">
        <f t="shared" si="401"/>
        <v>-</v>
      </c>
      <c r="C281" s="257"/>
      <c r="D281" s="257"/>
      <c r="E281" s="283"/>
      <c r="F281" s="256"/>
      <c r="G281" s="256"/>
      <c r="H281" s="256"/>
      <c r="I281" s="256"/>
      <c r="J281" s="256"/>
      <c r="K281" s="27"/>
      <c r="L281" s="256"/>
      <c r="M281" s="256"/>
      <c r="N281" s="256"/>
      <c r="O281" s="256"/>
      <c r="P281" s="256"/>
      <c r="Q281" s="27"/>
    </row>
    <row r="282" spans="2:17" x14ac:dyDescent="0.25">
      <c r="B282" s="24" t="str">
        <f t="shared" si="401"/>
        <v>-</v>
      </c>
      <c r="C282" s="257"/>
      <c r="D282" s="257"/>
      <c r="E282" s="283"/>
      <c r="F282" s="256"/>
      <c r="G282" s="256"/>
      <c r="H282" s="256"/>
      <c r="I282" s="256"/>
      <c r="J282" s="256"/>
      <c r="K282" s="27"/>
      <c r="L282" s="256"/>
      <c r="M282" s="256"/>
      <c r="N282" s="256"/>
      <c r="O282" s="256"/>
      <c r="P282" s="256"/>
      <c r="Q282" s="27"/>
    </row>
    <row r="283" spans="2:17" x14ac:dyDescent="0.25">
      <c r="B283" s="24" t="str">
        <f t="shared" si="401"/>
        <v>-</v>
      </c>
      <c r="C283" s="257"/>
      <c r="D283" s="257"/>
      <c r="E283" s="283"/>
      <c r="F283" s="256"/>
      <c r="G283" s="256"/>
      <c r="H283" s="256"/>
      <c r="I283" s="256"/>
      <c r="J283" s="256"/>
      <c r="K283" s="27"/>
      <c r="L283" s="256"/>
      <c r="M283" s="256"/>
      <c r="N283" s="256"/>
      <c r="O283" s="256"/>
      <c r="P283" s="256"/>
      <c r="Q283" s="27"/>
    </row>
    <row r="284" spans="2:17" x14ac:dyDescent="0.25">
      <c r="B284" s="24" t="str">
        <f t="shared" si="401"/>
        <v>-</v>
      </c>
      <c r="C284" s="257"/>
      <c r="D284" s="257"/>
      <c r="E284" s="283"/>
      <c r="F284" s="256"/>
      <c r="G284" s="256"/>
      <c r="H284" s="256"/>
      <c r="I284" s="256"/>
      <c r="J284" s="256"/>
      <c r="K284" s="27"/>
      <c r="L284" s="256"/>
      <c r="M284" s="256"/>
      <c r="N284" s="256"/>
      <c r="O284" s="256"/>
      <c r="P284" s="256"/>
      <c r="Q284" s="27"/>
    </row>
    <row r="285" spans="2:17" x14ac:dyDescent="0.25">
      <c r="B285" s="24" t="str">
        <f t="shared" si="401"/>
        <v>-</v>
      </c>
      <c r="C285" s="257"/>
      <c r="D285" s="257"/>
      <c r="E285" s="283"/>
      <c r="F285" s="256"/>
      <c r="G285" s="256"/>
      <c r="H285" s="256"/>
      <c r="I285" s="256"/>
      <c r="J285" s="256"/>
      <c r="K285" s="27"/>
      <c r="L285" s="256"/>
      <c r="M285" s="256"/>
      <c r="N285" s="256"/>
      <c r="O285" s="256"/>
      <c r="P285" s="256"/>
      <c r="Q285" s="27"/>
    </row>
    <row r="286" spans="2:17" x14ac:dyDescent="0.25">
      <c r="B286" s="24" t="str">
        <f t="shared" si="401"/>
        <v>-</v>
      </c>
      <c r="C286" s="257"/>
      <c r="D286" s="257"/>
      <c r="E286" s="283"/>
      <c r="F286" s="256"/>
      <c r="G286" s="256"/>
      <c r="H286" s="256"/>
      <c r="I286" s="256"/>
      <c r="J286" s="256"/>
      <c r="K286" s="27"/>
      <c r="L286" s="256"/>
      <c r="M286" s="256"/>
      <c r="N286" s="256"/>
      <c r="O286" s="256"/>
      <c r="P286" s="256"/>
      <c r="Q286" s="27"/>
    </row>
    <row r="287" spans="2:17" x14ac:dyDescent="0.25">
      <c r="B287" s="24" t="str">
        <f t="shared" si="401"/>
        <v>-</v>
      </c>
      <c r="C287" s="257"/>
      <c r="D287" s="257"/>
      <c r="E287" s="283"/>
      <c r="F287" s="256"/>
      <c r="G287" s="256"/>
      <c r="H287" s="256"/>
      <c r="I287" s="256"/>
      <c r="J287" s="256"/>
      <c r="K287" s="27"/>
      <c r="L287" s="256"/>
      <c r="M287" s="256"/>
      <c r="N287" s="256"/>
      <c r="O287" s="256"/>
      <c r="P287" s="256"/>
      <c r="Q287" s="27"/>
    </row>
    <row r="288" spans="2:17" x14ac:dyDescent="0.25">
      <c r="B288" s="24" t="str">
        <f t="shared" si="401"/>
        <v>-</v>
      </c>
      <c r="C288" s="257"/>
      <c r="D288" s="257"/>
      <c r="E288" s="283"/>
      <c r="F288" s="256"/>
      <c r="G288" s="256"/>
      <c r="H288" s="256"/>
      <c r="I288" s="256"/>
      <c r="J288" s="256"/>
      <c r="K288" s="27"/>
      <c r="L288" s="256"/>
      <c r="M288" s="256"/>
      <c r="N288" s="256"/>
      <c r="O288" s="256"/>
      <c r="P288" s="256"/>
      <c r="Q288" s="27"/>
    </row>
    <row r="289" spans="2:17" x14ac:dyDescent="0.25">
      <c r="B289" s="24" t="str">
        <f t="shared" si="401"/>
        <v>-</v>
      </c>
      <c r="C289" s="257"/>
      <c r="D289" s="257"/>
      <c r="E289" s="283"/>
      <c r="F289" s="256"/>
      <c r="G289" s="256"/>
      <c r="H289" s="256"/>
      <c r="I289" s="256"/>
      <c r="J289" s="256"/>
      <c r="K289" s="27"/>
      <c r="L289" s="256"/>
      <c r="M289" s="256"/>
      <c r="N289" s="256"/>
      <c r="O289" s="256"/>
      <c r="P289" s="256"/>
      <c r="Q289" s="27"/>
    </row>
    <row r="290" spans="2:17" x14ac:dyDescent="0.25">
      <c r="B290" s="24" t="str">
        <f t="shared" si="401"/>
        <v>-</v>
      </c>
      <c r="C290" s="257"/>
      <c r="D290" s="257"/>
      <c r="E290" s="283"/>
      <c r="F290" s="256"/>
      <c r="G290" s="256"/>
      <c r="H290" s="256"/>
      <c r="I290" s="256"/>
      <c r="J290" s="256"/>
      <c r="K290" s="27"/>
      <c r="L290" s="256"/>
      <c r="M290" s="256"/>
      <c r="N290" s="256"/>
      <c r="O290" s="256"/>
      <c r="P290" s="256"/>
      <c r="Q290" s="27"/>
    </row>
    <row r="291" spans="2:17" x14ac:dyDescent="0.25">
      <c r="B291" s="24" t="str">
        <f t="shared" si="401"/>
        <v>-</v>
      </c>
      <c r="C291" s="257"/>
      <c r="D291" s="257"/>
      <c r="E291" s="283"/>
      <c r="F291" s="256"/>
      <c r="G291" s="256"/>
      <c r="H291" s="256"/>
      <c r="I291" s="256"/>
      <c r="J291" s="256"/>
      <c r="K291" s="27"/>
      <c r="L291" s="256"/>
      <c r="M291" s="256"/>
      <c r="N291" s="256"/>
      <c r="O291" s="256"/>
      <c r="P291" s="256"/>
      <c r="Q291" s="27"/>
    </row>
    <row r="292" spans="2:17" x14ac:dyDescent="0.25">
      <c r="B292" s="24" t="str">
        <f t="shared" si="401"/>
        <v>-</v>
      </c>
      <c r="C292" s="257"/>
      <c r="D292" s="257"/>
      <c r="E292" s="283"/>
      <c r="F292" s="256"/>
      <c r="G292" s="256"/>
      <c r="H292" s="256"/>
      <c r="I292" s="256"/>
      <c r="J292" s="256"/>
      <c r="K292" s="256"/>
      <c r="L292" s="256"/>
      <c r="M292" s="256"/>
      <c r="N292" s="256"/>
      <c r="O292" s="256"/>
      <c r="P292" s="256"/>
      <c r="Q292" s="256"/>
    </row>
    <row r="293" spans="2:17" x14ac:dyDescent="0.25">
      <c r="B293" s="24" t="str">
        <f t="shared" si="401"/>
        <v>-</v>
      </c>
      <c r="C293" s="257"/>
      <c r="D293" s="257"/>
      <c r="E293" s="283"/>
      <c r="F293" s="256"/>
      <c r="G293" s="256"/>
      <c r="H293" s="256"/>
      <c r="I293" s="256"/>
      <c r="J293" s="256"/>
      <c r="K293" s="256"/>
      <c r="L293" s="256"/>
      <c r="M293" s="256"/>
      <c r="N293" s="256"/>
      <c r="O293" s="256"/>
      <c r="P293" s="256"/>
      <c r="Q293" s="256"/>
    </row>
    <row r="294" spans="2:17" x14ac:dyDescent="0.25">
      <c r="B294" s="24" t="str">
        <f t="shared" si="401"/>
        <v>-</v>
      </c>
      <c r="C294" s="257"/>
      <c r="D294" s="257"/>
      <c r="E294" s="283"/>
      <c r="F294" s="256"/>
      <c r="G294" s="256"/>
      <c r="H294" s="256"/>
      <c r="I294" s="256"/>
      <c r="J294" s="256"/>
      <c r="K294" s="256"/>
      <c r="L294" s="256"/>
      <c r="M294" s="256"/>
      <c r="N294" s="256"/>
      <c r="O294" s="256"/>
      <c r="P294" s="256"/>
      <c r="Q294" s="256"/>
    </row>
    <row r="295" spans="2:17" x14ac:dyDescent="0.25">
      <c r="B295" s="24" t="str">
        <f t="shared" si="401"/>
        <v>-</v>
      </c>
      <c r="C295" s="257"/>
      <c r="D295" s="257"/>
      <c r="E295" s="283"/>
      <c r="F295" s="256"/>
      <c r="G295" s="256"/>
      <c r="H295" s="256"/>
      <c r="I295" s="256"/>
      <c r="J295" s="256"/>
      <c r="K295" s="256"/>
      <c r="L295" s="256"/>
      <c r="M295" s="256"/>
      <c r="N295" s="256"/>
      <c r="O295" s="256"/>
      <c r="P295" s="256"/>
      <c r="Q295" s="256"/>
    </row>
    <row r="296" spans="2:17" x14ac:dyDescent="0.25">
      <c r="B296" s="24" t="str">
        <f t="shared" si="401"/>
        <v>-</v>
      </c>
      <c r="C296" s="257"/>
      <c r="D296" s="257"/>
      <c r="E296" s="283"/>
      <c r="F296" s="256"/>
      <c r="G296" s="256"/>
      <c r="H296" s="256"/>
      <c r="I296" s="256"/>
      <c r="J296" s="256"/>
      <c r="K296" s="256"/>
      <c r="L296" s="256"/>
      <c r="M296" s="256"/>
      <c r="N296" s="256"/>
      <c r="O296" s="256"/>
      <c r="P296" s="256"/>
      <c r="Q296" s="256"/>
    </row>
    <row r="297" spans="2:17" x14ac:dyDescent="0.25">
      <c r="B297" s="24" t="str">
        <f t="shared" si="401"/>
        <v>-</v>
      </c>
      <c r="C297" s="257"/>
      <c r="D297" s="257"/>
      <c r="E297" s="283"/>
      <c r="F297" s="256"/>
      <c r="G297" s="256"/>
      <c r="H297" s="256"/>
      <c r="I297" s="256"/>
      <c r="J297" s="256"/>
      <c r="K297" s="256"/>
      <c r="L297" s="256"/>
      <c r="M297" s="256"/>
      <c r="N297" s="256"/>
      <c r="O297" s="256"/>
      <c r="P297" s="256"/>
      <c r="Q297" s="256"/>
    </row>
    <row r="298" spans="2:17" x14ac:dyDescent="0.25">
      <c r="B298" s="24" t="str">
        <f t="shared" si="401"/>
        <v>-</v>
      </c>
      <c r="C298" s="257"/>
      <c r="D298" s="257"/>
      <c r="E298" s="283"/>
      <c r="F298" s="256"/>
      <c r="G298" s="256"/>
      <c r="H298" s="256"/>
      <c r="I298" s="256"/>
      <c r="J298" s="256"/>
      <c r="K298" s="256"/>
      <c r="L298" s="256"/>
      <c r="M298" s="256"/>
      <c r="N298" s="256"/>
      <c r="O298" s="256"/>
      <c r="P298" s="256"/>
      <c r="Q298" s="256"/>
    </row>
    <row r="299" spans="2:17" x14ac:dyDescent="0.25">
      <c r="B299" s="24" t="str">
        <f t="shared" si="401"/>
        <v>-</v>
      </c>
      <c r="C299" s="257"/>
      <c r="D299" s="257"/>
      <c r="E299" s="283"/>
      <c r="F299" s="256"/>
      <c r="G299" s="256"/>
      <c r="H299" s="256"/>
      <c r="I299" s="256"/>
      <c r="J299" s="256"/>
      <c r="K299" s="256"/>
      <c r="L299" s="256"/>
      <c r="M299" s="256"/>
      <c r="N299" s="256"/>
      <c r="O299" s="256"/>
      <c r="P299" s="256"/>
      <c r="Q299" s="256"/>
    </row>
    <row r="300" spans="2:17" x14ac:dyDescent="0.25">
      <c r="B300" s="24" t="str">
        <f t="shared" si="401"/>
        <v>-</v>
      </c>
      <c r="C300" s="257"/>
      <c r="D300" s="257"/>
      <c r="E300" s="283"/>
      <c r="F300" s="256"/>
      <c r="G300" s="256"/>
      <c r="H300" s="256"/>
      <c r="I300" s="256"/>
      <c r="J300" s="256"/>
      <c r="K300" s="256"/>
      <c r="L300" s="256"/>
      <c r="M300" s="256"/>
      <c r="N300" s="256"/>
      <c r="O300" s="256"/>
      <c r="P300" s="256"/>
      <c r="Q300" s="256"/>
    </row>
    <row r="301" spans="2:17" x14ac:dyDescent="0.25">
      <c r="B301" s="24" t="str">
        <f t="shared" si="401"/>
        <v>-</v>
      </c>
      <c r="C301" s="257"/>
      <c r="D301" s="257"/>
      <c r="E301" s="283"/>
      <c r="F301" s="256"/>
      <c r="G301" s="256"/>
      <c r="H301" s="256"/>
      <c r="I301" s="256"/>
      <c r="J301" s="256"/>
      <c r="K301" s="256"/>
      <c r="L301" s="256"/>
      <c r="M301" s="256"/>
      <c r="N301" s="256"/>
      <c r="O301" s="256"/>
      <c r="P301" s="256"/>
      <c r="Q301" s="256"/>
    </row>
    <row r="302" spans="2:17" x14ac:dyDescent="0.25">
      <c r="B302" s="24" t="str">
        <f t="shared" si="401"/>
        <v>-</v>
      </c>
      <c r="C302" s="257"/>
      <c r="D302" s="257"/>
      <c r="E302" s="283"/>
      <c r="F302" s="256"/>
      <c r="G302" s="256"/>
      <c r="H302" s="256"/>
      <c r="I302" s="256"/>
      <c r="J302" s="256"/>
      <c r="K302" s="256"/>
      <c r="L302" s="256"/>
      <c r="M302" s="256"/>
      <c r="N302" s="256"/>
      <c r="O302" s="256"/>
      <c r="P302" s="256"/>
      <c r="Q302" s="256"/>
    </row>
    <row r="303" spans="2:17" x14ac:dyDescent="0.25">
      <c r="B303" s="24" t="str">
        <f t="shared" si="401"/>
        <v>-</v>
      </c>
      <c r="C303" s="257"/>
      <c r="D303" s="257"/>
      <c r="E303" s="283"/>
      <c r="F303" s="256"/>
      <c r="G303" s="256"/>
      <c r="H303" s="256"/>
      <c r="I303" s="256"/>
      <c r="J303" s="256"/>
      <c r="K303" s="256"/>
      <c r="L303" s="256"/>
      <c r="M303" s="256"/>
      <c r="N303" s="256"/>
      <c r="O303" s="256"/>
      <c r="P303" s="256"/>
      <c r="Q303" s="256"/>
    </row>
    <row r="304" spans="2:17" x14ac:dyDescent="0.25">
      <c r="B304" s="24" t="str">
        <f t="shared" si="401"/>
        <v>-</v>
      </c>
      <c r="C304" s="257"/>
      <c r="D304" s="257"/>
      <c r="E304" s="283"/>
      <c r="F304" s="256"/>
      <c r="G304" s="256"/>
      <c r="H304" s="256"/>
      <c r="I304" s="256"/>
      <c r="J304" s="256"/>
      <c r="K304" s="256"/>
      <c r="L304" s="256"/>
      <c r="M304" s="256"/>
      <c r="N304" s="256"/>
      <c r="O304" s="256"/>
      <c r="P304" s="256"/>
      <c r="Q304" s="256"/>
    </row>
    <row r="305" spans="2:2" x14ac:dyDescent="0.25">
      <c r="B305" s="24" t="str">
        <f t="shared" si="401"/>
        <v>-</v>
      </c>
    </row>
    <row r="306" spans="2:2" x14ac:dyDescent="0.25">
      <c r="B306" s="24" t="str">
        <f t="shared" si="401"/>
        <v>-</v>
      </c>
    </row>
    <row r="307" spans="2:2" x14ac:dyDescent="0.25">
      <c r="B307" s="24" t="str">
        <f t="shared" si="401"/>
        <v>-</v>
      </c>
    </row>
    <row r="308" spans="2:2" x14ac:dyDescent="0.25">
      <c r="B308" s="24" t="str">
        <f t="shared" si="401"/>
        <v>-</v>
      </c>
    </row>
    <row r="309" spans="2:2" x14ac:dyDescent="0.25">
      <c r="B309" s="24" t="str">
        <f t="shared" si="401"/>
        <v>-</v>
      </c>
    </row>
    <row r="310" spans="2:2" x14ac:dyDescent="0.25">
      <c r="B310" s="24" t="str">
        <f t="shared" si="401"/>
        <v>-</v>
      </c>
    </row>
    <row r="311" spans="2:2" x14ac:dyDescent="0.25">
      <c r="B311" s="24" t="str">
        <f t="shared" si="401"/>
        <v>-</v>
      </c>
    </row>
    <row r="312" spans="2:2" x14ac:dyDescent="0.25">
      <c r="B312" s="24" t="str">
        <f t="shared" si="401"/>
        <v>-</v>
      </c>
    </row>
    <row r="313" spans="2:2" x14ac:dyDescent="0.25">
      <c r="B313" s="24" t="str">
        <f t="shared" si="401"/>
        <v>-</v>
      </c>
    </row>
    <row r="314" spans="2:2" x14ac:dyDescent="0.25">
      <c r="B314" s="24" t="str">
        <f t="shared" si="401"/>
        <v>-</v>
      </c>
    </row>
    <row r="315" spans="2:2" x14ac:dyDescent="0.25">
      <c r="B315" s="24" t="str">
        <f t="shared" si="401"/>
        <v>-</v>
      </c>
    </row>
    <row r="316" spans="2:2" x14ac:dyDescent="0.25">
      <c r="B316" s="24" t="str">
        <f t="shared" si="401"/>
        <v>-</v>
      </c>
    </row>
    <row r="317" spans="2:2" x14ac:dyDescent="0.25">
      <c r="B317" s="24" t="str">
        <f t="shared" si="401"/>
        <v>-</v>
      </c>
    </row>
    <row r="318" spans="2:2" x14ac:dyDescent="0.25">
      <c r="B318" s="24" t="str">
        <f t="shared" si="401"/>
        <v>-</v>
      </c>
    </row>
    <row r="319" spans="2:2" x14ac:dyDescent="0.25">
      <c r="B319" s="24" t="str">
        <f t="shared" si="401"/>
        <v>-</v>
      </c>
    </row>
    <row r="320" spans="2:2" x14ac:dyDescent="0.25">
      <c r="B320" s="24" t="str">
        <f t="shared" si="401"/>
        <v>-</v>
      </c>
    </row>
    <row r="321" spans="2:2" x14ac:dyDescent="0.25">
      <c r="B321" s="24" t="str">
        <f t="shared" si="401"/>
        <v>-</v>
      </c>
    </row>
    <row r="322" spans="2:2" x14ac:dyDescent="0.25">
      <c r="B322" s="24" t="str">
        <f t="shared" si="401"/>
        <v>-</v>
      </c>
    </row>
    <row r="323" spans="2:2" x14ac:dyDescent="0.25">
      <c r="B323" s="24" t="str">
        <f t="shared" si="401"/>
        <v>-</v>
      </c>
    </row>
    <row r="324" spans="2:2" x14ac:dyDescent="0.25">
      <c r="B324" s="24" t="str">
        <f t="shared" si="401"/>
        <v>-</v>
      </c>
    </row>
    <row r="325" spans="2:2" x14ac:dyDescent="0.25">
      <c r="B325" s="24" t="str">
        <f t="shared" si="401"/>
        <v>-</v>
      </c>
    </row>
    <row r="326" spans="2:2" x14ac:dyDescent="0.25">
      <c r="B326" s="24" t="str">
        <f t="shared" si="401"/>
        <v>-</v>
      </c>
    </row>
    <row r="327" spans="2:2" x14ac:dyDescent="0.25">
      <c r="B327" s="24" t="str">
        <f t="shared" si="401"/>
        <v>-</v>
      </c>
    </row>
    <row r="328" spans="2:2" x14ac:dyDescent="0.25">
      <c r="B328" s="24" t="str">
        <f t="shared" si="401"/>
        <v>-</v>
      </c>
    </row>
    <row r="329" spans="2:2" x14ac:dyDescent="0.25">
      <c r="B329" s="24" t="str">
        <f t="shared" si="401"/>
        <v>-</v>
      </c>
    </row>
    <row r="330" spans="2:2" x14ac:dyDescent="0.25">
      <c r="B330" s="24" t="str">
        <f t="shared" si="401"/>
        <v>-</v>
      </c>
    </row>
    <row r="331" spans="2:2" x14ac:dyDescent="0.25">
      <c r="B331" s="24" t="str">
        <f t="shared" si="401"/>
        <v>-</v>
      </c>
    </row>
    <row r="332" spans="2:2" x14ac:dyDescent="0.25">
      <c r="B332" s="24" t="str">
        <f t="shared" si="401"/>
        <v>-</v>
      </c>
    </row>
    <row r="333" spans="2:2" x14ac:dyDescent="0.25">
      <c r="B333" s="24" t="str">
        <f t="shared" si="401"/>
        <v>-</v>
      </c>
    </row>
    <row r="334" spans="2:2" x14ac:dyDescent="0.25">
      <c r="B334" s="24" t="str">
        <f t="shared" si="401"/>
        <v>-</v>
      </c>
    </row>
    <row r="335" spans="2:2" x14ac:dyDescent="0.25">
      <c r="B335" s="24" t="str">
        <f t="shared" si="401"/>
        <v>-</v>
      </c>
    </row>
    <row r="336" spans="2:2" x14ac:dyDescent="0.25">
      <c r="B336" s="24" t="str">
        <f t="shared" si="401"/>
        <v>-</v>
      </c>
    </row>
    <row r="337" spans="2:2" x14ac:dyDescent="0.25">
      <c r="B337" s="24" t="str">
        <f t="shared" si="401"/>
        <v>-</v>
      </c>
    </row>
    <row r="338" spans="2:2" x14ac:dyDescent="0.25">
      <c r="B338" s="24" t="str">
        <f t="shared" ref="B338:B401" si="402">IF(A338&gt;A337,1+B337,"-")</f>
        <v>-</v>
      </c>
    </row>
    <row r="339" spans="2:2" x14ac:dyDescent="0.25">
      <c r="B339" s="24" t="str">
        <f t="shared" si="402"/>
        <v>-</v>
      </c>
    </row>
    <row r="340" spans="2:2" x14ac:dyDescent="0.25">
      <c r="B340" s="24" t="str">
        <f t="shared" si="402"/>
        <v>-</v>
      </c>
    </row>
    <row r="341" spans="2:2" x14ac:dyDescent="0.25">
      <c r="B341" s="24" t="str">
        <f t="shared" si="402"/>
        <v>-</v>
      </c>
    </row>
    <row r="342" spans="2:2" x14ac:dyDescent="0.25">
      <c r="B342" s="24" t="str">
        <f t="shared" si="402"/>
        <v>-</v>
      </c>
    </row>
    <row r="343" spans="2:2" x14ac:dyDescent="0.25">
      <c r="B343" s="24" t="str">
        <f t="shared" si="402"/>
        <v>-</v>
      </c>
    </row>
    <row r="344" spans="2:2" x14ac:dyDescent="0.25">
      <c r="B344" s="24" t="str">
        <f t="shared" si="402"/>
        <v>-</v>
      </c>
    </row>
    <row r="345" spans="2:2" x14ac:dyDescent="0.25">
      <c r="B345" s="24" t="str">
        <f t="shared" si="402"/>
        <v>-</v>
      </c>
    </row>
    <row r="346" spans="2:2" x14ac:dyDescent="0.25">
      <c r="B346" s="24" t="str">
        <f t="shared" si="402"/>
        <v>-</v>
      </c>
    </row>
    <row r="347" spans="2:2" x14ac:dyDescent="0.25">
      <c r="B347" s="24" t="str">
        <f t="shared" si="402"/>
        <v>-</v>
      </c>
    </row>
    <row r="348" spans="2:2" x14ac:dyDescent="0.25">
      <c r="B348" s="24" t="str">
        <f t="shared" si="402"/>
        <v>-</v>
      </c>
    </row>
    <row r="349" spans="2:2" x14ac:dyDescent="0.25">
      <c r="B349" s="24" t="str">
        <f t="shared" si="402"/>
        <v>-</v>
      </c>
    </row>
    <row r="350" spans="2:2" x14ac:dyDescent="0.25">
      <c r="B350" s="24" t="str">
        <f t="shared" si="402"/>
        <v>-</v>
      </c>
    </row>
    <row r="351" spans="2:2" x14ac:dyDescent="0.25">
      <c r="B351" s="24" t="str">
        <f t="shared" si="402"/>
        <v>-</v>
      </c>
    </row>
    <row r="352" spans="2:2" x14ac:dyDescent="0.25">
      <c r="B352" s="24" t="str">
        <f t="shared" si="402"/>
        <v>-</v>
      </c>
    </row>
    <row r="353" spans="2:2" x14ac:dyDescent="0.25">
      <c r="B353" s="24" t="str">
        <f t="shared" si="402"/>
        <v>-</v>
      </c>
    </row>
    <row r="354" spans="2:2" x14ac:dyDescent="0.25">
      <c r="B354" s="24" t="str">
        <f t="shared" si="402"/>
        <v>-</v>
      </c>
    </row>
    <row r="355" spans="2:2" x14ac:dyDescent="0.25">
      <c r="B355" s="24" t="str">
        <f t="shared" si="402"/>
        <v>-</v>
      </c>
    </row>
    <row r="356" spans="2:2" x14ac:dyDescent="0.25">
      <c r="B356" s="24" t="str">
        <f t="shared" si="402"/>
        <v>-</v>
      </c>
    </row>
    <row r="357" spans="2:2" x14ac:dyDescent="0.25">
      <c r="B357" s="24" t="str">
        <f t="shared" si="402"/>
        <v>-</v>
      </c>
    </row>
    <row r="358" spans="2:2" x14ac:dyDescent="0.25">
      <c r="B358" s="24" t="str">
        <f t="shared" si="402"/>
        <v>-</v>
      </c>
    </row>
    <row r="359" spans="2:2" x14ac:dyDescent="0.25">
      <c r="B359" s="24" t="str">
        <f t="shared" si="402"/>
        <v>-</v>
      </c>
    </row>
    <row r="360" spans="2:2" x14ac:dyDescent="0.25">
      <c r="B360" s="24" t="str">
        <f t="shared" si="402"/>
        <v>-</v>
      </c>
    </row>
    <row r="361" spans="2:2" x14ac:dyDescent="0.25">
      <c r="B361" s="24" t="str">
        <f t="shared" si="402"/>
        <v>-</v>
      </c>
    </row>
    <row r="362" spans="2:2" x14ac:dyDescent="0.25">
      <c r="B362" s="24" t="str">
        <f t="shared" si="402"/>
        <v>-</v>
      </c>
    </row>
    <row r="363" spans="2:2" x14ac:dyDescent="0.25">
      <c r="B363" s="24" t="str">
        <f t="shared" si="402"/>
        <v>-</v>
      </c>
    </row>
    <row r="364" spans="2:2" x14ac:dyDescent="0.25">
      <c r="B364" s="24" t="str">
        <f t="shared" si="402"/>
        <v>-</v>
      </c>
    </row>
    <row r="365" spans="2:2" x14ac:dyDescent="0.25">
      <c r="B365" s="24" t="str">
        <f t="shared" si="402"/>
        <v>-</v>
      </c>
    </row>
    <row r="366" spans="2:2" x14ac:dyDescent="0.25">
      <c r="B366" s="24" t="str">
        <f t="shared" si="402"/>
        <v>-</v>
      </c>
    </row>
    <row r="367" spans="2:2" x14ac:dyDescent="0.25">
      <c r="B367" s="24" t="str">
        <f t="shared" si="402"/>
        <v>-</v>
      </c>
    </row>
    <row r="368" spans="2:2" x14ac:dyDescent="0.25">
      <c r="B368" s="24" t="str">
        <f t="shared" si="402"/>
        <v>-</v>
      </c>
    </row>
    <row r="369" spans="2:2" x14ac:dyDescent="0.25">
      <c r="B369" s="24" t="str">
        <f t="shared" si="402"/>
        <v>-</v>
      </c>
    </row>
    <row r="370" spans="2:2" x14ac:dyDescent="0.25">
      <c r="B370" s="24" t="str">
        <f t="shared" si="402"/>
        <v>-</v>
      </c>
    </row>
    <row r="371" spans="2:2" x14ac:dyDescent="0.25">
      <c r="B371" s="24" t="str">
        <f t="shared" si="402"/>
        <v>-</v>
      </c>
    </row>
    <row r="372" spans="2:2" x14ac:dyDescent="0.25">
      <c r="B372" s="24" t="str">
        <f t="shared" si="402"/>
        <v>-</v>
      </c>
    </row>
    <row r="373" spans="2:2" x14ac:dyDescent="0.25">
      <c r="B373" s="24" t="str">
        <f t="shared" si="402"/>
        <v>-</v>
      </c>
    </row>
    <row r="374" spans="2:2" x14ac:dyDescent="0.25">
      <c r="B374" s="24" t="str">
        <f t="shared" si="402"/>
        <v>-</v>
      </c>
    </row>
    <row r="375" spans="2:2" x14ac:dyDescent="0.25">
      <c r="B375" s="24" t="str">
        <f t="shared" si="402"/>
        <v>-</v>
      </c>
    </row>
    <row r="376" spans="2:2" x14ac:dyDescent="0.25">
      <c r="B376" s="24" t="str">
        <f t="shared" si="402"/>
        <v>-</v>
      </c>
    </row>
    <row r="377" spans="2:2" x14ac:dyDescent="0.25">
      <c r="B377" s="24" t="str">
        <f t="shared" si="402"/>
        <v>-</v>
      </c>
    </row>
    <row r="378" spans="2:2" x14ac:dyDescent="0.25">
      <c r="B378" s="24" t="str">
        <f t="shared" si="402"/>
        <v>-</v>
      </c>
    </row>
    <row r="379" spans="2:2" x14ac:dyDescent="0.25">
      <c r="B379" s="24" t="str">
        <f t="shared" si="402"/>
        <v>-</v>
      </c>
    </row>
    <row r="380" spans="2:2" x14ac:dyDescent="0.25">
      <c r="B380" s="24" t="str">
        <f t="shared" si="402"/>
        <v>-</v>
      </c>
    </row>
    <row r="381" spans="2:2" x14ac:dyDescent="0.25">
      <c r="B381" s="24" t="str">
        <f t="shared" si="402"/>
        <v>-</v>
      </c>
    </row>
    <row r="382" spans="2:2" x14ac:dyDescent="0.25">
      <c r="B382" s="24" t="str">
        <f t="shared" si="402"/>
        <v>-</v>
      </c>
    </row>
    <row r="383" spans="2:2" x14ac:dyDescent="0.25">
      <c r="B383" s="24" t="str">
        <f t="shared" si="402"/>
        <v>-</v>
      </c>
    </row>
    <row r="384" spans="2:2" x14ac:dyDescent="0.25">
      <c r="B384" s="24" t="str">
        <f t="shared" si="402"/>
        <v>-</v>
      </c>
    </row>
    <row r="385" spans="2:2" x14ac:dyDescent="0.25">
      <c r="B385" s="24" t="str">
        <f t="shared" si="402"/>
        <v>-</v>
      </c>
    </row>
    <row r="386" spans="2:2" x14ac:dyDescent="0.25">
      <c r="B386" s="24" t="str">
        <f t="shared" si="402"/>
        <v>-</v>
      </c>
    </row>
    <row r="387" spans="2:2" x14ac:dyDescent="0.25">
      <c r="B387" s="24" t="str">
        <f t="shared" si="402"/>
        <v>-</v>
      </c>
    </row>
    <row r="388" spans="2:2" x14ac:dyDescent="0.25">
      <c r="B388" s="24" t="str">
        <f t="shared" si="402"/>
        <v>-</v>
      </c>
    </row>
    <row r="389" spans="2:2" x14ac:dyDescent="0.25">
      <c r="B389" s="24" t="str">
        <f t="shared" si="402"/>
        <v>-</v>
      </c>
    </row>
    <row r="390" spans="2:2" x14ac:dyDescent="0.25">
      <c r="B390" s="24" t="str">
        <f t="shared" si="402"/>
        <v>-</v>
      </c>
    </row>
    <row r="391" spans="2:2" x14ac:dyDescent="0.25">
      <c r="B391" s="24" t="str">
        <f t="shared" si="402"/>
        <v>-</v>
      </c>
    </row>
    <row r="392" spans="2:2" x14ac:dyDescent="0.25">
      <c r="B392" s="24" t="str">
        <f t="shared" si="402"/>
        <v>-</v>
      </c>
    </row>
    <row r="393" spans="2:2" x14ac:dyDescent="0.25">
      <c r="B393" s="24" t="str">
        <f t="shared" si="402"/>
        <v>-</v>
      </c>
    </row>
    <row r="394" spans="2:2" x14ac:dyDescent="0.25">
      <c r="B394" s="24" t="str">
        <f t="shared" si="402"/>
        <v>-</v>
      </c>
    </row>
    <row r="395" spans="2:2" x14ac:dyDescent="0.25">
      <c r="B395" s="24" t="str">
        <f t="shared" si="402"/>
        <v>-</v>
      </c>
    </row>
    <row r="396" spans="2:2" x14ac:dyDescent="0.25">
      <c r="B396" s="24" t="str">
        <f t="shared" si="402"/>
        <v>-</v>
      </c>
    </row>
    <row r="397" spans="2:2" x14ac:dyDescent="0.25">
      <c r="B397" s="24" t="str">
        <f t="shared" si="402"/>
        <v>-</v>
      </c>
    </row>
    <row r="398" spans="2:2" x14ac:dyDescent="0.25">
      <c r="B398" s="24" t="str">
        <f t="shared" si="402"/>
        <v>-</v>
      </c>
    </row>
    <row r="399" spans="2:2" x14ac:dyDescent="0.25">
      <c r="B399" s="24" t="str">
        <f t="shared" si="402"/>
        <v>-</v>
      </c>
    </row>
    <row r="400" spans="2:2" x14ac:dyDescent="0.25">
      <c r="B400" s="24" t="str">
        <f t="shared" si="402"/>
        <v>-</v>
      </c>
    </row>
    <row r="401" spans="2:2" x14ac:dyDescent="0.25">
      <c r="B401" s="24" t="str">
        <f t="shared" si="402"/>
        <v>-</v>
      </c>
    </row>
    <row r="402" spans="2:2" x14ac:dyDescent="0.25">
      <c r="B402" s="24" t="str">
        <f t="shared" ref="B402:B465" si="403">IF(A402&gt;A401,1+B401,"-")</f>
        <v>-</v>
      </c>
    </row>
    <row r="403" spans="2:2" x14ac:dyDescent="0.25">
      <c r="B403" s="24" t="str">
        <f t="shared" si="403"/>
        <v>-</v>
      </c>
    </row>
    <row r="404" spans="2:2" x14ac:dyDescent="0.25">
      <c r="B404" s="24" t="str">
        <f t="shared" si="403"/>
        <v>-</v>
      </c>
    </row>
    <row r="405" spans="2:2" x14ac:dyDescent="0.25">
      <c r="B405" s="24" t="str">
        <f t="shared" si="403"/>
        <v>-</v>
      </c>
    </row>
    <row r="406" spans="2:2" x14ac:dyDescent="0.25">
      <c r="B406" s="24" t="str">
        <f t="shared" si="403"/>
        <v>-</v>
      </c>
    </row>
    <row r="407" spans="2:2" x14ac:dyDescent="0.25">
      <c r="B407" s="24" t="str">
        <f t="shared" si="403"/>
        <v>-</v>
      </c>
    </row>
    <row r="408" spans="2:2" x14ac:dyDescent="0.25">
      <c r="B408" s="24" t="str">
        <f t="shared" si="403"/>
        <v>-</v>
      </c>
    </row>
    <row r="409" spans="2:2" x14ac:dyDescent="0.25">
      <c r="B409" s="24" t="str">
        <f t="shared" si="403"/>
        <v>-</v>
      </c>
    </row>
    <row r="410" spans="2:2" x14ac:dyDescent="0.25">
      <c r="B410" s="24" t="str">
        <f t="shared" si="403"/>
        <v>-</v>
      </c>
    </row>
    <row r="411" spans="2:2" x14ac:dyDescent="0.25">
      <c r="B411" s="24" t="str">
        <f t="shared" si="403"/>
        <v>-</v>
      </c>
    </row>
    <row r="412" spans="2:2" x14ac:dyDescent="0.25">
      <c r="B412" s="24" t="str">
        <f t="shared" si="403"/>
        <v>-</v>
      </c>
    </row>
    <row r="413" spans="2:2" x14ac:dyDescent="0.25">
      <c r="B413" s="24" t="str">
        <f t="shared" si="403"/>
        <v>-</v>
      </c>
    </row>
    <row r="414" spans="2:2" x14ac:dyDescent="0.25">
      <c r="B414" s="24" t="str">
        <f t="shared" si="403"/>
        <v>-</v>
      </c>
    </row>
    <row r="415" spans="2:2" x14ac:dyDescent="0.25">
      <c r="B415" s="24" t="str">
        <f t="shared" si="403"/>
        <v>-</v>
      </c>
    </row>
    <row r="416" spans="2:2" x14ac:dyDescent="0.25">
      <c r="B416" s="24" t="str">
        <f t="shared" si="403"/>
        <v>-</v>
      </c>
    </row>
    <row r="417" spans="2:2" x14ac:dyDescent="0.25">
      <c r="B417" s="24" t="str">
        <f t="shared" si="403"/>
        <v>-</v>
      </c>
    </row>
    <row r="418" spans="2:2" x14ac:dyDescent="0.25">
      <c r="B418" s="24" t="str">
        <f t="shared" si="403"/>
        <v>-</v>
      </c>
    </row>
    <row r="419" spans="2:2" x14ac:dyDescent="0.25">
      <c r="B419" s="24" t="str">
        <f t="shared" si="403"/>
        <v>-</v>
      </c>
    </row>
    <row r="420" spans="2:2" x14ac:dyDescent="0.25">
      <c r="B420" s="24" t="str">
        <f t="shared" si="403"/>
        <v>-</v>
      </c>
    </row>
    <row r="421" spans="2:2" x14ac:dyDescent="0.25">
      <c r="B421" s="24" t="str">
        <f t="shared" si="403"/>
        <v>-</v>
      </c>
    </row>
    <row r="422" spans="2:2" x14ac:dyDescent="0.25">
      <c r="B422" s="24" t="str">
        <f t="shared" si="403"/>
        <v>-</v>
      </c>
    </row>
    <row r="423" spans="2:2" x14ac:dyDescent="0.25">
      <c r="B423" s="24" t="str">
        <f t="shared" si="403"/>
        <v>-</v>
      </c>
    </row>
    <row r="424" spans="2:2" x14ac:dyDescent="0.25">
      <c r="B424" s="24" t="str">
        <f t="shared" si="403"/>
        <v>-</v>
      </c>
    </row>
    <row r="425" spans="2:2" x14ac:dyDescent="0.25">
      <c r="B425" s="24" t="str">
        <f t="shared" si="403"/>
        <v>-</v>
      </c>
    </row>
    <row r="426" spans="2:2" x14ac:dyDescent="0.25">
      <c r="B426" s="24" t="str">
        <f t="shared" si="403"/>
        <v>-</v>
      </c>
    </row>
    <row r="427" spans="2:2" x14ac:dyDescent="0.25">
      <c r="B427" s="24" t="str">
        <f t="shared" si="403"/>
        <v>-</v>
      </c>
    </row>
    <row r="428" spans="2:2" x14ac:dyDescent="0.25">
      <c r="B428" s="24" t="str">
        <f t="shared" si="403"/>
        <v>-</v>
      </c>
    </row>
    <row r="429" spans="2:2" x14ac:dyDescent="0.25">
      <c r="B429" s="24" t="str">
        <f t="shared" si="403"/>
        <v>-</v>
      </c>
    </row>
    <row r="430" spans="2:2" x14ac:dyDescent="0.25">
      <c r="B430" s="24" t="str">
        <f t="shared" si="403"/>
        <v>-</v>
      </c>
    </row>
    <row r="431" spans="2:2" x14ac:dyDescent="0.25">
      <c r="B431" s="24" t="str">
        <f t="shared" si="403"/>
        <v>-</v>
      </c>
    </row>
    <row r="432" spans="2:2" x14ac:dyDescent="0.25">
      <c r="B432" s="24" t="str">
        <f t="shared" si="403"/>
        <v>-</v>
      </c>
    </row>
    <row r="433" spans="2:2" x14ac:dyDescent="0.25">
      <c r="B433" s="24" t="str">
        <f t="shared" si="403"/>
        <v>-</v>
      </c>
    </row>
    <row r="434" spans="2:2" x14ac:dyDescent="0.25">
      <c r="B434" s="24" t="str">
        <f t="shared" si="403"/>
        <v>-</v>
      </c>
    </row>
    <row r="435" spans="2:2" x14ac:dyDescent="0.25">
      <c r="B435" s="24" t="str">
        <f t="shared" si="403"/>
        <v>-</v>
      </c>
    </row>
    <row r="436" spans="2:2" x14ac:dyDescent="0.25">
      <c r="B436" s="24" t="str">
        <f t="shared" si="403"/>
        <v>-</v>
      </c>
    </row>
    <row r="437" spans="2:2" x14ac:dyDescent="0.25">
      <c r="B437" s="24" t="str">
        <f t="shared" si="403"/>
        <v>-</v>
      </c>
    </row>
    <row r="438" spans="2:2" x14ac:dyDescent="0.25">
      <c r="B438" s="24" t="str">
        <f t="shared" si="403"/>
        <v>-</v>
      </c>
    </row>
    <row r="439" spans="2:2" x14ac:dyDescent="0.25">
      <c r="B439" s="24" t="str">
        <f t="shared" si="403"/>
        <v>-</v>
      </c>
    </row>
    <row r="440" spans="2:2" x14ac:dyDescent="0.25">
      <c r="B440" s="24" t="str">
        <f t="shared" si="403"/>
        <v>-</v>
      </c>
    </row>
    <row r="441" spans="2:2" x14ac:dyDescent="0.25">
      <c r="B441" s="24" t="str">
        <f t="shared" si="403"/>
        <v>-</v>
      </c>
    </row>
    <row r="442" spans="2:2" x14ac:dyDescent="0.25">
      <c r="B442" s="24" t="str">
        <f t="shared" si="403"/>
        <v>-</v>
      </c>
    </row>
    <row r="443" spans="2:2" x14ac:dyDescent="0.25">
      <c r="B443" s="24" t="str">
        <f t="shared" si="403"/>
        <v>-</v>
      </c>
    </row>
    <row r="444" spans="2:2" x14ac:dyDescent="0.25">
      <c r="B444" s="24" t="str">
        <f t="shared" si="403"/>
        <v>-</v>
      </c>
    </row>
    <row r="445" spans="2:2" x14ac:dyDescent="0.25">
      <c r="B445" s="24" t="str">
        <f t="shared" si="403"/>
        <v>-</v>
      </c>
    </row>
    <row r="446" spans="2:2" x14ac:dyDescent="0.25">
      <c r="B446" s="24" t="str">
        <f t="shared" si="403"/>
        <v>-</v>
      </c>
    </row>
    <row r="447" spans="2:2" x14ac:dyDescent="0.25">
      <c r="B447" s="24" t="str">
        <f t="shared" si="403"/>
        <v>-</v>
      </c>
    </row>
    <row r="448" spans="2:2" x14ac:dyDescent="0.25">
      <c r="B448" s="24" t="str">
        <f t="shared" si="403"/>
        <v>-</v>
      </c>
    </row>
    <row r="449" spans="2:2" x14ac:dyDescent="0.25">
      <c r="B449" s="24" t="str">
        <f t="shared" si="403"/>
        <v>-</v>
      </c>
    </row>
    <row r="450" spans="2:2" x14ac:dyDescent="0.25">
      <c r="B450" s="24" t="str">
        <f t="shared" si="403"/>
        <v>-</v>
      </c>
    </row>
    <row r="451" spans="2:2" x14ac:dyDescent="0.25">
      <c r="B451" s="24" t="str">
        <f t="shared" si="403"/>
        <v>-</v>
      </c>
    </row>
    <row r="452" spans="2:2" x14ac:dyDescent="0.25">
      <c r="B452" s="24" t="str">
        <f t="shared" si="403"/>
        <v>-</v>
      </c>
    </row>
    <row r="453" spans="2:2" x14ac:dyDescent="0.25">
      <c r="B453" s="24" t="str">
        <f t="shared" si="403"/>
        <v>-</v>
      </c>
    </row>
    <row r="454" spans="2:2" x14ac:dyDescent="0.25">
      <c r="B454" s="24" t="str">
        <f t="shared" si="403"/>
        <v>-</v>
      </c>
    </row>
    <row r="455" spans="2:2" x14ac:dyDescent="0.25">
      <c r="B455" s="24" t="str">
        <f t="shared" si="403"/>
        <v>-</v>
      </c>
    </row>
    <row r="456" spans="2:2" x14ac:dyDescent="0.25">
      <c r="B456" s="24" t="str">
        <f t="shared" si="403"/>
        <v>-</v>
      </c>
    </row>
    <row r="457" spans="2:2" x14ac:dyDescent="0.25">
      <c r="B457" s="24" t="str">
        <f t="shared" si="403"/>
        <v>-</v>
      </c>
    </row>
    <row r="458" spans="2:2" x14ac:dyDescent="0.25">
      <c r="B458" s="24" t="str">
        <f t="shared" si="403"/>
        <v>-</v>
      </c>
    </row>
    <row r="459" spans="2:2" x14ac:dyDescent="0.25">
      <c r="B459" s="24" t="str">
        <f t="shared" si="403"/>
        <v>-</v>
      </c>
    </row>
    <row r="460" spans="2:2" x14ac:dyDescent="0.25">
      <c r="B460" s="24" t="str">
        <f t="shared" si="403"/>
        <v>-</v>
      </c>
    </row>
    <row r="461" spans="2:2" x14ac:dyDescent="0.25">
      <c r="B461" s="24" t="str">
        <f t="shared" si="403"/>
        <v>-</v>
      </c>
    </row>
    <row r="462" spans="2:2" x14ac:dyDescent="0.25">
      <c r="B462" s="24" t="str">
        <f t="shared" si="403"/>
        <v>-</v>
      </c>
    </row>
    <row r="463" spans="2:2" x14ac:dyDescent="0.25">
      <c r="B463" s="24" t="str">
        <f t="shared" si="403"/>
        <v>-</v>
      </c>
    </row>
    <row r="464" spans="2:2" x14ac:dyDescent="0.25">
      <c r="B464" s="24" t="str">
        <f t="shared" si="403"/>
        <v>-</v>
      </c>
    </row>
    <row r="465" spans="2:2" x14ac:dyDescent="0.25">
      <c r="B465" s="24" t="str">
        <f t="shared" si="403"/>
        <v>-</v>
      </c>
    </row>
    <row r="466" spans="2:2" x14ac:dyDescent="0.25">
      <c r="B466" s="24" t="str">
        <f t="shared" ref="B466:B506" si="404">IF(A466&gt;A465,1+B465,"-")</f>
        <v>-</v>
      </c>
    </row>
    <row r="467" spans="2:2" x14ac:dyDescent="0.25">
      <c r="B467" s="24" t="str">
        <f t="shared" si="404"/>
        <v>-</v>
      </c>
    </row>
    <row r="468" spans="2:2" x14ac:dyDescent="0.25">
      <c r="B468" s="24" t="str">
        <f t="shared" si="404"/>
        <v>-</v>
      </c>
    </row>
    <row r="469" spans="2:2" x14ac:dyDescent="0.25">
      <c r="B469" s="24" t="str">
        <f t="shared" si="404"/>
        <v>-</v>
      </c>
    </row>
    <row r="470" spans="2:2" x14ac:dyDescent="0.25">
      <c r="B470" s="24" t="str">
        <f t="shared" si="404"/>
        <v>-</v>
      </c>
    </row>
    <row r="471" spans="2:2" x14ac:dyDescent="0.25">
      <c r="B471" s="24" t="str">
        <f t="shared" si="404"/>
        <v>-</v>
      </c>
    </row>
    <row r="472" spans="2:2" x14ac:dyDescent="0.25">
      <c r="B472" s="24" t="str">
        <f t="shared" si="404"/>
        <v>-</v>
      </c>
    </row>
    <row r="473" spans="2:2" x14ac:dyDescent="0.25">
      <c r="B473" s="24" t="str">
        <f t="shared" si="404"/>
        <v>-</v>
      </c>
    </row>
    <row r="474" spans="2:2" x14ac:dyDescent="0.25">
      <c r="B474" s="24" t="str">
        <f t="shared" si="404"/>
        <v>-</v>
      </c>
    </row>
    <row r="475" spans="2:2" x14ac:dyDescent="0.25">
      <c r="B475" s="24" t="str">
        <f t="shared" si="404"/>
        <v>-</v>
      </c>
    </row>
    <row r="476" spans="2:2" x14ac:dyDescent="0.25">
      <c r="B476" s="24" t="str">
        <f t="shared" si="404"/>
        <v>-</v>
      </c>
    </row>
    <row r="477" spans="2:2" x14ac:dyDescent="0.25">
      <c r="B477" s="24" t="str">
        <f t="shared" si="404"/>
        <v>-</v>
      </c>
    </row>
    <row r="478" spans="2:2" x14ac:dyDescent="0.25">
      <c r="B478" s="24" t="str">
        <f t="shared" si="404"/>
        <v>-</v>
      </c>
    </row>
    <row r="479" spans="2:2" x14ac:dyDescent="0.25">
      <c r="B479" s="24" t="str">
        <f t="shared" si="404"/>
        <v>-</v>
      </c>
    </row>
    <row r="480" spans="2:2" x14ac:dyDescent="0.25">
      <c r="B480" s="24" t="str">
        <f t="shared" si="404"/>
        <v>-</v>
      </c>
    </row>
    <row r="481" spans="2:2" x14ac:dyDescent="0.25">
      <c r="B481" s="24" t="str">
        <f t="shared" si="404"/>
        <v>-</v>
      </c>
    </row>
    <row r="482" spans="2:2" x14ac:dyDescent="0.25">
      <c r="B482" s="24" t="str">
        <f t="shared" si="404"/>
        <v>-</v>
      </c>
    </row>
    <row r="483" spans="2:2" x14ac:dyDescent="0.25">
      <c r="B483" s="24" t="str">
        <f t="shared" si="404"/>
        <v>-</v>
      </c>
    </row>
    <row r="484" spans="2:2" x14ac:dyDescent="0.25">
      <c r="B484" s="24" t="str">
        <f t="shared" si="404"/>
        <v>-</v>
      </c>
    </row>
    <row r="485" spans="2:2" x14ac:dyDescent="0.25">
      <c r="B485" s="24" t="str">
        <f t="shared" si="404"/>
        <v>-</v>
      </c>
    </row>
    <row r="486" spans="2:2" x14ac:dyDescent="0.25">
      <c r="B486" s="24" t="str">
        <f t="shared" si="404"/>
        <v>-</v>
      </c>
    </row>
    <row r="487" spans="2:2" x14ac:dyDescent="0.25">
      <c r="B487" s="24" t="str">
        <f t="shared" si="404"/>
        <v>-</v>
      </c>
    </row>
    <row r="488" spans="2:2" x14ac:dyDescent="0.25">
      <c r="B488" s="24" t="str">
        <f t="shared" si="404"/>
        <v>-</v>
      </c>
    </row>
    <row r="489" spans="2:2" x14ac:dyDescent="0.25">
      <c r="B489" s="24" t="str">
        <f t="shared" si="404"/>
        <v>-</v>
      </c>
    </row>
    <row r="490" spans="2:2" x14ac:dyDescent="0.25">
      <c r="B490" s="24" t="str">
        <f t="shared" si="404"/>
        <v>-</v>
      </c>
    </row>
    <row r="491" spans="2:2" x14ac:dyDescent="0.25">
      <c r="B491" s="24" t="str">
        <f t="shared" si="404"/>
        <v>-</v>
      </c>
    </row>
    <row r="492" spans="2:2" x14ac:dyDescent="0.25">
      <c r="B492" s="24" t="str">
        <f t="shared" si="404"/>
        <v>-</v>
      </c>
    </row>
    <row r="493" spans="2:2" x14ac:dyDescent="0.25">
      <c r="B493" s="24" t="str">
        <f t="shared" si="404"/>
        <v>-</v>
      </c>
    </row>
    <row r="494" spans="2:2" x14ac:dyDescent="0.25">
      <c r="B494" s="24" t="str">
        <f t="shared" si="404"/>
        <v>-</v>
      </c>
    </row>
    <row r="495" spans="2:2" x14ac:dyDescent="0.25">
      <c r="B495" s="24" t="str">
        <f t="shared" si="404"/>
        <v>-</v>
      </c>
    </row>
    <row r="496" spans="2:2" x14ac:dyDescent="0.25">
      <c r="B496" s="24" t="str">
        <f t="shared" si="404"/>
        <v>-</v>
      </c>
    </row>
    <row r="497" spans="2:2" x14ac:dyDescent="0.25">
      <c r="B497" s="24" t="str">
        <f t="shared" si="404"/>
        <v>-</v>
      </c>
    </row>
    <row r="498" spans="2:2" x14ac:dyDescent="0.25">
      <c r="B498" s="24" t="str">
        <f t="shared" si="404"/>
        <v>-</v>
      </c>
    </row>
    <row r="499" spans="2:2" x14ac:dyDescent="0.25">
      <c r="B499" s="24" t="str">
        <f t="shared" si="404"/>
        <v>-</v>
      </c>
    </row>
    <row r="500" spans="2:2" x14ac:dyDescent="0.25">
      <c r="B500" s="24" t="str">
        <f t="shared" si="404"/>
        <v>-</v>
      </c>
    </row>
    <row r="501" spans="2:2" x14ac:dyDescent="0.25">
      <c r="B501" s="24" t="str">
        <f t="shared" si="404"/>
        <v>-</v>
      </c>
    </row>
    <row r="502" spans="2:2" x14ac:dyDescent="0.25">
      <c r="B502" s="24" t="str">
        <f t="shared" si="404"/>
        <v>-</v>
      </c>
    </row>
    <row r="503" spans="2:2" x14ac:dyDescent="0.25">
      <c r="B503" s="24" t="str">
        <f t="shared" si="404"/>
        <v>-</v>
      </c>
    </row>
    <row r="504" spans="2:2" x14ac:dyDescent="0.25">
      <c r="B504" s="24" t="str">
        <f t="shared" si="404"/>
        <v>-</v>
      </c>
    </row>
    <row r="505" spans="2:2" x14ac:dyDescent="0.25">
      <c r="B505" s="24" t="str">
        <f t="shared" si="404"/>
        <v>-</v>
      </c>
    </row>
    <row r="506" spans="2:2" x14ac:dyDescent="0.25">
      <c r="B506" s="24" t="str">
        <f t="shared" si="404"/>
        <v>-</v>
      </c>
    </row>
  </sheetData>
  <mergeCells count="8">
    <mergeCell ref="AB188:AC188"/>
    <mergeCell ref="Z165:AA165"/>
    <mergeCell ref="X132:Y132"/>
    <mergeCell ref="Z132:AA132"/>
    <mergeCell ref="AD132:AE132"/>
    <mergeCell ref="X148:Y148"/>
    <mergeCell ref="Z148:AA148"/>
    <mergeCell ref="AD148:AE148"/>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9352-D5BC-E747-BA35-25A50B789723}">
  <sheetPr codeName="Sheet13"/>
  <dimension ref="A1:AA509"/>
  <sheetViews>
    <sheetView zoomScaleNormal="100" workbookViewId="0">
      <pane xSplit="2" ySplit="15" topLeftCell="C313" activePane="bottomRight" state="frozen"/>
      <selection pane="topRight" activeCell="C1" sqref="C1"/>
      <selection pane="bottomLeft" activeCell="A16" sqref="A16"/>
      <selection pane="bottomRight" activeCell="Q8" sqref="Q8"/>
    </sheetView>
  </sheetViews>
  <sheetFormatPr defaultColWidth="11" defaultRowHeight="15.75" x14ac:dyDescent="0.25"/>
  <cols>
    <col min="1" max="1" width="12" customWidth="1"/>
    <col min="2" max="2" width="4.125" style="23" bestFit="1" customWidth="1"/>
    <col min="3" max="4" width="11.625" style="23" bestFit="1" customWidth="1"/>
    <col min="5" max="5" width="13.5" style="2" bestFit="1" customWidth="1"/>
    <col min="6" max="6" width="8.625" style="61" bestFit="1" customWidth="1"/>
    <col min="7" max="7" width="9.125" bestFit="1" customWidth="1"/>
    <col min="8" max="8" width="10.125" bestFit="1" customWidth="1"/>
    <col min="9" max="9" width="1.625" customWidth="1"/>
    <col min="10" max="10" width="11.625" customWidth="1"/>
    <col min="11" max="11" width="10.125" style="23" bestFit="1" customWidth="1"/>
    <col min="12" max="12" width="11.125" style="23" bestFit="1" customWidth="1"/>
    <col min="13" max="13" width="7.125" bestFit="1" customWidth="1"/>
    <col min="14" max="14" width="9.125" bestFit="1" customWidth="1"/>
    <col min="15" max="15" width="2" customWidth="1"/>
    <col min="16" max="16" width="12.125" customWidth="1"/>
    <col min="17" max="17" width="10.125" bestFit="1" customWidth="1"/>
    <col min="18" max="18" width="13.625" bestFit="1" customWidth="1"/>
    <col min="19" max="19" width="7.125" bestFit="1" customWidth="1"/>
    <col min="20" max="20" width="9.125" bestFit="1" customWidth="1"/>
    <col min="21" max="21" width="9.125" customWidth="1"/>
    <col min="22" max="22" width="1.625" customWidth="1"/>
    <col min="23" max="23" width="5.625" customWidth="1"/>
  </cols>
  <sheetData>
    <row r="1" spans="1:27" x14ac:dyDescent="0.25">
      <c r="C1" s="74" t="s">
        <v>340</v>
      </c>
      <c r="D1" s="13"/>
      <c r="E1" s="14"/>
      <c r="F1" s="15"/>
      <c r="I1" s="39"/>
      <c r="J1" s="7" t="s">
        <v>95</v>
      </c>
      <c r="K1" s="13"/>
      <c r="L1" s="13"/>
      <c r="M1" s="14"/>
      <c r="N1" s="15"/>
      <c r="O1" s="39"/>
      <c r="P1" s="7" t="s">
        <v>425</v>
      </c>
      <c r="Q1" s="13"/>
      <c r="R1" s="13"/>
      <c r="S1" s="14"/>
      <c r="T1" s="15"/>
      <c r="U1" s="15"/>
      <c r="V1" s="39"/>
    </row>
    <row r="2" spans="1:27" x14ac:dyDescent="0.25">
      <c r="A2" s="7"/>
      <c r="C2" s="36"/>
      <c r="D2" s="16"/>
      <c r="E2" s="16"/>
      <c r="F2" s="16"/>
      <c r="G2" s="16"/>
      <c r="H2" s="16"/>
      <c r="I2" s="39"/>
      <c r="K2" s="16"/>
      <c r="L2" s="36"/>
      <c r="M2" s="16"/>
      <c r="N2" s="16"/>
      <c r="O2" s="39"/>
      <c r="Q2" s="16"/>
      <c r="R2" s="36"/>
      <c r="S2" s="16"/>
      <c r="T2" s="16"/>
      <c r="U2" s="16"/>
      <c r="V2" s="39"/>
    </row>
    <row r="3" spans="1:27" x14ac:dyDescent="0.25">
      <c r="C3" s="7"/>
      <c r="D3" s="191"/>
      <c r="E3" s="16"/>
      <c r="F3" s="16"/>
      <c r="G3" s="16"/>
      <c r="H3" s="16"/>
      <c r="I3" s="39"/>
      <c r="K3" s="16"/>
      <c r="L3" s="16"/>
      <c r="M3" s="16"/>
      <c r="N3" s="16"/>
      <c r="O3" s="39"/>
      <c r="P3" s="43"/>
      <c r="Q3" s="42"/>
      <c r="R3" s="16"/>
      <c r="S3" s="16"/>
      <c r="T3" s="16"/>
      <c r="U3" s="16"/>
      <c r="V3" s="39"/>
    </row>
    <row r="4" spans="1:27" x14ac:dyDescent="0.25">
      <c r="A4" s="7"/>
      <c r="D4" s="16" t="s">
        <v>41</v>
      </c>
      <c r="E4" s="23" t="s">
        <v>42</v>
      </c>
      <c r="F4" s="17" t="s">
        <v>43</v>
      </c>
      <c r="G4" s="35" t="s">
        <v>44</v>
      </c>
      <c r="H4" s="17" t="s">
        <v>45</v>
      </c>
      <c r="I4" s="39"/>
      <c r="K4" s="23" t="s">
        <v>41</v>
      </c>
      <c r="L4" s="17" t="s">
        <v>43</v>
      </c>
      <c r="M4" s="17" t="s">
        <v>45</v>
      </c>
      <c r="N4" s="35"/>
      <c r="O4" s="40"/>
      <c r="Q4" s="23" t="s">
        <v>41</v>
      </c>
      <c r="R4" s="23" t="s">
        <v>42</v>
      </c>
      <c r="S4" s="17" t="s">
        <v>43</v>
      </c>
      <c r="T4" s="35" t="s">
        <v>44</v>
      </c>
      <c r="U4" s="17" t="s">
        <v>45</v>
      </c>
      <c r="V4" s="40"/>
    </row>
    <row r="5" spans="1:27" x14ac:dyDescent="0.25">
      <c r="B5" s="23">
        <v>12</v>
      </c>
      <c r="C5" s="7" t="s">
        <v>7</v>
      </c>
      <c r="D5" s="16">
        <f t="array" aca="1" ref="D5" ca="1">IFERROR((GEOMEAN(1+OFFSET(D$16,MAX($B$16:$B$509)-$B$5+1,0,$B$5,1)/100)^$B$5-1)*100,"N/A")</f>
        <v>10.373821695814023</v>
      </c>
      <c r="E5" s="36">
        <f t="shared" ref="E5:E12" ca="1" si="0">IFERROR(D5-$K5,"N/A")</f>
        <v>-2.4185763036955521</v>
      </c>
      <c r="F5" s="16">
        <f ca="1">IFERROR(SLOPE(OFFSET(D$16,MAX($B$16:$B$509)-$B$5+1,0,$B$5,1),OFFSET($K$16,MAX($B$16:$B$509)-$B$5+1,0,$B$5,1)),"N/A")</f>
        <v>0.88956709909707565</v>
      </c>
      <c r="G5" s="16">
        <f t="array" aca="1" ref="G5" ca="1">IFERROR(INTERCEPT(OFFSET(D$16,MAX($B$16:$B$509)-$B$5+1,0,$B$5,1),OFFSET($K$16,MAX($B$16:$B$509)-$B$5+1,0,$B$5,1))*12,"N/A")</f>
        <v>-0.81710634202079513</v>
      </c>
      <c r="H5" s="16">
        <f ca="1">IFERROR(STDEVP(OFFSET(D$16,MAX($B$16:$B$509)-$B$5+1,0,$B$5,1))*SQRT(12),"N/A")</f>
        <v>13.653775044225597</v>
      </c>
      <c r="I5" s="39"/>
      <c r="J5" s="7" t="s">
        <v>7</v>
      </c>
      <c r="K5" s="16">
        <f t="array" aca="1" ref="K5" ca="1">IFERROR((GEOMEAN(1+OFFSET(K$16,MAX($B$16:$B$509)-$B$5+1,0,$B$5,1)/100)^$B$5-1)*100,"N/A")</f>
        <v>12.792397999509575</v>
      </c>
      <c r="L5" s="16">
        <f ca="1">IFERROR(SLOPE(OFFSET(K$16,MAX($B$16:$B$509)-$B$5+1,0,$B$5,1),OFFSET($K$16,MAX($B$16:$B$509)-$B$5+1,0,$B$5,1)),"N/A")</f>
        <v>1</v>
      </c>
      <c r="M5" s="16">
        <f ca="1">IFERROR(STDEVP(OFFSET(K$16,MAX($B$16:$B$509)-$B$5+1,0,$B$5,1))*SQRT(12),"N/A")</f>
        <v>14.113735363478908</v>
      </c>
      <c r="N5" s="16"/>
      <c r="O5" s="40"/>
      <c r="P5" s="7" t="s">
        <v>7</v>
      </c>
      <c r="Q5" s="16">
        <f t="array" aca="1" ref="Q5" ca="1">IFERROR((GEOMEAN(1+OFFSET(Q$16,MAX($B$16:$B$509)-$B$5+1,0,$B$5,1)/100)^$B$5-1)*100,"N/A")</f>
        <v>5.9863663846757564</v>
      </c>
      <c r="R5" s="36">
        <f t="shared" ref="R5:R12" ca="1" si="1">IFERROR(Q5-$K5,"N/A")</f>
        <v>-6.8060316148338185</v>
      </c>
      <c r="S5" s="16">
        <f ca="1">IFERROR(SLOPE(OFFSET(Q$16,MAX($B$16:$B$509)-$B$5+1,0,$B$5,1),OFFSET($K$16,MAX($B$16:$B$509)-$B$5+1,0,$B$5,1)),"N/A")</f>
        <v>0.94508884653297864</v>
      </c>
      <c r="T5" s="16">
        <f t="array" aca="1" ref="T5" ca="1">IFERROR(INTERCEPT(OFFSET(Q$16,MAX($B$16:$B$509)-$B$5+1,0,$B$5,1),OFFSET($K$16,MAX($B$16:$B$509)-$B$5+1,0,$B$5,1))*12,"N/A")</f>
        <v>-5.5696866461027046</v>
      </c>
      <c r="U5" s="16">
        <f ca="1">IFERROR(STDEVP(OFFSET(Q$16,MAX($B$16:$B$509)-$B$5+1,0,$B$5,1))*SQRT(12),"N/A")</f>
        <v>13.989587604597098</v>
      </c>
      <c r="V5" s="40"/>
    </row>
    <row r="6" spans="1:27" x14ac:dyDescent="0.25">
      <c r="C6" s="7" t="s">
        <v>46</v>
      </c>
      <c r="D6" s="16">
        <f t="array" aca="1" ref="D6" ca="1">IFERROR((GEOMEAN(1+OFFSET(D$16,MAX($B$16:$B$509)-11,0,12,1)/100)^12-1)*100,"N/A")</f>
        <v>10.373821695814023</v>
      </c>
      <c r="E6" s="36">
        <f t="shared" ca="1" si="0"/>
        <v>-2.4185763036955521</v>
      </c>
      <c r="F6" s="16">
        <f ca="1">IFERROR(SLOPE(OFFSET(D$16,MAX($B$16:$B$509)-11,0,12,1),OFFSET($K$16,MAX($B$16:$B$509)-11,0,12,1)),"N/A")</f>
        <v>0.88956709909707565</v>
      </c>
      <c r="G6" s="16">
        <f ca="1">IFERROR(INTERCEPT(OFFSET(D$16,MAX($B$16:$B$509)-11,0,12,1),OFFSET($K$16,MAX($B$16:$B$509)-11,0,12,1))*12,"N/A")</f>
        <v>-0.81710634202079513</v>
      </c>
      <c r="H6" s="16">
        <f ca="1">IFERROR(STDEVP(OFFSET(D$16,MAX($B$16:$B$509)-11,0,12,1))*SQRT(12),"N/A")</f>
        <v>13.653775044225597</v>
      </c>
      <c r="I6" s="39"/>
      <c r="J6" s="7" t="s">
        <v>46</v>
      </c>
      <c r="K6" s="16">
        <f t="array" aca="1" ref="K6" ca="1">IFERROR((GEOMEAN(1+OFFSET(K$16,MAX($B$16:$B$509)-11,0,12,1)/100)^12-1)*100,"N/A")</f>
        <v>12.792397999509575</v>
      </c>
      <c r="L6" s="16">
        <f ca="1">IFERROR(SLOPE(OFFSET(K$16,MAX($B$16:$B$509)-11,0,12,1),OFFSET($K$16,MAX($B$16:$B$509)-11,0,12,1)),"N/A")</f>
        <v>1</v>
      </c>
      <c r="M6" s="16">
        <f ca="1">IFERROR(STDEVP(OFFSET(K$16,MAX($B$16:$B$509)-11,0,12,1))*SQRT(12),"N/A")</f>
        <v>14.113735363478908</v>
      </c>
      <c r="N6" s="16"/>
      <c r="O6" s="41"/>
      <c r="P6" s="7" t="s">
        <v>46</v>
      </c>
      <c r="Q6" s="16">
        <f t="array" aca="1" ref="Q6" ca="1">IFERROR((GEOMEAN(1+OFFSET(Q$16,MAX($B$16:$B$509)-11,0,12,1)/100)^12-1)*100,"N/A")</f>
        <v>5.9863663846757564</v>
      </c>
      <c r="R6" s="36">
        <f t="shared" ca="1" si="1"/>
        <v>-6.8060316148338185</v>
      </c>
      <c r="S6" s="16">
        <f ca="1">IFERROR(SLOPE(OFFSET(Q$16,MAX($B$16:$B$509)-11,0,12,1),OFFSET($K$16,MAX($B$16:$B$509)-11,0,12,1)),"N/A")</f>
        <v>0.94508884653297864</v>
      </c>
      <c r="T6" s="16">
        <f ca="1">IFERROR(INTERCEPT(OFFSET(Q$16,MAX($B$16:$B$509)-11,0,12,1),OFFSET($K$16,MAX($B$16:$B$509)-11,0,12,1))*12,"N/A")</f>
        <v>-5.5696866461027046</v>
      </c>
      <c r="U6" s="16">
        <f ca="1">IFERROR(STDEVP(OFFSET(Q$16,MAX($B$16:$B$509)-11,0,12,1))*SQRT(12),"N/A")</f>
        <v>13.989587604597098</v>
      </c>
      <c r="V6" s="41"/>
    </row>
    <row r="7" spans="1:27" x14ac:dyDescent="0.25">
      <c r="C7" s="7" t="s">
        <v>47</v>
      </c>
      <c r="D7" s="16">
        <f t="array" aca="1" ref="D7" ca="1">IFERROR((GEOMEAN(1+OFFSET(D$16,MAX($B$16:$B$509)-23,0,24,1)/100)^12-1)*100,"N/A")</f>
        <v>8.5137907947998137</v>
      </c>
      <c r="E7" s="36">
        <f t="shared" ca="1" si="0"/>
        <v>-3.6440780140370101</v>
      </c>
      <c r="F7" s="16">
        <f ca="1">IFERROR(SLOPE(OFFSET(D$16,MAX($B$16:$B$509)-23,0,24,1),OFFSET($K$16,MAX($B$16:$B$509)-23,0,24,1)),"N/A")</f>
        <v>0.90935084339253069</v>
      </c>
      <c r="G7" s="16">
        <f ca="1">IFERROR(INTERCEPT(OFFSET(D$16,MAX($B$16:$B$509)-23,0,24,1),OFFSET($K$16,MAX($B$16:$B$509)-23,0,24,1))*12,"N/A")</f>
        <v>-2.296368333888779</v>
      </c>
      <c r="H7" s="16">
        <f ca="1">IFERROR(STDEVP(OFFSET(D$16,MAX($B$16:$B$509)-23,0,24,1))*SQRT(12),"N/A")</f>
        <v>16.673696196114495</v>
      </c>
      <c r="I7" s="39"/>
      <c r="J7" s="7" t="s">
        <v>47</v>
      </c>
      <c r="K7" s="16">
        <f t="array" aca="1" ref="K7" ca="1">IFERROR((GEOMEAN(1+OFFSET(K$16,MAX($B$16:$B$509)-23,0,24,1)/100)^12-1)*100,"N/A")</f>
        <v>12.157868808836824</v>
      </c>
      <c r="L7" s="16">
        <f ca="1">IFERROR(SLOPE(OFFSET(K$16,MAX($B$16:$B$509)-23,0,24,1),OFFSET($K$16,MAX($B$16:$B$509)-23,0,24,1)),"N/A")</f>
        <v>1</v>
      </c>
      <c r="M7" s="16">
        <f ca="1">IFERROR(STDEVP(OFFSET(K$16,MAX($B$16:$B$509)-23,0,24,1))*SQRT(12),"N/A")</f>
        <v>17.565313898269768</v>
      </c>
      <c r="N7" s="16"/>
      <c r="O7" s="41"/>
      <c r="P7" s="7" t="s">
        <v>47</v>
      </c>
      <c r="Q7" s="16">
        <f t="array" aca="1" ref="Q7" ca="1">IFERROR((GEOMEAN(1+OFFSET(Q$16,MAX($B$16:$B$509)-23,0,24,1)/100)^12-1)*100,"N/A")</f>
        <v>7.3063946543720171</v>
      </c>
      <c r="R7" s="36">
        <f t="shared" ca="1" si="1"/>
        <v>-4.8514741544648068</v>
      </c>
      <c r="S7" s="16">
        <f ca="1">IFERROR(SLOPE(OFFSET(Q$16,MAX($B$16:$B$509)-23,0,24,1),OFFSET($K$16,MAX($B$16:$B$509)-23,0,24,1)),"N/A")</f>
        <v>0.95866469833696344</v>
      </c>
      <c r="T7" s="16">
        <f ca="1">IFERROR(INTERCEPT(OFFSET(Q$16,MAX($B$16:$B$509)-23,0,24,1),OFFSET($K$16,MAX($B$16:$B$509)-23,0,24,1))*12,"N/A")</f>
        <v>-3.978107121256488</v>
      </c>
      <c r="U7" s="16">
        <f ca="1">IFERROR(STDEVP(OFFSET(Q$16,MAX($B$16:$B$509)-23,0,24,1))*SQRT(12),"N/A")</f>
        <v>17.258408639191192</v>
      </c>
      <c r="V7" s="41"/>
    </row>
    <row r="8" spans="1:27" s="182" customFormat="1" x14ac:dyDescent="0.25">
      <c r="B8" s="183"/>
      <c r="C8" s="85" t="s">
        <v>48</v>
      </c>
      <c r="D8" s="184">
        <f t="array" aca="1" ref="D8" ca="1">IFERROR((GEOMEAN(1+OFFSET(D$16,MAX($B$16:$B$509)-35,0,36,1)/100)^12-1)*100,"N/A")</f>
        <v>13.023656762473678</v>
      </c>
      <c r="E8" s="185">
        <f t="shared" ca="1" si="0"/>
        <v>-0.68667009431471371</v>
      </c>
      <c r="F8" s="184">
        <f ca="1">IFERROR(SLOPE(OFFSET(D$16,MAX($B$16:$B$509)-35,0,36,1),OFFSET($K$16,MAX($B$16:$B$509)-35,0,36,1)),"N/A")</f>
        <v>0.93847367439007734</v>
      </c>
      <c r="G8" s="184">
        <f ca="1">IFERROR(INTERCEPT(OFFSET(D$16,MAX($B$16:$B$509)-35,0,36,1),OFFSET($K$16,MAX($B$16:$B$509)-35,0,36,1))*12,"N/A")</f>
        <v>0.18535810897545968</v>
      </c>
      <c r="H8" s="184">
        <f ca="1">IFERROR(STDEVP(OFFSET(D$16,MAX($B$16:$B$509)-35,0,36,1))*SQRT(12),"N/A")</f>
        <v>19.066373847383137</v>
      </c>
      <c r="J8" s="85" t="s">
        <v>48</v>
      </c>
      <c r="K8" s="184">
        <f t="array" aca="1" ref="K8" ca="1">IFERROR((GEOMEAN(1+OFFSET(K$16,MAX($B$16:$B$509)-35,0,36,1)/100)^12-1)*100,"N/A")</f>
        <v>13.710326856788392</v>
      </c>
      <c r="L8" s="184">
        <f ca="1">IFERROR(SLOPE(OFFSET(K$16,MAX($B$16:$B$509)-35,0,36,1),OFFSET($K$16,MAX($B$16:$B$509)-35,0,36,1)),"N/A")</f>
        <v>1</v>
      </c>
      <c r="M8" s="184">
        <f ca="1">IFERROR(STDEVP(OFFSET(K$16,MAX($B$16:$B$509)-35,0,36,1))*SQRT(12),"N/A")</f>
        <v>19.632559847962707</v>
      </c>
      <c r="N8" s="184"/>
      <c r="O8" s="186"/>
      <c r="P8" s="85" t="s">
        <v>48</v>
      </c>
      <c r="Q8" s="184">
        <f t="array" aca="1" ref="Q8" ca="1">IFERROR((GEOMEAN(1+OFFSET(Q$16,MAX($B$16:$B$509)-35,0,36,1)/100)^12-1)*100,"N/A")</f>
        <v>10.110916287882032</v>
      </c>
      <c r="R8" s="185">
        <f t="shared" ca="1" si="1"/>
        <v>-3.5994105689063591</v>
      </c>
      <c r="S8" s="184">
        <f ca="1">IFERROR(SLOPE(OFFSET(Q$16,MAX($B$16:$B$509)-35,0,36,1),OFFSET($K$16,MAX($B$16:$B$509)-35,0,36,1)),"N/A")</f>
        <v>0.96865111693992156</v>
      </c>
      <c r="T8" s="184">
        <f ca="1">IFERROR(INTERCEPT(OFFSET(Q$16,MAX($B$16:$B$509)-35,0,36,1),OFFSET($K$16,MAX($B$16:$B$509)-35,0,36,1))*12,"N/A")</f>
        <v>-2.8524119368326959</v>
      </c>
      <c r="U8" s="184">
        <f ca="1">IFERROR(STDEVP(OFFSET(Q$16,MAX($B$16:$B$509)-35,0,36,1))*SQRT(12),"N/A")</f>
        <v>19.316941466195924</v>
      </c>
      <c r="V8" s="186"/>
    </row>
    <row r="9" spans="1:27" x14ac:dyDescent="0.25">
      <c r="C9" s="7" t="s">
        <v>49</v>
      </c>
      <c r="D9" s="16">
        <f t="array" aca="1" ref="D9" ca="1">IFERROR((GEOMEAN(1+OFFSET(D$16,MAX($B$16:$B$509)-47,0,48,1)/100)^12-1)*100,"N/A")</f>
        <v>6.1272130175869188</v>
      </c>
      <c r="E9" s="36">
        <f t="shared" ca="1" si="0"/>
        <v>2.136246028588884</v>
      </c>
      <c r="F9" s="16">
        <f ca="1">IFERROR(SLOPE(OFFSET(D$16,MAX($B$16:$B$509)-47,0,48,1),OFFSET($K$16,MAX($B$16:$B$509)-47,0,48,1)),"N/A")</f>
        <v>0.92475482471323278</v>
      </c>
      <c r="G9" s="16">
        <f ca="1">IFERROR(INTERCEPT(OFFSET(D$16,MAX($B$16:$B$509)-47,0,48,1),OFFSET($K$16,MAX($B$16:$B$509)-47,0,48,1))*12,"N/A")</f>
        <v>2.2848787968929707</v>
      </c>
      <c r="H9" s="16">
        <f ca="1">IFERROR(STDEVP(OFFSET(D$16,MAX($B$16:$B$509)-47,0,48,1))*SQRT(12),"N/A")</f>
        <v>20.405079036414136</v>
      </c>
      <c r="I9" s="39"/>
      <c r="J9" s="7" t="s">
        <v>49</v>
      </c>
      <c r="K9" s="16">
        <f t="array" aca="1" ref="K9" ca="1">IFERROR((GEOMEAN(1+OFFSET(K$16,MAX($B$16:$B$509)-47,0,48,1)/100)^12-1)*100,"N/A")</f>
        <v>3.9909669889980348</v>
      </c>
      <c r="L9" s="16">
        <f ca="1">IFERROR(SLOPE(OFFSET(K$16,MAX($B$16:$B$509)-47,0,48,1),OFFSET($K$16,MAX($B$16:$B$509)-47,0,48,1)),"N/A")</f>
        <v>1</v>
      </c>
      <c r="M9" s="16">
        <f ca="1">IFERROR(STDEVP(OFFSET(K$16,MAX($B$16:$B$509)-47,0,48,1))*SQRT(12),"N/A")</f>
        <v>21.408101586603664</v>
      </c>
      <c r="N9" s="16"/>
      <c r="O9" s="41"/>
      <c r="P9" s="7" t="s">
        <v>49</v>
      </c>
      <c r="Q9" s="16">
        <f t="array" aca="1" ref="Q9" ca="1">IFERROR((GEOMEAN(1+OFFSET(Q$16,MAX($B$16:$B$509)-47,0,48,1)/100)^12-1)*100,"N/A")</f>
        <v>2.861439134685817</v>
      </c>
      <c r="R9" s="36">
        <f t="shared" ca="1" si="1"/>
        <v>-1.1295278543122178</v>
      </c>
      <c r="S9" s="16">
        <f ca="1">IFERROR(SLOPE(OFFSET(Q$16,MAX($B$16:$B$509)-47,0,48,1),OFFSET($K$16,MAX($B$16:$B$509)-47,0,48,1)),"N/A")</f>
        <v>0.96532989552704962</v>
      </c>
      <c r="T9" s="16">
        <f ca="1">IFERROR(INTERCEPT(OFFSET(Q$16,MAX($B$16:$B$509)-47,0,48,1),OFFSET($K$16,MAX($B$16:$B$509)-47,0,48,1))*12,"N/A")</f>
        <v>-0.97556715256393201</v>
      </c>
      <c r="U9" s="16">
        <f ca="1">IFERROR(STDEVP(OFFSET(Q$16,MAX($B$16:$B$509)-47,0,48,1))*SQRT(12),"N/A")</f>
        <v>21.029486655019145</v>
      </c>
      <c r="V9" s="41"/>
    </row>
    <row r="10" spans="1:27" x14ac:dyDescent="0.25">
      <c r="C10" s="7" t="s">
        <v>50</v>
      </c>
      <c r="D10" s="16">
        <f t="array" aca="1" ref="D10" ca="1">IFERROR((GEOMEAN(1+OFFSET(D$16,MAX($B$16:$B$509)-59,0,60,1)/100)^12-1)*100,"N/A")</f>
        <v>8.9771568234633392</v>
      </c>
      <c r="E10" s="36">
        <f t="shared" ca="1" si="0"/>
        <v>2.9119360427804386</v>
      </c>
      <c r="F10" s="16">
        <f ca="1">IFERROR(SLOPE(OFFSET(D$16,MAX($B$16:$B$509)-59,0,60,1),OFFSET($K$16,MAX($B$16:$B$509)-59,0,60,1)),"N/A")</f>
        <v>0.92674688388057358</v>
      </c>
      <c r="G10" s="16">
        <f ca="1">IFERROR(INTERCEPT(OFFSET(D$16,MAX($B$16:$B$509)-59,0,60,1),OFFSET($K$16,MAX($B$16:$B$509)-59,0,60,1))*12,"N/A")</f>
        <v>3.1353432070774403</v>
      </c>
      <c r="H10" s="16">
        <f ca="1">IFERROR(STDEVP(OFFSET(D$16,MAX($B$16:$B$509)-59,0,60,1))*SQRT(12),"N/A")</f>
        <v>19.015571546966161</v>
      </c>
      <c r="I10" s="39"/>
      <c r="J10" s="7" t="s">
        <v>50</v>
      </c>
      <c r="K10" s="16">
        <f t="array" aca="1" ref="K10" ca="1">IFERROR((GEOMEAN(1+OFFSET(K$16,MAX($B$16:$B$509)-59,0,60,1)/100)^12-1)*100,"N/A")</f>
        <v>6.0652207806829006</v>
      </c>
      <c r="L10" s="16">
        <f ca="1">IFERROR(SLOPE(OFFSET(K$16,MAX($B$16:$B$509)-59,0,60,1),OFFSET($K$16,MAX($B$16:$B$509)-59,0,60,1)),"N/A")</f>
        <v>1</v>
      </c>
      <c r="M10" s="16">
        <f ca="1">IFERROR(STDEVP(OFFSET(K$16,MAX($B$16:$B$509)-59,0,60,1))*SQRT(12),"N/A")</f>
        <v>19.80424691772906</v>
      </c>
      <c r="N10" s="16"/>
      <c r="O10" s="41"/>
      <c r="P10" s="7" t="s">
        <v>50</v>
      </c>
      <c r="Q10" s="16">
        <f t="array" aca="1" ref="Q10" ca="1">IFERROR((GEOMEAN(1+OFFSET(Q$16,MAX($B$16:$B$509)-59,0,60,1)/100)^12-1)*100,"N/A")</f>
        <v>7.2469524830898635</v>
      </c>
      <c r="R10" s="36">
        <f t="shared" ca="1" si="1"/>
        <v>1.1817317024069629</v>
      </c>
      <c r="S10" s="16">
        <f ca="1">IFERROR(SLOPE(OFFSET(Q$16,MAX($B$16:$B$509)-59,0,60,1),OFFSET($K$16,MAX($B$16:$B$509)-59,0,60,1)),"N/A")</f>
        <v>0.96555554951798706</v>
      </c>
      <c r="T10" s="16">
        <f ca="1">IFERROR(INTERCEPT(OFFSET(Q$16,MAX($B$16:$B$509)-59,0,60,1),OFFSET($K$16,MAX($B$16:$B$509)-59,0,60,1))*12,"N/A")</f>
        <v>1.3267170042454288</v>
      </c>
      <c r="U10" s="16">
        <f ca="1">IFERROR(STDEVP(OFFSET(Q$16,MAX($B$16:$B$509)-59,0,60,1))*SQRT(12),"N/A")</f>
        <v>19.570724484662918</v>
      </c>
      <c r="V10" s="41"/>
    </row>
    <row r="11" spans="1:27" x14ac:dyDescent="0.25">
      <c r="C11" s="7" t="s">
        <v>51</v>
      </c>
      <c r="D11" s="16">
        <f t="array" aca="1" ref="D11" ca="1">IFERROR((GEOMEAN(1+OFFSET(D$16,MAX($B$16:$B$509)-119,0,120,1)/100)^12-1)*100,"N/A")</f>
        <v>11.251542268660607</v>
      </c>
      <c r="E11" s="36">
        <f t="shared" ca="1" si="0"/>
        <v>1.6609981579354098</v>
      </c>
      <c r="F11" s="16">
        <f ca="1">IFERROR(SLOPE(OFFSET(D$16,MAX($B$16:$B$509)-119,0,120,1),OFFSET($K$16,MAX($B$16:$B$509)-119,0,120,1)),"N/A")</f>
        <v>0.96578616825193353</v>
      </c>
      <c r="G11" s="16">
        <f ca="1">IFERROR(INTERCEPT(OFFSET(D$16,MAX($B$16:$B$509)-119,0,120,1),OFFSET($K$16,MAX($B$16:$B$509)-119,0,120,1))*12,"N/A")</f>
        <v>1.9369630835711273</v>
      </c>
      <c r="H11" s="16">
        <f ca="1">IFERROR(STDEVP(OFFSET(D$16,MAX($B$16:$B$509)-119,0,120,1))*SQRT(12),"N/A")</f>
        <v>20.750890096099241</v>
      </c>
      <c r="I11" s="39"/>
      <c r="J11" s="7" t="s">
        <v>51</v>
      </c>
      <c r="K11" s="16">
        <f t="array" aca="1" ref="K11" ca="1">IFERROR((GEOMEAN(1+OFFSET(K$16,MAX($B$16:$B$509)-119,0,120,1)/100)^12-1)*100,"N/A")</f>
        <v>9.5905441107251974</v>
      </c>
      <c r="L11" s="16">
        <f ca="1">IFERROR(SLOPE(OFFSET(K$16,MAX($B$16:$B$509)-119,0,120,1),OFFSET($K$16,MAX($B$16:$B$509)-119,0,120,1)),"N/A")</f>
        <v>1</v>
      </c>
      <c r="M11" s="16">
        <f ca="1">IFERROR(STDEVP(OFFSET(K$16,MAX($B$16:$B$509)-119,0,120,1))*SQRT(12),"N/A")</f>
        <v>20.61927551763797</v>
      </c>
      <c r="N11" s="16"/>
      <c r="O11" s="41"/>
      <c r="P11" s="7" t="s">
        <v>51</v>
      </c>
      <c r="Q11" s="16">
        <f t="array" aca="1" ref="Q11" ca="1">IFERROR((GEOMEAN(1+OFFSET(Q$16,MAX($B$16:$B$509)-119,0,120,1)/100)^12-1)*100,"N/A")</f>
        <v>9.7513181282001593</v>
      </c>
      <c r="R11" s="36">
        <f t="shared" ca="1" si="1"/>
        <v>0.16077401747496189</v>
      </c>
      <c r="S11" s="16">
        <f ca="1">IFERROR(SLOPE(OFFSET(Q$16,MAX($B$16:$B$509)-119,0,120,1),OFFSET($K$16,MAX($B$16:$B$509)-119,0,120,1)),"N/A")</f>
        <v>0.98313641983892464</v>
      </c>
      <c r="T11" s="16">
        <f ca="1">IFERROR(INTERCEPT(OFFSET(Q$16,MAX($B$16:$B$509)-119,0,120,1),OFFSET($K$16,MAX($B$16:$B$509)-119,0,120,1))*12,"N/A")</f>
        <v>0.33400156700655437</v>
      </c>
      <c r="U11" s="16">
        <f ca="1">IFERROR(STDEVP(OFFSET(Q$16,MAX($B$16:$B$509)-119,0,120,1))*SQRT(12),"N/A")</f>
        <v>20.59725525047153</v>
      </c>
      <c r="V11" s="41"/>
    </row>
    <row r="12" spans="1:27" x14ac:dyDescent="0.25">
      <c r="C12" s="7" t="s">
        <v>52</v>
      </c>
      <c r="D12" s="16" cm="1">
        <f t="array" aca="1" ref="D12" ca="1">IFERROR((GEOMEAN(1+OFFSET(D$16,1,0,MAX($B$16:$B$509),1)/100)^12-1)*100,"N/A")</f>
        <v>11.793823845950268</v>
      </c>
      <c r="E12" s="36">
        <f t="shared" ca="1" si="0"/>
        <v>3.4087472629001674</v>
      </c>
      <c r="F12" s="16">
        <f ca="1">IFERROR(SLOPE(OFFSET(D$16,1,0,MAX($B$16:$B$509),1),OFFSET($K$16,1,0,MAX($B$16:$B$509),1)),"N/A")</f>
        <v>0.98750284253400011</v>
      </c>
      <c r="G12" s="16">
        <f ca="1">IFERROR(INTERCEPT(OFFSET(D$16,1,0,MAX($B$16:$B$509),1),OFFSET($K$16,1,0,MAX($B$16:$B$509),1))*12,"N/A")</f>
        <v>3.4100214905101676</v>
      </c>
      <c r="H12" s="16">
        <f ca="1">IFERROR(STDEVP(OFFSET(D$16,1,0,MAX($B$16:$B$509),1))*SQRT(12),"N/A")</f>
        <v>21.073987485747367</v>
      </c>
      <c r="I12" s="39"/>
      <c r="J12" s="7" t="s">
        <v>53</v>
      </c>
      <c r="K12" s="16" cm="1">
        <f t="array" aca="1" ref="K12" ca="1">IFERROR((GEOMEAN(1+OFFSET(K$16,1,0,MAX($B$16:$B$509),1)/100)^12-1)*100,"N/A")</f>
        <v>8.3850765830501004</v>
      </c>
      <c r="L12" s="16">
        <f ca="1">IFERROR(SLOPE(OFFSET(K$16,1,0,MAX($B$16:$B$509),1),OFFSET($K$16,1,0,MAX($B$16:$B$509),1)),"N/A")</f>
        <v>1</v>
      </c>
      <c r="M12" s="16">
        <f ca="1">IFERROR(STDEVP(OFFSET(K$16,1,0,MAX($B$16:$B$509),1))*SQRT(12),"N/A")</f>
        <v>20.301390048058504</v>
      </c>
      <c r="N12" s="16"/>
      <c r="O12" s="41"/>
      <c r="P12" s="7" t="s">
        <v>52</v>
      </c>
      <c r="Q12" s="16">
        <f t="array" aca="1" ref="Q12" ca="1">IFERROR((GEOMEAN(1+OFFSET(Q$16,1,0,MAX($B$16:$B$509),1)/100)^12-1)*100,"N/A")</f>
        <v>9.7767469065904056</v>
      </c>
      <c r="R12" s="36">
        <f t="shared" ca="1" si="1"/>
        <v>1.3916703235403052</v>
      </c>
      <c r="S12" s="16">
        <f ca="1">IFERROR(SLOPE(OFFSET(Q$16,1,0,MAX($B$16:$B$509),1),OFFSET($K$16,1,0,MAX($B$16:$B$509),1)),"N/A")</f>
        <v>0.9456546008461103</v>
      </c>
      <c r="T12" s="16">
        <f ca="1">IFERROR(INTERCEPT(OFFSET(Q$16,1,0,MAX($B$16:$B$509),1),OFFSET($K$16,1,0,MAX($B$16:$B$509),1))*12,"N/A")</f>
        <v>1.6836341561632109</v>
      </c>
      <c r="U12" s="16">
        <f ca="1">IFERROR(STDEVP(OFFSET(Q$16,1,0,MAX($B$16:$B$509),1))*SQRT(12),"N/A")</f>
        <v>19.537523109148015</v>
      </c>
      <c r="V12" s="41"/>
    </row>
    <row r="13" spans="1:27" x14ac:dyDescent="0.25">
      <c r="C13" s="7"/>
      <c r="D13" s="33"/>
      <c r="E13" s="42"/>
      <c r="F13" s="33"/>
      <c r="G13" s="33"/>
      <c r="H13" s="33"/>
      <c r="I13" s="39"/>
      <c r="J13" s="7"/>
      <c r="K13" s="16"/>
      <c r="L13" s="16"/>
      <c r="M13" s="16"/>
      <c r="N13" s="16"/>
      <c r="O13" s="41"/>
      <c r="P13" s="7"/>
      <c r="Q13" s="16"/>
      <c r="R13" s="36"/>
      <c r="S13" s="16"/>
      <c r="T13" s="16"/>
      <c r="U13" s="16"/>
      <c r="V13" s="41"/>
    </row>
    <row r="14" spans="1:27" x14ac:dyDescent="0.25">
      <c r="A14" s="7" t="s">
        <v>340</v>
      </c>
      <c r="C14" s="17"/>
      <c r="D14" s="16"/>
      <c r="E14" s="18"/>
      <c r="F14" s="16"/>
      <c r="I14" s="39"/>
      <c r="J14" s="7"/>
      <c r="K14" s="16"/>
      <c r="L14" s="16"/>
      <c r="M14" s="16"/>
      <c r="N14" s="10"/>
      <c r="O14" s="39"/>
      <c r="P14" s="7"/>
      <c r="Q14" s="16"/>
      <c r="R14" s="16"/>
      <c r="S14" s="18"/>
      <c r="T14" s="10"/>
      <c r="U14" s="10"/>
      <c r="V14" s="39"/>
    </row>
    <row r="15" spans="1:27" s="23" customFormat="1" x14ac:dyDescent="0.25">
      <c r="A15" s="13" t="s">
        <v>69</v>
      </c>
      <c r="B15" s="23" t="s">
        <v>70</v>
      </c>
      <c r="C15" s="13" t="s">
        <v>71</v>
      </c>
      <c r="D15" s="33" t="s">
        <v>72</v>
      </c>
      <c r="E15" s="13" t="s">
        <v>73</v>
      </c>
      <c r="F15" s="13" t="s">
        <v>74</v>
      </c>
      <c r="G15" s="13" t="s">
        <v>75</v>
      </c>
      <c r="H15" s="33"/>
      <c r="I15" s="44"/>
      <c r="J15" s="13" t="s">
        <v>69</v>
      </c>
      <c r="K15" s="33" t="s">
        <v>41</v>
      </c>
      <c r="L15" s="13" t="s">
        <v>73</v>
      </c>
      <c r="M15" s="13" t="s">
        <v>74</v>
      </c>
      <c r="N15" s="13" t="s">
        <v>75</v>
      </c>
      <c r="O15" s="44"/>
      <c r="P15" s="13" t="s">
        <v>69</v>
      </c>
      <c r="Q15" s="33" t="s">
        <v>41</v>
      </c>
      <c r="R15" s="13" t="s">
        <v>73</v>
      </c>
      <c r="S15" s="13" t="s">
        <v>74</v>
      </c>
      <c r="T15" s="13" t="s">
        <v>75</v>
      </c>
      <c r="U15" s="33"/>
      <c r="V15" s="44"/>
      <c r="W15"/>
      <c r="X15"/>
      <c r="Y15"/>
      <c r="Z15"/>
      <c r="AA15"/>
    </row>
    <row r="16" spans="1:27" x14ac:dyDescent="0.25">
      <c r="A16" s="20">
        <v>36433</v>
      </c>
      <c r="B16" s="23">
        <v>0</v>
      </c>
      <c r="C16" s="17"/>
      <c r="D16" s="16"/>
      <c r="E16" s="46">
        <v>1000000</v>
      </c>
      <c r="F16" s="8"/>
      <c r="I16" s="39"/>
      <c r="J16" s="20">
        <f>$A16</f>
        <v>36433</v>
      </c>
      <c r="K16" s="16"/>
      <c r="L16" s="46">
        <v>1000000</v>
      </c>
      <c r="M16" s="8"/>
      <c r="O16" s="39"/>
      <c r="P16" s="20">
        <f>$A16</f>
        <v>36433</v>
      </c>
      <c r="Q16" s="16"/>
      <c r="R16" s="46">
        <v>1000000</v>
      </c>
      <c r="S16" s="8"/>
      <c r="V16" s="39"/>
    </row>
    <row r="17" spans="1:22" x14ac:dyDescent="0.25">
      <c r="A17" s="21">
        <v>36464</v>
      </c>
      <c r="B17" s="24">
        <f>IF(A17&gt;A16,1+B16,"-")</f>
        <v>1</v>
      </c>
      <c r="C17" s="96" t="s">
        <v>340</v>
      </c>
      <c r="D17" s="27">
        <f>'BOGIX (Net)'!D17+(1.25/12)</f>
        <v>3.3541666666666665</v>
      </c>
      <c r="E17" s="46">
        <f>E16*D17/100+E16</f>
        <v>1033541.6666666666</v>
      </c>
      <c r="F17" s="10"/>
      <c r="I17" s="39"/>
      <c r="J17" s="20">
        <f t="shared" ref="J17:J83" si="2">$A17</f>
        <v>36464</v>
      </c>
      <c r="K17" s="27">
        <v>1.3017181039249341</v>
      </c>
      <c r="L17" s="46">
        <f>L16*K17/100+L16</f>
        <v>1013017.1810392493</v>
      </c>
      <c r="M17" s="10"/>
      <c r="O17" s="39"/>
      <c r="P17" s="20">
        <f t="shared" ref="P17:P83" si="3">$A17</f>
        <v>36464</v>
      </c>
      <c r="Q17" s="27">
        <v>0.70884230000000004</v>
      </c>
      <c r="R17" s="46">
        <f>R16*Q17/100+R16</f>
        <v>1007088.423</v>
      </c>
      <c r="S17" s="10"/>
      <c r="V17" s="39"/>
    </row>
    <row r="18" spans="1:22" x14ac:dyDescent="0.25">
      <c r="A18" s="21">
        <v>36494</v>
      </c>
      <c r="B18" s="24">
        <f t="shared" ref="B18:B81" si="4">IF(A18&gt;A17,1+B17,"-")</f>
        <v>2</v>
      </c>
      <c r="C18" s="96" t="s">
        <v>340</v>
      </c>
      <c r="D18" s="27">
        <f>'BOGIX (Net)'!D18+(1.25/12)</f>
        <v>10.031527666666666</v>
      </c>
      <c r="E18" s="46">
        <f t="shared" ref="E18:E81" si="5">E17*D18/100+E17</f>
        <v>1137221.684904861</v>
      </c>
      <c r="F18" s="10"/>
      <c r="I18" s="39"/>
      <c r="J18" s="20">
        <f t="shared" si="2"/>
        <v>36494</v>
      </c>
      <c r="K18" s="27">
        <v>5.9685949999999997</v>
      </c>
      <c r="L18" s="46">
        <f t="shared" ref="L18:L81" si="6">L17*K18/100+L17</f>
        <v>1073480.0738558988</v>
      </c>
      <c r="M18" s="10"/>
      <c r="O18" s="39"/>
      <c r="P18" s="20">
        <f t="shared" si="3"/>
        <v>36494</v>
      </c>
      <c r="Q18" s="27">
        <v>4.2323310000000003</v>
      </c>
      <c r="R18" s="46">
        <f t="shared" ref="R18:R81" si="7">R17*Q18/100+R17</f>
        <v>1049711.73852404</v>
      </c>
      <c r="S18" s="10"/>
      <c r="V18" s="39"/>
    </row>
    <row r="19" spans="1:22" x14ac:dyDescent="0.25">
      <c r="A19" s="21">
        <v>36525</v>
      </c>
      <c r="B19" s="24">
        <f t="shared" si="4"/>
        <v>3</v>
      </c>
      <c r="C19" s="96" t="s">
        <v>340</v>
      </c>
      <c r="D19" s="27">
        <f>'BOGIX (Net)'!D19+(1.25/12)</f>
        <v>14.788456666666667</v>
      </c>
      <c r="E19" s="46">
        <f t="shared" si="5"/>
        <v>1305399.220980953</v>
      </c>
      <c r="F19" s="10"/>
      <c r="I19" s="39"/>
      <c r="J19" s="20">
        <f t="shared" si="2"/>
        <v>36525</v>
      </c>
      <c r="K19" s="27">
        <v>11.309150000000001</v>
      </c>
      <c r="L19" s="46">
        <f t="shared" si="6"/>
        <v>1194881.5456283733</v>
      </c>
      <c r="M19" s="10"/>
      <c r="O19" s="39"/>
      <c r="P19" s="20">
        <f t="shared" si="3"/>
        <v>36525</v>
      </c>
      <c r="Q19" s="27">
        <v>8.1676559999999991</v>
      </c>
      <c r="R19" s="46">
        <f t="shared" si="7"/>
        <v>1135448.5823183029</v>
      </c>
      <c r="S19" s="10"/>
      <c r="V19" s="39"/>
    </row>
    <row r="20" spans="1:22" x14ac:dyDescent="0.25">
      <c r="A20" s="21">
        <v>36556</v>
      </c>
      <c r="B20" s="24">
        <f t="shared" si="4"/>
        <v>4</v>
      </c>
      <c r="C20" s="96" t="s">
        <v>340</v>
      </c>
      <c r="D20" s="27">
        <f>'BOGIX (Net)'!D20+(1.25/12)</f>
        <v>-3.2248983333333334</v>
      </c>
      <c r="E20" s="46">
        <f t="shared" si="5"/>
        <v>1263301.4232601919</v>
      </c>
      <c r="F20" s="10"/>
      <c r="I20" s="39"/>
      <c r="J20" s="20">
        <f t="shared" si="2"/>
        <v>36556</v>
      </c>
      <c r="K20" s="27">
        <v>-1.6083909999999999</v>
      </c>
      <c r="L20" s="46">
        <f t="shared" si="6"/>
        <v>1175663.1783878256</v>
      </c>
      <c r="M20" s="10"/>
      <c r="O20" s="39"/>
      <c r="P20" s="20">
        <f t="shared" si="3"/>
        <v>36556</v>
      </c>
      <c r="Q20" s="27">
        <v>-3.0988709999999999</v>
      </c>
      <c r="R20" s="46">
        <f t="shared" si="7"/>
        <v>1100262.49548093</v>
      </c>
      <c r="S20" s="10"/>
      <c r="V20" s="39"/>
    </row>
    <row r="21" spans="1:22" x14ac:dyDescent="0.25">
      <c r="A21" s="21">
        <v>36585</v>
      </c>
      <c r="B21" s="24">
        <f t="shared" si="4"/>
        <v>5</v>
      </c>
      <c r="C21" s="96" t="s">
        <v>340</v>
      </c>
      <c r="D21" s="27">
        <f>'BOGIX (Net)'!D21+(1.25/12)</f>
        <v>17.918736666666668</v>
      </c>
      <c r="E21" s="46">
        <f t="shared" si="5"/>
        <v>1489669.0786004378</v>
      </c>
      <c r="F21" s="8"/>
      <c r="I21" s="39"/>
      <c r="J21" s="20">
        <f t="shared" si="2"/>
        <v>36585</v>
      </c>
      <c r="K21" s="27">
        <v>16.512250000000002</v>
      </c>
      <c r="L21" s="46">
        <f t="shared" si="6"/>
        <v>1369791.6215611694</v>
      </c>
      <c r="M21" s="8"/>
      <c r="O21" s="39"/>
      <c r="P21" s="20">
        <f t="shared" si="3"/>
        <v>36585</v>
      </c>
      <c r="Q21" s="27">
        <v>13.39167</v>
      </c>
      <c r="R21" s="46">
        <f t="shared" si="7"/>
        <v>1247606.018009501</v>
      </c>
      <c r="S21" s="8"/>
      <c r="V21" s="39"/>
    </row>
    <row r="22" spans="1:22" x14ac:dyDescent="0.25">
      <c r="A22" s="21">
        <v>36616</v>
      </c>
      <c r="B22" s="24">
        <f t="shared" si="4"/>
        <v>6</v>
      </c>
      <c r="C22" s="96" t="s">
        <v>340</v>
      </c>
      <c r="D22" s="27">
        <f>'BOGIX (Net)'!D22+(1.25/12)</f>
        <v>1.9591416666666668</v>
      </c>
      <c r="E22" s="46">
        <f t="shared" si="5"/>
        <v>1518853.8062147484</v>
      </c>
      <c r="F22" s="8"/>
      <c r="G22" s="5">
        <f>(E22/E19-1)*100</f>
        <v>16.351670952690878</v>
      </c>
      <c r="H22" s="5"/>
      <c r="I22" s="39"/>
      <c r="J22" s="20">
        <f t="shared" si="2"/>
        <v>36616</v>
      </c>
      <c r="K22" s="27">
        <v>-6.5932560000000002</v>
      </c>
      <c r="L22" s="46">
        <f t="shared" si="6"/>
        <v>1279477.7532850902</v>
      </c>
      <c r="M22" s="8"/>
      <c r="N22" s="5">
        <f>(L22/L19-1)*100</f>
        <v>7.0798823503654296</v>
      </c>
      <c r="O22" s="39"/>
      <c r="P22" s="20">
        <f t="shared" si="3"/>
        <v>36616</v>
      </c>
      <c r="Q22" s="27">
        <v>-3.696609</v>
      </c>
      <c r="R22" s="46">
        <f t="shared" si="7"/>
        <v>1201486.9016632203</v>
      </c>
      <c r="S22" s="8"/>
      <c r="T22" s="5">
        <f>(R22/R19-1)*100</f>
        <v>5.8160554668255982</v>
      </c>
      <c r="U22" s="5"/>
      <c r="V22" s="39"/>
    </row>
    <row r="23" spans="1:22" x14ac:dyDescent="0.25">
      <c r="A23" s="21">
        <v>36646</v>
      </c>
      <c r="B23" s="24">
        <f t="shared" si="4"/>
        <v>7</v>
      </c>
      <c r="C23" s="96" t="s">
        <v>340</v>
      </c>
      <c r="D23" s="27">
        <f>'BOGIX (Net)'!D23+(1.25/12)</f>
        <v>-2.6000273333333337</v>
      </c>
      <c r="E23" s="46">
        <f t="shared" si="5"/>
        <v>1479363.1920997913</v>
      </c>
      <c r="F23" s="8"/>
      <c r="I23" s="39"/>
      <c r="J23" s="20">
        <f t="shared" si="2"/>
        <v>36646</v>
      </c>
      <c r="K23" s="27">
        <v>-6.0134879999999997</v>
      </c>
      <c r="L23" s="46">
        <f t="shared" si="6"/>
        <v>1202536.5121286218</v>
      </c>
      <c r="M23" s="8"/>
      <c r="O23" s="39"/>
      <c r="P23" s="20">
        <f t="shared" si="3"/>
        <v>36646</v>
      </c>
      <c r="Q23" s="27">
        <v>-1.713997</v>
      </c>
      <c r="R23" s="46">
        <f t="shared" si="7"/>
        <v>1180893.4522133197</v>
      </c>
      <c r="S23" s="8"/>
      <c r="V23" s="39"/>
    </row>
    <row r="24" spans="1:22" x14ac:dyDescent="0.25">
      <c r="A24" s="21">
        <v>36677</v>
      </c>
      <c r="B24" s="24">
        <f t="shared" si="4"/>
        <v>8</v>
      </c>
      <c r="C24" s="96" t="s">
        <v>340</v>
      </c>
      <c r="D24" s="27">
        <f>'BOGIX (Net)'!D24+(1.25/12)</f>
        <v>-2.8453513333333333</v>
      </c>
      <c r="E24" s="46">
        <f t="shared" si="5"/>
        <v>1437270.1117885374</v>
      </c>
      <c r="F24" s="8"/>
      <c r="I24" s="39"/>
      <c r="J24" s="20">
        <f t="shared" si="2"/>
        <v>36677</v>
      </c>
      <c r="K24" s="27">
        <v>-5.8288599999999997</v>
      </c>
      <c r="L24" s="46">
        <f t="shared" si="6"/>
        <v>1132442.3423877615</v>
      </c>
      <c r="M24" s="8"/>
      <c r="O24" s="39"/>
      <c r="P24" s="20">
        <f t="shared" si="3"/>
        <v>36677</v>
      </c>
      <c r="Q24" s="27">
        <v>-2.9643359999999999</v>
      </c>
      <c r="R24" s="46">
        <f t="shared" si="7"/>
        <v>1145887.8024877175</v>
      </c>
      <c r="S24" s="8"/>
      <c r="V24" s="39"/>
    </row>
    <row r="25" spans="1:22" x14ac:dyDescent="0.25">
      <c r="A25" s="21">
        <v>36707</v>
      </c>
      <c r="B25" s="24">
        <f t="shared" si="4"/>
        <v>9</v>
      </c>
      <c r="C25" s="96" t="s">
        <v>340</v>
      </c>
      <c r="D25" s="27">
        <f>'BOGIX (Net)'!D25+(1.25/12)</f>
        <v>11.851686666666666</v>
      </c>
      <c r="E25" s="46">
        <f t="shared" si="5"/>
        <v>1607610.8619913645</v>
      </c>
      <c r="F25" s="8"/>
      <c r="G25" s="5">
        <f>(E25/E22-1)*100</f>
        <v>5.8436865624226453</v>
      </c>
      <c r="H25" s="5"/>
      <c r="I25" s="39"/>
      <c r="J25" s="20">
        <f t="shared" si="2"/>
        <v>36707</v>
      </c>
      <c r="K25" s="27">
        <v>8.6743419999999993</v>
      </c>
      <c r="L25" s="46">
        <f t="shared" si="6"/>
        <v>1230674.2641192868</v>
      </c>
      <c r="M25" s="8"/>
      <c r="N25" s="5">
        <f>(L25/L22-1)*100</f>
        <v>-3.8143288572622169</v>
      </c>
      <c r="O25" s="39"/>
      <c r="P25" s="20">
        <f t="shared" si="3"/>
        <v>36707</v>
      </c>
      <c r="Q25" s="27">
        <v>5.9182430000000004</v>
      </c>
      <c r="R25" s="46">
        <f t="shared" si="7"/>
        <v>1213704.2271463007</v>
      </c>
      <c r="S25" s="8"/>
      <c r="T25" s="5">
        <f>(R25/R22-1)*100</f>
        <v>1.0168504930156086</v>
      </c>
      <c r="U25" s="5"/>
      <c r="V25" s="39"/>
    </row>
    <row r="26" spans="1:22" x14ac:dyDescent="0.25">
      <c r="A26" s="21">
        <v>36738</v>
      </c>
      <c r="B26" s="24">
        <f t="shared" si="4"/>
        <v>10</v>
      </c>
      <c r="C26" s="96" t="s">
        <v>340</v>
      </c>
      <c r="D26" s="27">
        <f>'BOGIX (Net)'!D26+(1.25/12)</f>
        <v>-0.99415933333333328</v>
      </c>
      <c r="E26" s="46">
        <f t="shared" si="5"/>
        <v>1591628.6485631969</v>
      </c>
      <c r="F26" s="8"/>
      <c r="I26" s="39"/>
      <c r="J26" s="20">
        <f t="shared" si="2"/>
        <v>36738</v>
      </c>
      <c r="K26" s="27">
        <v>-3.217371</v>
      </c>
      <c r="L26" s="46">
        <f t="shared" si="6"/>
        <v>1191078.9072410495</v>
      </c>
      <c r="M26" s="8"/>
      <c r="O26" s="39"/>
      <c r="P26" s="20">
        <f t="shared" si="3"/>
        <v>36738</v>
      </c>
      <c r="Q26" s="27">
        <v>-2.4599039999999999</v>
      </c>
      <c r="R26" s="46">
        <f t="shared" si="7"/>
        <v>1183848.2683145597</v>
      </c>
      <c r="S26" s="8"/>
      <c r="V26" s="39"/>
    </row>
    <row r="27" spans="1:22" x14ac:dyDescent="0.25">
      <c r="A27" s="21">
        <v>36769</v>
      </c>
      <c r="B27" s="24">
        <f t="shared" si="4"/>
        <v>11</v>
      </c>
      <c r="C27" s="96" t="s">
        <v>340</v>
      </c>
      <c r="D27" s="27">
        <f>'BOGIX (Net)'!D27+(1.25/12)</f>
        <v>10.680586666666667</v>
      </c>
      <c r="E27" s="46">
        <f t="shared" si="5"/>
        <v>1761623.9257844845</v>
      </c>
      <c r="F27" s="8"/>
      <c r="I27" s="39"/>
      <c r="J27" s="20">
        <f t="shared" si="2"/>
        <v>36769</v>
      </c>
      <c r="K27" s="27">
        <v>7.6089180000000001</v>
      </c>
      <c r="L27" s="46">
        <f t="shared" si="6"/>
        <v>1281707.1246083169</v>
      </c>
      <c r="M27" s="8"/>
      <c r="O27" s="39"/>
      <c r="P27" s="20">
        <f t="shared" si="3"/>
        <v>36769</v>
      </c>
      <c r="Q27" s="27">
        <v>8.8652270000000009</v>
      </c>
      <c r="R27" s="46">
        <f t="shared" si="7"/>
        <v>1288799.1046362144</v>
      </c>
      <c r="S27" s="8"/>
      <c r="V27" s="39"/>
    </row>
    <row r="28" spans="1:22" x14ac:dyDescent="0.25">
      <c r="A28" s="21">
        <v>36799</v>
      </c>
      <c r="B28" s="24">
        <f t="shared" si="4"/>
        <v>12</v>
      </c>
      <c r="C28" s="96" t="s">
        <v>340</v>
      </c>
      <c r="D28" s="27">
        <f>'BOGIX (Net)'!D28+(1.25/12)</f>
        <v>-1.6653213333333332</v>
      </c>
      <c r="E28" s="46">
        <f t="shared" si="5"/>
        <v>1732287.2267352913</v>
      </c>
      <c r="F28" s="8"/>
      <c r="G28" s="5">
        <f>(E28/E25-1)*100</f>
        <v>7.7553820822962694</v>
      </c>
      <c r="H28" s="5"/>
      <c r="I28" s="39"/>
      <c r="J28" s="20">
        <f t="shared" si="2"/>
        <v>36799</v>
      </c>
      <c r="K28" s="27">
        <v>-2.9409990000000001</v>
      </c>
      <c r="L28" s="46">
        <f t="shared" si="6"/>
        <v>1244012.1308906577</v>
      </c>
      <c r="M28" s="8"/>
      <c r="N28" s="5">
        <f>(L28/L25-1)*100</f>
        <v>1.0837853004845188</v>
      </c>
      <c r="O28" s="39"/>
      <c r="P28" s="20">
        <f t="shared" si="3"/>
        <v>36799</v>
      </c>
      <c r="Q28" s="27">
        <v>-2.7224300000000001</v>
      </c>
      <c r="R28" s="46">
        <f t="shared" si="7"/>
        <v>1253712.4511718669</v>
      </c>
      <c r="S28" s="8"/>
      <c r="T28" s="5">
        <f>(R28/R25-1)*100</f>
        <v>3.2963734599190442</v>
      </c>
      <c r="U28" s="5"/>
      <c r="V28" s="39"/>
    </row>
    <row r="29" spans="1:22" x14ac:dyDescent="0.25">
      <c r="A29" s="21">
        <v>36830</v>
      </c>
      <c r="B29" s="24">
        <f t="shared" si="4"/>
        <v>13</v>
      </c>
      <c r="C29" s="96" t="s">
        <v>340</v>
      </c>
      <c r="D29" s="27">
        <f>'BOGIX (Net)'!D29+(1.25/12)</f>
        <v>-4.1889833333333334E-2</v>
      </c>
      <c r="E29" s="46">
        <f t="shared" si="5"/>
        <v>1731561.5745031573</v>
      </c>
      <c r="F29" s="8"/>
      <c r="I29" s="39"/>
      <c r="J29" s="20">
        <f t="shared" si="2"/>
        <v>36830</v>
      </c>
      <c r="K29" s="27">
        <v>-4.4646340000000002</v>
      </c>
      <c r="L29" s="46">
        <f t="shared" si="6"/>
        <v>1188471.5423307889</v>
      </c>
      <c r="M29" s="8"/>
      <c r="O29" s="39"/>
      <c r="P29" s="20">
        <f t="shared" si="3"/>
        <v>36830</v>
      </c>
      <c r="Q29" s="27">
        <v>0.62625810000000004</v>
      </c>
      <c r="R29" s="46">
        <f t="shared" si="7"/>
        <v>1261563.9269480393</v>
      </c>
      <c r="S29" s="8"/>
      <c r="V29" s="39"/>
    </row>
    <row r="30" spans="1:22" x14ac:dyDescent="0.25">
      <c r="A30" s="21">
        <v>36860</v>
      </c>
      <c r="B30" s="24">
        <f t="shared" si="4"/>
        <v>14</v>
      </c>
      <c r="C30" s="96" t="s">
        <v>340</v>
      </c>
      <c r="D30" s="27">
        <f>'BOGIX (Net)'!D30+(1.25/12)</f>
        <v>-10.838973333333334</v>
      </c>
      <c r="E30" s="46">
        <f t="shared" si="5"/>
        <v>1543878.0771925133</v>
      </c>
      <c r="F30" s="8"/>
      <c r="I30" s="39"/>
      <c r="J30" s="20">
        <f t="shared" si="2"/>
        <v>36860</v>
      </c>
      <c r="K30" s="27">
        <v>-10.265610000000001</v>
      </c>
      <c r="L30" s="46">
        <f t="shared" si="6"/>
        <v>1066467.6888341252</v>
      </c>
      <c r="M30" s="8"/>
      <c r="O30" s="39"/>
      <c r="P30" s="20">
        <f t="shared" si="3"/>
        <v>36860</v>
      </c>
      <c r="Q30" s="27">
        <v>-10.41089</v>
      </c>
      <c r="R30" s="46">
        <f t="shared" si="7"/>
        <v>1130223.8942337986</v>
      </c>
      <c r="S30" s="8"/>
      <c r="V30" s="39"/>
    </row>
    <row r="31" spans="1:22" x14ac:dyDescent="0.25">
      <c r="A31" s="21">
        <v>36891</v>
      </c>
      <c r="B31" s="24">
        <f t="shared" si="4"/>
        <v>15</v>
      </c>
      <c r="C31" s="96" t="s">
        <v>340</v>
      </c>
      <c r="D31" s="27">
        <f>'BOGIX (Net)'!D31+(1.25/12)</f>
        <v>8.5460926666666666</v>
      </c>
      <c r="E31" s="46">
        <f t="shared" si="5"/>
        <v>1675819.3283297371</v>
      </c>
      <c r="F31" s="11">
        <f>(E31-E19)/E19*100</f>
        <v>28.376001869407339</v>
      </c>
      <c r="G31" s="5">
        <f>(E31/E28-1)*100</f>
        <v>-3.2597306921194003</v>
      </c>
      <c r="H31" s="5"/>
      <c r="I31" s="39"/>
      <c r="J31" s="20">
        <f t="shared" si="2"/>
        <v>36891</v>
      </c>
      <c r="K31" s="27">
        <v>8.5862309999999997</v>
      </c>
      <c r="L31" s="46">
        <f t="shared" si="6"/>
        <v>1158037.0681377845</v>
      </c>
      <c r="M31" s="11">
        <f>(L31-L19)/L19*100</f>
        <v>-3.0835255281487122</v>
      </c>
      <c r="N31" s="5">
        <f>(L31/L28-1)*100</f>
        <v>-6.911111284045024</v>
      </c>
      <c r="O31" s="39"/>
      <c r="P31" s="20">
        <f t="shared" si="3"/>
        <v>36891</v>
      </c>
      <c r="Q31" s="27">
        <v>12.319000000000001</v>
      </c>
      <c r="R31" s="46">
        <f t="shared" si="7"/>
        <v>1269456.1757644603</v>
      </c>
      <c r="S31" s="11">
        <f>(R31-R19)/R19*100</f>
        <v>11.802171893380439</v>
      </c>
      <c r="T31" s="5">
        <f>(R31/R28-1)*100</f>
        <v>1.2557683843593903</v>
      </c>
      <c r="U31" s="5"/>
      <c r="V31" s="39"/>
    </row>
    <row r="32" spans="1:22" x14ac:dyDescent="0.25">
      <c r="A32" s="21">
        <v>36922</v>
      </c>
      <c r="B32" s="24">
        <f t="shared" si="4"/>
        <v>16</v>
      </c>
      <c r="C32" s="96" t="s">
        <v>340</v>
      </c>
      <c r="D32" s="27">
        <f>'BOGIX (Net)'!D32+(1.25/12)</f>
        <v>2.1940306666666665</v>
      </c>
      <c r="E32" s="46">
        <f t="shared" si="5"/>
        <v>1712587.3183112189</v>
      </c>
      <c r="F32" s="10"/>
      <c r="I32" s="39"/>
      <c r="J32" s="20">
        <f t="shared" si="2"/>
        <v>36922</v>
      </c>
      <c r="K32" s="27">
        <v>5.2033269999999998</v>
      </c>
      <c r="L32" s="46">
        <f t="shared" si="6"/>
        <v>1218293.5235742063</v>
      </c>
      <c r="M32" s="10"/>
      <c r="O32" s="39"/>
      <c r="P32" s="20">
        <f t="shared" si="3"/>
        <v>36922</v>
      </c>
      <c r="Q32" s="27">
        <v>4.2861710000000004</v>
      </c>
      <c r="R32" s="46">
        <f t="shared" si="7"/>
        <v>1323867.2382277858</v>
      </c>
      <c r="S32" s="10"/>
      <c r="V32" s="39"/>
    </row>
    <row r="33" spans="1:22" x14ac:dyDescent="0.25">
      <c r="A33" s="21">
        <v>36950</v>
      </c>
      <c r="B33" s="24">
        <f t="shared" si="4"/>
        <v>17</v>
      </c>
      <c r="C33" s="96" t="s">
        <v>340</v>
      </c>
      <c r="D33" s="27">
        <f>'BOGIX (Net)'!D33+(1.25/12)</f>
        <v>-5.8323743333333331</v>
      </c>
      <c r="E33" s="46">
        <f t="shared" si="5"/>
        <v>1612702.8151221138</v>
      </c>
      <c r="F33" s="8"/>
      <c r="I33" s="39"/>
      <c r="J33" s="20">
        <f t="shared" si="2"/>
        <v>36950</v>
      </c>
      <c r="K33" s="27">
        <v>-6.5631570000000004</v>
      </c>
      <c r="L33" s="46">
        <f t="shared" si="6"/>
        <v>1138335.006901199</v>
      </c>
      <c r="M33" s="8"/>
      <c r="O33" s="39"/>
      <c r="P33" s="20">
        <f t="shared" si="3"/>
        <v>36950</v>
      </c>
      <c r="Q33" s="27">
        <v>-6.1027750000000003</v>
      </c>
      <c r="R33" s="46">
        <f t="shared" si="7"/>
        <v>1243074.5993800301</v>
      </c>
      <c r="S33" s="8"/>
      <c r="V33" s="39"/>
    </row>
    <row r="34" spans="1:22" x14ac:dyDescent="0.25">
      <c r="A34" s="21">
        <v>36981</v>
      </c>
      <c r="B34" s="24">
        <f t="shared" si="4"/>
        <v>18</v>
      </c>
      <c r="C34" s="96" t="s">
        <v>340</v>
      </c>
      <c r="D34" s="27">
        <f>'BOGIX (Net)'!D34+(1.25/12)</f>
        <v>-4.7924603333333327</v>
      </c>
      <c r="E34" s="46">
        <f t="shared" si="5"/>
        <v>1535414.6724128365</v>
      </c>
      <c r="F34" s="8"/>
      <c r="G34" s="5">
        <f>(E34/E31-1)*100</f>
        <v>-8.378269276607508</v>
      </c>
      <c r="H34" s="5"/>
      <c r="I34" s="39"/>
      <c r="J34" s="20">
        <f t="shared" si="2"/>
        <v>36981</v>
      </c>
      <c r="K34" s="27">
        <v>-4.8920110000000001</v>
      </c>
      <c r="L34" s="46">
        <f t="shared" si="6"/>
        <v>1082647.5331467416</v>
      </c>
      <c r="M34" s="8"/>
      <c r="N34" s="5">
        <f>(L34/L31-1)*100</f>
        <v>-6.5101141461969991</v>
      </c>
      <c r="O34" s="39"/>
      <c r="P34" s="20">
        <f t="shared" si="3"/>
        <v>36981</v>
      </c>
      <c r="Q34" s="27">
        <v>-4.5858730000000003</v>
      </c>
      <c r="R34" s="46">
        <f t="shared" si="7"/>
        <v>1186068.7769572032</v>
      </c>
      <c r="S34" s="8"/>
      <c r="T34" s="5">
        <f>(R34/R31-1)*100</f>
        <v>-6.5687497055218707</v>
      </c>
      <c r="U34" s="5"/>
      <c r="V34" s="39"/>
    </row>
    <row r="35" spans="1:22" x14ac:dyDescent="0.25">
      <c r="A35" s="21">
        <v>37011</v>
      </c>
      <c r="B35" s="24">
        <f t="shared" si="4"/>
        <v>19</v>
      </c>
      <c r="C35" s="96" t="s">
        <v>340</v>
      </c>
      <c r="D35" s="27">
        <f>'BOGIX (Net)'!D35+(1.25/12)</f>
        <v>10.516066666666665</v>
      </c>
      <c r="E35" s="46">
        <f t="shared" si="5"/>
        <v>1696879.902973552</v>
      </c>
      <c r="F35" s="8"/>
      <c r="I35" s="39"/>
      <c r="J35" s="20">
        <f t="shared" si="2"/>
        <v>37011</v>
      </c>
      <c r="K35" s="27">
        <v>7.8205220000000004</v>
      </c>
      <c r="L35" s="46">
        <f t="shared" si="6"/>
        <v>1167316.2216589397</v>
      </c>
      <c r="M35" s="8"/>
      <c r="O35" s="39"/>
      <c r="P35" s="20">
        <f t="shared" si="3"/>
        <v>37011</v>
      </c>
      <c r="Q35" s="27">
        <v>7.6229129999999996</v>
      </c>
      <c r="R35" s="46">
        <f t="shared" si="7"/>
        <v>1276481.7679448149</v>
      </c>
      <c r="S35" s="8"/>
      <c r="V35" s="39"/>
    </row>
    <row r="36" spans="1:22" x14ac:dyDescent="0.25">
      <c r="A36" s="21">
        <v>37042</v>
      </c>
      <c r="B36" s="24">
        <f t="shared" si="4"/>
        <v>20</v>
      </c>
      <c r="C36" s="96" t="s">
        <v>340</v>
      </c>
      <c r="D36" s="27">
        <f>'BOGIX (Net)'!D36+(1.25/12)</f>
        <v>3.4202286666666666</v>
      </c>
      <c r="E36" s="46">
        <f t="shared" si="5"/>
        <v>1754917.075853959</v>
      </c>
      <c r="F36" s="8"/>
      <c r="I36" s="39"/>
      <c r="J36" s="20">
        <f t="shared" si="2"/>
        <v>37042</v>
      </c>
      <c r="K36" s="27">
        <v>2.4572470000000002</v>
      </c>
      <c r="L36" s="46">
        <f t="shared" si="6"/>
        <v>1196000.0644961675</v>
      </c>
      <c r="M36" s="8"/>
      <c r="O36" s="39"/>
      <c r="P36" s="20">
        <f t="shared" si="3"/>
        <v>37042</v>
      </c>
      <c r="Q36" s="27">
        <v>1.9135960000000001</v>
      </c>
      <c r="R36" s="46">
        <f t="shared" si="7"/>
        <v>1300908.471996936</v>
      </c>
      <c r="S36" s="8"/>
      <c r="V36" s="39"/>
    </row>
    <row r="37" spans="1:22" x14ac:dyDescent="0.25">
      <c r="A37" s="21">
        <v>37072</v>
      </c>
      <c r="B37" s="24">
        <f t="shared" si="4"/>
        <v>21</v>
      </c>
      <c r="C37" s="96" t="s">
        <v>340</v>
      </c>
      <c r="D37" s="27">
        <f>'BOGIX (Net)'!D37+(1.25/12)</f>
        <v>2.1101846666666666</v>
      </c>
      <c r="E37" s="46">
        <f t="shared" si="5"/>
        <v>1791949.0669013443</v>
      </c>
      <c r="F37" s="8"/>
      <c r="G37" s="5">
        <f>(E37/E34-1)*100</f>
        <v>16.707824869575806</v>
      </c>
      <c r="H37" s="5"/>
      <c r="I37" s="39"/>
      <c r="J37" s="20">
        <f t="shared" si="2"/>
        <v>37072</v>
      </c>
      <c r="K37" s="27">
        <v>3.4524699999999999</v>
      </c>
      <c r="L37" s="46">
        <f t="shared" si="6"/>
        <v>1237291.6079228783</v>
      </c>
      <c r="M37" s="8"/>
      <c r="N37" s="5">
        <f>(L37/L34-1)*100</f>
        <v>14.283880029418249</v>
      </c>
      <c r="O37" s="39"/>
      <c r="P37" s="20">
        <f t="shared" si="3"/>
        <v>37072</v>
      </c>
      <c r="Q37" s="27">
        <v>3.663656</v>
      </c>
      <c r="R37" s="46">
        <f t="shared" si="7"/>
        <v>1348569.2832857601</v>
      </c>
      <c r="S37" s="8"/>
      <c r="T37" s="5">
        <f>(R37/R34-1)*100</f>
        <v>13.700765881844013</v>
      </c>
      <c r="U37" s="5"/>
      <c r="V37" s="39"/>
    </row>
    <row r="38" spans="1:22" x14ac:dyDescent="0.25">
      <c r="A38" s="21">
        <v>37103</v>
      </c>
      <c r="B38" s="24">
        <f t="shared" si="4"/>
        <v>22</v>
      </c>
      <c r="C38" s="96" t="s">
        <v>340</v>
      </c>
      <c r="D38" s="27">
        <f>'BOGIX (Net)'!D38+(1.25/12)</f>
        <v>-0.78078913333333333</v>
      </c>
      <c r="E38" s="46">
        <f t="shared" si="5"/>
        <v>1777957.7233121106</v>
      </c>
      <c r="F38" s="8"/>
      <c r="I38" s="39"/>
      <c r="J38" s="20">
        <f t="shared" si="2"/>
        <v>37103</v>
      </c>
      <c r="K38" s="27">
        <v>-5.391635</v>
      </c>
      <c r="L38" s="46">
        <f t="shared" si="6"/>
        <v>1170581.3605380456</v>
      </c>
      <c r="M38" s="8"/>
      <c r="O38" s="39"/>
      <c r="P38" s="20">
        <f t="shared" si="3"/>
        <v>37103</v>
      </c>
      <c r="Q38" s="27">
        <v>-1.6720010000000001</v>
      </c>
      <c r="R38" s="46">
        <f t="shared" si="7"/>
        <v>1326021.1913835295</v>
      </c>
      <c r="S38" s="8"/>
      <c r="V38" s="39"/>
    </row>
    <row r="39" spans="1:22" x14ac:dyDescent="0.25">
      <c r="A39" s="21">
        <v>37134</v>
      </c>
      <c r="B39" s="24">
        <f t="shared" si="4"/>
        <v>23</v>
      </c>
      <c r="C39" s="96" t="s">
        <v>340</v>
      </c>
      <c r="D39" s="27">
        <f>'BOGIX (Net)'!D39+(1.25/12)</f>
        <v>-3.0704363333333333</v>
      </c>
      <c r="E39" s="46">
        <f t="shared" si="5"/>
        <v>1723366.6633842294</v>
      </c>
      <c r="F39" s="8"/>
      <c r="I39" s="39"/>
      <c r="J39" s="20">
        <f t="shared" si="2"/>
        <v>37134</v>
      </c>
      <c r="K39" s="27">
        <v>-3.2296490000000002</v>
      </c>
      <c r="L39" s="46">
        <f t="shared" si="6"/>
        <v>1132775.6913332422</v>
      </c>
      <c r="M39" s="8"/>
      <c r="O39" s="39"/>
      <c r="P39" s="20">
        <f t="shared" si="3"/>
        <v>37134</v>
      </c>
      <c r="Q39" s="27">
        <v>-2.2801840000000002</v>
      </c>
      <c r="R39" s="46">
        <f t="shared" si="7"/>
        <v>1295785.4683409929</v>
      </c>
      <c r="S39" s="8"/>
      <c r="V39" s="39"/>
    </row>
    <row r="40" spans="1:22" x14ac:dyDescent="0.25">
      <c r="A40" s="21">
        <v>37164</v>
      </c>
      <c r="B40" s="24">
        <f t="shared" si="4"/>
        <v>24</v>
      </c>
      <c r="C40" s="96" t="s">
        <v>340</v>
      </c>
      <c r="D40" s="27">
        <f>'BOGIX (Net)'!D40+(1.25/12)</f>
        <v>-9.6294393333333339</v>
      </c>
      <c r="E40" s="46">
        <f t="shared" si="5"/>
        <v>1557416.1160427541</v>
      </c>
      <c r="F40" s="8"/>
      <c r="G40" s="5">
        <f>(E40/E37-1)*100</f>
        <v>-13.088148273329381</v>
      </c>
      <c r="H40" s="5"/>
      <c r="I40" s="39"/>
      <c r="J40" s="20">
        <f t="shared" si="2"/>
        <v>37164</v>
      </c>
      <c r="K40" s="27">
        <v>-13.46433</v>
      </c>
      <c r="L40" s="46">
        <f t="shared" si="6"/>
        <v>980255.03409235307</v>
      </c>
      <c r="M40" s="8"/>
      <c r="N40" s="5">
        <f>(L40/L37-1)*100</f>
        <v>-20.774130543245928</v>
      </c>
      <c r="O40" s="39"/>
      <c r="P40" s="20">
        <f t="shared" si="3"/>
        <v>37164</v>
      </c>
      <c r="Q40" s="27">
        <v>-13.51914</v>
      </c>
      <c r="R40" s="46">
        <f t="shared" si="7"/>
        <v>1120606.4167763183</v>
      </c>
      <c r="S40" s="8"/>
      <c r="T40" s="5">
        <f>(R40/R37-1)*100</f>
        <v>-16.904053008979648</v>
      </c>
      <c r="U40" s="5"/>
      <c r="V40" s="39"/>
    </row>
    <row r="41" spans="1:22" x14ac:dyDescent="0.25">
      <c r="A41" s="21">
        <v>37195</v>
      </c>
      <c r="B41" s="24">
        <f t="shared" si="4"/>
        <v>25</v>
      </c>
      <c r="C41" s="96" t="s">
        <v>340</v>
      </c>
      <c r="D41" s="27">
        <f>'BOGIX (Net)'!D41+(1.25/12)</f>
        <v>5.0984916666666669</v>
      </c>
      <c r="E41" s="46">
        <f t="shared" si="5"/>
        <v>1636820.8469345176</v>
      </c>
      <c r="F41" s="8"/>
      <c r="I41" s="39"/>
      <c r="J41" s="20">
        <f t="shared" si="2"/>
        <v>37195</v>
      </c>
      <c r="K41" s="27">
        <v>5.8522610000000004</v>
      </c>
      <c r="L41" s="46">
        <f t="shared" si="6"/>
        <v>1037622.1171530766</v>
      </c>
      <c r="M41" s="8"/>
      <c r="O41" s="39"/>
      <c r="P41" s="20">
        <f t="shared" si="3"/>
        <v>37195</v>
      </c>
      <c r="Q41" s="27">
        <v>5.3320429999999996</v>
      </c>
      <c r="R41" s="46">
        <f t="shared" si="7"/>
        <v>1180357.6327795908</v>
      </c>
      <c r="S41" s="8"/>
      <c r="V41" s="39"/>
    </row>
    <row r="42" spans="1:22" x14ac:dyDescent="0.25">
      <c r="A42" s="21">
        <v>37225</v>
      </c>
      <c r="B42" s="24">
        <f t="shared" si="4"/>
        <v>26</v>
      </c>
      <c r="C42" s="96" t="s">
        <v>340</v>
      </c>
      <c r="D42" s="27">
        <f>'BOGIX (Net)'!D42+(1.25/12)</f>
        <v>4.1582206666666668</v>
      </c>
      <c r="E42" s="46">
        <f t="shared" si="5"/>
        <v>1704883.469668057</v>
      </c>
      <c r="F42" s="8"/>
      <c r="I42" s="39"/>
      <c r="J42" s="20">
        <f t="shared" si="2"/>
        <v>37225</v>
      </c>
      <c r="K42" s="27">
        <v>7.7396900000000004</v>
      </c>
      <c r="L42" s="46">
        <f t="shared" si="6"/>
        <v>1117930.8523921615</v>
      </c>
      <c r="M42" s="8"/>
      <c r="O42" s="39"/>
      <c r="P42" s="20">
        <f t="shared" si="3"/>
        <v>37225</v>
      </c>
      <c r="Q42" s="27">
        <v>7.3124440000000002</v>
      </c>
      <c r="R42" s="46">
        <f t="shared" si="7"/>
        <v>1266670.623676324</v>
      </c>
      <c r="S42" s="8"/>
      <c r="V42" s="39"/>
    </row>
    <row r="43" spans="1:22" x14ac:dyDescent="0.25">
      <c r="A43" s="21">
        <v>37256</v>
      </c>
      <c r="B43" s="24">
        <f t="shared" si="4"/>
        <v>27</v>
      </c>
      <c r="C43" s="96" t="s">
        <v>340</v>
      </c>
      <c r="D43" s="27">
        <f>'BOGIX (Net)'!D43+(1.25/12)</f>
        <v>4.7275436666666666</v>
      </c>
      <c r="E43" s="46">
        <f t="shared" si="5"/>
        <v>1785482.5801623962</v>
      </c>
      <c r="F43" s="11">
        <f>(E43-E31)/E31*100</f>
        <v>6.5438588742116233</v>
      </c>
      <c r="G43" s="5">
        <f>(E43/E40-1)*100</f>
        <v>14.643900353306805</v>
      </c>
      <c r="H43" s="5"/>
      <c r="I43" s="39"/>
      <c r="J43" s="20">
        <f t="shared" si="2"/>
        <v>37256</v>
      </c>
      <c r="K43" s="27">
        <v>6.1708530000000001</v>
      </c>
      <c r="L43" s="46">
        <f t="shared" si="6"/>
        <v>1186916.7219349288</v>
      </c>
      <c r="M43" s="11">
        <f>(L43-L31)/L31*100</f>
        <v>2.4938453691802009</v>
      </c>
      <c r="N43" s="5">
        <f>(L43/L40-1)*100</f>
        <v>21.082440860294049</v>
      </c>
      <c r="O43" s="39"/>
      <c r="P43" s="20">
        <f t="shared" si="3"/>
        <v>37256</v>
      </c>
      <c r="Q43" s="27">
        <v>6.767093</v>
      </c>
      <c r="R43" s="46">
        <f t="shared" si="7"/>
        <v>1352387.4027841808</v>
      </c>
      <c r="S43" s="11">
        <f>(R43-R31)/R31*100</f>
        <v>6.5328152797224135</v>
      </c>
      <c r="T43" s="5">
        <f>(R43/R40-1)*100</f>
        <v>20.683531928599308</v>
      </c>
      <c r="U43" s="5"/>
      <c r="V43" s="39"/>
    </row>
    <row r="44" spans="1:22" x14ac:dyDescent="0.25">
      <c r="A44" s="21">
        <v>37287</v>
      </c>
      <c r="B44" s="24">
        <f t="shared" si="4"/>
        <v>28</v>
      </c>
      <c r="C44" s="96" t="s">
        <v>340</v>
      </c>
      <c r="D44" s="27">
        <f>'BOGIX (Net)'!D44+(1.25/12)</f>
        <v>1.8420016666666668</v>
      </c>
      <c r="E44" s="46">
        <f t="shared" si="5"/>
        <v>1818371.1990470304</v>
      </c>
      <c r="F44" s="10"/>
      <c r="I44" s="39"/>
      <c r="J44" s="20">
        <f t="shared" si="2"/>
        <v>37287</v>
      </c>
      <c r="K44" s="27">
        <v>-1.0399480000000001</v>
      </c>
      <c r="L44" s="46">
        <f t="shared" si="6"/>
        <v>1174573.4052235009</v>
      </c>
      <c r="M44" s="10"/>
      <c r="O44" s="39"/>
      <c r="P44" s="20">
        <f t="shared" si="3"/>
        <v>37287</v>
      </c>
      <c r="Q44" s="27">
        <v>0.87265190000000004</v>
      </c>
      <c r="R44" s="46">
        <f t="shared" si="7"/>
        <v>1364189.0371499376</v>
      </c>
      <c r="S44" s="10"/>
      <c r="V44" s="39"/>
    </row>
    <row r="45" spans="1:22" x14ac:dyDescent="0.25">
      <c r="A45" s="21">
        <v>37315</v>
      </c>
      <c r="B45" s="24">
        <f t="shared" si="4"/>
        <v>29</v>
      </c>
      <c r="C45" s="96" t="s">
        <v>340</v>
      </c>
      <c r="D45" s="27">
        <f>'BOGIX (Net)'!D45+(1.25/12)</f>
        <v>-2.0920263333333335</v>
      </c>
      <c r="E45" s="46">
        <f t="shared" si="5"/>
        <v>1780330.3947252175</v>
      </c>
      <c r="F45" s="8"/>
      <c r="I45" s="39"/>
      <c r="J45" s="20">
        <f t="shared" si="2"/>
        <v>37315</v>
      </c>
      <c r="K45" s="27">
        <v>-2.7418740000000001</v>
      </c>
      <c r="L45" s="46">
        <f t="shared" si="6"/>
        <v>1142368.082414763</v>
      </c>
      <c r="M45" s="8"/>
      <c r="O45" s="39"/>
      <c r="P45" s="20">
        <f t="shared" si="3"/>
        <v>37315</v>
      </c>
      <c r="Q45" s="27">
        <v>-1.7188049999999999</v>
      </c>
      <c r="R45" s="46">
        <f t="shared" si="7"/>
        <v>1340741.2877699526</v>
      </c>
      <c r="S45" s="8"/>
      <c r="V45" s="39"/>
    </row>
    <row r="46" spans="1:22" x14ac:dyDescent="0.25">
      <c r="A46" s="21">
        <v>37346</v>
      </c>
      <c r="B46" s="24">
        <f t="shared" si="4"/>
        <v>30</v>
      </c>
      <c r="C46" s="96" t="s">
        <v>340</v>
      </c>
      <c r="D46" s="27">
        <f>'BOGIX (Net)'!D46+(1.25/12)</f>
        <v>7.2398946666666673</v>
      </c>
      <c r="E46" s="46">
        <f t="shared" si="5"/>
        <v>1909224.440021974</v>
      </c>
      <c r="F46" s="8"/>
      <c r="G46" s="5">
        <f>(E46/E43-1)*100</f>
        <v>6.9304434125771808</v>
      </c>
      <c r="H46" s="5"/>
      <c r="I46" s="39"/>
      <c r="J46" s="20">
        <f t="shared" si="2"/>
        <v>37346</v>
      </c>
      <c r="K46" s="27">
        <v>8.0357520000000005</v>
      </c>
      <c r="L46" s="46">
        <f t="shared" si="6"/>
        <v>1234165.948444769</v>
      </c>
      <c r="M46" s="8"/>
      <c r="N46" s="5">
        <f>(L46/L43-1)*100</f>
        <v>3.9808375462782042</v>
      </c>
      <c r="O46" s="39"/>
      <c r="P46" s="20">
        <f t="shared" si="3"/>
        <v>37346</v>
      </c>
      <c r="Q46" s="27">
        <v>7.8985940000000001</v>
      </c>
      <c r="R46" s="46">
        <f t="shared" si="7"/>
        <v>1446640.9986812728</v>
      </c>
      <c r="S46" s="8"/>
      <c r="T46" s="5">
        <f>(R46/R43-1)*100</f>
        <v>6.9694227928366326</v>
      </c>
      <c r="U46" s="5"/>
      <c r="V46" s="39"/>
    </row>
    <row r="47" spans="1:22" x14ac:dyDescent="0.25">
      <c r="A47" s="21">
        <v>37376</v>
      </c>
      <c r="B47" s="24">
        <f t="shared" si="4"/>
        <v>31</v>
      </c>
      <c r="C47" s="96" t="s">
        <v>340</v>
      </c>
      <c r="D47" s="27">
        <f>'BOGIX (Net)'!D47+(1.25/12)</f>
        <v>2.2001146666666664</v>
      </c>
      <c r="E47" s="46">
        <f t="shared" si="5"/>
        <v>1951229.5669464821</v>
      </c>
      <c r="F47" s="8"/>
      <c r="I47" s="39"/>
      <c r="J47" s="20">
        <f t="shared" si="2"/>
        <v>37376</v>
      </c>
      <c r="K47" s="27">
        <v>0.91124190000000005</v>
      </c>
      <c r="L47" s="46">
        <f t="shared" si="6"/>
        <v>1245412.18568253</v>
      </c>
      <c r="M47" s="8"/>
      <c r="O47" s="39"/>
      <c r="P47" s="20">
        <f t="shared" si="3"/>
        <v>37376</v>
      </c>
      <c r="Q47" s="27">
        <v>2.8260329999999998</v>
      </c>
      <c r="R47" s="46">
        <f t="shared" si="7"/>
        <v>1487523.5506955353</v>
      </c>
      <c r="S47" s="8"/>
      <c r="V47" s="39"/>
    </row>
    <row r="48" spans="1:22" x14ac:dyDescent="0.25">
      <c r="A48" s="21">
        <v>37407</v>
      </c>
      <c r="B48" s="24">
        <f t="shared" si="4"/>
        <v>32</v>
      </c>
      <c r="C48" s="96" t="s">
        <v>340</v>
      </c>
      <c r="D48" s="27">
        <f>'BOGIX (Net)'!D48+(1.25/12)</f>
        <v>-3.9104313333333338</v>
      </c>
      <c r="E48" s="46">
        <f t="shared" si="5"/>
        <v>1874928.0745753425</v>
      </c>
      <c r="F48" s="8"/>
      <c r="I48" s="39"/>
      <c r="J48" s="20">
        <f t="shared" si="2"/>
        <v>37407</v>
      </c>
      <c r="K48" s="27">
        <v>-4.4368819999999998</v>
      </c>
      <c r="L48" s="46">
        <f t="shared" si="6"/>
        <v>1190154.7165901754</v>
      </c>
      <c r="M48" s="8"/>
      <c r="O48" s="39"/>
      <c r="P48" s="20">
        <f t="shared" si="3"/>
        <v>37407</v>
      </c>
      <c r="Q48" s="27">
        <v>-4.1378909999999998</v>
      </c>
      <c r="R48" s="46">
        <f t="shared" si="7"/>
        <v>1425971.4475684243</v>
      </c>
      <c r="S48" s="8"/>
      <c r="V48" s="39"/>
    </row>
    <row r="49" spans="1:22" x14ac:dyDescent="0.25">
      <c r="A49" s="21">
        <v>37437</v>
      </c>
      <c r="B49" s="24">
        <f t="shared" si="4"/>
        <v>33</v>
      </c>
      <c r="C49" s="96" t="s">
        <v>340</v>
      </c>
      <c r="D49" s="27">
        <f>'BOGIX (Net)'!D49+(1.25/12)</f>
        <v>-3.2228293333333333</v>
      </c>
      <c r="E49" s="46">
        <f t="shared" si="5"/>
        <v>1814502.3426090265</v>
      </c>
      <c r="F49" s="8"/>
      <c r="G49" s="5">
        <f>(E49/E46-1)*100</f>
        <v>-4.9612866579404002</v>
      </c>
      <c r="H49" s="5"/>
      <c r="I49" s="39"/>
      <c r="J49" s="20">
        <f t="shared" si="2"/>
        <v>37437</v>
      </c>
      <c r="K49" s="27">
        <v>-4.9623290000000004</v>
      </c>
      <c r="L49" s="46">
        <f t="shared" si="6"/>
        <v>1131095.3239439533</v>
      </c>
      <c r="M49" s="8"/>
      <c r="N49" s="5">
        <f>(L49/L46-1)*100</f>
        <v>-8.3514396609872357</v>
      </c>
      <c r="O49" s="39"/>
      <c r="P49" s="20">
        <f t="shared" si="3"/>
        <v>37437</v>
      </c>
      <c r="Q49" s="27">
        <v>-5.1724259999999997</v>
      </c>
      <c r="R49" s="46">
        <f t="shared" si="7"/>
        <v>1352214.1296618187</v>
      </c>
      <c r="S49" s="8"/>
      <c r="T49" s="5">
        <f>(R49/R46-1)*100</f>
        <v>-6.5273187408300792</v>
      </c>
      <c r="U49" s="5"/>
      <c r="V49" s="39"/>
    </row>
    <row r="50" spans="1:22" x14ac:dyDescent="0.25">
      <c r="A50" s="21">
        <v>37468</v>
      </c>
      <c r="B50" s="24">
        <f t="shared" si="4"/>
        <v>34</v>
      </c>
      <c r="C50" s="96" t="s">
        <v>340</v>
      </c>
      <c r="D50" s="27">
        <f>'BOGIX (Net)'!D50+(1.25/12)</f>
        <v>-13.366823333333334</v>
      </c>
      <c r="E50" s="46">
        <f t="shared" si="5"/>
        <v>1571961.0200932832</v>
      </c>
      <c r="F50" s="8"/>
      <c r="I50" s="39"/>
      <c r="J50" s="20">
        <f t="shared" si="2"/>
        <v>37468</v>
      </c>
      <c r="K50" s="27">
        <v>-15.103759999999999</v>
      </c>
      <c r="L50" s="46">
        <f t="shared" si="6"/>
        <v>960257.40084423602</v>
      </c>
      <c r="M50" s="8"/>
      <c r="O50" s="39"/>
      <c r="P50" s="20">
        <f t="shared" si="3"/>
        <v>37468</v>
      </c>
      <c r="Q50" s="27">
        <v>-14.12593</v>
      </c>
      <c r="R50" s="46">
        <f t="shared" si="7"/>
        <v>1161201.3082556811</v>
      </c>
      <c r="S50" s="8"/>
      <c r="V50" s="39"/>
    </row>
    <row r="51" spans="1:22" x14ac:dyDescent="0.25">
      <c r="A51" s="21">
        <v>37499</v>
      </c>
      <c r="B51" s="24">
        <f t="shared" si="4"/>
        <v>35</v>
      </c>
      <c r="C51" s="96" t="s">
        <v>340</v>
      </c>
      <c r="D51" s="27">
        <f>'BOGIX (Net)'!D51+(1.25/12)</f>
        <v>1.4109846666666668</v>
      </c>
      <c r="E51" s="46">
        <f t="shared" si="5"/>
        <v>1594141.1490527764</v>
      </c>
      <c r="F51" s="8"/>
      <c r="I51" s="39"/>
      <c r="J51" s="20">
        <f t="shared" si="2"/>
        <v>37499</v>
      </c>
      <c r="K51" s="27">
        <v>-0.25479550000000001</v>
      </c>
      <c r="L51" s="46">
        <f t="shared" si="6"/>
        <v>957810.70819846797</v>
      </c>
      <c r="M51" s="8"/>
      <c r="O51" s="39"/>
      <c r="P51" s="20">
        <f t="shared" si="3"/>
        <v>37499</v>
      </c>
      <c r="Q51" s="27">
        <v>0.9544106</v>
      </c>
      <c r="R51" s="46">
        <f t="shared" si="7"/>
        <v>1172283.936629012</v>
      </c>
      <c r="S51" s="8"/>
      <c r="V51" s="39"/>
    </row>
    <row r="52" spans="1:22" x14ac:dyDescent="0.25">
      <c r="A52" s="21">
        <v>37529</v>
      </c>
      <c r="B52" s="24">
        <f t="shared" si="4"/>
        <v>36</v>
      </c>
      <c r="C52" s="96" t="s">
        <v>340</v>
      </c>
      <c r="D52" s="27">
        <f>'BOGIX (Net)'!D52+(1.25/12)</f>
        <v>-7.4673423333333329</v>
      </c>
      <c r="E52" s="46">
        <f t="shared" si="5"/>
        <v>1475101.1721764719</v>
      </c>
      <c r="F52" s="8"/>
      <c r="G52" s="5">
        <f>(E52/E49-1)*100</f>
        <v>-18.704917732128045</v>
      </c>
      <c r="H52" s="5"/>
      <c r="I52" s="39"/>
      <c r="J52" s="20">
        <f t="shared" si="2"/>
        <v>37529</v>
      </c>
      <c r="K52" s="27">
        <v>-7.1821339999999996</v>
      </c>
      <c r="L52" s="46">
        <f t="shared" si="6"/>
        <v>889019.45966930501</v>
      </c>
      <c r="M52" s="8"/>
      <c r="N52" s="5">
        <f>(L52/L49-1)*100</f>
        <v>-21.401897713675222</v>
      </c>
      <c r="O52" s="39"/>
      <c r="P52" s="20">
        <f t="shared" si="3"/>
        <v>37529</v>
      </c>
      <c r="Q52" s="27">
        <v>-6.1216650000000001</v>
      </c>
      <c r="R52" s="46">
        <f t="shared" si="7"/>
        <v>1100520.6411797716</v>
      </c>
      <c r="S52" s="8"/>
      <c r="T52" s="5">
        <f>(R52/R49-1)*100</f>
        <v>-18.613434289803955</v>
      </c>
      <c r="U52" s="5"/>
      <c r="V52" s="39"/>
    </row>
    <row r="53" spans="1:22" x14ac:dyDescent="0.25">
      <c r="A53" s="21">
        <v>37560</v>
      </c>
      <c r="B53" s="24">
        <f t="shared" si="4"/>
        <v>37</v>
      </c>
      <c r="C53" s="96" t="s">
        <v>340</v>
      </c>
      <c r="D53" s="27">
        <f>'BOGIX (Net)'!D53+(1.25/12)</f>
        <v>1.1357196666666667</v>
      </c>
      <c r="E53" s="46">
        <f t="shared" si="5"/>
        <v>1491854.1862921107</v>
      </c>
      <c r="F53" s="8"/>
      <c r="I53" s="39"/>
      <c r="J53" s="20">
        <f t="shared" si="2"/>
        <v>37560</v>
      </c>
      <c r="K53" s="27">
        <v>3.2057199999999999</v>
      </c>
      <c r="L53" s="46">
        <f t="shared" si="6"/>
        <v>917518.93429181585</v>
      </c>
      <c r="M53" s="8"/>
      <c r="O53" s="39"/>
      <c r="P53" s="20">
        <f t="shared" si="3"/>
        <v>37560</v>
      </c>
      <c r="Q53" s="27">
        <v>3.1981540000000002</v>
      </c>
      <c r="R53" s="46">
        <f t="shared" si="7"/>
        <v>1135716.9860864882</v>
      </c>
      <c r="S53" s="8"/>
      <c r="V53" s="39"/>
    </row>
    <row r="54" spans="1:22" x14ac:dyDescent="0.25">
      <c r="A54" s="21">
        <v>37590</v>
      </c>
      <c r="B54" s="24">
        <f t="shared" si="4"/>
        <v>38</v>
      </c>
      <c r="C54" s="96" t="s">
        <v>340</v>
      </c>
      <c r="D54" s="27">
        <f>'BOGIX (Net)'!D54+(1.25/12)</f>
        <v>3.8879506666666663</v>
      </c>
      <c r="E54" s="46">
        <f t="shared" si="5"/>
        <v>1549856.7410737495</v>
      </c>
      <c r="F54" s="8"/>
      <c r="H54" s="49"/>
      <c r="I54" s="39"/>
      <c r="J54" s="20">
        <f t="shared" si="2"/>
        <v>37590</v>
      </c>
      <c r="K54" s="27">
        <v>8.9203779999999995</v>
      </c>
      <c r="L54" s="46">
        <f t="shared" si="6"/>
        <v>999365.09145221743</v>
      </c>
      <c r="M54" s="8"/>
      <c r="O54" s="39"/>
      <c r="P54" s="20">
        <f t="shared" si="3"/>
        <v>37590</v>
      </c>
      <c r="Q54" s="27">
        <v>5.2082369999999996</v>
      </c>
      <c r="R54" s="46">
        <f t="shared" si="7"/>
        <v>1194867.8183711295</v>
      </c>
      <c r="S54" s="8"/>
      <c r="U54" s="49"/>
      <c r="V54" s="39"/>
    </row>
    <row r="55" spans="1:22" x14ac:dyDescent="0.25">
      <c r="A55" s="21">
        <v>37621</v>
      </c>
      <c r="B55" s="24">
        <f t="shared" si="4"/>
        <v>39</v>
      </c>
      <c r="C55" s="96" t="s">
        <v>340</v>
      </c>
      <c r="D55" s="27">
        <f>'BOGIX (Net)'!D55+(1.25/12)</f>
        <v>-3.8310183333333336</v>
      </c>
      <c r="E55" s="46">
        <f t="shared" si="5"/>
        <v>1490481.4451828117</v>
      </c>
      <c r="F55" s="11">
        <f>(E55-E43)/E43*100</f>
        <v>-16.522207399679758</v>
      </c>
      <c r="G55" s="5">
        <f>(E55/E52-1)*100</f>
        <v>1.0426588559784511</v>
      </c>
      <c r="H55" s="5"/>
      <c r="I55" s="39"/>
      <c r="J55" s="20">
        <f t="shared" si="2"/>
        <v>37621</v>
      </c>
      <c r="K55" s="27">
        <v>-5.570659</v>
      </c>
      <c r="L55" s="46">
        <f t="shared" si="6"/>
        <v>943693.87004237622</v>
      </c>
      <c r="M55" s="11">
        <f>(L55-L43)/L43*100</f>
        <v>-20.491989656700362</v>
      </c>
      <c r="N55" s="5">
        <f>(L55/L52-1)*100</f>
        <v>6.1499677851156287</v>
      </c>
      <c r="O55" s="39"/>
      <c r="P55" s="20">
        <f t="shared" si="3"/>
        <v>37621</v>
      </c>
      <c r="Q55" s="27">
        <v>-3.3705240000000001</v>
      </c>
      <c r="R55" s="46">
        <f t="shared" si="7"/>
        <v>1154594.5117846541</v>
      </c>
      <c r="S55" s="11">
        <f>(R55-R43)/R43*100</f>
        <v>-14.625460913960559</v>
      </c>
      <c r="T55" s="5">
        <f>(R55/R52-1)*100</f>
        <v>4.913480818216609</v>
      </c>
      <c r="U55" s="49"/>
      <c r="V55" s="39"/>
    </row>
    <row r="56" spans="1:22" x14ac:dyDescent="0.25">
      <c r="A56" s="21">
        <v>37652</v>
      </c>
      <c r="B56" s="24">
        <f t="shared" si="4"/>
        <v>40</v>
      </c>
      <c r="C56" s="96" t="s">
        <v>340</v>
      </c>
      <c r="D56" s="27">
        <f>'BOGIX (Net)'!D56+(1.25/12)</f>
        <v>-0.61872493333333334</v>
      </c>
      <c r="E56" s="46">
        <f t="shared" si="5"/>
        <v>1481259.4648547587</v>
      </c>
      <c r="F56" s="10"/>
      <c r="H56" s="49"/>
      <c r="I56" s="39"/>
      <c r="J56" s="20">
        <f t="shared" si="2"/>
        <v>37652</v>
      </c>
      <c r="K56" s="27">
        <v>-2.7676249999999998</v>
      </c>
      <c r="L56" s="46">
        <f t="shared" si="6"/>
        <v>917575.96257161594</v>
      </c>
      <c r="M56" s="10"/>
      <c r="O56" s="39"/>
      <c r="P56" s="20">
        <f t="shared" si="3"/>
        <v>37652</v>
      </c>
      <c r="Q56" s="27">
        <v>-3.4386700000000001</v>
      </c>
      <c r="R56" s="46">
        <f t="shared" si="7"/>
        <v>1114891.8166862687</v>
      </c>
      <c r="S56" s="10"/>
      <c r="U56" s="49"/>
      <c r="V56" s="39"/>
    </row>
    <row r="57" spans="1:22" x14ac:dyDescent="0.25">
      <c r="A57" s="21">
        <v>37680</v>
      </c>
      <c r="B57" s="24">
        <f t="shared" si="4"/>
        <v>41</v>
      </c>
      <c r="C57" s="96" t="s">
        <v>340</v>
      </c>
      <c r="D57" s="27">
        <f>'BOGIX (Net)'!D57+(1.25/12)</f>
        <v>-2.6264153333333335</v>
      </c>
      <c r="E57" s="46">
        <f t="shared" si="5"/>
        <v>1442355.439143362</v>
      </c>
      <c r="F57" s="8"/>
      <c r="H57" s="49"/>
      <c r="I57" s="39"/>
      <c r="J57" s="20">
        <f t="shared" si="2"/>
        <v>37680</v>
      </c>
      <c r="K57" s="27">
        <v>-3.022116</v>
      </c>
      <c r="L57" s="46">
        <f t="shared" si="6"/>
        <v>889845.75259458506</v>
      </c>
      <c r="M57" s="8"/>
      <c r="O57" s="39"/>
      <c r="P57" s="20">
        <f t="shared" si="3"/>
        <v>37680</v>
      </c>
      <c r="Q57" s="27">
        <v>-3.2017280000000001</v>
      </c>
      <c r="R57" s="46">
        <f t="shared" si="7"/>
        <v>1079196.0132217158</v>
      </c>
      <c r="S57" s="8"/>
      <c r="U57" s="49"/>
      <c r="V57" s="39"/>
    </row>
    <row r="58" spans="1:22" x14ac:dyDescent="0.25">
      <c r="A58" s="21">
        <v>37711</v>
      </c>
      <c r="B58" s="24">
        <f t="shared" si="4"/>
        <v>42</v>
      </c>
      <c r="C58" s="96" t="s">
        <v>340</v>
      </c>
      <c r="D58" s="27">
        <f>'BOGIX (Net)'!D58+(1.25/12)</f>
        <v>0.35369876666666666</v>
      </c>
      <c r="E58" s="46">
        <f t="shared" si="5"/>
        <v>1447457.0325425616</v>
      </c>
      <c r="F58" s="8"/>
      <c r="G58" s="5">
        <f>(E58/E55-1)*100</f>
        <v>-2.8866117575165773</v>
      </c>
      <c r="H58" s="49"/>
      <c r="I58" s="39"/>
      <c r="J58" s="20">
        <f t="shared" si="2"/>
        <v>37711</v>
      </c>
      <c r="K58" s="27">
        <v>1.287946</v>
      </c>
      <c r="L58" s="46">
        <f t="shared" si="6"/>
        <v>901306.48537129688</v>
      </c>
      <c r="M58" s="8"/>
      <c r="N58" s="5">
        <f>(L58/L55-1)*100</f>
        <v>-4.4916456508481861</v>
      </c>
      <c r="O58" s="39"/>
      <c r="P58" s="20">
        <f t="shared" si="3"/>
        <v>37711</v>
      </c>
      <c r="Q58" s="27">
        <v>0.78723359999999998</v>
      </c>
      <c r="R58" s="46">
        <f t="shared" si="7"/>
        <v>1087691.8068476575</v>
      </c>
      <c r="S58" s="8"/>
      <c r="T58" s="5">
        <f>(R58/R55-1)*100</f>
        <v>-5.7944762645359527</v>
      </c>
      <c r="U58" s="49"/>
      <c r="V58" s="39"/>
    </row>
    <row r="59" spans="1:22" x14ac:dyDescent="0.25">
      <c r="A59" s="21">
        <v>37741</v>
      </c>
      <c r="B59" s="24">
        <f t="shared" si="4"/>
        <v>43</v>
      </c>
      <c r="C59" s="96" t="s">
        <v>340</v>
      </c>
      <c r="D59" s="27">
        <f>'BOGIX (Net)'!D59+(1.25/12)</f>
        <v>9.3138736666666659</v>
      </c>
      <c r="E59" s="46">
        <f t="shared" si="5"/>
        <v>1582271.3519328581</v>
      </c>
      <c r="F59" s="8"/>
      <c r="H59" s="49"/>
      <c r="I59" s="39"/>
      <c r="J59" s="20">
        <f t="shared" si="2"/>
        <v>37741</v>
      </c>
      <c r="K59" s="27">
        <v>9.4817040000000006</v>
      </c>
      <c r="L59" s="46">
        <f t="shared" si="6"/>
        <v>986765.69844700652</v>
      </c>
      <c r="M59" s="8"/>
      <c r="O59" s="39"/>
      <c r="P59" s="20">
        <f t="shared" si="3"/>
        <v>37741</v>
      </c>
      <c r="Q59" s="27">
        <v>8.1183029999999992</v>
      </c>
      <c r="R59" s="46">
        <f t="shared" si="7"/>
        <v>1175993.923433725</v>
      </c>
      <c r="S59" s="8"/>
      <c r="U59" s="49"/>
      <c r="V59" s="39"/>
    </row>
    <row r="60" spans="1:22" x14ac:dyDescent="0.25">
      <c r="A60" s="21">
        <v>37772</v>
      </c>
      <c r="B60" s="24">
        <f t="shared" si="4"/>
        <v>44</v>
      </c>
      <c r="C60" s="96" t="s">
        <v>340</v>
      </c>
      <c r="D60" s="27">
        <f>'BOGIX (Net)'!D60+(1.25/12)</f>
        <v>10.417556666666666</v>
      </c>
      <c r="E60" s="46">
        <f t="shared" si="5"/>
        <v>1747105.3666408963</v>
      </c>
      <c r="F60" s="8"/>
      <c r="H60" s="49"/>
      <c r="I60" s="39"/>
      <c r="J60" s="20">
        <f t="shared" si="2"/>
        <v>37772</v>
      </c>
      <c r="K60" s="27">
        <v>10.73142</v>
      </c>
      <c r="L60" s="46">
        <f t="shared" si="6"/>
        <v>1092659.6699632884</v>
      </c>
      <c r="M60" s="8"/>
      <c r="O60" s="39"/>
      <c r="P60" s="20">
        <f t="shared" si="3"/>
        <v>37772</v>
      </c>
      <c r="Q60" s="27">
        <v>8.0610320000000009</v>
      </c>
      <c r="R60" s="46">
        <f t="shared" si="7"/>
        <v>1270791.169919773</v>
      </c>
      <c r="S60" s="8"/>
      <c r="U60" s="49"/>
      <c r="V60" s="39"/>
    </row>
    <row r="61" spans="1:22" x14ac:dyDescent="0.25">
      <c r="A61" s="21">
        <v>37802</v>
      </c>
      <c r="B61" s="24">
        <f t="shared" si="4"/>
        <v>45</v>
      </c>
      <c r="C61" s="96" t="s">
        <v>340</v>
      </c>
      <c r="D61" s="27">
        <f>'BOGIX (Net)'!D61+(1.25/12)</f>
        <v>3.3582986666666663</v>
      </c>
      <c r="E61" s="46">
        <f t="shared" si="5"/>
        <v>1805778.3828740593</v>
      </c>
      <c r="F61" s="8"/>
      <c r="G61" s="5">
        <f>(E61/E58-1)*100</f>
        <v>24.755232264275271</v>
      </c>
      <c r="H61" s="49"/>
      <c r="I61" s="39"/>
      <c r="J61" s="20">
        <f t="shared" si="2"/>
        <v>37802</v>
      </c>
      <c r="K61" s="27">
        <v>1.8092509999999999</v>
      </c>
      <c r="L61" s="46">
        <f t="shared" si="6"/>
        <v>1112428.6259686959</v>
      </c>
      <c r="M61" s="8"/>
      <c r="N61" s="5">
        <f>(L61/L58-1)*100</f>
        <v>23.424012145039242</v>
      </c>
      <c r="O61" s="39"/>
      <c r="P61" s="20">
        <f t="shared" si="3"/>
        <v>37802</v>
      </c>
      <c r="Q61" s="27">
        <v>2.6015109999999999</v>
      </c>
      <c r="R61" s="46">
        <f t="shared" si="7"/>
        <v>1303850.9419922647</v>
      </c>
      <c r="S61" s="8"/>
      <c r="T61" s="5">
        <f>(R61/R58-1)*100</f>
        <v>19.873196964779783</v>
      </c>
      <c r="U61" s="49"/>
      <c r="V61" s="39"/>
    </row>
    <row r="62" spans="1:22" x14ac:dyDescent="0.25">
      <c r="A62" s="21">
        <v>37833</v>
      </c>
      <c r="B62" s="24">
        <f t="shared" si="4"/>
        <v>46</v>
      </c>
      <c r="C62" s="96" t="s">
        <v>340</v>
      </c>
      <c r="D62" s="27">
        <f>'BOGIX (Net)'!D62+(1.25/12)</f>
        <v>8.4083186666666663</v>
      </c>
      <c r="E62" s="46">
        <f t="shared" si="5"/>
        <v>1957613.9837198902</v>
      </c>
      <c r="F62" s="8"/>
      <c r="H62" s="49"/>
      <c r="I62" s="39"/>
      <c r="J62" s="20">
        <f t="shared" si="2"/>
        <v>37833</v>
      </c>
      <c r="K62" s="27">
        <v>6.2560209999999996</v>
      </c>
      <c r="L62" s="46">
        <f t="shared" si="6"/>
        <v>1182022.394419309</v>
      </c>
      <c r="M62" s="8"/>
      <c r="O62" s="39"/>
      <c r="P62" s="20">
        <f t="shared" si="3"/>
        <v>37833</v>
      </c>
      <c r="Q62" s="27">
        <v>5.1982850000000003</v>
      </c>
      <c r="R62" s="46">
        <f t="shared" si="7"/>
        <v>1371628.8299322072</v>
      </c>
      <c r="S62" s="8"/>
      <c r="U62" s="49"/>
      <c r="V62" s="39"/>
    </row>
    <row r="63" spans="1:22" x14ac:dyDescent="0.25">
      <c r="A63" s="21">
        <v>37864</v>
      </c>
      <c r="B63" s="24">
        <f t="shared" si="4"/>
        <v>47</v>
      </c>
      <c r="C63" s="96" t="s">
        <v>340</v>
      </c>
      <c r="D63" s="27">
        <f>'BOGIX (Net)'!D63+(1.25/12)</f>
        <v>5.0002406666666666</v>
      </c>
      <c r="E63" s="46">
        <f t="shared" si="5"/>
        <v>2055499.3942302056</v>
      </c>
      <c r="F63" s="8"/>
      <c r="H63" s="49"/>
      <c r="I63" s="39"/>
      <c r="J63" s="20">
        <f t="shared" si="2"/>
        <v>37864</v>
      </c>
      <c r="K63" s="27">
        <v>4.5846939999999998</v>
      </c>
      <c r="L63" s="46">
        <f t="shared" si="6"/>
        <v>1236214.5042149073</v>
      </c>
      <c r="M63" s="8"/>
      <c r="O63" s="39"/>
      <c r="P63" s="20">
        <f t="shared" si="3"/>
        <v>37864</v>
      </c>
      <c r="Q63" s="27">
        <v>4.8674030000000004</v>
      </c>
      <c r="R63" s="46">
        <f t="shared" si="7"/>
        <v>1438391.5327491923</v>
      </c>
      <c r="S63" s="8"/>
      <c r="U63" s="49"/>
      <c r="V63" s="39"/>
    </row>
    <row r="64" spans="1:22" x14ac:dyDescent="0.25">
      <c r="A64" s="21">
        <v>37894</v>
      </c>
      <c r="B64" s="24">
        <f t="shared" si="4"/>
        <v>48</v>
      </c>
      <c r="C64" s="96" t="s">
        <v>340</v>
      </c>
      <c r="D64" s="27">
        <f>'BOGIX (Net)'!D64+(1.25/12)</f>
        <v>-0.86456953333333342</v>
      </c>
      <c r="E64" s="46">
        <f t="shared" si="5"/>
        <v>2037728.1727098399</v>
      </c>
      <c r="F64" s="8"/>
      <c r="G64" s="5">
        <f>(E64/E61-1)*100</f>
        <v>12.844864687471325</v>
      </c>
      <c r="H64" s="49"/>
      <c r="I64" s="39"/>
      <c r="J64" s="20">
        <f t="shared" si="2"/>
        <v>37894</v>
      </c>
      <c r="K64" s="27">
        <v>-1.8475969999999999</v>
      </c>
      <c r="L64" s="46">
        <f t="shared" si="6"/>
        <v>1213374.2421214678</v>
      </c>
      <c r="M64" s="8"/>
      <c r="N64" s="5">
        <f>(L64/L61-1)*100</f>
        <v>9.0743454273184643</v>
      </c>
      <c r="O64" s="39"/>
      <c r="P64" s="20">
        <f t="shared" si="3"/>
        <v>37894</v>
      </c>
      <c r="Q64" s="27">
        <v>-2.9404750000000002</v>
      </c>
      <c r="R64" s="46">
        <f t="shared" si="7"/>
        <v>1396095.9893265855</v>
      </c>
      <c r="S64" s="8"/>
      <c r="T64" s="5">
        <f>(R64/R61-1)*100</f>
        <v>7.0748154074553815</v>
      </c>
      <c r="U64" s="49"/>
      <c r="V64" s="39"/>
    </row>
    <row r="65" spans="1:22" x14ac:dyDescent="0.25">
      <c r="A65" s="21">
        <v>37925</v>
      </c>
      <c r="B65" s="24">
        <f t="shared" si="4"/>
        <v>49</v>
      </c>
      <c r="C65" s="96" t="s">
        <v>340</v>
      </c>
      <c r="D65" s="27">
        <f>'BOGIX (Net)'!D65+(1.25/12)</f>
        <v>10.419866666666666</v>
      </c>
      <c r="E65" s="46">
        <f t="shared" si="5"/>
        <v>2250056.7313353084</v>
      </c>
      <c r="F65" s="8"/>
      <c r="H65" s="49"/>
      <c r="I65" s="39"/>
      <c r="J65" s="20">
        <f t="shared" si="2"/>
        <v>37925</v>
      </c>
      <c r="K65" s="27">
        <v>8.3956680000000006</v>
      </c>
      <c r="L65" s="46">
        <f t="shared" si="6"/>
        <v>1315245.1150875024</v>
      </c>
      <c r="M65" s="8"/>
      <c r="O65" s="39"/>
      <c r="P65" s="20">
        <f t="shared" si="3"/>
        <v>37925</v>
      </c>
      <c r="Q65" s="27">
        <v>8.6677610000000005</v>
      </c>
      <c r="R65" s="46">
        <f t="shared" si="7"/>
        <v>1517106.2530119994</v>
      </c>
      <c r="S65" s="8"/>
      <c r="U65" s="49"/>
      <c r="V65" s="39"/>
    </row>
    <row r="66" spans="1:22" x14ac:dyDescent="0.25">
      <c r="A66" s="21">
        <v>37955</v>
      </c>
      <c r="B66" s="24">
        <f t="shared" si="4"/>
        <v>50</v>
      </c>
      <c r="C66" s="96" t="s">
        <v>340</v>
      </c>
      <c r="D66" s="27">
        <f>'BOGIX (Net)'!D66+(1.25/12)</f>
        <v>5.1021516666666669</v>
      </c>
      <c r="E66" s="46">
        <f t="shared" si="5"/>
        <v>2364858.0383540783</v>
      </c>
      <c r="F66" s="8"/>
      <c r="H66" s="49"/>
      <c r="I66" s="39"/>
      <c r="J66" s="20">
        <f t="shared" si="2"/>
        <v>37955</v>
      </c>
      <c r="K66" s="27">
        <v>3.536886</v>
      </c>
      <c r="L66" s="46">
        <f t="shared" si="6"/>
        <v>1361763.8354287161</v>
      </c>
      <c r="M66" s="8"/>
      <c r="O66" s="39"/>
      <c r="P66" s="20">
        <f t="shared" si="3"/>
        <v>37955</v>
      </c>
      <c r="Q66" s="27">
        <v>3.785447</v>
      </c>
      <c r="R66" s="46">
        <f t="shared" si="7"/>
        <v>1574535.5061534545</v>
      </c>
      <c r="S66" s="8"/>
      <c r="U66" s="49"/>
      <c r="V66" s="39"/>
    </row>
    <row r="67" spans="1:22" x14ac:dyDescent="0.25">
      <c r="A67" s="21">
        <v>37986</v>
      </c>
      <c r="B67" s="24">
        <f t="shared" si="4"/>
        <v>51</v>
      </c>
      <c r="C67" s="96" t="s">
        <v>340</v>
      </c>
      <c r="D67" s="27">
        <f>'BOGIX (Net)'!D67+(1.25/12)</f>
        <v>1.2941856666666667</v>
      </c>
      <c r="E67" s="46">
        <f t="shared" si="5"/>
        <v>2395463.6921234713</v>
      </c>
      <c r="F67" s="11">
        <f>(E67-E55)/E55*100</f>
        <v>60.717444679739771</v>
      </c>
      <c r="G67" s="5">
        <f>(E67/E64-1)*100</f>
        <v>17.55560551228492</v>
      </c>
      <c r="H67" s="5"/>
      <c r="I67" s="39"/>
      <c r="J67" s="20">
        <f t="shared" si="2"/>
        <v>37986</v>
      </c>
      <c r="K67" s="27">
        <v>2.0575030000000001</v>
      </c>
      <c r="L67" s="46">
        <f t="shared" si="6"/>
        <v>1389782.1671955769</v>
      </c>
      <c r="M67" s="11">
        <f>(L67-L55)/L55*100</f>
        <v>47.270445566544723</v>
      </c>
      <c r="N67" s="5">
        <f>(L67/L64-1)*100</f>
        <v>14.538624519148913</v>
      </c>
      <c r="O67" s="39"/>
      <c r="P67" s="20">
        <f t="shared" si="3"/>
        <v>37986</v>
      </c>
      <c r="Q67" s="27">
        <v>1.7675959999999999</v>
      </c>
      <c r="R67" s="46">
        <f t="shared" si="7"/>
        <v>1602366.9327788027</v>
      </c>
      <c r="S67" s="11">
        <f>(R67-R55)/R55*100</f>
        <v>38.781790180348921</v>
      </c>
      <c r="T67" s="5">
        <f>(R67/R64-1)*100</f>
        <v>14.774839626300551</v>
      </c>
      <c r="U67" s="49"/>
      <c r="V67" s="39"/>
    </row>
    <row r="68" spans="1:22" x14ac:dyDescent="0.25">
      <c r="A68" s="21">
        <v>38017</v>
      </c>
      <c r="B68" s="24">
        <f t="shared" si="4"/>
        <v>52</v>
      </c>
      <c r="C68" s="96" t="s">
        <v>340</v>
      </c>
      <c r="D68" s="27">
        <f>'BOGIX (Net)'!D68+(1.25/12)</f>
        <v>6.6671406666666666</v>
      </c>
      <c r="E68" s="46">
        <f t="shared" si="5"/>
        <v>2555172.62609627</v>
      </c>
      <c r="F68" s="10"/>
      <c r="H68" s="49"/>
      <c r="I68" s="39"/>
      <c r="J68" s="20">
        <f t="shared" si="2"/>
        <v>38017</v>
      </c>
      <c r="K68" s="27">
        <v>4.340293</v>
      </c>
      <c r="L68" s="46">
        <f t="shared" si="6"/>
        <v>1450102.7853136149</v>
      </c>
      <c r="M68" s="10"/>
      <c r="O68" s="39"/>
      <c r="P68" s="20">
        <f t="shared" si="3"/>
        <v>38017</v>
      </c>
      <c r="Q68" s="27">
        <v>2.8703379999999998</v>
      </c>
      <c r="R68" s="46">
        <f t="shared" si="7"/>
        <v>1648360.2797497872</v>
      </c>
      <c r="S68" s="10"/>
      <c r="U68" s="49"/>
      <c r="V68" s="39"/>
    </row>
    <row r="69" spans="1:22" x14ac:dyDescent="0.25">
      <c r="A69" s="21">
        <v>38046</v>
      </c>
      <c r="B69" s="24">
        <f t="shared" si="4"/>
        <v>53</v>
      </c>
      <c r="C69" s="96" t="s">
        <v>340</v>
      </c>
      <c r="D69" s="27">
        <f>'BOGIX (Net)'!D69+(1.25/12)</f>
        <v>0.10416666666666667</v>
      </c>
      <c r="E69" s="46">
        <f t="shared" si="5"/>
        <v>2557834.2642484535</v>
      </c>
      <c r="F69" s="8"/>
      <c r="H69" s="49"/>
      <c r="I69" s="39"/>
      <c r="J69" s="20">
        <f t="shared" si="2"/>
        <v>38046</v>
      </c>
      <c r="K69" s="27">
        <v>0.90041139999999997</v>
      </c>
      <c r="L69" s="46">
        <f t="shared" si="6"/>
        <v>1463159.6761042962</v>
      </c>
      <c r="M69" s="8"/>
      <c r="O69" s="39"/>
      <c r="P69" s="20">
        <f t="shared" si="3"/>
        <v>38046</v>
      </c>
      <c r="Q69" s="27">
        <v>1.9239569999999999</v>
      </c>
      <c r="R69" s="46">
        <f t="shared" si="7"/>
        <v>1680074.0227372528</v>
      </c>
      <c r="S69" s="8"/>
      <c r="U69" s="49"/>
      <c r="V69" s="39"/>
    </row>
    <row r="70" spans="1:22" x14ac:dyDescent="0.25">
      <c r="A70" s="21">
        <v>38077</v>
      </c>
      <c r="B70" s="24">
        <f t="shared" si="4"/>
        <v>54</v>
      </c>
      <c r="C70" s="96" t="s">
        <v>340</v>
      </c>
      <c r="D70" s="27">
        <f>'BOGIX (Net)'!D70+(1.25/12)</f>
        <v>-0.85702953333333332</v>
      </c>
      <c r="E70" s="46">
        <f t="shared" si="5"/>
        <v>2535912.8691901248</v>
      </c>
      <c r="F70" s="8"/>
      <c r="G70" s="5">
        <f>(E70/E67-1)*100</f>
        <v>5.8631311143836129</v>
      </c>
      <c r="H70" s="49"/>
      <c r="I70" s="39"/>
      <c r="J70" s="20">
        <f t="shared" si="2"/>
        <v>38077</v>
      </c>
      <c r="K70" s="27">
        <v>0.91998959999999996</v>
      </c>
      <c r="L70" s="46">
        <f t="shared" si="6"/>
        <v>1476620.5929558494</v>
      </c>
      <c r="M70" s="8"/>
      <c r="N70" s="5">
        <f>(L70/L67-1)*100</f>
        <v>6.2483479648830498</v>
      </c>
      <c r="O70" s="39"/>
      <c r="P70" s="20">
        <f t="shared" si="3"/>
        <v>38077</v>
      </c>
      <c r="Q70" s="27">
        <v>1.305005</v>
      </c>
      <c r="R70" s="46">
        <f t="shared" si="7"/>
        <v>1701999.0727376752</v>
      </c>
      <c r="S70" s="8"/>
      <c r="T70" s="5">
        <f>(R70/R67-1)*100</f>
        <v>6.2178105351994306</v>
      </c>
      <c r="U70" s="49"/>
      <c r="V70" s="39"/>
    </row>
    <row r="71" spans="1:22" x14ac:dyDescent="0.25">
      <c r="A71" s="21">
        <v>38107</v>
      </c>
      <c r="B71" s="24">
        <f t="shared" si="4"/>
        <v>55</v>
      </c>
      <c r="C71" s="96" t="s">
        <v>340</v>
      </c>
      <c r="D71" s="27">
        <f>'BOGIX (Net)'!D71+(1.25/12)</f>
        <v>-5.9705993333333334</v>
      </c>
      <c r="E71" s="46">
        <f t="shared" si="5"/>
        <v>2384503.672328345</v>
      </c>
      <c r="F71" s="8"/>
      <c r="H71" s="49"/>
      <c r="I71" s="39"/>
      <c r="J71" s="20">
        <f t="shared" si="2"/>
        <v>38107</v>
      </c>
      <c r="K71" s="27">
        <v>-5.0994429999999999</v>
      </c>
      <c r="L71" s="46">
        <f t="shared" si="6"/>
        <v>1401321.1674918039</v>
      </c>
      <c r="M71" s="8"/>
      <c r="O71" s="39"/>
      <c r="P71" s="20">
        <f t="shared" si="3"/>
        <v>38107</v>
      </c>
      <c r="Q71" s="27">
        <v>-3.3170500000000001</v>
      </c>
      <c r="R71" s="46">
        <f t="shared" si="7"/>
        <v>1645542.9124954301</v>
      </c>
      <c r="S71" s="8"/>
      <c r="U71" s="49"/>
      <c r="V71" s="39"/>
    </row>
    <row r="72" spans="1:22" x14ac:dyDescent="0.25">
      <c r="A72" s="21">
        <v>38138</v>
      </c>
      <c r="B72" s="24">
        <f t="shared" si="4"/>
        <v>56</v>
      </c>
      <c r="C72" s="96" t="s">
        <v>340</v>
      </c>
      <c r="D72" s="27">
        <f>'BOGIX (Net)'!D72+(1.25/12)</f>
        <v>0.86957036666666665</v>
      </c>
      <c r="E72" s="46">
        <f t="shared" si="5"/>
        <v>2405238.609654991</v>
      </c>
      <c r="F72" s="8"/>
      <c r="H72" s="49"/>
      <c r="I72" s="39"/>
      <c r="J72" s="20">
        <f t="shared" si="2"/>
        <v>38138</v>
      </c>
      <c r="K72" s="27">
        <v>1.5907389999999999</v>
      </c>
      <c r="L72" s="46">
        <f t="shared" si="6"/>
        <v>1423612.5298183514</v>
      </c>
      <c r="M72" s="8"/>
      <c r="O72" s="39"/>
      <c r="P72" s="20">
        <f t="shared" si="3"/>
        <v>38138</v>
      </c>
      <c r="Q72" s="27">
        <v>1.530732</v>
      </c>
      <c r="R72" s="46">
        <f t="shared" si="7"/>
        <v>1670731.7644307297</v>
      </c>
      <c r="S72" s="8"/>
      <c r="U72" s="49"/>
      <c r="V72" s="39"/>
    </row>
    <row r="73" spans="1:22" x14ac:dyDescent="0.25">
      <c r="A73" s="21">
        <v>38168</v>
      </c>
      <c r="B73" s="24">
        <f t="shared" si="4"/>
        <v>57</v>
      </c>
      <c r="C73" s="96" t="s">
        <v>340</v>
      </c>
      <c r="D73" s="27">
        <f>'BOGIX (Net)'!D73+(1.25/12)</f>
        <v>4.509787666666667</v>
      </c>
      <c r="E73" s="46">
        <f t="shared" si="5"/>
        <v>2513709.7638271167</v>
      </c>
      <c r="F73" s="8"/>
      <c r="G73" s="5">
        <f>(E73/E70-1)*100</f>
        <v>-0.87554685465589532</v>
      </c>
      <c r="H73" s="49"/>
      <c r="I73" s="39"/>
      <c r="J73" s="20">
        <f t="shared" si="2"/>
        <v>38168</v>
      </c>
      <c r="K73" s="27">
        <v>4.2137599999999997</v>
      </c>
      <c r="L73" s="46">
        <f t="shared" si="6"/>
        <v>1483600.1451548252</v>
      </c>
      <c r="M73" s="8"/>
      <c r="N73" s="5">
        <f>(L73/L70-1)*100</f>
        <v>0.47267065299450017</v>
      </c>
      <c r="O73" s="39"/>
      <c r="P73" s="20">
        <f t="shared" si="3"/>
        <v>38168</v>
      </c>
      <c r="Q73" s="27">
        <v>5.5412049999999997</v>
      </c>
      <c r="R73" s="46">
        <f t="shared" si="7"/>
        <v>1763310.4364979535</v>
      </c>
      <c r="S73" s="8"/>
      <c r="T73" s="5">
        <f>(R73/R70-1)*100</f>
        <v>3.6023147569439473</v>
      </c>
      <c r="U73" s="49"/>
      <c r="V73" s="39"/>
    </row>
    <row r="74" spans="1:22" x14ac:dyDescent="0.25">
      <c r="A74" s="21">
        <v>38199</v>
      </c>
      <c r="B74" s="24">
        <f t="shared" si="4"/>
        <v>58</v>
      </c>
      <c r="C74" s="96" t="s">
        <v>340</v>
      </c>
      <c r="D74" s="27">
        <f>'BOGIX (Net)'!D74+(1.25/12)</f>
        <v>-5.9343923333333333</v>
      </c>
      <c r="E74" s="46">
        <f t="shared" si="5"/>
        <v>2364536.3643203089</v>
      </c>
      <c r="F74" s="8"/>
      <c r="H74" s="49"/>
      <c r="I74" s="39"/>
      <c r="J74" s="20">
        <f t="shared" si="2"/>
        <v>38199</v>
      </c>
      <c r="K74" s="27">
        <v>-6.7329499999999998</v>
      </c>
      <c r="L74" s="46">
        <f t="shared" si="6"/>
        <v>1383710.0891816234</v>
      </c>
      <c r="M74" s="8"/>
      <c r="O74" s="39"/>
      <c r="P74" s="20">
        <f t="shared" si="3"/>
        <v>38199</v>
      </c>
      <c r="Q74" s="27">
        <v>-5.4830779999999999</v>
      </c>
      <c r="R74" s="46">
        <f t="shared" si="7"/>
        <v>1666626.7498826303</v>
      </c>
      <c r="S74" s="8"/>
      <c r="U74" s="49"/>
      <c r="V74" s="39"/>
    </row>
    <row r="75" spans="1:22" x14ac:dyDescent="0.25">
      <c r="A75" s="21">
        <v>38230</v>
      </c>
      <c r="B75" s="24">
        <f t="shared" si="4"/>
        <v>59</v>
      </c>
      <c r="C75" s="96" t="s">
        <v>340</v>
      </c>
      <c r="D75" s="27">
        <f>'BOGIX (Net)'!D75+(1.25/12)</f>
        <v>-3.1478663333333334</v>
      </c>
      <c r="E75" s="46">
        <f t="shared" si="5"/>
        <v>2290103.9201684459</v>
      </c>
      <c r="F75" s="8"/>
      <c r="H75" s="49"/>
      <c r="I75" s="39"/>
      <c r="J75" s="20">
        <f t="shared" si="2"/>
        <v>38230</v>
      </c>
      <c r="K75" s="27">
        <v>-0.51783800000000002</v>
      </c>
      <c r="L75" s="46">
        <f t="shared" si="6"/>
        <v>1376544.7125300071</v>
      </c>
      <c r="M75" s="8"/>
      <c r="O75" s="39"/>
      <c r="P75" s="20">
        <f t="shared" si="3"/>
        <v>38230</v>
      </c>
      <c r="Q75" s="27">
        <v>-0.88193980000000005</v>
      </c>
      <c r="R75" s="46">
        <f t="shared" si="7"/>
        <v>1651928.1052579689</v>
      </c>
      <c r="S75" s="8"/>
      <c r="U75" s="49"/>
      <c r="V75" s="39"/>
    </row>
    <row r="76" spans="1:22" x14ac:dyDescent="0.25">
      <c r="A76" s="21">
        <v>38260</v>
      </c>
      <c r="B76" s="24">
        <f t="shared" si="4"/>
        <v>60</v>
      </c>
      <c r="C76" s="96" t="s">
        <v>340</v>
      </c>
      <c r="D76" s="27">
        <f>'BOGIX (Net)'!D76+(1.25/12)</f>
        <v>6.4266956666666673</v>
      </c>
      <c r="E76" s="46">
        <f t="shared" si="5"/>
        <v>2437281.9295680751</v>
      </c>
      <c r="F76" s="8"/>
      <c r="G76" s="5">
        <f>(E76/E73-1)*100</f>
        <v>-3.0404398852586834</v>
      </c>
      <c r="H76" s="49"/>
      <c r="I76" s="39"/>
      <c r="J76" s="20">
        <f t="shared" si="2"/>
        <v>38260</v>
      </c>
      <c r="K76" s="27">
        <v>4.6952749999999996</v>
      </c>
      <c r="L76" s="46">
        <f t="shared" si="6"/>
        <v>1441177.2722812505</v>
      </c>
      <c r="M76" s="8"/>
      <c r="N76" s="5">
        <f>(L76/L73-1)*100</f>
        <v>-2.8594546186936132</v>
      </c>
      <c r="O76" s="39"/>
      <c r="P76" s="20">
        <f t="shared" si="3"/>
        <v>38260</v>
      </c>
      <c r="Q76" s="27">
        <v>5.2744660000000003</v>
      </c>
      <c r="R76" s="46">
        <f t="shared" si="7"/>
        <v>1739058.4915142446</v>
      </c>
      <c r="S76" s="8"/>
      <c r="T76" s="5">
        <f>(R76/R73-1)*100</f>
        <v>-1.3753644554996725</v>
      </c>
      <c r="U76" s="49"/>
      <c r="V76" s="39"/>
    </row>
    <row r="77" spans="1:22" x14ac:dyDescent="0.25">
      <c r="A77" s="21">
        <v>38291</v>
      </c>
      <c r="B77" s="24">
        <f t="shared" si="4"/>
        <v>61</v>
      </c>
      <c r="C77" s="96" t="s">
        <v>340</v>
      </c>
      <c r="D77" s="27">
        <f>'BOGIX (Net)'!D77+(1.25/12)</f>
        <v>-0.64459643333333339</v>
      </c>
      <c r="E77" s="46">
        <f t="shared" si="5"/>
        <v>2421571.2971798014</v>
      </c>
      <c r="F77" s="8"/>
      <c r="H77" s="49"/>
      <c r="I77" s="39"/>
      <c r="J77" s="20">
        <f t="shared" si="2"/>
        <v>38291</v>
      </c>
      <c r="K77" s="27">
        <v>1.966472</v>
      </c>
      <c r="L77" s="46">
        <f t="shared" si="6"/>
        <v>1469517.619811025</v>
      </c>
      <c r="M77" s="8"/>
      <c r="O77" s="39"/>
      <c r="P77" s="20">
        <f t="shared" si="3"/>
        <v>38291</v>
      </c>
      <c r="Q77" s="27">
        <v>1.869219</v>
      </c>
      <c r="R77" s="46">
        <f t="shared" si="7"/>
        <v>1771565.3032587422</v>
      </c>
      <c r="S77" s="8"/>
      <c r="U77" s="49"/>
      <c r="V77" s="39"/>
    </row>
    <row r="78" spans="1:22" x14ac:dyDescent="0.25">
      <c r="A78" s="21">
        <v>38321</v>
      </c>
      <c r="B78" s="24">
        <f t="shared" si="4"/>
        <v>62</v>
      </c>
      <c r="C78" s="96" t="s">
        <v>340</v>
      </c>
      <c r="D78" s="27">
        <f>'BOGIX (Net)'!D78+(1.25/12)</f>
        <v>7.8190516666666667</v>
      </c>
      <c r="E78" s="46">
        <f t="shared" si="5"/>
        <v>2610915.2080514603</v>
      </c>
      <c r="F78" s="8"/>
      <c r="H78" s="49"/>
      <c r="I78" s="39"/>
      <c r="J78" s="20">
        <f t="shared" si="2"/>
        <v>38321</v>
      </c>
      <c r="K78" s="27">
        <v>8.6520689999999991</v>
      </c>
      <c r="L78" s="46">
        <f t="shared" si="6"/>
        <v>1596661.2982442325</v>
      </c>
      <c r="M78" s="8"/>
      <c r="O78" s="39"/>
      <c r="P78" s="20">
        <f t="shared" si="3"/>
        <v>38321</v>
      </c>
      <c r="Q78" s="27">
        <v>8.5468080000000004</v>
      </c>
      <c r="R78" s="46">
        <f t="shared" si="7"/>
        <v>1922977.5883228846</v>
      </c>
      <c r="S78" s="8"/>
      <c r="U78" s="49"/>
      <c r="V78" s="39"/>
    </row>
    <row r="79" spans="1:22" x14ac:dyDescent="0.25">
      <c r="A79" s="21">
        <v>38352</v>
      </c>
      <c r="B79" s="24">
        <f t="shared" si="4"/>
        <v>63</v>
      </c>
      <c r="C79" s="96" t="s">
        <v>340</v>
      </c>
      <c r="D79" s="27">
        <f>'BOGIX (Net)'!D79+(1.25/12)</f>
        <v>2.9846646666666663</v>
      </c>
      <c r="E79" s="46">
        <f t="shared" si="5"/>
        <v>2688842.2717427989</v>
      </c>
      <c r="F79" s="11">
        <f>(E79-E67)/E67*100</f>
        <v>12.247256369778688</v>
      </c>
      <c r="G79" s="5">
        <f>(E79/E76-1)*100</f>
        <v>10.321347691578065</v>
      </c>
      <c r="H79" s="5"/>
      <c r="I79" s="39"/>
      <c r="J79" s="20">
        <f t="shared" si="2"/>
        <v>38352</v>
      </c>
      <c r="K79" s="27">
        <v>2.9504090000000001</v>
      </c>
      <c r="L79" s="46">
        <f t="shared" si="6"/>
        <v>1643769.3368871473</v>
      </c>
      <c r="M79" s="11">
        <f>(L79-L67)/L67*100</f>
        <v>18.275322254572291</v>
      </c>
      <c r="N79" s="5">
        <f>(L79/L76-1)*100</f>
        <v>14.05740074468509</v>
      </c>
      <c r="O79" s="39"/>
      <c r="P79" s="20">
        <f t="shared" si="3"/>
        <v>38352</v>
      </c>
      <c r="Q79" s="27">
        <v>2.1990980000000002</v>
      </c>
      <c r="R79" s="46">
        <f t="shared" si="7"/>
        <v>1965265.7500081414</v>
      </c>
      <c r="S79" s="11">
        <f>(R79-R67)/R67*100</f>
        <v>22.647672627642443</v>
      </c>
      <c r="T79" s="5">
        <f>(R79/R76-1)*100</f>
        <v>13.007455447742423</v>
      </c>
      <c r="U79" s="49"/>
      <c r="V79" s="39"/>
    </row>
    <row r="80" spans="1:22" x14ac:dyDescent="0.25">
      <c r="A80" s="21">
        <v>38383</v>
      </c>
      <c r="B80" s="24">
        <f t="shared" si="4"/>
        <v>64</v>
      </c>
      <c r="C80" s="96" t="s">
        <v>340</v>
      </c>
      <c r="D80" s="27">
        <f>'BOGIX (Net)'!D80+(1.25/12)</f>
        <v>-3.3010543333333335</v>
      </c>
      <c r="E80" s="46">
        <f t="shared" si="5"/>
        <v>2600082.1274149348</v>
      </c>
      <c r="F80" s="10"/>
      <c r="H80" s="49"/>
      <c r="I80" s="39"/>
      <c r="J80" s="20">
        <f t="shared" si="2"/>
        <v>38383</v>
      </c>
      <c r="K80" s="27">
        <v>-4.1749036766697643</v>
      </c>
      <c r="L80" s="46">
        <f t="shared" si="6"/>
        <v>1575143.5504054755</v>
      </c>
      <c r="M80" s="10"/>
      <c r="O80" s="39"/>
      <c r="P80" s="20">
        <f t="shared" si="3"/>
        <v>38383</v>
      </c>
      <c r="Q80" s="27">
        <v>-2.2689680000000001</v>
      </c>
      <c r="R80" s="46">
        <f t="shared" si="7"/>
        <v>1920674.4990254967</v>
      </c>
      <c r="S80" s="10"/>
      <c r="U80" s="49"/>
      <c r="V80" s="39"/>
    </row>
    <row r="81" spans="1:22" x14ac:dyDescent="0.25">
      <c r="A81" s="21">
        <v>38411</v>
      </c>
      <c r="B81" s="24">
        <f t="shared" si="4"/>
        <v>65</v>
      </c>
      <c r="C81" s="96" t="s">
        <v>340</v>
      </c>
      <c r="D81" s="27">
        <f>'BOGIX (Net)'!D81+(1.25/12)</f>
        <v>4.0602966666666669</v>
      </c>
      <c r="E81" s="46">
        <f t="shared" si="5"/>
        <v>2705653.1753649591</v>
      </c>
      <c r="F81" s="8"/>
      <c r="H81" s="49"/>
      <c r="I81" s="39"/>
      <c r="J81" s="20">
        <f t="shared" si="2"/>
        <v>38411</v>
      </c>
      <c r="K81" s="27">
        <v>1.6915377945368402</v>
      </c>
      <c r="L81" s="46">
        <f t="shared" si="6"/>
        <v>1601787.6988787935</v>
      </c>
      <c r="M81" s="8"/>
      <c r="O81" s="39"/>
      <c r="P81" s="20">
        <f t="shared" si="3"/>
        <v>38411</v>
      </c>
      <c r="Q81" s="27">
        <v>2.8670010000000001</v>
      </c>
      <c r="R81" s="46">
        <f t="shared" si="7"/>
        <v>1975740.2561193027</v>
      </c>
      <c r="S81" s="8"/>
      <c r="U81" s="49"/>
      <c r="V81" s="39"/>
    </row>
    <row r="82" spans="1:22" x14ac:dyDescent="0.25">
      <c r="A82" s="21">
        <v>38442</v>
      </c>
      <c r="B82" s="24">
        <f t="shared" ref="B82:B145" si="8">IF(A82&gt;A81,1+B81,"-")</f>
        <v>66</v>
      </c>
      <c r="C82" s="96" t="s">
        <v>340</v>
      </c>
      <c r="D82" s="27">
        <f>'BOGIX (Net)'!D82+(1.25/12)</f>
        <v>-2.9478303333333336</v>
      </c>
      <c r="E82" s="46">
        <f t="shared" ref="E82:E145" si="9">E81*D82/100+E81</f>
        <v>2625895.1103467541</v>
      </c>
      <c r="F82" s="8"/>
      <c r="G82" s="5">
        <f>(E82/E79-1)*100</f>
        <v>-2.3410507212550224</v>
      </c>
      <c r="H82" s="49"/>
      <c r="I82" s="39"/>
      <c r="J82" s="20">
        <f t="shared" si="2"/>
        <v>38442</v>
      </c>
      <c r="K82" s="27">
        <v>-2.8691520870784362</v>
      </c>
      <c r="L82" s="46">
        <f t="shared" ref="L82:L145" si="10">L81*K82/100+L81</f>
        <v>1555829.9736858469</v>
      </c>
      <c r="M82" s="8"/>
      <c r="N82" s="5">
        <f>(L82/L79-1)*100</f>
        <v>-5.349860301435827</v>
      </c>
      <c r="O82" s="39"/>
      <c r="P82" s="20">
        <f t="shared" si="3"/>
        <v>38442</v>
      </c>
      <c r="Q82" s="27">
        <v>-2.5875780000000002</v>
      </c>
      <c r="R82" s="46">
        <f t="shared" ref="R82:R145" si="11">R81*Q82/100+R81</f>
        <v>1924616.4359148159</v>
      </c>
      <c r="S82" s="8"/>
      <c r="T82" s="5">
        <f>(R82/R79-1)*100</f>
        <v>-2.068387651550796</v>
      </c>
      <c r="U82" s="49"/>
      <c r="V82" s="39"/>
    </row>
    <row r="83" spans="1:22" x14ac:dyDescent="0.25">
      <c r="A83" s="21">
        <v>38472</v>
      </c>
      <c r="B83" s="24">
        <f t="shared" si="8"/>
        <v>67</v>
      </c>
      <c r="C83" s="96" t="s">
        <v>340</v>
      </c>
      <c r="D83" s="27">
        <f>'BOGIX (Net)'!D83+(1.25/12)</f>
        <v>-4.5985153333333333</v>
      </c>
      <c r="E83" s="46">
        <f t="shared" si="9"/>
        <v>2505142.9210602082</v>
      </c>
      <c r="F83" s="8"/>
      <c r="H83" s="49"/>
      <c r="I83" s="39"/>
      <c r="J83" s="20">
        <f t="shared" si="2"/>
        <v>38472</v>
      </c>
      <c r="K83" s="27">
        <v>-5.7274516200795542</v>
      </c>
      <c r="L83" s="46">
        <f t="shared" si="10"/>
        <v>1466720.5646522935</v>
      </c>
      <c r="M83" s="8"/>
      <c r="O83" s="39"/>
      <c r="P83" s="20">
        <f t="shared" si="3"/>
        <v>38472</v>
      </c>
      <c r="Q83" s="27">
        <v>-5.5852539999999999</v>
      </c>
      <c r="R83" s="46">
        <f t="shared" si="11"/>
        <v>1817121.7194432262</v>
      </c>
      <c r="S83" s="8"/>
      <c r="U83" s="49"/>
      <c r="V83" s="39"/>
    </row>
    <row r="84" spans="1:22" x14ac:dyDescent="0.25">
      <c r="A84" s="21">
        <v>38503</v>
      </c>
      <c r="B84" s="24">
        <f t="shared" si="8"/>
        <v>68</v>
      </c>
      <c r="C84" s="96" t="s">
        <v>340</v>
      </c>
      <c r="D84" s="27">
        <f>'BOGIX (Net)'!D84+(1.25/12)</f>
        <v>6.3031876666666671</v>
      </c>
      <c r="E84" s="46">
        <f t="shared" si="9"/>
        <v>2663046.7806928484</v>
      </c>
      <c r="F84" s="8"/>
      <c r="H84" s="49"/>
      <c r="I84" s="39"/>
      <c r="J84" s="20">
        <f t="shared" ref="J84:J147" si="12">$A84</f>
        <v>38503</v>
      </c>
      <c r="K84" s="27">
        <v>6.544957063145656</v>
      </c>
      <c r="L84" s="46">
        <f t="shared" si="10"/>
        <v>1562716.7958451137</v>
      </c>
      <c r="M84" s="8"/>
      <c r="O84" s="39"/>
      <c r="P84" s="20">
        <f t="shared" ref="P84:P147" si="13">$A84</f>
        <v>38503</v>
      </c>
      <c r="Q84" s="27">
        <v>6.6236379999999997</v>
      </c>
      <c r="R84" s="46">
        <f t="shared" si="11"/>
        <v>1937481.2841585211</v>
      </c>
      <c r="S84" s="8"/>
      <c r="U84" s="49"/>
      <c r="V84" s="39"/>
    </row>
    <row r="85" spans="1:22" x14ac:dyDescent="0.25">
      <c r="A85" s="21">
        <v>38533</v>
      </c>
      <c r="B85" s="24">
        <f t="shared" si="8"/>
        <v>69</v>
      </c>
      <c r="C85" s="96" t="s">
        <v>340</v>
      </c>
      <c r="D85" s="27">
        <f>'BOGIX (Net)'!D85+(1.25/12)</f>
        <v>3.3299726666666665</v>
      </c>
      <c r="E85" s="46">
        <f t="shared" si="9"/>
        <v>2751725.5105904667</v>
      </c>
      <c r="F85" s="8"/>
      <c r="G85" s="5">
        <f>(E85/E82-1)*100</f>
        <v>4.7919050440326405</v>
      </c>
      <c r="H85" s="49"/>
      <c r="I85" s="39"/>
      <c r="J85" s="20">
        <f t="shared" si="12"/>
        <v>38533</v>
      </c>
      <c r="K85" s="27">
        <v>3.856145917194314</v>
      </c>
      <c r="L85" s="46">
        <f t="shared" si="10"/>
        <v>1622977.435765405</v>
      </c>
      <c r="M85" s="8"/>
      <c r="N85" s="5">
        <f>(L85/L82-1)*100</f>
        <v>4.3158611940405045</v>
      </c>
      <c r="O85" s="39"/>
      <c r="P85" s="20">
        <f t="shared" si="13"/>
        <v>38533</v>
      </c>
      <c r="Q85" s="27">
        <v>3.2503570000000002</v>
      </c>
      <c r="R85" s="46">
        <f t="shared" si="11"/>
        <v>2000456.3427018574</v>
      </c>
      <c r="S85" s="8"/>
      <c r="T85" s="5">
        <f>(R85/R82-1)*100</f>
        <v>3.9405205822734768</v>
      </c>
      <c r="U85" s="49"/>
      <c r="V85" s="39"/>
    </row>
    <row r="86" spans="1:22" x14ac:dyDescent="0.25">
      <c r="A86" s="21">
        <v>38564</v>
      </c>
      <c r="B86" s="24">
        <f t="shared" si="8"/>
        <v>70</v>
      </c>
      <c r="C86" s="96" t="s">
        <v>340</v>
      </c>
      <c r="D86" s="27">
        <f>'BOGIX (Net)'!D86+(1.25/12)</f>
        <v>7.1726186666666667</v>
      </c>
      <c r="E86" s="46">
        <f t="shared" si="9"/>
        <v>2949096.2882185071</v>
      </c>
      <c r="F86" s="8"/>
      <c r="H86" s="49"/>
      <c r="I86" s="39"/>
      <c r="J86" s="20">
        <f t="shared" si="12"/>
        <v>38564</v>
      </c>
      <c r="K86" s="27">
        <v>6.3348181372920145</v>
      </c>
      <c r="L86" s="46">
        <f t="shared" si="10"/>
        <v>1725790.1047304287</v>
      </c>
      <c r="M86" s="8"/>
      <c r="O86" s="39"/>
      <c r="P86" s="20">
        <f t="shared" si="13"/>
        <v>38564</v>
      </c>
      <c r="Q86" s="27">
        <v>6.0165749999999996</v>
      </c>
      <c r="R86" s="46">
        <f t="shared" si="11"/>
        <v>2120815.2989027719</v>
      </c>
      <c r="S86" s="8"/>
      <c r="U86" s="49"/>
      <c r="V86" s="39"/>
    </row>
    <row r="87" spans="1:22" x14ac:dyDescent="0.25">
      <c r="A87" s="21">
        <v>38595</v>
      </c>
      <c r="B87" s="24">
        <f t="shared" si="8"/>
        <v>71</v>
      </c>
      <c r="C87" s="96" t="s">
        <v>340</v>
      </c>
      <c r="D87" s="27">
        <f>'BOGIX (Net)'!D87+(1.25/12)</f>
        <v>0.10416666666666667</v>
      </c>
      <c r="E87" s="46">
        <f t="shared" si="9"/>
        <v>2952168.2635187348</v>
      </c>
      <c r="F87" s="8"/>
      <c r="H87" s="49"/>
      <c r="I87" s="39"/>
      <c r="J87" s="20">
        <f t="shared" si="12"/>
        <v>38595</v>
      </c>
      <c r="K87" s="27">
        <v>-1.8581215654396157</v>
      </c>
      <c r="L87" s="46">
        <f t="shared" si="10"/>
        <v>1693722.8266202097</v>
      </c>
      <c r="M87" s="8"/>
      <c r="O87" s="39"/>
      <c r="P87" s="20">
        <f t="shared" si="13"/>
        <v>38595</v>
      </c>
      <c r="Q87" s="27">
        <v>-1.475339</v>
      </c>
      <c r="R87" s="46">
        <f t="shared" si="11"/>
        <v>2089526.0836800928</v>
      </c>
      <c r="S87" s="8"/>
      <c r="U87" s="49"/>
      <c r="V87" s="39"/>
    </row>
    <row r="88" spans="1:22" x14ac:dyDescent="0.25">
      <c r="A88" s="21">
        <v>38625</v>
      </c>
      <c r="B88" s="24">
        <f t="shared" si="8"/>
        <v>72</v>
      </c>
      <c r="C88" s="96" t="s">
        <v>340</v>
      </c>
      <c r="D88" s="27">
        <f>'BOGIX (Net)'!D88+(1.25/12)</f>
        <v>2.4321726666666663</v>
      </c>
      <c r="E88" s="46">
        <f t="shared" si="9"/>
        <v>3023970.0930980453</v>
      </c>
      <c r="F88" s="8"/>
      <c r="G88" s="5">
        <f>(E88/E85-1)*100</f>
        <v>9.8935951809074218</v>
      </c>
      <c r="H88" s="49"/>
      <c r="I88" s="39"/>
      <c r="J88" s="20">
        <f t="shared" si="12"/>
        <v>38625</v>
      </c>
      <c r="K88" s="27">
        <v>0.31673435780602038</v>
      </c>
      <c r="L88" s="46">
        <f t="shared" si="10"/>
        <v>1699087.4287381193</v>
      </c>
      <c r="M88" s="8"/>
      <c r="N88" s="5">
        <f>(L88/L85-1)*100</f>
        <v>4.6895287202080249</v>
      </c>
      <c r="O88" s="39"/>
      <c r="P88" s="20">
        <f t="shared" si="13"/>
        <v>38625</v>
      </c>
      <c r="Q88" s="27">
        <v>0.88009510000000002</v>
      </c>
      <c r="R88" s="46">
        <f t="shared" si="11"/>
        <v>2107915.9003557833</v>
      </c>
      <c r="S88" s="8"/>
      <c r="T88" s="5">
        <f>(R88/R85-1)*100</f>
        <v>5.3717522027393327</v>
      </c>
      <c r="U88" s="49"/>
      <c r="V88" s="39"/>
    </row>
    <row r="89" spans="1:22" x14ac:dyDescent="0.25">
      <c r="A89" s="21">
        <v>38656</v>
      </c>
      <c r="B89" s="24">
        <f t="shared" si="8"/>
        <v>73</v>
      </c>
      <c r="C89" s="96" t="s">
        <v>340</v>
      </c>
      <c r="D89" s="27">
        <f>'BOGIX (Net)'!D89+(1.25/12)</f>
        <v>-0.77069323333333339</v>
      </c>
      <c r="E89" s="46">
        <f t="shared" si="9"/>
        <v>3000664.5602125148</v>
      </c>
      <c r="F89" s="8"/>
      <c r="H89" s="49"/>
      <c r="I89" s="39"/>
      <c r="J89" s="20">
        <f t="shared" si="12"/>
        <v>38656</v>
      </c>
      <c r="K89" s="27">
        <v>-3.1057180650660752</v>
      </c>
      <c r="L89" s="46">
        <f t="shared" si="10"/>
        <v>1646318.5635225328</v>
      </c>
      <c r="M89" s="8"/>
      <c r="O89" s="39"/>
      <c r="P89" s="20">
        <f t="shared" si="13"/>
        <v>38656</v>
      </c>
      <c r="Q89" s="27">
        <v>-3.1284939999999999</v>
      </c>
      <c r="R89" s="46">
        <f t="shared" si="11"/>
        <v>2041969.8778881067</v>
      </c>
      <c r="S89" s="8"/>
      <c r="U89" s="49"/>
      <c r="V89" s="39"/>
    </row>
    <row r="90" spans="1:22" x14ac:dyDescent="0.25">
      <c r="A90" s="21">
        <v>38686</v>
      </c>
      <c r="B90" s="24">
        <f t="shared" si="8"/>
        <v>74</v>
      </c>
      <c r="C90" s="96" t="s">
        <v>340</v>
      </c>
      <c r="D90" s="27">
        <f>'BOGIX (Net)'!D90+(1.25/12)</f>
        <v>6.4590826666666672</v>
      </c>
      <c r="E90" s="46">
        <f t="shared" si="9"/>
        <v>3194479.9647060111</v>
      </c>
      <c r="F90" s="8"/>
      <c r="H90" s="49"/>
      <c r="I90" s="39"/>
      <c r="J90" s="20">
        <f t="shared" si="12"/>
        <v>38686</v>
      </c>
      <c r="K90" s="27">
        <v>4.8421218770686698</v>
      </c>
      <c r="L90" s="46">
        <f t="shared" si="10"/>
        <v>1726035.3148531001</v>
      </c>
      <c r="M90" s="8"/>
      <c r="O90" s="39"/>
      <c r="P90" s="20">
        <f t="shared" si="13"/>
        <v>38686</v>
      </c>
      <c r="Q90" s="27">
        <v>4.5914070000000002</v>
      </c>
      <c r="R90" s="46">
        <f t="shared" si="11"/>
        <v>2135725.0257993527</v>
      </c>
      <c r="S90" s="8"/>
      <c r="U90" s="49"/>
      <c r="V90" s="39"/>
    </row>
    <row r="91" spans="1:22" x14ac:dyDescent="0.25">
      <c r="A91" s="21">
        <v>38717</v>
      </c>
      <c r="B91" s="24">
        <f t="shared" si="8"/>
        <v>75</v>
      </c>
      <c r="C91" s="96" t="s">
        <v>340</v>
      </c>
      <c r="D91" s="27">
        <f>'BOGIX (Net)'!D91+(1.25/12)</f>
        <v>2.9006956666666667E-2</v>
      </c>
      <c r="E91" s="46">
        <f t="shared" si="9"/>
        <v>3195406.5861250986</v>
      </c>
      <c r="F91" s="11">
        <f>(E91-E79)/E79*100</f>
        <v>18.839495336182932</v>
      </c>
      <c r="G91" s="5">
        <f>(E91/E88-1)*100</f>
        <v>5.6692522660307665</v>
      </c>
      <c r="H91" s="5"/>
      <c r="I91" s="39"/>
      <c r="J91" s="20">
        <f t="shared" si="12"/>
        <v>38717</v>
      </c>
      <c r="K91" s="27">
        <v>-0.469444729858433</v>
      </c>
      <c r="L91" s="46">
        <f t="shared" si="10"/>
        <v>1717932.5330320268</v>
      </c>
      <c r="M91" s="11">
        <f>(L91-L79)/L79*100</f>
        <v>4.5117763472413062</v>
      </c>
      <c r="N91" s="5">
        <f>(L91/L88-1)*100</f>
        <v>1.1091309355342194</v>
      </c>
      <c r="O91" s="39"/>
      <c r="P91" s="20">
        <f t="shared" si="13"/>
        <v>38717</v>
      </c>
      <c r="Q91" s="27">
        <v>-0.92092379999999996</v>
      </c>
      <c r="R91" s="46">
        <f t="shared" si="11"/>
        <v>2116056.6257342105</v>
      </c>
      <c r="S91" s="11">
        <f>(R91-R79)/R79*100</f>
        <v>7.672798232271866</v>
      </c>
      <c r="T91" s="5">
        <f>(R91/R88-1)*100</f>
        <v>0.38619782587403506</v>
      </c>
      <c r="U91" s="49"/>
      <c r="V91" s="39"/>
    </row>
    <row r="92" spans="1:22" x14ac:dyDescent="0.25">
      <c r="A92" s="21">
        <v>38748</v>
      </c>
      <c r="B92" s="24">
        <f t="shared" si="8"/>
        <v>76</v>
      </c>
      <c r="C92" s="96" t="s">
        <v>340</v>
      </c>
      <c r="D92" s="27">
        <f>'BOGIX (Net)'!D92+(1.25/12)</f>
        <v>10.446396666666667</v>
      </c>
      <c r="E92" s="46">
        <f t="shared" si="9"/>
        <v>3529211.4332245179</v>
      </c>
      <c r="F92" s="10"/>
      <c r="H92" s="49"/>
      <c r="I92" s="39"/>
      <c r="J92" s="20">
        <f t="shared" si="12"/>
        <v>38748</v>
      </c>
      <c r="K92" s="27">
        <v>8.9676280956516372</v>
      </c>
      <c r="L92" s="46">
        <f t="shared" si="10"/>
        <v>1871990.3335285466</v>
      </c>
      <c r="M92" s="10"/>
      <c r="O92" s="39"/>
      <c r="P92" s="20">
        <f t="shared" si="13"/>
        <v>38748</v>
      </c>
      <c r="Q92" s="27">
        <v>8.3727060000000009</v>
      </c>
      <c r="R92" s="46">
        <f t="shared" si="11"/>
        <v>2293227.8258004561</v>
      </c>
      <c r="S92" s="10"/>
      <c r="U92" s="49"/>
      <c r="V92" s="39"/>
    </row>
    <row r="93" spans="1:22" x14ac:dyDescent="0.25">
      <c r="A93" s="21">
        <v>38776</v>
      </c>
      <c r="B93" s="24">
        <f t="shared" si="8"/>
        <v>77</v>
      </c>
      <c r="C93" s="96" t="s">
        <v>340</v>
      </c>
      <c r="D93" s="27">
        <f>'BOGIX (Net)'!D93+(1.25/12)</f>
        <v>0.47908146666666668</v>
      </c>
      <c r="E93" s="46">
        <f t="shared" si="9"/>
        <v>3546119.2311205775</v>
      </c>
      <c r="F93" s="8"/>
      <c r="H93" s="49"/>
      <c r="I93" s="39"/>
      <c r="J93" s="20">
        <f t="shared" si="12"/>
        <v>38776</v>
      </c>
      <c r="K93" s="27">
        <v>-0.27856722302398085</v>
      </c>
      <c r="L93" s="46">
        <f t="shared" si="10"/>
        <v>1866775.5820411588</v>
      </c>
      <c r="M93" s="8"/>
      <c r="O93" s="39"/>
      <c r="P93" s="20">
        <f t="shared" si="13"/>
        <v>38776</v>
      </c>
      <c r="Q93" s="27">
        <v>-0.75098960000000003</v>
      </c>
      <c r="R93" s="46">
        <f t="shared" si="11"/>
        <v>2276005.9233243885</v>
      </c>
      <c r="S93" s="8"/>
      <c r="U93" s="49"/>
      <c r="V93" s="39"/>
    </row>
    <row r="94" spans="1:22" x14ac:dyDescent="0.25">
      <c r="A94" s="21">
        <v>38807</v>
      </c>
      <c r="B94" s="24">
        <f t="shared" si="8"/>
        <v>78</v>
      </c>
      <c r="C94" s="96" t="s">
        <v>340</v>
      </c>
      <c r="D94" s="27">
        <f>'BOGIX (Net)'!D94+(1.25/12)</f>
        <v>4.5184276666666667</v>
      </c>
      <c r="E94" s="46">
        <f t="shared" si="9"/>
        <v>3706348.063552517</v>
      </c>
      <c r="F94" s="8"/>
      <c r="G94" s="5">
        <f>(E94/E91-1)*100</f>
        <v>15.989873703271362</v>
      </c>
      <c r="H94" s="49"/>
      <c r="I94" s="39"/>
      <c r="J94" s="20">
        <f t="shared" si="12"/>
        <v>38807</v>
      </c>
      <c r="K94" s="27">
        <v>4.8531852212221951</v>
      </c>
      <c r="L94" s="46">
        <f t="shared" si="10"/>
        <v>1957373.6587021649</v>
      </c>
      <c r="M94" s="8"/>
      <c r="N94" s="5">
        <f>(L94/L91-1)*100</f>
        <v>13.937749071410966</v>
      </c>
      <c r="O94" s="39"/>
      <c r="P94" s="20">
        <f t="shared" si="13"/>
        <v>38807</v>
      </c>
      <c r="Q94" s="27">
        <v>4.9080029999999999</v>
      </c>
      <c r="R94" s="46">
        <f t="shared" si="11"/>
        <v>2387712.362321327</v>
      </c>
      <c r="S94" s="8"/>
      <c r="T94" s="5">
        <f>(R94/R91-1)*100</f>
        <v>12.837829256712819</v>
      </c>
      <c r="U94" s="49"/>
      <c r="V94" s="39"/>
    </row>
    <row r="95" spans="1:22" x14ac:dyDescent="0.25">
      <c r="A95" s="21">
        <v>38837</v>
      </c>
      <c r="B95" s="24">
        <f t="shared" si="8"/>
        <v>79</v>
      </c>
      <c r="C95" s="96" t="s">
        <v>340</v>
      </c>
      <c r="D95" s="27">
        <f>'BOGIX (Net)'!D95+(1.25/12)</f>
        <v>3.1935976666666663</v>
      </c>
      <c r="E95" s="46">
        <f t="shared" si="9"/>
        <v>3824713.9088286753</v>
      </c>
      <c r="F95" s="8"/>
      <c r="H95" s="49"/>
      <c r="I95" s="39"/>
      <c r="J95" s="20">
        <f t="shared" si="12"/>
        <v>38837</v>
      </c>
      <c r="K95" s="27">
        <v>-2.0389419875890716E-2</v>
      </c>
      <c r="L95" s="46">
        <f t="shared" si="10"/>
        <v>1956974.5615683519</v>
      </c>
      <c r="M95" s="8"/>
      <c r="O95" s="39"/>
      <c r="P95" s="20">
        <f t="shared" si="13"/>
        <v>38837</v>
      </c>
      <c r="Q95" s="27">
        <v>-9.3033279999999996E-3</v>
      </c>
      <c r="R95" s="46">
        <f t="shared" si="11"/>
        <v>2387490.2256085635</v>
      </c>
      <c r="S95" s="8"/>
      <c r="U95" s="49"/>
      <c r="V95" s="39"/>
    </row>
    <row r="96" spans="1:22" x14ac:dyDescent="0.25">
      <c r="A96" s="21">
        <v>38868</v>
      </c>
      <c r="B96" s="24">
        <f t="shared" si="8"/>
        <v>80</v>
      </c>
      <c r="C96" s="96" t="s">
        <v>340</v>
      </c>
      <c r="D96" s="27">
        <f>'BOGIX (Net)'!D96+(1.25/12)</f>
        <v>-7.9399973333333334</v>
      </c>
      <c r="E96" s="46">
        <f t="shared" si="9"/>
        <v>3521031.7264600494</v>
      </c>
      <c r="F96" s="8"/>
      <c r="H96" s="49"/>
      <c r="I96" s="39"/>
      <c r="J96" s="20">
        <f t="shared" si="12"/>
        <v>38868</v>
      </c>
      <c r="K96" s="27">
        <v>-5.616961166089844</v>
      </c>
      <c r="L96" s="46">
        <f t="shared" si="10"/>
        <v>1847052.0604148007</v>
      </c>
      <c r="M96" s="8"/>
      <c r="O96" s="39"/>
      <c r="P96" s="20">
        <f t="shared" si="13"/>
        <v>38868</v>
      </c>
      <c r="Q96" s="27">
        <v>-4.5663669999999996</v>
      </c>
      <c r="R96" s="46">
        <f t="shared" si="11"/>
        <v>2278468.6598181487</v>
      </c>
      <c r="S96" s="8"/>
      <c r="U96" s="49"/>
      <c r="V96" s="39"/>
    </row>
    <row r="97" spans="1:22" x14ac:dyDescent="0.25">
      <c r="A97" s="21">
        <v>38898</v>
      </c>
      <c r="B97" s="24">
        <f t="shared" si="8"/>
        <v>81</v>
      </c>
      <c r="C97" s="96" t="s">
        <v>340</v>
      </c>
      <c r="D97" s="27">
        <f>'BOGIX (Net)'!D97+(1.25/12)</f>
        <v>-0.99360333333333328</v>
      </c>
      <c r="E97" s="46">
        <f t="shared" si="9"/>
        <v>3486046.637858218</v>
      </c>
      <c r="F97" s="8"/>
      <c r="G97" s="5">
        <f>(E97/E94-1)*100</f>
        <v>-5.9438946887017678</v>
      </c>
      <c r="H97" s="49"/>
      <c r="I97" s="39"/>
      <c r="J97" s="20">
        <f t="shared" si="12"/>
        <v>38898</v>
      </c>
      <c r="K97" s="27">
        <v>0.63946256680731062</v>
      </c>
      <c r="L97" s="46">
        <f t="shared" si="10"/>
        <v>1858863.2669305964</v>
      </c>
      <c r="M97" s="8"/>
      <c r="N97" s="5">
        <f>(L97/L94-1)*100</f>
        <v>-5.0327841765728909</v>
      </c>
      <c r="O97" s="39"/>
      <c r="P97" s="20">
        <f t="shared" si="13"/>
        <v>38898</v>
      </c>
      <c r="Q97" s="27">
        <v>1.920318E-2</v>
      </c>
      <c r="R97" s="46">
        <f t="shared" si="11"/>
        <v>2278906.1982561373</v>
      </c>
      <c r="S97" s="8"/>
      <c r="T97" s="5">
        <f>(R97/R94-1)*100</f>
        <v>-4.5569209165298492</v>
      </c>
      <c r="U97" s="49"/>
      <c r="V97" s="39"/>
    </row>
    <row r="98" spans="1:22" x14ac:dyDescent="0.25">
      <c r="A98" s="21">
        <v>38929</v>
      </c>
      <c r="B98" s="24">
        <f t="shared" si="8"/>
        <v>82</v>
      </c>
      <c r="C98" s="96" t="s">
        <v>340</v>
      </c>
      <c r="D98" s="27">
        <f>'BOGIX (Net)'!D98+(1.25/12)</f>
        <v>-5.3762353333333328</v>
      </c>
      <c r="E98" s="46">
        <f t="shared" si="9"/>
        <v>3298628.566777206</v>
      </c>
      <c r="F98" s="8"/>
      <c r="H98" s="49"/>
      <c r="I98" s="39"/>
      <c r="J98" s="20">
        <f t="shared" si="12"/>
        <v>38929</v>
      </c>
      <c r="K98" s="27">
        <v>-3.2571905354134869</v>
      </c>
      <c r="L98" s="46">
        <f t="shared" si="10"/>
        <v>1798316.548533855</v>
      </c>
      <c r="M98" s="8"/>
      <c r="O98" s="39"/>
      <c r="P98" s="20">
        <f t="shared" si="13"/>
        <v>38929</v>
      </c>
      <c r="Q98" s="27">
        <v>-3.4420950000000001</v>
      </c>
      <c r="R98" s="46">
        <f t="shared" si="11"/>
        <v>2200464.0819512727</v>
      </c>
      <c r="S98" s="8"/>
      <c r="U98" s="49"/>
      <c r="V98" s="39"/>
    </row>
    <row r="99" spans="1:22" x14ac:dyDescent="0.25">
      <c r="A99" s="21">
        <v>38960</v>
      </c>
      <c r="B99" s="24">
        <f t="shared" si="8"/>
        <v>83</v>
      </c>
      <c r="C99" s="96" t="s">
        <v>340</v>
      </c>
      <c r="D99" s="27">
        <f>'BOGIX (Net)'!D99+(1.25/12)</f>
        <v>1.9023316666666668</v>
      </c>
      <c r="E99" s="46">
        <f t="shared" si="9"/>
        <v>3361379.4225687217</v>
      </c>
      <c r="F99" s="8"/>
      <c r="H99" s="49"/>
      <c r="I99" s="39"/>
      <c r="J99" s="20">
        <f t="shared" si="12"/>
        <v>38960</v>
      </c>
      <c r="K99" s="27">
        <v>2.9576490313718335</v>
      </c>
      <c r="L99" s="46">
        <f t="shared" si="10"/>
        <v>1851504.4405125659</v>
      </c>
      <c r="M99" s="8"/>
      <c r="O99" s="39"/>
      <c r="P99" s="20">
        <f t="shared" si="13"/>
        <v>38960</v>
      </c>
      <c r="Q99" s="27">
        <v>1.720628</v>
      </c>
      <c r="R99" s="46">
        <f t="shared" si="11"/>
        <v>2238325.8830752694</v>
      </c>
      <c r="S99" s="8"/>
      <c r="U99" s="49"/>
      <c r="V99" s="39"/>
    </row>
    <row r="100" spans="1:22" x14ac:dyDescent="0.25">
      <c r="A100" s="21">
        <v>38990</v>
      </c>
      <c r="B100" s="24">
        <f t="shared" si="8"/>
        <v>84</v>
      </c>
      <c r="C100" s="96" t="s">
        <v>340</v>
      </c>
      <c r="D100" s="27">
        <f>'BOGIX (Net)'!D100+(1.25/12)</f>
        <v>1.6182256666666668</v>
      </c>
      <c r="E100" s="46">
        <f t="shared" si="9"/>
        <v>3415774.1271387804</v>
      </c>
      <c r="F100" s="8"/>
      <c r="G100" s="5">
        <f>(E100/E97-1)*100</f>
        <v>-2.0158224493121546</v>
      </c>
      <c r="H100" s="49"/>
      <c r="I100" s="39"/>
      <c r="J100" s="20">
        <f t="shared" si="12"/>
        <v>38990</v>
      </c>
      <c r="K100" s="27">
        <v>0.84129666372631351</v>
      </c>
      <c r="L100" s="46">
        <f t="shared" si="10"/>
        <v>1867081.0855993426</v>
      </c>
      <c r="M100" s="8"/>
      <c r="N100" s="5">
        <f>(L100/L97-1)*100</f>
        <v>0.44208838890638091</v>
      </c>
      <c r="O100" s="39"/>
      <c r="P100" s="20">
        <f t="shared" si="13"/>
        <v>38990</v>
      </c>
      <c r="Q100" s="27">
        <v>0.90909220000000002</v>
      </c>
      <c r="R100" s="46">
        <f t="shared" si="11"/>
        <v>2258674.3290888877</v>
      </c>
      <c r="S100" s="8"/>
      <c r="T100" s="5">
        <f>(R100/R97-1)*100</f>
        <v>-0.88778858834696051</v>
      </c>
      <c r="U100" s="49"/>
      <c r="V100" s="39"/>
    </row>
    <row r="101" spans="1:22" x14ac:dyDescent="0.25">
      <c r="A101" s="21">
        <v>39021</v>
      </c>
      <c r="B101" s="24">
        <f t="shared" si="8"/>
        <v>85</v>
      </c>
      <c r="C101" s="96" t="s">
        <v>340</v>
      </c>
      <c r="D101" s="27">
        <f>'BOGIX (Net)'!D101+(1.25/12)</f>
        <v>5.0363626666666672</v>
      </c>
      <c r="E101" s="46">
        <f t="shared" si="9"/>
        <v>3587804.9000556571</v>
      </c>
      <c r="F101" s="8"/>
      <c r="H101" s="49"/>
      <c r="I101" s="39"/>
      <c r="J101" s="20">
        <f t="shared" si="12"/>
        <v>39021</v>
      </c>
      <c r="K101" s="27">
        <v>5.7571593934936693</v>
      </c>
      <c r="L101" s="46">
        <f t="shared" si="10"/>
        <v>1974571.9197030687</v>
      </c>
      <c r="M101" s="8"/>
      <c r="O101" s="39"/>
      <c r="P101" s="20">
        <f t="shared" si="13"/>
        <v>39021</v>
      </c>
      <c r="Q101" s="27">
        <v>4.9513230000000004</v>
      </c>
      <c r="R101" s="46">
        <f t="shared" si="11"/>
        <v>2370508.5906401617</v>
      </c>
      <c r="S101" s="8"/>
      <c r="U101" s="49"/>
      <c r="V101" s="39"/>
    </row>
    <row r="102" spans="1:22" x14ac:dyDescent="0.25">
      <c r="A102" s="21">
        <v>39051</v>
      </c>
      <c r="B102" s="24">
        <f t="shared" si="8"/>
        <v>86</v>
      </c>
      <c r="C102" s="96" t="s">
        <v>340</v>
      </c>
      <c r="D102" s="27">
        <f>'BOGIX (Net)'!D102+(1.25/12)</f>
        <v>2.2917976666666666</v>
      </c>
      <c r="E102" s="46">
        <f t="shared" si="9"/>
        <v>3670030.1290396852</v>
      </c>
      <c r="F102" s="8"/>
      <c r="H102" s="49"/>
      <c r="I102" s="39"/>
      <c r="J102" s="20">
        <f t="shared" si="12"/>
        <v>39051</v>
      </c>
      <c r="K102" s="27">
        <v>2.612206642588784</v>
      </c>
      <c r="L102" s="46">
        <f t="shared" si="10"/>
        <v>2026151.8185522452</v>
      </c>
      <c r="M102" s="8"/>
      <c r="O102" s="39"/>
      <c r="P102" s="20">
        <f t="shared" si="13"/>
        <v>39051</v>
      </c>
      <c r="Q102" s="27">
        <v>2.7705899999999999</v>
      </c>
      <c r="R102" s="46">
        <f t="shared" si="11"/>
        <v>2436185.6646015788</v>
      </c>
      <c r="S102" s="8"/>
      <c r="U102" s="49"/>
      <c r="V102" s="39"/>
    </row>
    <row r="103" spans="1:22" x14ac:dyDescent="0.25">
      <c r="A103" s="21">
        <v>39082</v>
      </c>
      <c r="B103" s="24">
        <f t="shared" si="8"/>
        <v>87</v>
      </c>
      <c r="C103" s="96" t="s">
        <v>340</v>
      </c>
      <c r="D103" s="27">
        <f>'BOGIX (Net)'!D103+(1.25/12)</f>
        <v>1.7921036666666668</v>
      </c>
      <c r="E103" s="46">
        <f t="shared" si="9"/>
        <v>3735800.8735499769</v>
      </c>
      <c r="F103" s="11">
        <f>(E103-E91)/E91*100</f>
        <v>16.911597096011054</v>
      </c>
      <c r="G103" s="5">
        <f>(E103/E100-1)*100</f>
        <v>9.369083976265923</v>
      </c>
      <c r="H103" s="5"/>
      <c r="I103" s="39"/>
      <c r="J103" s="20">
        <f t="shared" si="12"/>
        <v>39082</v>
      </c>
      <c r="K103" s="27">
        <v>0.32945035951302504</v>
      </c>
      <c r="L103" s="46">
        <f t="shared" si="10"/>
        <v>2032826.9830027453</v>
      </c>
      <c r="M103" s="11">
        <f>(L103-L91)/L91*100</f>
        <v>18.329849625407146</v>
      </c>
      <c r="N103" s="5">
        <f>(L103/L100-1)*100</f>
        <v>8.8772736589636239</v>
      </c>
      <c r="O103" s="39"/>
      <c r="P103" s="20">
        <f t="shared" si="13"/>
        <v>39082</v>
      </c>
      <c r="Q103" s="27">
        <v>-1.624252E-2</v>
      </c>
      <c r="R103" s="46">
        <f t="shared" si="11"/>
        <v>2435789.9666577689</v>
      </c>
      <c r="S103" s="11">
        <f>(R103-R91)/R91*100</f>
        <v>15.10986695890618</v>
      </c>
      <c r="T103" s="5">
        <f>(R103/R100-1)*100</f>
        <v>7.8415748250137085</v>
      </c>
      <c r="U103" s="49"/>
      <c r="V103" s="39"/>
    </row>
    <row r="104" spans="1:22" x14ac:dyDescent="0.25">
      <c r="A104" s="21">
        <v>39113</v>
      </c>
      <c r="B104" s="24">
        <f t="shared" si="8"/>
        <v>88</v>
      </c>
      <c r="C104" s="96" t="s">
        <v>340</v>
      </c>
      <c r="D104" s="27">
        <f>'BOGIX (Net)'!D104+(1.25/12)</f>
        <v>2.0879726666666665</v>
      </c>
      <c r="E104" s="46">
        <f t="shared" si="9"/>
        <v>3813803.3746707947</v>
      </c>
      <c r="F104" s="10"/>
      <c r="H104" s="49"/>
      <c r="I104" s="39"/>
      <c r="J104" s="20">
        <f t="shared" si="12"/>
        <v>39113</v>
      </c>
      <c r="K104" s="27">
        <v>1.6727064058796588</v>
      </c>
      <c r="L104" s="46">
        <f t="shared" si="10"/>
        <v>2066830.2101678825</v>
      </c>
      <c r="M104" s="10"/>
      <c r="O104" s="39"/>
      <c r="P104" s="20">
        <f t="shared" si="13"/>
        <v>39113</v>
      </c>
      <c r="Q104" s="27">
        <v>2.0558480000000001</v>
      </c>
      <c r="R104" s="46">
        <f t="shared" si="11"/>
        <v>2485866.1059715035</v>
      </c>
      <c r="S104" s="10"/>
      <c r="U104" s="49"/>
      <c r="V104" s="39"/>
    </row>
    <row r="105" spans="1:22" x14ac:dyDescent="0.25">
      <c r="A105" s="21">
        <v>39141</v>
      </c>
      <c r="B105" s="24">
        <f t="shared" si="8"/>
        <v>89</v>
      </c>
      <c r="C105" s="96" t="s">
        <v>340</v>
      </c>
      <c r="D105" s="27">
        <f>'BOGIX (Net)'!D105+(1.25/12)</f>
        <v>-0.96768733333333345</v>
      </c>
      <c r="E105" s="46">
        <f t="shared" si="9"/>
        <v>3776897.6824958664</v>
      </c>
      <c r="F105" s="8"/>
      <c r="H105" s="49"/>
      <c r="I105" s="39"/>
      <c r="J105" s="20">
        <f t="shared" si="12"/>
        <v>39141</v>
      </c>
      <c r="K105" s="27">
        <v>-0.79595440194727496</v>
      </c>
      <c r="L105" s="46">
        <f t="shared" si="10"/>
        <v>2050379.1841292751</v>
      </c>
      <c r="M105" s="8"/>
      <c r="O105" s="39"/>
      <c r="P105" s="20">
        <f t="shared" si="13"/>
        <v>39141</v>
      </c>
      <c r="Q105" s="27">
        <v>-0.54488460000000005</v>
      </c>
      <c r="R105" s="46">
        <f t="shared" si="11"/>
        <v>2472321.0043834453</v>
      </c>
      <c r="S105" s="8"/>
      <c r="U105" s="49"/>
      <c r="V105" s="39"/>
    </row>
    <row r="106" spans="1:22" x14ac:dyDescent="0.25">
      <c r="A106" s="21">
        <v>39172</v>
      </c>
      <c r="B106" s="24">
        <f t="shared" si="8"/>
        <v>90</v>
      </c>
      <c r="C106" s="96" t="s">
        <v>340</v>
      </c>
      <c r="D106" s="27">
        <f>'BOGIX (Net)'!D106+(1.25/12)</f>
        <v>1.4284046666666668</v>
      </c>
      <c r="E106" s="46">
        <f t="shared" si="9"/>
        <v>3830847.0652478626</v>
      </c>
      <c r="F106" s="8"/>
      <c r="G106" s="5">
        <f>(E106/E103-1)*100</f>
        <v>2.5441985511279963</v>
      </c>
      <c r="H106" s="49"/>
      <c r="I106" s="39"/>
      <c r="J106" s="20">
        <f t="shared" si="12"/>
        <v>39172</v>
      </c>
      <c r="K106" s="27">
        <v>1.0712640086027962</v>
      </c>
      <c r="L106" s="46">
        <f t="shared" si="10"/>
        <v>2072344.1583687358</v>
      </c>
      <c r="M106" s="8"/>
      <c r="N106" s="5">
        <f>(L106/L103-1)*100</f>
        <v>1.94395173305002</v>
      </c>
      <c r="O106" s="39"/>
      <c r="P106" s="20">
        <f t="shared" si="13"/>
        <v>39172</v>
      </c>
      <c r="Q106" s="27">
        <v>1.6771879999999999</v>
      </c>
      <c r="R106" s="46">
        <f t="shared" si="11"/>
        <v>2513786.4755904437</v>
      </c>
      <c r="S106" s="8"/>
      <c r="T106" s="5">
        <f>(R106/R103-1)*100</f>
        <v>3.2021032190922671</v>
      </c>
      <c r="U106" s="49"/>
      <c r="V106" s="39"/>
    </row>
    <row r="107" spans="1:22" x14ac:dyDescent="0.25">
      <c r="A107" s="21">
        <v>39202</v>
      </c>
      <c r="B107" s="24">
        <f t="shared" si="8"/>
        <v>91</v>
      </c>
      <c r="C107" s="96" t="s">
        <v>340</v>
      </c>
      <c r="D107" s="27">
        <f>'BOGIX (Net)'!D107+(1.25/12)</f>
        <v>2.4408006666666666</v>
      </c>
      <c r="E107" s="46">
        <f t="shared" si="9"/>
        <v>3924350.4059554129</v>
      </c>
      <c r="F107" s="8"/>
      <c r="H107" s="49"/>
      <c r="I107" s="39"/>
      <c r="J107" s="20">
        <f t="shared" si="12"/>
        <v>39202</v>
      </c>
      <c r="K107" s="27">
        <v>1.8031780488134448</v>
      </c>
      <c r="L107" s="46">
        <f t="shared" si="10"/>
        <v>2109712.2133283084</v>
      </c>
      <c r="M107" s="8"/>
      <c r="O107" s="39"/>
      <c r="P107" s="20">
        <f t="shared" si="13"/>
        <v>39202</v>
      </c>
      <c r="Q107" s="27">
        <v>2.2279360000000001</v>
      </c>
      <c r="R107" s="46">
        <f t="shared" si="11"/>
        <v>2569792.0294432542</v>
      </c>
      <c r="S107" s="8"/>
      <c r="U107" s="49"/>
      <c r="V107" s="39"/>
    </row>
    <row r="108" spans="1:22" x14ac:dyDescent="0.25">
      <c r="A108" s="21">
        <v>39233</v>
      </c>
      <c r="B108" s="24">
        <f t="shared" si="8"/>
        <v>92</v>
      </c>
      <c r="C108" s="96" t="s">
        <v>340</v>
      </c>
      <c r="D108" s="27">
        <f>'BOGIX (Net)'!D108+(1.25/12)</f>
        <v>3.8967366666666665</v>
      </c>
      <c r="E108" s="46">
        <f t="shared" si="9"/>
        <v>4077272.0071527595</v>
      </c>
      <c r="F108" s="8"/>
      <c r="H108" s="49"/>
      <c r="I108" s="39"/>
      <c r="J108" s="20">
        <f t="shared" si="12"/>
        <v>39233</v>
      </c>
      <c r="K108" s="27">
        <v>4.0958469830874584</v>
      </c>
      <c r="L108" s="46">
        <f t="shared" si="10"/>
        <v>2196122.7973697437</v>
      </c>
      <c r="M108" s="8"/>
      <c r="O108" s="39"/>
      <c r="P108" s="20">
        <f t="shared" si="13"/>
        <v>39233</v>
      </c>
      <c r="Q108" s="27">
        <v>4.6043289999999999</v>
      </c>
      <c r="R108" s="46">
        <f t="shared" si="11"/>
        <v>2688113.7090945984</v>
      </c>
      <c r="S108" s="8"/>
      <c r="U108" s="49"/>
      <c r="V108" s="39"/>
    </row>
    <row r="109" spans="1:22" x14ac:dyDescent="0.25">
      <c r="A109" s="21">
        <v>39263</v>
      </c>
      <c r="B109" s="24">
        <f t="shared" si="8"/>
        <v>93</v>
      </c>
      <c r="C109" s="96" t="s">
        <v>340</v>
      </c>
      <c r="D109" s="27">
        <f>'BOGIX (Net)'!D109+(1.25/12)</f>
        <v>0.70073636666666661</v>
      </c>
      <c r="E109" s="46">
        <f t="shared" si="9"/>
        <v>4105842.9348747986</v>
      </c>
      <c r="F109" s="8"/>
      <c r="G109" s="5">
        <f>(E109/E106-1)*100</f>
        <v>7.1784611847756752</v>
      </c>
      <c r="H109" s="49"/>
      <c r="I109" s="39"/>
      <c r="J109" s="20">
        <f t="shared" si="12"/>
        <v>39263</v>
      </c>
      <c r="K109" s="27">
        <v>-1.4472308009532144</v>
      </c>
      <c r="L109" s="46">
        <f t="shared" si="10"/>
        <v>2164339.8318194533</v>
      </c>
      <c r="M109" s="8"/>
      <c r="N109" s="5">
        <f>(L109/L106-1)*100</f>
        <v>4.439208279146678</v>
      </c>
      <c r="O109" s="39"/>
      <c r="P109" s="20">
        <f t="shared" si="13"/>
        <v>39263</v>
      </c>
      <c r="Q109" s="27">
        <v>-1.6413930000000001</v>
      </c>
      <c r="R109" s="46">
        <f t="shared" si="11"/>
        <v>2643991.1988414791</v>
      </c>
      <c r="S109" s="8"/>
      <c r="T109" s="5">
        <f>(R109/R106-1)*100</f>
        <v>5.1796254182826962</v>
      </c>
      <c r="U109" s="49"/>
      <c r="V109" s="39"/>
    </row>
    <row r="110" spans="1:22" x14ac:dyDescent="0.25">
      <c r="A110" s="21">
        <v>39294</v>
      </c>
      <c r="B110" s="24">
        <f t="shared" si="8"/>
        <v>94</v>
      </c>
      <c r="C110" s="96" t="s">
        <v>340</v>
      </c>
      <c r="D110" s="27">
        <f>'BOGIX (Net)'!D110+(1.25/12)</f>
        <v>-6.7157003333333334</v>
      </c>
      <c r="E110" s="46">
        <f t="shared" si="9"/>
        <v>3830106.8272112687</v>
      </c>
      <c r="F110" s="8"/>
      <c r="H110" s="49"/>
      <c r="I110" s="39"/>
      <c r="J110" s="20">
        <f t="shared" si="12"/>
        <v>39294</v>
      </c>
      <c r="K110" s="27">
        <v>-6.8491486921646274</v>
      </c>
      <c r="L110" s="46">
        <f t="shared" si="10"/>
        <v>2016100.978534393</v>
      </c>
      <c r="M110" s="8"/>
      <c r="O110" s="39"/>
      <c r="P110" s="20">
        <f t="shared" si="13"/>
        <v>39294</v>
      </c>
      <c r="Q110" s="27">
        <v>-5.0544840000000004</v>
      </c>
      <c r="R110" s="46">
        <f t="shared" si="11"/>
        <v>2510351.0867346283</v>
      </c>
      <c r="S110" s="8"/>
      <c r="U110" s="49"/>
      <c r="V110" s="39"/>
    </row>
    <row r="111" spans="1:22" x14ac:dyDescent="0.25">
      <c r="A111" s="21">
        <v>39325</v>
      </c>
      <c r="B111" s="24">
        <f t="shared" si="8"/>
        <v>95</v>
      </c>
      <c r="C111" s="96" t="s">
        <v>340</v>
      </c>
      <c r="D111" s="27">
        <f>'BOGIX (Net)'!D111+(1.25/12)</f>
        <v>-2.0040273333333336</v>
      </c>
      <c r="E111" s="46">
        <f t="shared" si="9"/>
        <v>3753350.4394980888</v>
      </c>
      <c r="F111" s="8"/>
      <c r="H111" s="49"/>
      <c r="I111" s="39"/>
      <c r="J111" s="20">
        <f t="shared" si="12"/>
        <v>39325</v>
      </c>
      <c r="K111" s="27">
        <v>2.2606153019913986</v>
      </c>
      <c r="L111" s="46">
        <f t="shared" si="10"/>
        <v>2061677.2657587398</v>
      </c>
      <c r="M111" s="8"/>
      <c r="O111" s="39"/>
      <c r="P111" s="20">
        <f t="shared" si="13"/>
        <v>39325</v>
      </c>
      <c r="Q111" s="27">
        <v>1.875003</v>
      </c>
      <c r="R111" s="46">
        <f t="shared" si="11"/>
        <v>2557420.2449214351</v>
      </c>
      <c r="S111" s="8"/>
      <c r="U111" s="49"/>
      <c r="V111" s="39"/>
    </row>
    <row r="112" spans="1:22" x14ac:dyDescent="0.25">
      <c r="A112" s="21">
        <v>39355</v>
      </c>
      <c r="B112" s="24">
        <f t="shared" si="8"/>
        <v>96</v>
      </c>
      <c r="C112" s="96" t="s">
        <v>340</v>
      </c>
      <c r="D112" s="27">
        <f>'BOGIX (Net)'!D112+(1.25/12)</f>
        <v>3.2736096666666663</v>
      </c>
      <c r="E112" s="46">
        <f t="shared" si="9"/>
        <v>3876220.482309374</v>
      </c>
      <c r="F112" s="8"/>
      <c r="G112" s="5">
        <f>(E112/E109-1)*100</f>
        <v>-5.5925776072685229</v>
      </c>
      <c r="H112" s="49"/>
      <c r="I112" s="39"/>
      <c r="J112" s="20">
        <f t="shared" si="12"/>
        <v>39355</v>
      </c>
      <c r="K112" s="27">
        <v>1.7155100472567253</v>
      </c>
      <c r="L112" s="46">
        <f t="shared" si="10"/>
        <v>2097045.5463948387</v>
      </c>
      <c r="M112" s="8"/>
      <c r="N112" s="5">
        <f>(L112/L109-1)*100</f>
        <v>-3.1092291716520171</v>
      </c>
      <c r="O112" s="39"/>
      <c r="P112" s="20">
        <f t="shared" si="13"/>
        <v>39355</v>
      </c>
      <c r="Q112" s="27">
        <v>1.4875849999999999</v>
      </c>
      <c r="R112" s="46">
        <f t="shared" si="11"/>
        <v>2595464.0448718495</v>
      </c>
      <c r="S112" s="8"/>
      <c r="T112" s="5">
        <f>(R112/R109-1)*100</f>
        <v>-1.8353750190580387</v>
      </c>
      <c r="U112" s="49"/>
      <c r="V112" s="39"/>
    </row>
    <row r="113" spans="1:22" x14ac:dyDescent="0.25">
      <c r="A113" s="21">
        <v>39386</v>
      </c>
      <c r="B113" s="24">
        <f t="shared" si="8"/>
        <v>97</v>
      </c>
      <c r="C113" s="96" t="s">
        <v>340</v>
      </c>
      <c r="D113" s="27">
        <f>'BOGIX (Net)'!D113+(1.25/12)</f>
        <v>1.9946746666666668</v>
      </c>
      <c r="E113" s="46">
        <f t="shared" si="9"/>
        <v>3953538.4702941435</v>
      </c>
      <c r="F113" s="8"/>
      <c r="H113" s="49"/>
      <c r="I113" s="39"/>
      <c r="J113" s="20">
        <f t="shared" si="12"/>
        <v>39386</v>
      </c>
      <c r="K113" s="27">
        <v>2.8691339798555933</v>
      </c>
      <c r="L113" s="46">
        <f t="shared" si="10"/>
        <v>2157212.5927395015</v>
      </c>
      <c r="M113" s="8"/>
      <c r="O113" s="39"/>
      <c r="P113" s="20">
        <f t="shared" si="13"/>
        <v>39386</v>
      </c>
      <c r="Q113" s="27">
        <v>1.860139</v>
      </c>
      <c r="R113" s="46">
        <f t="shared" si="11"/>
        <v>2643743.2838014881</v>
      </c>
      <c r="S113" s="8"/>
      <c r="U113" s="49"/>
      <c r="V113" s="39"/>
    </row>
    <row r="114" spans="1:22" x14ac:dyDescent="0.25">
      <c r="A114" s="21">
        <v>39416</v>
      </c>
      <c r="B114" s="24">
        <f t="shared" si="8"/>
        <v>98</v>
      </c>
      <c r="C114" s="96" t="s">
        <v>340</v>
      </c>
      <c r="D114" s="27">
        <f>'BOGIX (Net)'!D114+(1.25/12)</f>
        <v>-10.018533333333334</v>
      </c>
      <c r="E114" s="46">
        <f t="shared" si="9"/>
        <v>3557451.9008015678</v>
      </c>
      <c r="F114" s="8"/>
      <c r="H114" s="49"/>
      <c r="I114" s="39"/>
      <c r="J114" s="20">
        <f t="shared" si="12"/>
        <v>39416</v>
      </c>
      <c r="K114" s="27">
        <v>-7.1842178476465648</v>
      </c>
      <c r="L114" s="46">
        <f t="shared" si="10"/>
        <v>2002233.7406402309</v>
      </c>
      <c r="M114" s="8"/>
      <c r="O114" s="39"/>
      <c r="P114" s="20">
        <f t="shared" si="13"/>
        <v>39416</v>
      </c>
      <c r="Q114" s="27">
        <v>-7.4220600000000001</v>
      </c>
      <c r="R114" s="46">
        <f t="shared" si="11"/>
        <v>2447523.0710317716</v>
      </c>
      <c r="S114" s="8"/>
      <c r="U114" s="49"/>
      <c r="V114" s="39"/>
    </row>
    <row r="115" spans="1:22" x14ac:dyDescent="0.25">
      <c r="A115" s="21">
        <v>39447</v>
      </c>
      <c r="B115" s="24">
        <f t="shared" si="8"/>
        <v>99</v>
      </c>
      <c r="C115" s="96" t="s">
        <v>340</v>
      </c>
      <c r="D115" s="27">
        <f>'BOGIX (Net)'!D115+(1.25/12)</f>
        <v>0.4978674666666667</v>
      </c>
      <c r="E115" s="46">
        <f t="shared" si="9"/>
        <v>3575163.2964579738</v>
      </c>
      <c r="F115" s="11">
        <f>(E115-E103)/E103*100</f>
        <v>-4.2999501988808051</v>
      </c>
      <c r="G115" s="5">
        <f>(E115/E112-1)*100</f>
        <v>-7.7667714523823044</v>
      </c>
      <c r="H115" s="5"/>
      <c r="I115" s="39"/>
      <c r="J115" s="20">
        <f t="shared" si="12"/>
        <v>39447</v>
      </c>
      <c r="K115" s="27">
        <v>-7.9516184775396917E-2</v>
      </c>
      <c r="L115" s="46">
        <f t="shared" si="10"/>
        <v>2000641.6407593882</v>
      </c>
      <c r="M115" s="11">
        <f>(L115-L103)/L103*100</f>
        <v>-1.5832799600000995</v>
      </c>
      <c r="N115" s="5">
        <f>(L115/L112-1)*100</f>
        <v>-4.597129795353494</v>
      </c>
      <c r="O115" s="39"/>
      <c r="P115" s="20">
        <f t="shared" si="13"/>
        <v>39447</v>
      </c>
      <c r="Q115" s="27">
        <v>-0.79270870000000004</v>
      </c>
      <c r="R115" s="46">
        <f t="shared" si="11"/>
        <v>2428121.3427131954</v>
      </c>
      <c r="S115" s="11">
        <f>(R115-R103)/R103*100</f>
        <v>-0.31483108353122713</v>
      </c>
      <c r="T115" s="5">
        <f>(R115/R112-1)*100</f>
        <v>-6.4475060823628745</v>
      </c>
      <c r="U115" s="49"/>
      <c r="V115" s="39"/>
    </row>
    <row r="116" spans="1:22" x14ac:dyDescent="0.25">
      <c r="A116" s="21">
        <v>39478</v>
      </c>
      <c r="B116" s="24">
        <f t="shared" si="8"/>
        <v>100</v>
      </c>
      <c r="C116" s="96" t="s">
        <v>340</v>
      </c>
      <c r="D116" s="27">
        <f>'BOGIX (Net)'!D116+(1.25/12)</f>
        <v>-9.1605393333333343</v>
      </c>
      <c r="E116" s="46">
        <f t="shared" si="9"/>
        <v>3247659.0564550445</v>
      </c>
      <c r="F116" s="10"/>
      <c r="H116" s="49"/>
      <c r="I116" s="39"/>
      <c r="J116" s="20">
        <f t="shared" si="12"/>
        <v>39478</v>
      </c>
      <c r="K116" s="27">
        <v>-6.8218300174593134</v>
      </c>
      <c r="L116" s="46">
        <f t="shared" si="10"/>
        <v>1864161.2687682738</v>
      </c>
      <c r="M116" s="10"/>
      <c r="O116" s="39"/>
      <c r="P116" s="20">
        <f t="shared" si="13"/>
        <v>39478</v>
      </c>
      <c r="Q116" s="27">
        <v>-4.8926749999999997</v>
      </c>
      <c r="R116" s="46">
        <f t="shared" si="11"/>
        <v>2309321.2568086027</v>
      </c>
      <c r="S116" s="10"/>
      <c r="U116" s="49"/>
      <c r="V116" s="39"/>
    </row>
    <row r="117" spans="1:22" x14ac:dyDescent="0.25">
      <c r="A117" s="21">
        <v>39507</v>
      </c>
      <c r="B117" s="24">
        <f t="shared" si="8"/>
        <v>101</v>
      </c>
      <c r="C117" s="96" t="s">
        <v>340</v>
      </c>
      <c r="D117" s="27">
        <f>'BOGIX (Net)'!D117+(1.25/12)</f>
        <v>-2.5970763333333333</v>
      </c>
      <c r="E117" s="46">
        <f t="shared" si="9"/>
        <v>3163314.8717124937</v>
      </c>
      <c r="F117" s="8"/>
      <c r="H117" s="49"/>
      <c r="I117" s="39"/>
      <c r="J117" s="20">
        <f t="shared" si="12"/>
        <v>39507</v>
      </c>
      <c r="K117" s="27">
        <v>-3.7078602875970117</v>
      </c>
      <c r="L117" s="46">
        <f t="shared" si="10"/>
        <v>1795040.7733868503</v>
      </c>
      <c r="M117" s="8"/>
      <c r="O117" s="39"/>
      <c r="P117" s="20">
        <f t="shared" si="13"/>
        <v>39507</v>
      </c>
      <c r="Q117" s="27">
        <v>-3.079914</v>
      </c>
      <c r="R117" s="46">
        <f t="shared" si="11"/>
        <v>2238196.1481151786</v>
      </c>
      <c r="S117" s="8"/>
      <c r="U117" s="49"/>
      <c r="V117" s="39"/>
    </row>
    <row r="118" spans="1:22" x14ac:dyDescent="0.25">
      <c r="A118" s="21">
        <v>39538</v>
      </c>
      <c r="B118" s="24">
        <f t="shared" si="8"/>
        <v>102</v>
      </c>
      <c r="C118" s="96" t="s">
        <v>340</v>
      </c>
      <c r="D118" s="27">
        <f>'BOGIX (Net)'!D118+(1.25/12)</f>
        <v>-3.8936123333333335</v>
      </c>
      <c r="E118" s="46">
        <f t="shared" si="9"/>
        <v>3040147.6537253284</v>
      </c>
      <c r="F118" s="8"/>
      <c r="G118" s="5">
        <f>(E118/E115-1)*100</f>
        <v>-14.964788972372311</v>
      </c>
      <c r="H118" s="49"/>
      <c r="I118" s="39"/>
      <c r="J118" s="20">
        <f t="shared" si="12"/>
        <v>39538</v>
      </c>
      <c r="K118" s="27">
        <v>0.41544824942129316</v>
      </c>
      <c r="L118" s="46">
        <f t="shared" si="10"/>
        <v>1802498.2388562844</v>
      </c>
      <c r="M118" s="8"/>
      <c r="N118" s="5">
        <f>(L118/L115-1)*100</f>
        <v>-9.9039926924591075</v>
      </c>
      <c r="O118" s="39"/>
      <c r="P118" s="20">
        <f t="shared" si="13"/>
        <v>39538</v>
      </c>
      <c r="Q118" s="27">
        <v>0.38592739999999998</v>
      </c>
      <c r="R118" s="46">
        <f t="shared" si="11"/>
        <v>2246833.9603164997</v>
      </c>
      <c r="S118" s="8"/>
      <c r="T118" s="5">
        <f>(R118/R115-1)*100</f>
        <v>-7.4661582684382726</v>
      </c>
      <c r="U118" s="49"/>
      <c r="V118" s="39"/>
    </row>
    <row r="119" spans="1:22" x14ac:dyDescent="0.25">
      <c r="A119" s="21">
        <v>39568</v>
      </c>
      <c r="B119" s="24">
        <f t="shared" si="8"/>
        <v>103</v>
      </c>
      <c r="C119" s="96" t="s">
        <v>340</v>
      </c>
      <c r="D119" s="27">
        <f>'BOGIX (Net)'!D119+(1.25/12)</f>
        <v>2.1862946666666665</v>
      </c>
      <c r="E119" s="46">
        <f t="shared" si="9"/>
        <v>3106614.2397375172</v>
      </c>
      <c r="F119" s="8"/>
      <c r="H119" s="49"/>
      <c r="I119" s="39"/>
      <c r="J119" s="20">
        <f t="shared" si="12"/>
        <v>39568</v>
      </c>
      <c r="K119" s="27">
        <v>4.1862234443964139</v>
      </c>
      <c r="L119" s="46">
        <f t="shared" si="10"/>
        <v>1877954.8427161188</v>
      </c>
      <c r="M119" s="8"/>
      <c r="O119" s="39"/>
      <c r="P119" s="20">
        <f t="shared" si="13"/>
        <v>39568</v>
      </c>
      <c r="Q119" s="27">
        <v>4.0139199999999997</v>
      </c>
      <c r="R119" s="46">
        <f t="shared" si="11"/>
        <v>2337020.0780164357</v>
      </c>
      <c r="S119" s="8"/>
      <c r="U119" s="49"/>
      <c r="V119" s="39"/>
    </row>
    <row r="120" spans="1:22" x14ac:dyDescent="0.25">
      <c r="A120" s="21">
        <v>39599</v>
      </c>
      <c r="B120" s="24">
        <f t="shared" si="8"/>
        <v>104</v>
      </c>
      <c r="C120" s="96" t="s">
        <v>340</v>
      </c>
      <c r="D120" s="27">
        <f>'BOGIX (Net)'!D120+(1.25/12)</f>
        <v>3.4469426666666667</v>
      </c>
      <c r="E120" s="46">
        <f t="shared" si="9"/>
        <v>3213697.4514557719</v>
      </c>
      <c r="F120" s="8"/>
      <c r="H120" s="49"/>
      <c r="I120" s="39"/>
      <c r="J120" s="20">
        <f t="shared" si="12"/>
        <v>39599</v>
      </c>
      <c r="K120" s="27">
        <v>4.5934680742395937</v>
      </c>
      <c r="L120" s="46">
        <f t="shared" si="10"/>
        <v>1964218.09886492</v>
      </c>
      <c r="M120" s="8"/>
      <c r="O120" s="39"/>
      <c r="P120" s="20">
        <f t="shared" si="13"/>
        <v>39599</v>
      </c>
      <c r="Q120" s="27">
        <v>4.4175110000000002</v>
      </c>
      <c r="R120" s="46">
        <f t="shared" si="11"/>
        <v>2440258.1970350202</v>
      </c>
      <c r="S120" s="8"/>
      <c r="U120" s="49"/>
      <c r="V120" s="39"/>
    </row>
    <row r="121" spans="1:22" x14ac:dyDescent="0.25">
      <c r="A121" s="21">
        <v>39629</v>
      </c>
      <c r="B121" s="24">
        <f t="shared" si="8"/>
        <v>105</v>
      </c>
      <c r="C121" s="96" t="s">
        <v>340</v>
      </c>
      <c r="D121" s="27">
        <f>'BOGIX (Net)'!D121+(1.25/12)</f>
        <v>-9.1611843333333347</v>
      </c>
      <c r="E121" s="46">
        <f t="shared" si="9"/>
        <v>2919284.7040122729</v>
      </c>
      <c r="F121" s="8"/>
      <c r="G121" s="5">
        <f>(E121/E118-1)*100</f>
        <v>-3.9755618305233553</v>
      </c>
      <c r="H121" s="49"/>
      <c r="I121" s="39"/>
      <c r="J121" s="20">
        <f t="shared" si="12"/>
        <v>39629</v>
      </c>
      <c r="K121" s="27">
        <v>-7.6986079089839636</v>
      </c>
      <c r="L121" s="46">
        <f t="shared" si="10"/>
        <v>1813000.6489560108</v>
      </c>
      <c r="M121" s="8"/>
      <c r="N121" s="5">
        <f>(L121/L118-1)*100</f>
        <v>0.58265854985746213</v>
      </c>
      <c r="O121" s="39"/>
      <c r="P121" s="20">
        <f t="shared" si="13"/>
        <v>39629</v>
      </c>
      <c r="Q121" s="27">
        <v>-7.5552359999999998</v>
      </c>
      <c r="R121" s="46">
        <f t="shared" si="11"/>
        <v>2255890.9312396795</v>
      </c>
      <c r="S121" s="8"/>
      <c r="T121" s="5">
        <f>(R121/R118-1)*100</f>
        <v>0.40309925357830956</v>
      </c>
      <c r="U121" s="49"/>
      <c r="V121" s="39"/>
    </row>
    <row r="122" spans="1:22" x14ac:dyDescent="0.25">
      <c r="A122" s="21">
        <v>39660</v>
      </c>
      <c r="B122" s="24">
        <f t="shared" si="8"/>
        <v>106</v>
      </c>
      <c r="C122" s="96" t="s">
        <v>340</v>
      </c>
      <c r="D122" s="27">
        <f>'BOGIX (Net)'!D122+(1.25/12)</f>
        <v>3.9712356666666664</v>
      </c>
      <c r="E122" s="46">
        <f t="shared" si="9"/>
        <v>3035216.3793895529</v>
      </c>
      <c r="F122" s="8"/>
      <c r="H122" s="49"/>
      <c r="I122" s="39"/>
      <c r="J122" s="20">
        <f t="shared" si="12"/>
        <v>39660</v>
      </c>
      <c r="K122" s="27">
        <v>3.6993092320346128</v>
      </c>
      <c r="L122" s="46">
        <f t="shared" si="10"/>
        <v>1880069.149339688</v>
      </c>
      <c r="M122" s="8"/>
      <c r="O122" s="39"/>
      <c r="P122" s="20">
        <f t="shared" si="13"/>
        <v>39660</v>
      </c>
      <c r="Q122" s="27">
        <v>2.0618430000000001</v>
      </c>
      <c r="R122" s="46">
        <f t="shared" si="11"/>
        <v>2302403.8604930798</v>
      </c>
      <c r="S122" s="8"/>
      <c r="U122" s="49"/>
      <c r="V122" s="39"/>
    </row>
    <row r="123" spans="1:22" x14ac:dyDescent="0.25">
      <c r="A123" s="21">
        <v>39691</v>
      </c>
      <c r="B123" s="24">
        <f t="shared" si="8"/>
        <v>107</v>
      </c>
      <c r="C123" s="96" t="s">
        <v>340</v>
      </c>
      <c r="D123" s="27">
        <f>'BOGIX (Net)'!D123+(1.25/12)</f>
        <v>1.0349403666666668</v>
      </c>
      <c r="E123" s="46">
        <f t="shared" si="9"/>
        <v>3066629.0589155341</v>
      </c>
      <c r="F123" s="8"/>
      <c r="H123" s="49"/>
      <c r="I123" s="39"/>
      <c r="J123" s="20">
        <f t="shared" si="12"/>
        <v>39691</v>
      </c>
      <c r="K123" s="27">
        <v>3.6106699836766079</v>
      </c>
      <c r="L123" s="46">
        <f t="shared" si="10"/>
        <v>1947952.2417872602</v>
      </c>
      <c r="M123" s="8"/>
      <c r="O123" s="39"/>
      <c r="P123" s="20">
        <f t="shared" si="13"/>
        <v>39691</v>
      </c>
      <c r="Q123" s="27">
        <v>4.1779060000000001</v>
      </c>
      <c r="R123" s="46">
        <f t="shared" si="11"/>
        <v>2398596.1295248517</v>
      </c>
      <c r="S123" s="8"/>
      <c r="U123" s="49"/>
      <c r="V123" s="39"/>
    </row>
    <row r="124" spans="1:22" x14ac:dyDescent="0.25">
      <c r="A124" s="21">
        <v>39721</v>
      </c>
      <c r="B124" s="24">
        <f t="shared" si="8"/>
        <v>108</v>
      </c>
      <c r="C124" s="96" t="s">
        <v>340</v>
      </c>
      <c r="D124" s="27">
        <f>'BOGIX (Net)'!D124+(1.25/12)</f>
        <v>-14.535603333333334</v>
      </c>
      <c r="E124" s="46">
        <f t="shared" si="9"/>
        <v>2620876.0232068389</v>
      </c>
      <c r="F124" s="8"/>
      <c r="G124" s="5">
        <f>(E124/E121-1)*100</f>
        <v>-10.221979390886416</v>
      </c>
      <c r="H124" s="49"/>
      <c r="I124" s="39"/>
      <c r="J124" s="20">
        <f t="shared" si="12"/>
        <v>39721</v>
      </c>
      <c r="K124" s="27">
        <v>-7.9685893301630051</v>
      </c>
      <c r="L124" s="46">
        <f t="shared" si="10"/>
        <v>1792727.9272915295</v>
      </c>
      <c r="M124" s="8"/>
      <c r="N124" s="5">
        <f>(L124/L121-1)*100</f>
        <v>-1.1181861228872214</v>
      </c>
      <c r="O124" s="39"/>
      <c r="P124" s="20">
        <f t="shared" si="13"/>
        <v>39721</v>
      </c>
      <c r="Q124" s="27">
        <v>-6.756767</v>
      </c>
      <c r="R124" s="46">
        <f t="shared" si="11"/>
        <v>2236528.5777818393</v>
      </c>
      <c r="S124" s="8"/>
      <c r="T124" s="5">
        <f>(R124/R121-1)*100</f>
        <v>-0.85830184383958175</v>
      </c>
      <c r="U124" s="49"/>
      <c r="V124" s="39"/>
    </row>
    <row r="125" spans="1:22" x14ac:dyDescent="0.25">
      <c r="A125" s="21">
        <v>39752</v>
      </c>
      <c r="B125" s="24">
        <f t="shared" si="8"/>
        <v>109</v>
      </c>
      <c r="C125" s="96" t="s">
        <v>340</v>
      </c>
      <c r="D125" s="27">
        <f>'BOGIX (Net)'!D125+(1.25/12)</f>
        <v>-22.178073333333334</v>
      </c>
      <c r="E125" s="46">
        <f t="shared" si="9"/>
        <v>2039616.2168042758</v>
      </c>
      <c r="F125" s="8"/>
      <c r="H125" s="49"/>
      <c r="I125" s="39"/>
      <c r="J125" s="20">
        <f t="shared" si="12"/>
        <v>39752</v>
      </c>
      <c r="K125" s="27">
        <v>-20.8092308224881</v>
      </c>
      <c r="L125" s="46">
        <f t="shared" si="10"/>
        <v>1419675.0348822284</v>
      </c>
      <c r="M125" s="8"/>
      <c r="O125" s="39"/>
      <c r="P125" s="20">
        <f t="shared" si="13"/>
        <v>39752</v>
      </c>
      <c r="Q125" s="27">
        <v>-20.145499999999998</v>
      </c>
      <c r="R125" s="46">
        <f t="shared" si="11"/>
        <v>1785968.7131447988</v>
      </c>
      <c r="S125" s="8"/>
      <c r="U125" s="49"/>
      <c r="V125" s="39"/>
    </row>
    <row r="126" spans="1:22" x14ac:dyDescent="0.25">
      <c r="A126" s="21">
        <v>39782</v>
      </c>
      <c r="B126" s="24">
        <f t="shared" si="8"/>
        <v>110</v>
      </c>
      <c r="C126" s="96" t="s">
        <v>340</v>
      </c>
      <c r="D126" s="27">
        <f>'BOGIX (Net)'!D126+(1.25/12)</f>
        <v>-13.709903333333333</v>
      </c>
      <c r="E126" s="46">
        <f t="shared" si="9"/>
        <v>1759986.8051094192</v>
      </c>
      <c r="F126" s="8"/>
      <c r="H126" s="49"/>
      <c r="I126" s="39"/>
      <c r="J126" s="20">
        <f t="shared" si="12"/>
        <v>39782</v>
      </c>
      <c r="K126" s="27">
        <v>-11.830901621443356</v>
      </c>
      <c r="L126" s="46">
        <f t="shared" si="10"/>
        <v>1251714.6781611203</v>
      </c>
      <c r="M126" s="8"/>
      <c r="O126" s="39"/>
      <c r="P126" s="20">
        <f t="shared" si="13"/>
        <v>39782</v>
      </c>
      <c r="Q126" s="27">
        <v>-11.6821</v>
      </c>
      <c r="R126" s="46">
        <f t="shared" si="11"/>
        <v>1577330.0621065102</v>
      </c>
      <c r="S126" s="8"/>
      <c r="U126" s="49"/>
      <c r="V126" s="39"/>
    </row>
    <row r="127" spans="1:22" x14ac:dyDescent="0.25">
      <c r="A127" s="21">
        <v>39813</v>
      </c>
      <c r="B127" s="24">
        <f t="shared" si="8"/>
        <v>111</v>
      </c>
      <c r="C127" s="96" t="s">
        <v>340</v>
      </c>
      <c r="D127" s="27">
        <f>'BOGIX (Net)'!D127+(1.25/12)</f>
        <v>6.6565856666666674</v>
      </c>
      <c r="E127" s="46">
        <f t="shared" si="9"/>
        <v>1877141.8345135574</v>
      </c>
      <c r="F127" s="11">
        <f>(E127-E115)/E115*100</f>
        <v>-47.494934388778816</v>
      </c>
      <c r="G127" s="5">
        <f>(E127/E124-1)*100</f>
        <v>-28.377312856762561</v>
      </c>
      <c r="H127" s="5"/>
      <c r="I127" s="39"/>
      <c r="J127" s="20">
        <f t="shared" si="12"/>
        <v>39813</v>
      </c>
      <c r="K127" s="27">
        <v>5.7889676002185517</v>
      </c>
      <c r="L127" s="46">
        <f t="shared" si="10"/>
        <v>1324176.0353270473</v>
      </c>
      <c r="M127" s="11">
        <f>(L127-L115)/L115*100</f>
        <v>-33.812432554166634</v>
      </c>
      <c r="N127" s="5">
        <f>(L127/L124-1)*100</f>
        <v>-26.136252179234742</v>
      </c>
      <c r="O127" s="39"/>
      <c r="P127" s="20">
        <f t="shared" si="13"/>
        <v>39813</v>
      </c>
      <c r="Q127" s="27">
        <v>6.0987090000000004</v>
      </c>
      <c r="R127" s="46">
        <f t="shared" si="11"/>
        <v>1673526.8325639055</v>
      </c>
      <c r="S127" s="11">
        <f>(R127-R115)/R115*100</f>
        <v>-31.077298192441322</v>
      </c>
      <c r="T127" s="5">
        <f>(R127/R124-1)*100</f>
        <v>-25.173018168017858</v>
      </c>
      <c r="U127" s="49"/>
      <c r="V127" s="39"/>
    </row>
    <row r="128" spans="1:22" x14ac:dyDescent="0.25">
      <c r="A128" s="21">
        <v>39844</v>
      </c>
      <c r="B128" s="24">
        <f t="shared" si="8"/>
        <v>112</v>
      </c>
      <c r="C128" s="96" t="s">
        <v>340</v>
      </c>
      <c r="D128" s="27">
        <f>'BOGIX (Net)'!D128+(1.25/12)</f>
        <v>-7.2752083333333326</v>
      </c>
      <c r="E128" s="46">
        <f t="shared" si="9"/>
        <v>1740575.8553405409</v>
      </c>
      <c r="F128" s="10"/>
      <c r="H128" s="49"/>
      <c r="I128" s="39"/>
      <c r="J128" s="20">
        <f t="shared" si="12"/>
        <v>39844</v>
      </c>
      <c r="K128" s="27">
        <v>-11.123966557972201</v>
      </c>
      <c r="L128" s="46">
        <f t="shared" si="10"/>
        <v>1176875.1359885845</v>
      </c>
      <c r="M128" s="10"/>
      <c r="O128" s="39"/>
      <c r="P128" s="20">
        <f t="shared" si="13"/>
        <v>39844</v>
      </c>
      <c r="Q128" s="27">
        <v>-12.70018</v>
      </c>
      <c r="R128" s="46">
        <f t="shared" si="11"/>
        <v>1460985.9124799909</v>
      </c>
      <c r="S128" s="10"/>
      <c r="U128" s="49"/>
      <c r="V128" s="39"/>
    </row>
    <row r="129" spans="1:22" x14ac:dyDescent="0.25">
      <c r="A129" s="21">
        <v>39872</v>
      </c>
      <c r="B129" s="24">
        <f t="shared" si="8"/>
        <v>113</v>
      </c>
      <c r="C129" s="96" t="s">
        <v>340</v>
      </c>
      <c r="D129" s="27">
        <f>'BOGIX (Net)'!D129+(1.25/12)</f>
        <v>-11.540373333333333</v>
      </c>
      <c r="E129" s="46">
        <f t="shared" si="9"/>
        <v>1539706.9034843827</v>
      </c>
      <c r="F129" s="8"/>
      <c r="H129" s="49"/>
      <c r="I129" s="39"/>
      <c r="J129" s="20">
        <f t="shared" si="12"/>
        <v>39872</v>
      </c>
      <c r="K129" s="27">
        <v>-12.158807443659486</v>
      </c>
      <c r="L129" s="46">
        <f t="shared" si="10"/>
        <v>1033781.1543514268</v>
      </c>
      <c r="M129" s="8"/>
      <c r="O129" s="39"/>
      <c r="P129" s="20">
        <f t="shared" si="13"/>
        <v>39872</v>
      </c>
      <c r="Q129" s="27">
        <v>-11.985279999999999</v>
      </c>
      <c r="R129" s="46">
        <f t="shared" si="11"/>
        <v>1285882.660108709</v>
      </c>
      <c r="S129" s="8"/>
      <c r="U129" s="49"/>
      <c r="V129" s="39"/>
    </row>
    <row r="130" spans="1:22" x14ac:dyDescent="0.25">
      <c r="A130" s="21">
        <v>39903</v>
      </c>
      <c r="B130" s="24">
        <f t="shared" si="8"/>
        <v>114</v>
      </c>
      <c r="C130" s="96" t="s">
        <v>340</v>
      </c>
      <c r="D130" s="27">
        <f>'BOGIX (Net)'!D130+(1.25/12)</f>
        <v>7.5030106666666674</v>
      </c>
      <c r="E130" s="46">
        <f t="shared" si="9"/>
        <v>1655231.276688219</v>
      </c>
      <c r="F130" s="8"/>
      <c r="G130" s="5">
        <f>(E130/E127-1)*100</f>
        <v>-11.821725654675653</v>
      </c>
      <c r="H130" s="49"/>
      <c r="I130" s="39"/>
      <c r="J130" s="20">
        <f t="shared" si="12"/>
        <v>39903</v>
      </c>
      <c r="K130" s="27">
        <v>8.918497340315211</v>
      </c>
      <c r="L130" s="46">
        <f t="shared" si="10"/>
        <v>1125978.8991069386</v>
      </c>
      <c r="M130" s="8"/>
      <c r="N130" s="5">
        <f>(L130/L127-1)*100</f>
        <v>-14.967582174310955</v>
      </c>
      <c r="O130" s="39"/>
      <c r="P130" s="20">
        <f t="shared" si="13"/>
        <v>39903</v>
      </c>
      <c r="Q130" s="27">
        <v>8.2083130000000004</v>
      </c>
      <c r="R130" s="46">
        <f t="shared" si="11"/>
        <v>1391431.933663158</v>
      </c>
      <c r="S130" s="8"/>
      <c r="T130" s="5">
        <f>(R130/R127-1)*100</f>
        <v>-16.856311677331615</v>
      </c>
      <c r="U130" s="49"/>
      <c r="V130" s="39"/>
    </row>
    <row r="131" spans="1:22" x14ac:dyDescent="0.25">
      <c r="A131" s="21">
        <v>39933</v>
      </c>
      <c r="B131" s="24">
        <f t="shared" si="8"/>
        <v>115</v>
      </c>
      <c r="C131" s="96" t="s">
        <v>340</v>
      </c>
      <c r="D131" s="27">
        <f>'BOGIX (Net)'!D131+(1.25/12)</f>
        <v>15.927636666666666</v>
      </c>
      <c r="E131" s="46">
        <f t="shared" si="9"/>
        <v>1918870.5004321467</v>
      </c>
      <c r="F131" s="8"/>
      <c r="H131" s="49"/>
      <c r="I131" s="39"/>
      <c r="J131" s="20">
        <f t="shared" si="12"/>
        <v>39933</v>
      </c>
      <c r="K131" s="27">
        <v>15.456920978795816</v>
      </c>
      <c r="L131" s="46">
        <f t="shared" si="10"/>
        <v>1300020.5677798132</v>
      </c>
      <c r="M131" s="8"/>
      <c r="O131" s="39"/>
      <c r="P131" s="20">
        <f t="shared" si="13"/>
        <v>39933</v>
      </c>
      <c r="Q131" s="27">
        <v>17.4543</v>
      </c>
      <c r="R131" s="46">
        <f t="shared" si="11"/>
        <v>1634296.6376605267</v>
      </c>
      <c r="S131" s="8"/>
      <c r="U131" s="49"/>
      <c r="V131" s="39"/>
    </row>
    <row r="132" spans="1:22" x14ac:dyDescent="0.25">
      <c r="A132" s="21">
        <v>39964</v>
      </c>
      <c r="B132" s="24">
        <f t="shared" si="8"/>
        <v>116</v>
      </c>
      <c r="C132" s="96" t="s">
        <v>340</v>
      </c>
      <c r="D132" s="27">
        <f>'BOGIX (Net)'!D132+(1.25/12)</f>
        <v>9.1190366666666662</v>
      </c>
      <c r="E132" s="46">
        <f t="shared" si="9"/>
        <v>2093853.0049524042</v>
      </c>
      <c r="F132" s="8"/>
      <c r="H132" s="49"/>
      <c r="I132" s="39"/>
      <c r="J132" s="20">
        <f t="shared" si="12"/>
        <v>39964</v>
      </c>
      <c r="K132" s="27">
        <v>3.0139448922449068</v>
      </c>
      <c r="L132" s="46">
        <f t="shared" si="10"/>
        <v>1339202.4712805462</v>
      </c>
      <c r="M132" s="8"/>
      <c r="O132" s="39"/>
      <c r="P132" s="20">
        <f t="shared" si="13"/>
        <v>39964</v>
      </c>
      <c r="Q132" s="27">
        <v>1.6133249999999999</v>
      </c>
      <c r="R132" s="46">
        <f t="shared" si="11"/>
        <v>1660663.1538900633</v>
      </c>
      <c r="S132" s="8"/>
      <c r="U132" s="49"/>
      <c r="V132" s="39"/>
    </row>
    <row r="133" spans="1:22" x14ac:dyDescent="0.25">
      <c r="A133" s="21">
        <v>39994</v>
      </c>
      <c r="B133" s="24">
        <f t="shared" si="8"/>
        <v>117</v>
      </c>
      <c r="C133" s="96" t="s">
        <v>340</v>
      </c>
      <c r="D133" s="27">
        <f>'BOGIX (Net)'!D133+(1.25/12)</f>
        <v>5.7307646666666674</v>
      </c>
      <c r="E133" s="46">
        <f t="shared" si="9"/>
        <v>2213846.7931321547</v>
      </c>
      <c r="F133" s="8"/>
      <c r="G133" s="5">
        <f>(E133/E130-1)*100</f>
        <v>33.748487254398164</v>
      </c>
      <c r="H133" s="49"/>
      <c r="I133" s="39"/>
      <c r="J133" s="20">
        <f t="shared" si="12"/>
        <v>39994</v>
      </c>
      <c r="K133" s="27">
        <v>1.4668473068240331</v>
      </c>
      <c r="L133" s="46">
        <f t="shared" si="10"/>
        <v>1358846.5266634456</v>
      </c>
      <c r="M133" s="8"/>
      <c r="N133" s="5">
        <f>(L133/L130-1)*100</f>
        <v>20.681349156827377</v>
      </c>
      <c r="O133" s="39"/>
      <c r="P133" s="20">
        <f t="shared" si="13"/>
        <v>39994</v>
      </c>
      <c r="Q133" s="27">
        <v>1.4305019999999999</v>
      </c>
      <c r="R133" s="46">
        <f t="shared" si="11"/>
        <v>1684418.9735197236</v>
      </c>
      <c r="S133" s="8"/>
      <c r="T133" s="5">
        <f>(R133/R130-1)*100</f>
        <v>21.056512558629613</v>
      </c>
      <c r="U133" s="49"/>
      <c r="V133" s="39"/>
    </row>
    <row r="134" spans="1:22" x14ac:dyDescent="0.25">
      <c r="A134" s="21">
        <v>40025</v>
      </c>
      <c r="B134" s="24">
        <f t="shared" si="8"/>
        <v>118</v>
      </c>
      <c r="C134" s="96" t="s">
        <v>340</v>
      </c>
      <c r="D134" s="27">
        <f>'BOGIX (Net)'!D134+(1.25/12)</f>
        <v>9.7086866666666669</v>
      </c>
      <c r="E134" s="46">
        <f t="shared" si="9"/>
        <v>2428782.2415574039</v>
      </c>
      <c r="F134" s="8"/>
      <c r="H134" s="49"/>
      <c r="I134" s="39"/>
      <c r="J134" s="20">
        <f t="shared" si="12"/>
        <v>40025</v>
      </c>
      <c r="K134" s="27">
        <v>9.6305396038464401</v>
      </c>
      <c r="L134" s="46">
        <f t="shared" si="10"/>
        <v>1489710.7795692605</v>
      </c>
      <c r="M134" s="8"/>
      <c r="O134" s="39"/>
      <c r="P134" s="20">
        <f t="shared" si="13"/>
        <v>40025</v>
      </c>
      <c r="Q134" s="27">
        <v>10.327809999999999</v>
      </c>
      <c r="R134" s="46">
        <f t="shared" si="11"/>
        <v>1858382.564708791</v>
      </c>
      <c r="S134" s="8"/>
      <c r="U134" s="49"/>
      <c r="V134" s="39"/>
    </row>
    <row r="135" spans="1:22" x14ac:dyDescent="0.25">
      <c r="A135" s="21">
        <v>40056</v>
      </c>
      <c r="B135" s="24">
        <f t="shared" si="8"/>
        <v>119</v>
      </c>
      <c r="C135" s="96" t="s">
        <v>340</v>
      </c>
      <c r="D135" s="27">
        <f>'BOGIX (Net)'!D135+(1.25/12)</f>
        <v>3.4915006666666666</v>
      </c>
      <c r="E135" s="46">
        <f t="shared" si="9"/>
        <v>2513583.1897132625</v>
      </c>
      <c r="F135" s="8"/>
      <c r="H135" s="49"/>
      <c r="I135" s="39"/>
      <c r="J135" s="20">
        <f t="shared" si="12"/>
        <v>40056</v>
      </c>
      <c r="K135" s="27">
        <v>2.8673349550857035</v>
      </c>
      <c r="L135" s="46">
        <f t="shared" si="10"/>
        <v>1532425.7774815296</v>
      </c>
      <c r="M135" s="8"/>
      <c r="O135" s="39"/>
      <c r="P135" s="20">
        <f t="shared" si="13"/>
        <v>40056</v>
      </c>
      <c r="Q135" s="27">
        <v>2.2857560000000001</v>
      </c>
      <c r="R135" s="46">
        <f t="shared" si="11"/>
        <v>1900860.6556845761</v>
      </c>
      <c r="S135" s="8"/>
      <c r="U135" s="49"/>
      <c r="V135" s="39"/>
    </row>
    <row r="136" spans="1:22" x14ac:dyDescent="0.25">
      <c r="A136" s="21">
        <v>40086</v>
      </c>
      <c r="B136" s="24">
        <f t="shared" si="8"/>
        <v>120</v>
      </c>
      <c r="C136" s="96" t="s">
        <v>340</v>
      </c>
      <c r="D136" s="27">
        <f>'BOGIX (Net)'!D136+(1.25/12)</f>
        <v>5.8021726666666673</v>
      </c>
      <c r="E136" s="46">
        <f t="shared" si="9"/>
        <v>2659425.6265007337</v>
      </c>
      <c r="F136" s="8"/>
      <c r="G136" s="5">
        <f>(E136/E133-1)*100</f>
        <v>20.126904659837507</v>
      </c>
      <c r="H136" s="49"/>
      <c r="I136" s="39"/>
      <c r="J136" s="20">
        <f t="shared" si="12"/>
        <v>40086</v>
      </c>
      <c r="K136" s="27">
        <v>5.7588046993516215</v>
      </c>
      <c r="L136" s="46">
        <f t="shared" si="10"/>
        <v>1620675.1851692116</v>
      </c>
      <c r="M136" s="8"/>
      <c r="N136" s="5">
        <f>(L136/L133-1)*100</f>
        <v>19.26844962754317</v>
      </c>
      <c r="O136" s="39"/>
      <c r="P136" s="20">
        <f t="shared" si="13"/>
        <v>40086</v>
      </c>
      <c r="Q136" s="27">
        <v>5.1426069999999999</v>
      </c>
      <c r="R136" s="46">
        <f t="shared" si="11"/>
        <v>1998614.4488240571</v>
      </c>
      <c r="S136" s="8"/>
      <c r="T136" s="5">
        <f>(R136/R133-1)*100</f>
        <v>18.653047741904594</v>
      </c>
      <c r="U136" s="49"/>
      <c r="V136" s="39"/>
    </row>
    <row r="137" spans="1:22" x14ac:dyDescent="0.25">
      <c r="A137" s="21">
        <v>40117</v>
      </c>
      <c r="B137" s="24">
        <f t="shared" si="8"/>
        <v>121</v>
      </c>
      <c r="C137" s="96" t="s">
        <v>340</v>
      </c>
      <c r="D137" s="27">
        <f>'BOGIX (Net)'!D137+(1.25/12)</f>
        <v>-7.3756173333333335</v>
      </c>
      <c r="E137" s="46">
        <f t="shared" si="9"/>
        <v>2463276.5690254369</v>
      </c>
      <c r="F137" s="8"/>
      <c r="H137" s="49"/>
      <c r="I137" s="39"/>
      <c r="J137" s="20">
        <f t="shared" si="12"/>
        <v>40117</v>
      </c>
      <c r="K137" s="27">
        <v>-6.7946386446026237</v>
      </c>
      <c r="L137" s="46">
        <f t="shared" si="10"/>
        <v>1510556.1627342191</v>
      </c>
      <c r="M137" s="8"/>
      <c r="O137" s="39"/>
      <c r="P137" s="20">
        <f t="shared" si="13"/>
        <v>40117</v>
      </c>
      <c r="Q137" s="27">
        <v>-5.6938979999999999</v>
      </c>
      <c r="R137" s="46">
        <f t="shared" si="11"/>
        <v>1884815.380694753</v>
      </c>
      <c r="S137" s="8"/>
      <c r="U137" s="49"/>
      <c r="V137" s="39"/>
    </row>
    <row r="138" spans="1:22" x14ac:dyDescent="0.25">
      <c r="A138" s="21">
        <v>40147</v>
      </c>
      <c r="B138" s="24">
        <f t="shared" si="8"/>
        <v>122</v>
      </c>
      <c r="C138" s="96" t="s">
        <v>340</v>
      </c>
      <c r="D138" s="27">
        <f>'BOGIX (Net)'!D138+(1.25/12)</f>
        <v>4.3284926666666665</v>
      </c>
      <c r="E138" s="46">
        <f t="shared" si="9"/>
        <v>2569899.314675421</v>
      </c>
      <c r="F138" s="8"/>
      <c r="H138" s="49"/>
      <c r="I138" s="39"/>
      <c r="J138" s="20">
        <f t="shared" si="12"/>
        <v>40147</v>
      </c>
      <c r="K138" s="27">
        <v>3.1147681981507231</v>
      </c>
      <c r="L138" s="46">
        <f t="shared" si="10"/>
        <v>1557606.4857062704</v>
      </c>
      <c r="M138" s="8"/>
      <c r="O138" s="39"/>
      <c r="P138" s="20">
        <f t="shared" si="13"/>
        <v>40147</v>
      </c>
      <c r="Q138" s="27">
        <v>2.607596</v>
      </c>
      <c r="R138" s="46">
        <f t="shared" si="11"/>
        <v>1933963.7511691342</v>
      </c>
      <c r="S138" s="8"/>
      <c r="U138" s="49"/>
      <c r="V138" s="39"/>
    </row>
    <row r="139" spans="1:22" x14ac:dyDescent="0.25">
      <c r="A139" s="21">
        <v>40178</v>
      </c>
      <c r="B139" s="24">
        <f t="shared" si="8"/>
        <v>123</v>
      </c>
      <c r="C139" s="96" t="s">
        <v>340</v>
      </c>
      <c r="D139" s="27">
        <f>'BOGIX (Net)'!D139+(1.25/12)</f>
        <v>7.8609806666666673</v>
      </c>
      <c r="E139" s="46">
        <f t="shared" si="9"/>
        <v>2771918.6029548552</v>
      </c>
      <c r="F139" s="11">
        <f>(E139-E127)/E127*100</f>
        <v>47.666977102621033</v>
      </c>
      <c r="G139" s="5">
        <f>(E139/E136-1)*100</f>
        <v>4.2299726427070361</v>
      </c>
      <c r="H139" s="5"/>
      <c r="I139" s="39"/>
      <c r="J139" s="20">
        <f t="shared" si="12"/>
        <v>40178</v>
      </c>
      <c r="K139" s="27">
        <v>8.0437363445395054</v>
      </c>
      <c r="L139" s="46">
        <f t="shared" si="10"/>
        <v>1682896.2447019303</v>
      </c>
      <c r="M139" s="11">
        <f>(L139-L127)/L127*100</f>
        <v>27.090069583254888</v>
      </c>
      <c r="N139" s="5">
        <f>(L139/L136-1)*100</f>
        <v>3.839206035984466</v>
      </c>
      <c r="O139" s="39"/>
      <c r="P139" s="20">
        <f t="shared" si="13"/>
        <v>40178</v>
      </c>
      <c r="Q139" s="27">
        <v>8.6143289999999997</v>
      </c>
      <c r="R139" s="46">
        <f t="shared" si="11"/>
        <v>2100561.7514355849</v>
      </c>
      <c r="S139" s="11">
        <f>(R139-R127)/R127*100</f>
        <v>25.517064355487264</v>
      </c>
      <c r="T139" s="5">
        <f>(R139/R136-1)*100</f>
        <v>5.1008989088171308</v>
      </c>
      <c r="U139" s="49"/>
      <c r="V139" s="39"/>
    </row>
    <row r="140" spans="1:22" x14ac:dyDescent="0.25">
      <c r="A140" s="21">
        <v>40209</v>
      </c>
      <c r="B140" s="24">
        <f t="shared" si="8"/>
        <v>124</v>
      </c>
      <c r="C140" s="96" t="s">
        <v>340</v>
      </c>
      <c r="D140" s="27">
        <f>'BOGIX (Net)'!D140+(1.25/12)</f>
        <v>-3.4626293333333336</v>
      </c>
      <c r="E140" s="46">
        <f t="shared" si="9"/>
        <v>2675937.3363128169</v>
      </c>
      <c r="F140" s="10"/>
      <c r="H140" s="49"/>
      <c r="I140" s="39"/>
      <c r="J140" s="20">
        <f t="shared" si="12"/>
        <v>40209</v>
      </c>
      <c r="K140" s="27">
        <v>-3.6854331161916072</v>
      </c>
      <c r="L140" s="46">
        <f t="shared" si="10"/>
        <v>1620874.2291885405</v>
      </c>
      <c r="M140" s="10"/>
      <c r="O140" s="39"/>
      <c r="P140" s="20">
        <f t="shared" si="13"/>
        <v>40209</v>
      </c>
      <c r="Q140" s="27">
        <v>-3.3831349999999998</v>
      </c>
      <c r="R140" s="46">
        <f t="shared" si="11"/>
        <v>2029496.9116261546</v>
      </c>
      <c r="S140" s="10"/>
      <c r="U140" s="49"/>
      <c r="V140" s="39"/>
    </row>
    <row r="141" spans="1:22" x14ac:dyDescent="0.25">
      <c r="A141" s="21">
        <v>40237</v>
      </c>
      <c r="B141" s="24">
        <f t="shared" si="8"/>
        <v>125</v>
      </c>
      <c r="C141" s="96" t="s">
        <v>340</v>
      </c>
      <c r="D141" s="27">
        <f>'BOGIX (Net)'!D141+(1.25/12)</f>
        <v>4.4753836666666666</v>
      </c>
      <c r="E141" s="46">
        <f t="shared" si="9"/>
        <v>2795695.7987923957</v>
      </c>
      <c r="F141" s="8"/>
      <c r="H141" s="49"/>
      <c r="I141" s="39"/>
      <c r="J141" s="20">
        <f t="shared" si="12"/>
        <v>40237</v>
      </c>
      <c r="K141" s="27">
        <v>4.4992887225955993</v>
      </c>
      <c r="L141" s="46">
        <f t="shared" si="10"/>
        <v>1693802.0405898788</v>
      </c>
      <c r="M141" s="8"/>
      <c r="O141" s="39"/>
      <c r="P141" s="20">
        <f t="shared" si="13"/>
        <v>40237</v>
      </c>
      <c r="Q141" s="27">
        <v>4.2977350000000003</v>
      </c>
      <c r="R141" s="46">
        <f t="shared" si="11"/>
        <v>2116719.3107210309</v>
      </c>
      <c r="S141" s="8"/>
      <c r="U141" s="49"/>
      <c r="V141" s="39"/>
    </row>
    <row r="142" spans="1:22" x14ac:dyDescent="0.25">
      <c r="A142" s="21">
        <v>40268</v>
      </c>
      <c r="B142" s="24">
        <f t="shared" si="8"/>
        <v>126</v>
      </c>
      <c r="C142" s="96" t="s">
        <v>340</v>
      </c>
      <c r="D142" s="27">
        <f>'BOGIX (Net)'!D142+(1.25/12)</f>
        <v>6.2897336666666668</v>
      </c>
      <c r="E142" s="46">
        <f t="shared" si="9"/>
        <v>2971537.6186666265</v>
      </c>
      <c r="F142" s="8"/>
      <c r="G142" s="5">
        <f>(E142/E139-1)*100</f>
        <v>7.2014746572636845</v>
      </c>
      <c r="H142" s="49"/>
      <c r="I142" s="39"/>
      <c r="J142" s="20">
        <f t="shared" si="12"/>
        <v>40268</v>
      </c>
      <c r="K142" s="27">
        <v>8.1162864890256916</v>
      </c>
      <c r="L142" s="46">
        <f t="shared" si="10"/>
        <v>1831275.8667611165</v>
      </c>
      <c r="M142" s="8"/>
      <c r="N142" s="5">
        <f>(L142/L139-1)*100</f>
        <v>8.816920385098781</v>
      </c>
      <c r="O142" s="39"/>
      <c r="P142" s="20">
        <f t="shared" si="13"/>
        <v>40268</v>
      </c>
      <c r="Q142" s="27">
        <v>7.7712950000000003</v>
      </c>
      <c r="R142" s="46">
        <f t="shared" si="11"/>
        <v>2281215.8126791287</v>
      </c>
      <c r="S142" s="8"/>
      <c r="T142" s="5">
        <f>(R142/R139-1)*100</f>
        <v>8.6002737658190433</v>
      </c>
      <c r="U142" s="49"/>
      <c r="V142" s="39"/>
    </row>
    <row r="143" spans="1:22" x14ac:dyDescent="0.25">
      <c r="A143" s="21">
        <v>40298</v>
      </c>
      <c r="B143" s="24">
        <f t="shared" si="8"/>
        <v>127</v>
      </c>
      <c r="C143" s="96" t="s">
        <v>340</v>
      </c>
      <c r="D143" s="27">
        <f>'BOGIX (Net)'!D143+(1.25/12)</f>
        <v>5.8080506666666674</v>
      </c>
      <c r="E143" s="46">
        <f t="shared" si="9"/>
        <v>3144126.0291378442</v>
      </c>
      <c r="F143" s="8"/>
      <c r="H143" s="49"/>
      <c r="I143" s="39"/>
      <c r="J143" s="20">
        <f t="shared" si="12"/>
        <v>40298</v>
      </c>
      <c r="K143" s="27">
        <v>5.6590634544510561</v>
      </c>
      <c r="L143" s="46">
        <f t="shared" si="10"/>
        <v>1934908.9300871766</v>
      </c>
      <c r="M143" s="8"/>
      <c r="O143" s="39"/>
      <c r="P143" s="20">
        <f t="shared" si="13"/>
        <v>40298</v>
      </c>
      <c r="Q143" s="27">
        <v>5.8484410000000002</v>
      </c>
      <c r="R143" s="46">
        <f t="shared" si="11"/>
        <v>2414631.3735663379</v>
      </c>
      <c r="S143" s="8"/>
      <c r="U143" s="49"/>
      <c r="V143" s="39"/>
    </row>
    <row r="144" spans="1:22" x14ac:dyDescent="0.25">
      <c r="A144" s="21">
        <v>40329</v>
      </c>
      <c r="B144" s="24">
        <f t="shared" si="8"/>
        <v>128</v>
      </c>
      <c r="C144" s="96" t="s">
        <v>340</v>
      </c>
      <c r="D144" s="27">
        <f>'BOGIX (Net)'!D144+(1.25/12)</f>
        <v>-7.128899333333333</v>
      </c>
      <c r="E144" s="46">
        <f t="shared" si="9"/>
        <v>2919984.4496074766</v>
      </c>
      <c r="F144" s="8"/>
      <c r="H144" s="49"/>
      <c r="I144" s="39"/>
      <c r="J144" s="20">
        <f t="shared" si="12"/>
        <v>40329</v>
      </c>
      <c r="K144" s="27">
        <v>-7.586770948217298</v>
      </c>
      <c r="L144" s="46">
        <f t="shared" si="10"/>
        <v>1788111.8215048607</v>
      </c>
      <c r="M144" s="8"/>
      <c r="O144" s="39"/>
      <c r="P144" s="20">
        <f t="shared" si="13"/>
        <v>40329</v>
      </c>
      <c r="Q144" s="27">
        <v>-7.2218090000000004</v>
      </c>
      <c r="R144" s="46">
        <f t="shared" si="11"/>
        <v>2240251.3077133005</v>
      </c>
      <c r="S144" s="8"/>
      <c r="U144" s="49"/>
      <c r="V144" s="39"/>
    </row>
    <row r="145" spans="1:22" x14ac:dyDescent="0.25">
      <c r="A145" s="21">
        <v>40359</v>
      </c>
      <c r="B145" s="24">
        <f t="shared" si="8"/>
        <v>129</v>
      </c>
      <c r="C145" s="96" t="s">
        <v>340</v>
      </c>
      <c r="D145" s="27">
        <f>'BOGIX (Net)'!D145+(1.25/12)</f>
        <v>-8.7448433333333337</v>
      </c>
      <c r="E145" s="46">
        <f t="shared" si="9"/>
        <v>2664636.3841316071</v>
      </c>
      <c r="F145" s="8"/>
      <c r="G145" s="5">
        <f>(E145/E142-1)*100</f>
        <v>-10.328027907408099</v>
      </c>
      <c r="H145" s="49"/>
      <c r="I145" s="39"/>
      <c r="J145" s="20">
        <f t="shared" si="12"/>
        <v>40359</v>
      </c>
      <c r="K145" s="27">
        <v>-7.7509660367317474</v>
      </c>
      <c r="L145" s="46">
        <f t="shared" si="10"/>
        <v>1649515.8815212334</v>
      </c>
      <c r="M145" s="8"/>
      <c r="N145" s="5">
        <f>(L145/L142-1)*100</f>
        <v>-9.9253197477752302</v>
      </c>
      <c r="O145" s="39"/>
      <c r="P145" s="20">
        <f t="shared" si="13"/>
        <v>40359</v>
      </c>
      <c r="Q145" s="27">
        <v>-7.0672949999999997</v>
      </c>
      <c r="R145" s="46">
        <f t="shared" si="11"/>
        <v>2081926.1390558437</v>
      </c>
      <c r="S145" s="8"/>
      <c r="T145" s="5">
        <f>(R145/R142-1)*100</f>
        <v>-8.7361166144659173</v>
      </c>
      <c r="U145" s="49"/>
      <c r="V145" s="39"/>
    </row>
    <row r="146" spans="1:22" x14ac:dyDescent="0.25">
      <c r="A146" s="21">
        <v>40390</v>
      </c>
      <c r="B146" s="24">
        <f t="shared" ref="B146:B209" si="14">IF(A146&gt;A145,1+B145,"-")</f>
        <v>130</v>
      </c>
      <c r="C146" s="96" t="s">
        <v>340</v>
      </c>
      <c r="D146" s="27">
        <f>'BOGIX (Net)'!D146+(1.25/12)</f>
        <v>8.4544726666666659</v>
      </c>
      <c r="E146" s="46">
        <f t="shared" ref="E146:E209" si="15">E145*D146/100+E145</f>
        <v>2889917.3388940687</v>
      </c>
      <c r="F146" s="8"/>
      <c r="H146" s="49"/>
      <c r="I146" s="39"/>
      <c r="J146" s="20">
        <f t="shared" si="12"/>
        <v>40390</v>
      </c>
      <c r="K146" s="27">
        <v>6.8677914548601589</v>
      </c>
      <c r="L146" s="46">
        <f t="shared" ref="L146:L209" si="16">L145*K146/100+L145</f>
        <v>1762801.19227891</v>
      </c>
      <c r="M146" s="8"/>
      <c r="O146" s="39"/>
      <c r="P146" s="20">
        <f t="shared" si="13"/>
        <v>40390</v>
      </c>
      <c r="Q146" s="27">
        <v>6.3436180000000002</v>
      </c>
      <c r="R146" s="46">
        <f t="shared" ref="R146:R209" si="17">R145*Q146/100+R145</f>
        <v>2213995.580359695</v>
      </c>
      <c r="S146" s="8"/>
      <c r="U146" s="49"/>
      <c r="V146" s="39"/>
    </row>
    <row r="147" spans="1:22" x14ac:dyDescent="0.25">
      <c r="A147" s="21">
        <v>40421</v>
      </c>
      <c r="B147" s="24">
        <f t="shared" si="14"/>
        <v>131</v>
      </c>
      <c r="C147" s="96" t="s">
        <v>340</v>
      </c>
      <c r="D147" s="27">
        <f>'BOGIX (Net)'!D147+(1.25/12)</f>
        <v>-7.101347333333333</v>
      </c>
      <c r="E147" s="46">
        <f t="shared" si="15"/>
        <v>2684694.2710129772</v>
      </c>
      <c r="F147" s="8"/>
      <c r="H147" s="49"/>
      <c r="I147" s="39"/>
      <c r="J147" s="20">
        <f t="shared" si="12"/>
        <v>40421</v>
      </c>
      <c r="K147" s="27">
        <v>-7.4044482187218534</v>
      </c>
      <c r="L147" s="46">
        <f t="shared" si="16"/>
        <v>1632275.4907976065</v>
      </c>
      <c r="M147" s="8"/>
      <c r="O147" s="39"/>
      <c r="P147" s="20">
        <f t="shared" si="13"/>
        <v>40421</v>
      </c>
      <c r="Q147" s="27">
        <v>-7.4664279999999996</v>
      </c>
      <c r="R147" s="46">
        <f t="shared" si="17"/>
        <v>2048689.1944289561</v>
      </c>
      <c r="S147" s="8"/>
      <c r="U147" s="49"/>
      <c r="V147" s="39"/>
    </row>
    <row r="148" spans="1:22" x14ac:dyDescent="0.25">
      <c r="A148" s="21">
        <v>40451</v>
      </c>
      <c r="B148" s="24">
        <f t="shared" si="14"/>
        <v>132</v>
      </c>
      <c r="C148" s="96" t="s">
        <v>340</v>
      </c>
      <c r="D148" s="27">
        <f>'BOGIX (Net)'!D148+(1.25/12)</f>
        <v>15.094036666666666</v>
      </c>
      <c r="E148" s="46">
        <f t="shared" si="15"/>
        <v>3089923.0086675752</v>
      </c>
      <c r="F148" s="8"/>
      <c r="G148" s="5">
        <f>(E148/E145-1)*100</f>
        <v>15.960399965587314</v>
      </c>
      <c r="H148" s="49"/>
      <c r="I148" s="39"/>
      <c r="J148" s="20">
        <f t="shared" ref="J148:J215" si="18">$A148</f>
        <v>40451</v>
      </c>
      <c r="K148" s="27">
        <v>12.459603595160253</v>
      </c>
      <c r="L148" s="46">
        <f t="shared" si="16"/>
        <v>1835650.5465319448</v>
      </c>
      <c r="M148" s="8"/>
      <c r="N148" s="5">
        <f>(L148/L145-1)*100</f>
        <v>11.284199630685121</v>
      </c>
      <c r="O148" s="39"/>
      <c r="P148" s="20">
        <f t="shared" ref="P148:P215" si="19">$A148</f>
        <v>40451</v>
      </c>
      <c r="Q148" s="27">
        <v>11.39917</v>
      </c>
      <c r="R148" s="46">
        <f t="shared" si="17"/>
        <v>2282222.7584735435</v>
      </c>
      <c r="S148" s="8"/>
      <c r="T148" s="5">
        <f>(R148/R145-1)*100</f>
        <v>9.6207360895393954</v>
      </c>
      <c r="U148" s="49"/>
      <c r="V148" s="39"/>
    </row>
    <row r="149" spans="1:22" x14ac:dyDescent="0.25">
      <c r="A149" s="21">
        <v>40482</v>
      </c>
      <c r="B149" s="24">
        <f t="shared" si="14"/>
        <v>133</v>
      </c>
      <c r="C149" s="96" t="s">
        <v>340</v>
      </c>
      <c r="D149" s="27">
        <f>'BOGIX (Net)'!D149+(1.25/12)</f>
        <v>4.3319996666666674</v>
      </c>
      <c r="E149" s="46">
        <f t="shared" si="15"/>
        <v>3223778.4631033111</v>
      </c>
      <c r="F149" s="8"/>
      <c r="H149" s="49"/>
      <c r="I149" s="39"/>
      <c r="J149" s="20">
        <f t="shared" si="18"/>
        <v>40482</v>
      </c>
      <c r="K149" s="27">
        <v>4.0917088096319905</v>
      </c>
      <c r="L149" s="46">
        <f t="shared" si="16"/>
        <v>1910760.0216584501</v>
      </c>
      <c r="M149" s="8"/>
      <c r="O149" s="39"/>
      <c r="P149" s="20">
        <f t="shared" si="19"/>
        <v>40482</v>
      </c>
      <c r="Q149" s="27">
        <v>4.2564260000000003</v>
      </c>
      <c r="R149" s="46">
        <f t="shared" si="17"/>
        <v>2379363.8813431286</v>
      </c>
      <c r="S149" s="8"/>
      <c r="U149" s="49"/>
      <c r="V149" s="39"/>
    </row>
    <row r="150" spans="1:22" x14ac:dyDescent="0.25">
      <c r="A150" s="21">
        <v>40512</v>
      </c>
      <c r="B150" s="24">
        <f t="shared" si="14"/>
        <v>134</v>
      </c>
      <c r="C150" s="96" t="s">
        <v>340</v>
      </c>
      <c r="D150" s="27">
        <f>'BOGIX (Net)'!D150+(1.25/12)</f>
        <v>4.0478286666666667</v>
      </c>
      <c r="E150" s="46">
        <f t="shared" si="15"/>
        <v>3354271.491882633</v>
      </c>
      <c r="F150" s="8"/>
      <c r="H150" s="49"/>
      <c r="I150" s="39"/>
      <c r="J150" s="20">
        <f t="shared" si="18"/>
        <v>40512</v>
      </c>
      <c r="K150" s="27">
        <v>3.4682958567506987</v>
      </c>
      <c r="L150" s="46">
        <f t="shared" si="16"/>
        <v>1977030.832322079</v>
      </c>
      <c r="M150" s="8"/>
      <c r="O150" s="39"/>
      <c r="P150" s="20">
        <f t="shared" si="19"/>
        <v>40512</v>
      </c>
      <c r="Q150" s="27">
        <v>3.5627770000000001</v>
      </c>
      <c r="R150" s="46">
        <f t="shared" si="17"/>
        <v>2464135.310453929</v>
      </c>
      <c r="S150" s="8"/>
      <c r="U150" s="49"/>
      <c r="V150" s="39"/>
    </row>
    <row r="151" spans="1:22" x14ac:dyDescent="0.25">
      <c r="A151" s="21">
        <v>40543</v>
      </c>
      <c r="B151" s="24">
        <f t="shared" si="14"/>
        <v>135</v>
      </c>
      <c r="C151" s="96" t="s">
        <v>340</v>
      </c>
      <c r="D151" s="27">
        <f>'BOGIX (Net)'!D151+(1.25/12)</f>
        <v>8.125846666666666</v>
      </c>
      <c r="E151" s="46">
        <f t="shared" si="15"/>
        <v>3626834.4500967283</v>
      </c>
      <c r="F151" s="11">
        <f>(E151-E139)/E139*100</f>
        <v>30.842025672418227</v>
      </c>
      <c r="G151" s="49">
        <f>(E151/E148-1)*100</f>
        <v>17.376207754143302</v>
      </c>
      <c r="H151" s="5"/>
      <c r="I151" s="39"/>
      <c r="J151" s="20">
        <f t="shared" si="18"/>
        <v>40543</v>
      </c>
      <c r="K151" s="27">
        <v>7.9476105565938058</v>
      </c>
      <c r="L151" s="46">
        <f t="shared" si="16"/>
        <v>2134157.5434588231</v>
      </c>
      <c r="M151" s="11">
        <f>(L151-L139)/L139*100</f>
        <v>26.814564485335744</v>
      </c>
      <c r="N151" s="49">
        <f>(L151/L148-1)*100</f>
        <v>16.261646177200852</v>
      </c>
      <c r="O151" s="39"/>
      <c r="P151" s="20">
        <f t="shared" si="19"/>
        <v>40543</v>
      </c>
      <c r="Q151" s="27">
        <v>7.6591649999999998</v>
      </c>
      <c r="R151" s="46">
        <f t="shared" si="17"/>
        <v>2652867.4997048578</v>
      </c>
      <c r="S151" s="11">
        <f>(R151-R139)/R139*100</f>
        <v>26.293240267362343</v>
      </c>
      <c r="T151" s="49">
        <f>(R151/R148-1)*100</f>
        <v>16.240515517390541</v>
      </c>
      <c r="U151" s="49"/>
      <c r="V151" s="39"/>
    </row>
    <row r="152" spans="1:22" x14ac:dyDescent="0.25">
      <c r="A152" s="21">
        <v>40574</v>
      </c>
      <c r="B152" s="24">
        <f t="shared" si="14"/>
        <v>136</v>
      </c>
      <c r="C152" s="96" t="s">
        <v>340</v>
      </c>
      <c r="D152" s="27">
        <f>'BOGIX (Net)'!D152+(1.25/12)</f>
        <v>1.8101376666666666</v>
      </c>
      <c r="E152" s="46">
        <f t="shared" si="15"/>
        <v>3692485.146585572</v>
      </c>
      <c r="F152" s="10"/>
      <c r="H152" s="255"/>
      <c r="I152" s="39"/>
      <c r="J152" s="20">
        <f t="shared" si="18"/>
        <v>40574</v>
      </c>
      <c r="K152" s="27">
        <v>-0.25769271869127441</v>
      </c>
      <c r="L152" s="46">
        <f t="shared" si="16"/>
        <v>2128657.9748639292</v>
      </c>
      <c r="M152" s="10"/>
      <c r="O152" s="39"/>
      <c r="P152" s="20">
        <f t="shared" si="19"/>
        <v>40574</v>
      </c>
      <c r="Q152" s="27">
        <v>0.15197459999999999</v>
      </c>
      <c r="R152" s="46">
        <f t="shared" si="17"/>
        <v>2656899.1844760641</v>
      </c>
      <c r="S152" s="10"/>
      <c r="U152" s="49"/>
      <c r="V152" s="39"/>
    </row>
    <row r="153" spans="1:22" x14ac:dyDescent="0.25">
      <c r="A153" s="21">
        <v>40602</v>
      </c>
      <c r="B153" s="24">
        <f t="shared" si="14"/>
        <v>137</v>
      </c>
      <c r="C153" s="96" t="s">
        <v>340</v>
      </c>
      <c r="D153" s="27">
        <f>'BOGIX (Net)'!D153+(1.25/12)</f>
        <v>4.9882316666666666</v>
      </c>
      <c r="E153" s="46">
        <f t="shared" si="15"/>
        <v>3876674.8599545164</v>
      </c>
      <c r="F153" s="8"/>
      <c r="H153" s="255"/>
      <c r="I153" s="39"/>
      <c r="J153" s="20">
        <f t="shared" si="18"/>
        <v>40602</v>
      </c>
      <c r="K153" s="27">
        <v>5.4841566989274968</v>
      </c>
      <c r="L153" s="46">
        <f t="shared" si="16"/>
        <v>2245396.913789684</v>
      </c>
      <c r="M153" s="8"/>
      <c r="O153" s="39"/>
      <c r="P153" s="20">
        <f t="shared" si="19"/>
        <v>40602</v>
      </c>
      <c r="Q153" s="27">
        <v>4.4058149999999996</v>
      </c>
      <c r="R153" s="46">
        <f t="shared" si="17"/>
        <v>2773957.2472805884</v>
      </c>
      <c r="S153" s="8"/>
      <c r="U153" s="49"/>
      <c r="V153" s="39"/>
    </row>
    <row r="154" spans="1:22" x14ac:dyDescent="0.25">
      <c r="A154" s="21">
        <v>40633</v>
      </c>
      <c r="B154" s="24">
        <f t="shared" si="14"/>
        <v>138</v>
      </c>
      <c r="C154" s="96" t="s">
        <v>340</v>
      </c>
      <c r="D154" s="27">
        <f>'BOGIX (Net)'!D154+(1.25/12)</f>
        <v>3.3967346666666667</v>
      </c>
      <c r="E154" s="46">
        <f t="shared" si="15"/>
        <v>4008355.2188365432</v>
      </c>
      <c r="F154" s="8"/>
      <c r="G154" s="49">
        <f>(E154/E151-1)*100</f>
        <v>10.519387471066931</v>
      </c>
      <c r="H154" s="255"/>
      <c r="I154" s="39"/>
      <c r="J154" s="20">
        <f t="shared" si="18"/>
        <v>40633</v>
      </c>
      <c r="K154" s="27">
        <v>2.5916016104468986</v>
      </c>
      <c r="L154" s="46">
        <f t="shared" si="16"/>
        <v>2303588.6563683823</v>
      </c>
      <c r="M154" s="8"/>
      <c r="N154" s="49">
        <f>(L154/L151-1)*100</f>
        <v>7.9390161906680357</v>
      </c>
      <c r="O154" s="39"/>
      <c r="P154" s="20">
        <f t="shared" si="19"/>
        <v>40633</v>
      </c>
      <c r="Q154" s="27">
        <v>3.0030060000000001</v>
      </c>
      <c r="R154" s="46">
        <f t="shared" si="17"/>
        <v>2857259.3498538593</v>
      </c>
      <c r="S154" s="8"/>
      <c r="T154" s="49">
        <f>(R154/R151-1)*100</f>
        <v>7.7045630877433879</v>
      </c>
      <c r="U154" s="49"/>
      <c r="V154" s="39"/>
    </row>
    <row r="155" spans="1:22" x14ac:dyDescent="0.25">
      <c r="A155" s="21">
        <v>40663</v>
      </c>
      <c r="B155" s="24">
        <f t="shared" si="14"/>
        <v>139</v>
      </c>
      <c r="C155" s="96" t="s">
        <v>340</v>
      </c>
      <c r="D155" s="27">
        <f>'BOGIX (Net)'!D155+(1.25/12)</f>
        <v>4.248064666666667</v>
      </c>
      <c r="E155" s="46">
        <f t="shared" si="15"/>
        <v>4178632.7406024276</v>
      </c>
      <c r="F155" s="10"/>
      <c r="H155" s="255"/>
      <c r="I155" s="39"/>
      <c r="J155" s="20">
        <f t="shared" si="18"/>
        <v>40663</v>
      </c>
      <c r="K155" s="27">
        <v>2.6406962247670149</v>
      </c>
      <c r="L155" s="46">
        <f t="shared" si="16"/>
        <v>2364419.4350512633</v>
      </c>
      <c r="M155" s="10"/>
      <c r="O155" s="39"/>
      <c r="P155" s="20">
        <f t="shared" si="19"/>
        <v>40663</v>
      </c>
      <c r="Q155" s="27">
        <v>2.5982229999999999</v>
      </c>
      <c r="R155" s="46">
        <f t="shared" si="17"/>
        <v>2931497.3194514127</v>
      </c>
      <c r="S155" s="10"/>
      <c r="U155" s="49"/>
      <c r="V155" s="39"/>
    </row>
    <row r="156" spans="1:22" x14ac:dyDescent="0.25">
      <c r="A156" s="21">
        <v>40694</v>
      </c>
      <c r="B156" s="24">
        <f t="shared" si="14"/>
        <v>140</v>
      </c>
      <c r="C156" s="96" t="s">
        <v>340</v>
      </c>
      <c r="D156" s="27">
        <f>'BOGIX (Net)'!D156+(1.25/12)</f>
        <v>-2.6505333333333336</v>
      </c>
      <c r="E156" s="46">
        <f t="shared" si="15"/>
        <v>4067876.6869351799</v>
      </c>
      <c r="F156" s="10"/>
      <c r="H156" s="255"/>
      <c r="I156" s="39"/>
      <c r="J156" s="20">
        <f t="shared" si="18"/>
        <v>40694</v>
      </c>
      <c r="K156" s="27">
        <v>-1.8748918370617418</v>
      </c>
      <c r="L156" s="46">
        <f t="shared" si="16"/>
        <v>2320089.1280695857</v>
      </c>
      <c r="M156" s="10"/>
      <c r="O156" s="39"/>
      <c r="P156" s="20">
        <f t="shared" si="19"/>
        <v>40694</v>
      </c>
      <c r="Q156" s="27">
        <v>-0.90106629999999999</v>
      </c>
      <c r="R156" s="46">
        <f t="shared" si="17"/>
        <v>2905082.5850204327</v>
      </c>
      <c r="S156" s="10"/>
      <c r="U156" s="49"/>
      <c r="V156" s="39"/>
    </row>
    <row r="157" spans="1:22" x14ac:dyDescent="0.25">
      <c r="A157" s="21">
        <v>40724</v>
      </c>
      <c r="B157" s="24">
        <f t="shared" si="14"/>
        <v>141</v>
      </c>
      <c r="C157" s="96" t="s">
        <v>340</v>
      </c>
      <c r="D157" s="27">
        <f>'BOGIX (Net)'!D157+(1.25/12)</f>
        <v>-0.79511383333333341</v>
      </c>
      <c r="E157" s="46">
        <f t="shared" si="15"/>
        <v>4035532.4366744165</v>
      </c>
      <c r="F157" s="10"/>
      <c r="G157" s="49">
        <f>(E157/E154-1)*100</f>
        <v>0.67801420667905621</v>
      </c>
      <c r="H157" s="255"/>
      <c r="I157" s="39"/>
      <c r="J157" s="20">
        <f t="shared" si="18"/>
        <v>40724</v>
      </c>
      <c r="K157" s="27">
        <v>-2.3055633693393269</v>
      </c>
      <c r="L157" s="46">
        <f t="shared" si="16"/>
        <v>2266598.0029967893</v>
      </c>
      <c r="M157" s="10"/>
      <c r="N157" s="49">
        <f>(L157/L154-1)*100</f>
        <v>-1.6057837960492871</v>
      </c>
      <c r="O157" s="39"/>
      <c r="P157" s="20">
        <f t="shared" si="19"/>
        <v>40724</v>
      </c>
      <c r="Q157" s="27">
        <v>-1.808999</v>
      </c>
      <c r="R157" s="46">
        <f t="shared" si="17"/>
        <v>2852529.6701082392</v>
      </c>
      <c r="S157" s="10"/>
      <c r="T157" s="49">
        <f>(R157/R154-1)*100</f>
        <v>-0.16553204194998949</v>
      </c>
      <c r="U157" s="49"/>
      <c r="V157" s="39"/>
    </row>
    <row r="158" spans="1:22" x14ac:dyDescent="0.25">
      <c r="A158" s="21">
        <v>40755</v>
      </c>
      <c r="B158" s="24">
        <f t="shared" si="14"/>
        <v>142</v>
      </c>
      <c r="C158" s="96" t="s">
        <v>340</v>
      </c>
      <c r="D158" s="27">
        <f>'BOGIX (Net)'!D158+(1.25/12)</f>
        <v>-2.0736913333333336</v>
      </c>
      <c r="E158" s="46">
        <f t="shared" si="15"/>
        <v>3951847.9502812438</v>
      </c>
      <c r="F158" s="10"/>
      <c r="H158" s="255"/>
      <c r="I158" s="39"/>
      <c r="J158" s="20">
        <f t="shared" si="18"/>
        <v>40755</v>
      </c>
      <c r="K158" s="27">
        <v>-3.6145213933725984</v>
      </c>
      <c r="L158" s="46">
        <f t="shared" si="16"/>
        <v>2184671.3332767142</v>
      </c>
      <c r="M158" s="10"/>
      <c r="O158" s="39"/>
      <c r="P158" s="20">
        <f t="shared" si="19"/>
        <v>40755</v>
      </c>
      <c r="Q158" s="27">
        <v>-3.2078150000000001</v>
      </c>
      <c r="R158" s="46">
        <f t="shared" si="17"/>
        <v>2761025.7954710564</v>
      </c>
      <c r="S158" s="10"/>
      <c r="U158" s="49"/>
      <c r="V158" s="39"/>
    </row>
    <row r="159" spans="1:22" x14ac:dyDescent="0.25">
      <c r="A159" s="21">
        <v>40786</v>
      </c>
      <c r="B159" s="24">
        <f t="shared" si="14"/>
        <v>143</v>
      </c>
      <c r="C159" s="96" t="s">
        <v>340</v>
      </c>
      <c r="D159" s="27">
        <f>'BOGIX (Net)'!D159+(1.25/12)</f>
        <v>-10.007153333333333</v>
      </c>
      <c r="E159" s="46">
        <f t="shared" si="15"/>
        <v>3556380.4663964091</v>
      </c>
      <c r="F159" s="10"/>
      <c r="H159" s="255"/>
      <c r="I159" s="39"/>
      <c r="J159" s="20">
        <f t="shared" si="18"/>
        <v>40786</v>
      </c>
      <c r="K159" s="27">
        <v>-8.700274667600933</v>
      </c>
      <c r="L159" s="46">
        <f t="shared" si="16"/>
        <v>1994598.9266973007</v>
      </c>
      <c r="M159" s="10"/>
      <c r="O159" s="39"/>
      <c r="P159" s="20">
        <f t="shared" si="19"/>
        <v>40786</v>
      </c>
      <c r="Q159" s="27">
        <v>-7.6731189999999998</v>
      </c>
      <c r="R159" s="46">
        <f t="shared" si="17"/>
        <v>2549169.0005638655</v>
      </c>
      <c r="S159" s="10"/>
      <c r="U159" s="49"/>
      <c r="V159" s="39"/>
    </row>
    <row r="160" spans="1:22" x14ac:dyDescent="0.25">
      <c r="A160" s="21">
        <v>40816</v>
      </c>
      <c r="B160" s="24">
        <f t="shared" si="14"/>
        <v>144</v>
      </c>
      <c r="C160" s="96" t="s">
        <v>340</v>
      </c>
      <c r="D160" s="27">
        <f>'BOGIX (Net)'!D160+(1.25/12)</f>
        <v>-13.518123333333333</v>
      </c>
      <c r="E160" s="46">
        <f t="shared" si="15"/>
        <v>3075624.5687463675</v>
      </c>
      <c r="F160" s="10"/>
      <c r="G160" s="49">
        <f>(E160/E157-1)*100</f>
        <v>-23.786399514585131</v>
      </c>
      <c r="H160" s="255"/>
      <c r="I160" s="39"/>
      <c r="J160" s="20">
        <f t="shared" si="18"/>
        <v>40816</v>
      </c>
      <c r="K160" s="27">
        <v>-11.210228059624475</v>
      </c>
      <c r="L160" s="46">
        <f t="shared" si="16"/>
        <v>1770999.8381397114</v>
      </c>
      <c r="M160" s="10"/>
      <c r="N160" s="49">
        <f>(L160/L157-1)*100</f>
        <v>-21.865287280842093</v>
      </c>
      <c r="O160" s="39"/>
      <c r="P160" s="20">
        <f t="shared" si="19"/>
        <v>40816</v>
      </c>
      <c r="Q160" s="27">
        <v>-10.28979</v>
      </c>
      <c r="R160" s="46">
        <f t="shared" si="17"/>
        <v>2286864.8636607449</v>
      </c>
      <c r="S160" s="10"/>
      <c r="T160" s="49">
        <f>(R160/R157-1)*100</f>
        <v>-19.8302865128842</v>
      </c>
      <c r="U160" s="49"/>
      <c r="V160" s="39"/>
    </row>
    <row r="161" spans="1:22" x14ac:dyDescent="0.25">
      <c r="A161" s="21">
        <v>40847</v>
      </c>
      <c r="B161" s="24">
        <f t="shared" si="14"/>
        <v>145</v>
      </c>
      <c r="C161" s="96" t="s">
        <v>340</v>
      </c>
      <c r="D161" s="27">
        <f>'BOGIX (Net)'!D161+(1.25/12)</f>
        <v>15.695566666666666</v>
      </c>
      <c r="E161" s="46">
        <f t="shared" si="15"/>
        <v>3558361.2733503329</v>
      </c>
      <c r="F161" s="10"/>
      <c r="H161" s="255"/>
      <c r="I161" s="39"/>
      <c r="J161" s="20">
        <f t="shared" si="18"/>
        <v>40847</v>
      </c>
      <c r="K161" s="27">
        <v>15.13580194155395</v>
      </c>
      <c r="L161" s="46">
        <f t="shared" si="16"/>
        <v>2039054.8660257792</v>
      </c>
      <c r="M161" s="10"/>
      <c r="O161" s="39"/>
      <c r="P161" s="20">
        <f t="shared" si="19"/>
        <v>40847</v>
      </c>
      <c r="Q161" s="27">
        <v>14.996969999999999</v>
      </c>
      <c r="R161" s="46">
        <f t="shared" si="17"/>
        <v>2629825.3012044877</v>
      </c>
      <c r="S161" s="10"/>
      <c r="U161" s="49"/>
      <c r="V161" s="39"/>
    </row>
    <row r="162" spans="1:22" x14ac:dyDescent="0.25">
      <c r="A162" s="21">
        <v>40877</v>
      </c>
      <c r="B162" s="24">
        <f t="shared" si="14"/>
        <v>146</v>
      </c>
      <c r="C162" s="96" t="s">
        <v>340</v>
      </c>
      <c r="D162" s="27">
        <f>'BOGIX (Net)'!D162+(1.25/12)</f>
        <v>-1.1878233333333332</v>
      </c>
      <c r="E162" s="46">
        <f t="shared" si="15"/>
        <v>3516094.2278611804</v>
      </c>
      <c r="F162" s="10"/>
      <c r="H162" s="255"/>
      <c r="I162" s="39"/>
      <c r="J162" s="20">
        <f t="shared" si="18"/>
        <v>40877</v>
      </c>
      <c r="K162" s="27">
        <v>-0.36476645321503764</v>
      </c>
      <c r="L162" s="46">
        <f t="shared" si="16"/>
        <v>2031617.0779118682</v>
      </c>
      <c r="M162" s="10"/>
      <c r="O162" s="39"/>
      <c r="P162" s="20">
        <f t="shared" si="19"/>
        <v>40877</v>
      </c>
      <c r="Q162" s="27">
        <v>0.63028119999999999</v>
      </c>
      <c r="R162" s="46">
        <f t="shared" si="17"/>
        <v>2646400.595670823</v>
      </c>
      <c r="S162" s="10"/>
      <c r="U162" s="49"/>
      <c r="V162" s="39"/>
    </row>
    <row r="163" spans="1:22" x14ac:dyDescent="0.25">
      <c r="A163" s="21">
        <v>40908</v>
      </c>
      <c r="B163" s="24">
        <f t="shared" si="14"/>
        <v>147</v>
      </c>
      <c r="C163" s="96" t="s">
        <v>340</v>
      </c>
      <c r="D163" s="27">
        <f>'BOGIX (Net)'!D163+(1.25/12)</f>
        <v>-0.68117363333333336</v>
      </c>
      <c r="E163" s="46">
        <f t="shared" si="15"/>
        <v>3492143.5210578348</v>
      </c>
      <c r="F163" s="12">
        <f>(E163-E151)/E151*100</f>
        <v>-3.7137324819251458</v>
      </c>
      <c r="G163" s="49">
        <f>(E163/E160-1)*100</f>
        <v>13.542581124628006</v>
      </c>
      <c r="H163" s="5"/>
      <c r="I163" s="39"/>
      <c r="J163" s="20">
        <f t="shared" si="18"/>
        <v>40908</v>
      </c>
      <c r="K163" s="27">
        <v>0.66069199871902062</v>
      </c>
      <c r="L163" s="46">
        <f t="shared" si="16"/>
        <v>2045039.809390241</v>
      </c>
      <c r="M163" s="12">
        <f>(L163-L151)/L151*100</f>
        <v>-4.1757804779561498</v>
      </c>
      <c r="N163" s="49">
        <f>(L163/L160-1)*100</f>
        <v>15.473743438530519</v>
      </c>
      <c r="O163" s="39"/>
      <c r="P163" s="20">
        <f t="shared" si="19"/>
        <v>40908</v>
      </c>
      <c r="Q163" s="27">
        <v>1.25309</v>
      </c>
      <c r="R163" s="46">
        <f t="shared" si="17"/>
        <v>2679562.3768951143</v>
      </c>
      <c r="S163" s="37">
        <f>(R163-R151)/R151*100</f>
        <v>1.0062650016718289</v>
      </c>
      <c r="T163" s="49">
        <f>(R163/R160-1)*100</f>
        <v>17.171872263835965</v>
      </c>
      <c r="U163" s="49"/>
      <c r="V163" s="39"/>
    </row>
    <row r="164" spans="1:22" x14ac:dyDescent="0.25">
      <c r="A164" s="21">
        <v>40939</v>
      </c>
      <c r="B164" s="24">
        <f t="shared" si="14"/>
        <v>148</v>
      </c>
      <c r="C164" s="96" t="s">
        <v>340</v>
      </c>
      <c r="D164" s="27">
        <f>'BOGIX (Net)'!D164+(1.25/12)</f>
        <v>9.6028476666666656</v>
      </c>
      <c r="E164" s="46">
        <f t="shared" si="15"/>
        <v>3827488.7436863882</v>
      </c>
      <c r="F164" s="10"/>
      <c r="H164" s="49"/>
      <c r="I164" s="39"/>
      <c r="J164" s="20">
        <f t="shared" si="18"/>
        <v>40939</v>
      </c>
      <c r="K164" s="27">
        <v>7.0651692545300389</v>
      </c>
      <c r="L164" s="46">
        <f t="shared" si="16"/>
        <v>2189525.3332461799</v>
      </c>
      <c r="M164" s="10"/>
      <c r="O164" s="39"/>
      <c r="P164" s="20">
        <f t="shared" si="19"/>
        <v>40939</v>
      </c>
      <c r="Q164" s="27">
        <v>6.5783610000000001</v>
      </c>
      <c r="R164" s="46">
        <f t="shared" si="17"/>
        <v>2855833.6632674555</v>
      </c>
      <c r="S164" s="10"/>
      <c r="U164" s="49"/>
      <c r="V164" s="39"/>
    </row>
    <row r="165" spans="1:22" x14ac:dyDescent="0.25">
      <c r="A165" s="21">
        <v>40968</v>
      </c>
      <c r="B165" s="24">
        <f t="shared" si="14"/>
        <v>149</v>
      </c>
      <c r="C165" s="96" t="s">
        <v>340</v>
      </c>
      <c r="D165" s="27">
        <f>'BOGIX (Net)'!D165+(1.25/12)</f>
        <v>4.9716366666666669</v>
      </c>
      <c r="E165" s="46">
        <f t="shared" si="15"/>
        <v>4017777.57748004</v>
      </c>
      <c r="F165" s="10"/>
      <c r="H165" s="49"/>
      <c r="I165" s="39"/>
      <c r="J165" s="20">
        <f t="shared" si="18"/>
        <v>40968</v>
      </c>
      <c r="K165" s="27">
        <v>2.3932261670854693</v>
      </c>
      <c r="L165" s="46">
        <f t="shared" si="16"/>
        <v>2241925.6264563929</v>
      </c>
      <c r="M165" s="10"/>
      <c r="O165" s="39"/>
      <c r="P165" s="20">
        <f t="shared" si="19"/>
        <v>40968</v>
      </c>
      <c r="Q165" s="27">
        <v>2.1113200000000001</v>
      </c>
      <c r="R165" s="46">
        <f t="shared" si="17"/>
        <v>2916129.4505667537</v>
      </c>
      <c r="S165" s="10"/>
      <c r="U165" s="49"/>
      <c r="V165" s="39"/>
    </row>
    <row r="166" spans="1:22" x14ac:dyDescent="0.25">
      <c r="A166" s="21">
        <v>40999</v>
      </c>
      <c r="B166" s="24">
        <f t="shared" si="14"/>
        <v>150</v>
      </c>
      <c r="C166" s="96" t="s">
        <v>340</v>
      </c>
      <c r="D166" s="27">
        <f>'BOGIX (Net)'!D166+(1.25/12)</f>
        <v>2.0343136666666668</v>
      </c>
      <c r="E166" s="46">
        <f t="shared" si="15"/>
        <v>4099511.7758349855</v>
      </c>
      <c r="F166" s="10"/>
      <c r="G166" s="49">
        <f>(E166/E163-1)*100</f>
        <v>17.392419616051956</v>
      </c>
      <c r="H166" s="49"/>
      <c r="I166" s="39"/>
      <c r="J166" s="20">
        <f t="shared" si="18"/>
        <v>40999</v>
      </c>
      <c r="K166" s="27">
        <v>2.5621042267388683</v>
      </c>
      <c r="L166" s="46">
        <f t="shared" si="16"/>
        <v>2299366.0976921739</v>
      </c>
      <c r="M166" s="10"/>
      <c r="N166" s="49">
        <f>(L166/L163-1)*100</f>
        <v>12.436251222794725</v>
      </c>
      <c r="O166" s="39"/>
      <c r="P166" s="20">
        <f t="shared" si="19"/>
        <v>40999</v>
      </c>
      <c r="Q166" s="27">
        <v>2.8984030000000001</v>
      </c>
      <c r="R166" s="46">
        <f t="shared" si="17"/>
        <v>3000650.634045864</v>
      </c>
      <c r="S166" s="10"/>
      <c r="T166" s="49">
        <f>(R166/R163-1)*100</f>
        <v>11.982861825474789</v>
      </c>
      <c r="U166" s="49"/>
      <c r="V166" s="39"/>
    </row>
    <row r="167" spans="1:22" x14ac:dyDescent="0.25">
      <c r="A167" s="21">
        <v>41029</v>
      </c>
      <c r="B167" s="24">
        <f t="shared" si="14"/>
        <v>151</v>
      </c>
      <c r="C167" s="96" t="s">
        <v>340</v>
      </c>
      <c r="D167" s="27">
        <f>'BOGIX (Net)'!D167+(1.25/12)</f>
        <v>-1.0680603333333332</v>
      </c>
      <c r="E167" s="46">
        <f t="shared" si="15"/>
        <v>4055726.516696963</v>
      </c>
      <c r="F167" s="10"/>
      <c r="H167" s="49"/>
      <c r="I167" s="39"/>
      <c r="J167" s="20">
        <f t="shared" si="18"/>
        <v>41029</v>
      </c>
      <c r="K167" s="27">
        <v>-1.5447142518908705</v>
      </c>
      <c r="L167" s="46">
        <f t="shared" si="16"/>
        <v>2263847.4618779761</v>
      </c>
      <c r="M167" s="10"/>
      <c r="O167" s="39"/>
      <c r="P167" s="20">
        <f t="shared" si="19"/>
        <v>41029</v>
      </c>
      <c r="Q167" s="27">
        <v>-1.2608200000000001</v>
      </c>
      <c r="R167" s="46">
        <f t="shared" si="17"/>
        <v>2962817.8307216871</v>
      </c>
      <c r="S167" s="10"/>
      <c r="U167" s="49"/>
      <c r="V167" s="39"/>
    </row>
    <row r="168" spans="1:22" x14ac:dyDescent="0.25">
      <c r="A168" s="21">
        <v>41060</v>
      </c>
      <c r="B168" s="24">
        <f t="shared" si="14"/>
        <v>152</v>
      </c>
      <c r="C168" s="96" t="s">
        <v>340</v>
      </c>
      <c r="D168" s="27">
        <f>'BOGIX (Net)'!D168+(1.25/12)</f>
        <v>-9.2480233333333342</v>
      </c>
      <c r="E168" s="46">
        <f t="shared" si="15"/>
        <v>3680651.9820966404</v>
      </c>
      <c r="F168" s="10"/>
      <c r="H168" s="49"/>
      <c r="I168" s="39"/>
      <c r="J168" s="20">
        <f t="shared" si="18"/>
        <v>41060</v>
      </c>
      <c r="K168" s="27">
        <v>-6.6147434991662353</v>
      </c>
      <c r="L168" s="46">
        <f t="shared" si="16"/>
        <v>2114099.7590623628</v>
      </c>
      <c r="M168" s="10"/>
      <c r="O168" s="39"/>
      <c r="P168" s="20">
        <f t="shared" si="19"/>
        <v>41060</v>
      </c>
      <c r="Q168" s="27">
        <v>-6.2701560000000001</v>
      </c>
      <c r="R168" s="46">
        <f t="shared" si="17"/>
        <v>2777044.5307396213</v>
      </c>
      <c r="S168" s="10"/>
      <c r="U168" s="49"/>
      <c r="V168" s="39"/>
    </row>
    <row r="169" spans="1:22" x14ac:dyDescent="0.25">
      <c r="A169" s="21">
        <v>41090</v>
      </c>
      <c r="B169" s="24">
        <f t="shared" si="14"/>
        <v>153</v>
      </c>
      <c r="C169" s="96" t="s">
        <v>340</v>
      </c>
      <c r="D169" s="27">
        <f>'BOGIX (Net)'!D169+(1.25/12)</f>
        <v>5.1872066666666665</v>
      </c>
      <c r="E169" s="46">
        <f t="shared" si="15"/>
        <v>3871575.0070887562</v>
      </c>
      <c r="F169" s="10"/>
      <c r="G169" s="49">
        <f>(E169/E166-1)*100</f>
        <v>-5.5600954750228411</v>
      </c>
      <c r="H169" s="49"/>
      <c r="I169" s="39"/>
      <c r="J169" s="20">
        <f t="shared" si="18"/>
        <v>41090</v>
      </c>
      <c r="K169" s="27">
        <v>4.9899882818746146</v>
      </c>
      <c r="L169" s="46">
        <f t="shared" si="16"/>
        <v>2219593.089306714</v>
      </c>
      <c r="M169" s="10"/>
      <c r="N169" s="49">
        <f>(L169/L166-1)*100</f>
        <v>-3.4693478548512346</v>
      </c>
      <c r="O169" s="39"/>
      <c r="P169" s="20">
        <f t="shared" si="19"/>
        <v>41090</v>
      </c>
      <c r="Q169" s="27">
        <v>4.1832649999999996</v>
      </c>
      <c r="R169" s="46">
        <f t="shared" si="17"/>
        <v>2893215.6626284663</v>
      </c>
      <c r="S169" s="10"/>
      <c r="T169" s="49">
        <f>(R169/R166-1)*100</f>
        <v>-3.5803892062082565</v>
      </c>
      <c r="U169" s="49"/>
      <c r="V169" s="39"/>
    </row>
    <row r="170" spans="1:22" x14ac:dyDescent="0.25">
      <c r="A170" s="21">
        <v>41121</v>
      </c>
      <c r="B170" s="24">
        <f t="shared" si="14"/>
        <v>154</v>
      </c>
      <c r="C170" s="96" t="s">
        <v>340</v>
      </c>
      <c r="D170" s="27">
        <f>'BOGIX (Net)'!D170+(1.25/12)</f>
        <v>-0.42265323333333332</v>
      </c>
      <c r="E170" s="46">
        <f t="shared" si="15"/>
        <v>3855211.6701403703</v>
      </c>
      <c r="F170" s="10"/>
      <c r="H170" s="49"/>
      <c r="I170" s="39"/>
      <c r="J170" s="20">
        <f t="shared" si="18"/>
        <v>41121</v>
      </c>
      <c r="K170" s="27">
        <v>-1.3819068348042534</v>
      </c>
      <c r="L170" s="46">
        <f t="shared" si="16"/>
        <v>2188920.3807007414</v>
      </c>
      <c r="M170" s="10"/>
      <c r="O170" s="39"/>
      <c r="P170" s="20">
        <f t="shared" si="19"/>
        <v>41121</v>
      </c>
      <c r="Q170" s="27">
        <v>-0.76724680000000001</v>
      </c>
      <c r="R170" s="46">
        <f t="shared" si="17"/>
        <v>2871017.5580398506</v>
      </c>
      <c r="S170" s="10"/>
      <c r="U170" s="49"/>
      <c r="V170" s="39"/>
    </row>
    <row r="171" spans="1:22" x14ac:dyDescent="0.25">
      <c r="A171" s="21">
        <v>41152</v>
      </c>
      <c r="B171" s="24">
        <f t="shared" si="14"/>
        <v>155</v>
      </c>
      <c r="C171" s="96" t="s">
        <v>340</v>
      </c>
      <c r="D171" s="27">
        <f>'BOGIX (Net)'!D171+(1.25/12)</f>
        <v>4.8706566666666671</v>
      </c>
      <c r="E171" s="46">
        <f t="shared" si="15"/>
        <v>4042985.7943661734</v>
      </c>
      <c r="F171" s="10"/>
      <c r="H171" s="49"/>
      <c r="I171" s="39"/>
      <c r="J171" s="20">
        <f t="shared" si="18"/>
        <v>41152</v>
      </c>
      <c r="K171" s="27">
        <v>3.3366006800921695</v>
      </c>
      <c r="L171" s="46">
        <f t="shared" si="16"/>
        <v>2261955.9130098782</v>
      </c>
      <c r="M171" s="10"/>
      <c r="O171" s="39"/>
      <c r="P171" s="20">
        <f t="shared" si="19"/>
        <v>41152</v>
      </c>
      <c r="Q171" s="27">
        <v>3.7892229999999998</v>
      </c>
      <c r="R171" s="46">
        <f t="shared" si="17"/>
        <v>2979806.8156831348</v>
      </c>
      <c r="S171" s="10"/>
      <c r="U171" s="49"/>
      <c r="V171" s="39"/>
    </row>
    <row r="172" spans="1:22" x14ac:dyDescent="0.25">
      <c r="A172" s="21">
        <v>41182</v>
      </c>
      <c r="B172" s="24">
        <f t="shared" si="14"/>
        <v>156</v>
      </c>
      <c r="C172" s="96" t="s">
        <v>340</v>
      </c>
      <c r="D172" s="27">
        <f>'BOGIX (Net)'!D172+(1.25/12)</f>
        <v>4.2401956666666667</v>
      </c>
      <c r="E172" s="46">
        <f t="shared" si="15"/>
        <v>4214416.3028228367</v>
      </c>
      <c r="F172" s="10"/>
      <c r="G172" s="49">
        <f>(E172/E169-1)*100</f>
        <v>8.8553442747808511</v>
      </c>
      <c r="H172" s="49"/>
      <c r="I172" s="39"/>
      <c r="J172" s="20">
        <f t="shared" si="18"/>
        <v>41182</v>
      </c>
      <c r="K172" s="27">
        <v>3.2837720551479967</v>
      </c>
      <c r="L172" s="46">
        <f t="shared" si="16"/>
        <v>2336233.3891810644</v>
      </c>
      <c r="M172" s="15"/>
      <c r="N172" s="49">
        <f>(L172/L169-1)*100</f>
        <v>5.2550307728153278</v>
      </c>
      <c r="O172" s="39"/>
      <c r="P172" s="20">
        <f t="shared" si="19"/>
        <v>41182</v>
      </c>
      <c r="Q172" s="27">
        <v>2.3328859999999998</v>
      </c>
      <c r="R172" s="46">
        <f t="shared" si="17"/>
        <v>3049322.3117132527</v>
      </c>
      <c r="S172" s="10"/>
      <c r="T172" s="49">
        <f>(R172/R169-1)*100</f>
        <v>5.3956105347143346</v>
      </c>
      <c r="U172" s="49"/>
      <c r="V172" s="39"/>
    </row>
    <row r="173" spans="1:22" x14ac:dyDescent="0.25">
      <c r="A173" s="21">
        <v>41213</v>
      </c>
      <c r="B173" s="24">
        <f t="shared" si="14"/>
        <v>157</v>
      </c>
      <c r="C173" s="96" t="s">
        <v>340</v>
      </c>
      <c r="D173" s="27">
        <f>'BOGIX (Net)'!D173+(1.25/12)</f>
        <v>-0.29300893333333333</v>
      </c>
      <c r="E173" s="46">
        <f t="shared" si="15"/>
        <v>4202067.6865677098</v>
      </c>
      <c r="F173" s="10"/>
      <c r="H173" s="49"/>
      <c r="I173" s="39"/>
      <c r="J173" s="20">
        <f t="shared" si="18"/>
        <v>41213</v>
      </c>
      <c r="K173" s="27">
        <v>-2.1694242318026342</v>
      </c>
      <c r="L173" s="46">
        <f t="shared" si="16"/>
        <v>2285550.5759247066</v>
      </c>
      <c r="M173" s="15"/>
      <c r="O173" s="39"/>
      <c r="P173" s="20">
        <f t="shared" si="19"/>
        <v>41213</v>
      </c>
      <c r="Q173" s="27">
        <v>-2.0306039999999999</v>
      </c>
      <c r="R173" s="46">
        <f t="shared" si="17"/>
        <v>2987402.6508787107</v>
      </c>
      <c r="S173" s="10"/>
      <c r="U173" s="49"/>
      <c r="V173" s="39"/>
    </row>
    <row r="174" spans="1:22" x14ac:dyDescent="0.25">
      <c r="A174" s="21">
        <v>41243</v>
      </c>
      <c r="B174" s="24">
        <f t="shared" si="14"/>
        <v>158</v>
      </c>
      <c r="C174" s="96" t="s">
        <v>340</v>
      </c>
      <c r="D174" s="27">
        <f>'BOGIX (Net)'!D174+(1.25/12)</f>
        <v>2.8068696666666666</v>
      </c>
      <c r="E174" s="46">
        <f t="shared" si="15"/>
        <v>4320014.2498347806</v>
      </c>
      <c r="F174" s="10"/>
      <c r="H174" s="49"/>
      <c r="I174" s="39"/>
      <c r="J174" s="20">
        <f t="shared" si="18"/>
        <v>41243</v>
      </c>
      <c r="K174" s="27">
        <v>0.53249508101832621</v>
      </c>
      <c r="L174" s="46">
        <f t="shared" si="16"/>
        <v>2297721.0203156918</v>
      </c>
      <c r="M174" s="15"/>
      <c r="O174" s="39"/>
      <c r="P174" s="20">
        <f t="shared" si="19"/>
        <v>41243</v>
      </c>
      <c r="Q174" s="27">
        <v>0.99796320000000005</v>
      </c>
      <c r="R174" s="46">
        <f t="shared" si="17"/>
        <v>3017215.8299703049</v>
      </c>
      <c r="S174" s="10"/>
      <c r="U174" s="49"/>
      <c r="V174" s="39"/>
    </row>
    <row r="175" spans="1:22" x14ac:dyDescent="0.25">
      <c r="A175" s="21">
        <v>41274</v>
      </c>
      <c r="B175" s="24">
        <f t="shared" si="14"/>
        <v>159</v>
      </c>
      <c r="C175" s="96" t="s">
        <v>340</v>
      </c>
      <c r="D175" s="27">
        <f>'BOGIX (Net)'!D175+(1.25/12)</f>
        <v>3.2534336666666666</v>
      </c>
      <c r="E175" s="46">
        <f t="shared" si="15"/>
        <v>4460563.0478437031</v>
      </c>
      <c r="F175" s="12">
        <f>(E175-E163)/E163*100</f>
        <v>27.731378190679745</v>
      </c>
      <c r="G175" s="49">
        <f>(E175/E172-1)*100</f>
        <v>5.8405892378500024</v>
      </c>
      <c r="H175" s="5"/>
      <c r="I175" s="39"/>
      <c r="J175" s="20">
        <f t="shared" si="18"/>
        <v>41274</v>
      </c>
      <c r="K175" s="27">
        <v>3.5869607583186101</v>
      </c>
      <c r="L175" s="46">
        <f t="shared" si="16"/>
        <v>2380139.3716500537</v>
      </c>
      <c r="M175" s="12">
        <f>(L175-L163)/L163*100</f>
        <v>16.385967682444651</v>
      </c>
      <c r="N175" s="49">
        <f>(L175/L172-1)*100</f>
        <v>1.8793491554531583</v>
      </c>
      <c r="O175" s="39"/>
      <c r="P175" s="20">
        <f t="shared" si="19"/>
        <v>41274</v>
      </c>
      <c r="Q175" s="27">
        <v>3.299121</v>
      </c>
      <c r="R175" s="46">
        <f t="shared" si="17"/>
        <v>3116757.4310321794</v>
      </c>
      <c r="S175" s="12">
        <f>(R175-R163)/R163*100</f>
        <v>16.315912550005852</v>
      </c>
      <c r="T175" s="49">
        <f>(R175/R172-1)*100</f>
        <v>2.211478893519736</v>
      </c>
      <c r="U175" s="49"/>
      <c r="V175" s="39"/>
    </row>
    <row r="176" spans="1:22" x14ac:dyDescent="0.25">
      <c r="A176" s="21">
        <v>41305</v>
      </c>
      <c r="B176" s="24">
        <f t="shared" si="14"/>
        <v>160</v>
      </c>
      <c r="C176" s="96" t="s">
        <v>340</v>
      </c>
      <c r="D176" s="27">
        <f>'BOGIX (Net)'!D176+(1.25/12)</f>
        <v>6.7122806666666666</v>
      </c>
      <c r="E176" s="46">
        <f t="shared" si="15"/>
        <v>4759968.5589285931</v>
      </c>
      <c r="F176" s="10"/>
      <c r="H176" s="49"/>
      <c r="I176" s="39"/>
      <c r="J176" s="20">
        <f t="shared" si="18"/>
        <v>41305</v>
      </c>
      <c r="K176" s="27">
        <v>6.2592775407756065</v>
      </c>
      <c r="L176" s="46">
        <f t="shared" si="16"/>
        <v>2529118.9007789032</v>
      </c>
      <c r="M176" s="15"/>
      <c r="O176" s="39"/>
      <c r="P176" s="20">
        <f t="shared" si="19"/>
        <v>41305</v>
      </c>
      <c r="Q176" s="27">
        <v>5.7770919999999997</v>
      </c>
      <c r="R176" s="46">
        <f t="shared" si="17"/>
        <v>3296815.3752397448</v>
      </c>
      <c r="S176" s="10"/>
      <c r="U176" s="49"/>
      <c r="V176" s="39"/>
    </row>
    <row r="177" spans="1:22" x14ac:dyDescent="0.25">
      <c r="A177" s="21">
        <v>41333</v>
      </c>
      <c r="B177" s="24">
        <f t="shared" si="14"/>
        <v>161</v>
      </c>
      <c r="C177" s="96" t="s">
        <v>340</v>
      </c>
      <c r="D177" s="27">
        <f>'BOGIX (Net)'!D177+(1.25/12)</f>
        <v>0.81032596666666667</v>
      </c>
      <c r="E177" s="46">
        <f t="shared" si="15"/>
        <v>4798539.8201667601</v>
      </c>
      <c r="F177" s="10"/>
      <c r="H177" s="49"/>
      <c r="I177" s="39"/>
      <c r="J177" s="20">
        <f t="shared" si="18"/>
        <v>41333</v>
      </c>
      <c r="K177" s="27">
        <v>1.1030698950075635</v>
      </c>
      <c r="L177" s="46">
        <f t="shared" si="16"/>
        <v>2557016.8499823413</v>
      </c>
      <c r="M177" s="15"/>
      <c r="O177" s="39"/>
      <c r="P177" s="20">
        <f t="shared" si="19"/>
        <v>41333</v>
      </c>
      <c r="Q177" s="27">
        <v>1.407996</v>
      </c>
      <c r="R177" s="46">
        <f t="shared" si="17"/>
        <v>3343234.4038505056</v>
      </c>
      <c r="S177" s="10"/>
      <c r="U177" s="49"/>
      <c r="V177" s="39"/>
    </row>
    <row r="178" spans="1:22" x14ac:dyDescent="0.25">
      <c r="A178" s="21">
        <v>41364</v>
      </c>
      <c r="B178" s="24">
        <f t="shared" si="14"/>
        <v>162</v>
      </c>
      <c r="C178" s="96" t="s">
        <v>340</v>
      </c>
      <c r="D178" s="27">
        <f>'BOGIX (Net)'!D178+(1.25/12)</f>
        <v>5.9865196666666671</v>
      </c>
      <c r="E178" s="46">
        <f t="shared" si="15"/>
        <v>5085805.3502138741</v>
      </c>
      <c r="F178" s="10"/>
      <c r="G178" s="49">
        <f>(E178/E175-1)*100</f>
        <v>14.017116127804119</v>
      </c>
      <c r="H178" s="49"/>
      <c r="I178" s="39"/>
      <c r="J178" s="20">
        <f t="shared" si="18"/>
        <v>41364</v>
      </c>
      <c r="K178" s="27">
        <v>4.6180696693330967</v>
      </c>
      <c r="L178" s="46">
        <f t="shared" si="16"/>
        <v>2675101.6695711124</v>
      </c>
      <c r="M178" s="15"/>
      <c r="N178" s="49">
        <f>(L178/L175-1)*100</f>
        <v>12.39264815474117</v>
      </c>
      <c r="O178" s="39"/>
      <c r="P178" s="20">
        <f t="shared" si="19"/>
        <v>41364</v>
      </c>
      <c r="Q178" s="27">
        <v>4.2365449999999996</v>
      </c>
      <c r="R178" s="46">
        <f t="shared" si="17"/>
        <v>3484872.0338251139</v>
      </c>
      <c r="S178" s="10"/>
      <c r="T178" s="49">
        <f>(R178/R175-1)*100</f>
        <v>11.810819768255932</v>
      </c>
      <c r="U178" s="49"/>
      <c r="V178" s="39"/>
    </row>
    <row r="179" spans="1:22" x14ac:dyDescent="0.25">
      <c r="A179" s="21">
        <v>41394</v>
      </c>
      <c r="B179" s="24">
        <f t="shared" si="14"/>
        <v>163</v>
      </c>
      <c r="C179" s="96" t="s">
        <v>340</v>
      </c>
      <c r="D179" s="27">
        <f>'BOGIX (Net)'!D179+(1.25/12)</f>
        <v>-0.81562733333333337</v>
      </c>
      <c r="E179" s="46">
        <f t="shared" si="15"/>
        <v>5044324.1316574011</v>
      </c>
      <c r="F179" s="10"/>
      <c r="H179" s="49"/>
      <c r="I179" s="39"/>
      <c r="J179" s="20">
        <f t="shared" si="18"/>
        <v>41394</v>
      </c>
      <c r="K179" s="27">
        <v>-0.36743813302988854</v>
      </c>
      <c r="L179" s="46">
        <f t="shared" si="16"/>
        <v>2665272.3259397889</v>
      </c>
      <c r="M179" s="15"/>
      <c r="O179" s="39"/>
      <c r="P179" s="20">
        <f t="shared" si="19"/>
        <v>41394</v>
      </c>
      <c r="Q179" s="27">
        <v>-0.26574740000000002</v>
      </c>
      <c r="R179" s="46">
        <f t="shared" si="17"/>
        <v>3475611.0770018967</v>
      </c>
      <c r="S179" s="10"/>
      <c r="U179" s="49"/>
      <c r="V179" s="39"/>
    </row>
    <row r="180" spans="1:22" x14ac:dyDescent="0.25">
      <c r="A180" s="21">
        <v>41425</v>
      </c>
      <c r="B180" s="24">
        <f t="shared" si="14"/>
        <v>164</v>
      </c>
      <c r="C180" s="96" t="s">
        <v>340</v>
      </c>
      <c r="D180" s="27">
        <f>'BOGIX (Net)'!D180+(1.25/12)</f>
        <v>5.1542966666666672</v>
      </c>
      <c r="E180" s="46">
        <f t="shared" si="15"/>
        <v>5304323.5622312808</v>
      </c>
      <c r="F180" s="10"/>
      <c r="H180" s="49"/>
      <c r="I180" s="39"/>
      <c r="J180" s="20">
        <f t="shared" si="18"/>
        <v>41425</v>
      </c>
      <c r="K180" s="27">
        <v>3.9965077138199381</v>
      </c>
      <c r="L180" s="46">
        <f t="shared" si="16"/>
        <v>2771790.1400402808</v>
      </c>
      <c r="M180" s="15"/>
      <c r="O180" s="39"/>
      <c r="P180" s="20">
        <f t="shared" si="19"/>
        <v>41425</v>
      </c>
      <c r="Q180" s="27">
        <v>4.347054</v>
      </c>
      <c r="R180" s="46">
        <f t="shared" si="17"/>
        <v>3626697.767349151</v>
      </c>
      <c r="S180" s="10"/>
      <c r="U180" s="49"/>
      <c r="V180" s="39"/>
    </row>
    <row r="181" spans="1:22" x14ac:dyDescent="0.25">
      <c r="A181" s="21">
        <v>41455</v>
      </c>
      <c r="B181" s="24">
        <f t="shared" si="14"/>
        <v>165</v>
      </c>
      <c r="C181" s="96" t="s">
        <v>340</v>
      </c>
      <c r="D181" s="27">
        <f>'BOGIX (Net)'!D181+(1.25/12)</f>
        <v>-0.56744873333333334</v>
      </c>
      <c r="E181" s="46">
        <f t="shared" si="15"/>
        <v>5274224.2453654977</v>
      </c>
      <c r="F181" s="10"/>
      <c r="G181" s="49">
        <f>(E181/E178-1)*100</f>
        <v>3.7047995779803111</v>
      </c>
      <c r="H181" s="49"/>
      <c r="I181" s="39"/>
      <c r="J181" s="20">
        <f t="shared" si="18"/>
        <v>41455</v>
      </c>
      <c r="K181" s="27">
        <v>-0.51248585858309226</v>
      </c>
      <c r="L181" s="46">
        <f t="shared" si="16"/>
        <v>2757585.1075429739</v>
      </c>
      <c r="M181" s="15"/>
      <c r="N181" s="49">
        <f>(L181/L178-1)*100</f>
        <v>3.0833758174539039</v>
      </c>
      <c r="O181" s="39"/>
      <c r="P181" s="20">
        <f t="shared" si="19"/>
        <v>41455</v>
      </c>
      <c r="Q181" s="27">
        <v>-0.1463112</v>
      </c>
      <c r="R181" s="46">
        <f t="shared" si="17"/>
        <v>3621391.502325369</v>
      </c>
      <c r="S181" s="10"/>
      <c r="T181" s="49">
        <f>(R181/R178-1)*100</f>
        <v>3.9174887104938216</v>
      </c>
      <c r="U181" s="49"/>
      <c r="V181" s="39"/>
    </row>
    <row r="182" spans="1:22" x14ac:dyDescent="0.25">
      <c r="A182" s="21">
        <v>41486</v>
      </c>
      <c r="B182" s="24">
        <f t="shared" si="14"/>
        <v>166</v>
      </c>
      <c r="C182" s="96" t="s">
        <v>340</v>
      </c>
      <c r="D182" s="27">
        <f>'BOGIX (Net)'!D182+(1.25/12)</f>
        <v>8.7518536666666655</v>
      </c>
      <c r="E182" s="46">
        <f t="shared" si="15"/>
        <v>5735816.6333717406</v>
      </c>
      <c r="F182" s="10"/>
      <c r="H182" s="49"/>
      <c r="I182" s="39"/>
      <c r="J182" s="20">
        <f t="shared" si="18"/>
        <v>41486</v>
      </c>
      <c r="K182" s="27">
        <v>6.9977537119009705</v>
      </c>
      <c r="L182" s="46">
        <f t="shared" si="16"/>
        <v>2950554.1217648908</v>
      </c>
      <c r="M182" s="15"/>
      <c r="O182" s="39"/>
      <c r="P182" s="20">
        <f t="shared" si="19"/>
        <v>41486</v>
      </c>
      <c r="Q182" s="27">
        <v>6.8443880000000004</v>
      </c>
      <c r="R182" s="46">
        <f t="shared" si="17"/>
        <v>3869253.5877435463</v>
      </c>
      <c r="S182" s="10"/>
      <c r="U182" s="49"/>
      <c r="V182" s="39"/>
    </row>
    <row r="183" spans="1:22" x14ac:dyDescent="0.25">
      <c r="A183" s="21">
        <v>41517</v>
      </c>
      <c r="B183" s="24">
        <f t="shared" si="14"/>
        <v>167</v>
      </c>
      <c r="C183" s="96" t="s">
        <v>340</v>
      </c>
      <c r="D183" s="27">
        <f>'BOGIX (Net)'!D183+(1.25/12)</f>
        <v>-3.3023183333333335</v>
      </c>
      <c r="E183" s="46">
        <f t="shared" si="15"/>
        <v>5546401.7091215225</v>
      </c>
      <c r="F183" s="10"/>
      <c r="H183" s="49"/>
      <c r="I183" s="39"/>
      <c r="J183" s="20">
        <f t="shared" si="18"/>
        <v>41517</v>
      </c>
      <c r="K183" s="27">
        <v>-3.1777193277507911</v>
      </c>
      <c r="L183" s="46">
        <f t="shared" si="16"/>
        <v>2856793.7931618202</v>
      </c>
      <c r="M183" s="15"/>
      <c r="O183" s="39"/>
      <c r="P183" s="20">
        <f t="shared" si="19"/>
        <v>41517</v>
      </c>
      <c r="Q183" s="27">
        <v>-2.4350969999999998</v>
      </c>
      <c r="R183" s="46">
        <f t="shared" si="17"/>
        <v>3775033.509706011</v>
      </c>
      <c r="S183" s="10"/>
      <c r="U183" s="49"/>
      <c r="V183" s="39"/>
    </row>
    <row r="184" spans="1:22" x14ac:dyDescent="0.25">
      <c r="A184" s="21">
        <v>41547</v>
      </c>
      <c r="B184" s="24">
        <f t="shared" si="14"/>
        <v>168</v>
      </c>
      <c r="C184" s="96" t="s">
        <v>340</v>
      </c>
      <c r="D184" s="27">
        <f>'BOGIX (Net)'!D184+(1.25/12)</f>
        <v>6.4113896666666665</v>
      </c>
      <c r="E184" s="46">
        <f t="shared" si="15"/>
        <v>5902003.1351719629</v>
      </c>
      <c r="F184" s="10"/>
      <c r="G184" s="49">
        <f>(E184/E181-1)*100</f>
        <v>11.902772059001855</v>
      </c>
      <c r="H184" s="49"/>
      <c r="I184" s="39"/>
      <c r="J184" s="20">
        <f t="shared" si="18"/>
        <v>41547</v>
      </c>
      <c r="K184" s="27">
        <v>6.3780070609969286</v>
      </c>
      <c r="L184" s="46">
        <f t="shared" si="16"/>
        <v>3039000.3030078029</v>
      </c>
      <c r="M184" s="15"/>
      <c r="N184" s="49">
        <f>(L184/L181-1)*100</f>
        <v>10.205131826940118</v>
      </c>
      <c r="O184" s="39"/>
      <c r="P184" s="20">
        <f t="shared" si="19"/>
        <v>41547</v>
      </c>
      <c r="Q184" s="27">
        <v>6.2251310000000002</v>
      </c>
      <c r="R184" s="46">
        <f t="shared" si="17"/>
        <v>4010034.2909791078</v>
      </c>
      <c r="S184" s="10"/>
      <c r="T184" s="49">
        <f>(R184/R181-1)*100</f>
        <v>10.731863384673645</v>
      </c>
      <c r="U184" s="49"/>
      <c r="V184" s="39"/>
    </row>
    <row r="185" spans="1:22" x14ac:dyDescent="0.25">
      <c r="A185" s="21">
        <v>41578</v>
      </c>
      <c r="B185" s="24">
        <f t="shared" si="14"/>
        <v>169</v>
      </c>
      <c r="C185" s="96" t="s">
        <v>340</v>
      </c>
      <c r="D185" s="27">
        <f>'BOGIX (Net)'!D185+(1.25/12)</f>
        <v>2.1775316666666664</v>
      </c>
      <c r="E185" s="46">
        <f t="shared" si="15"/>
        <v>6030521.1224079914</v>
      </c>
      <c r="F185" s="1"/>
      <c r="H185" s="49"/>
      <c r="I185" s="39"/>
      <c r="J185" s="20">
        <f t="shared" si="18"/>
        <v>41578</v>
      </c>
      <c r="K185" s="27">
        <v>2.5146190529199517</v>
      </c>
      <c r="L185" s="46">
        <f t="shared" si="16"/>
        <v>3115419.5836455324</v>
      </c>
      <c r="M185" s="4"/>
      <c r="O185" s="39"/>
      <c r="P185" s="20">
        <f t="shared" si="19"/>
        <v>41578</v>
      </c>
      <c r="Q185" s="27">
        <v>3.6077129999999999</v>
      </c>
      <c r="R185" s="46">
        <f t="shared" si="17"/>
        <v>4154704.819399219</v>
      </c>
      <c r="S185" s="54"/>
      <c r="U185" s="49"/>
      <c r="V185" s="39"/>
    </row>
    <row r="186" spans="1:22" x14ac:dyDescent="0.25">
      <c r="A186" s="21">
        <v>41608</v>
      </c>
      <c r="B186" s="24">
        <f t="shared" si="14"/>
        <v>170</v>
      </c>
      <c r="C186" s="96" t="s">
        <v>340</v>
      </c>
      <c r="D186" s="27">
        <f>'BOGIX (Net)'!D186+(1.25/12)</f>
        <v>5.104166666666667</v>
      </c>
      <c r="E186" s="46">
        <f t="shared" si="15"/>
        <v>6338328.9713642327</v>
      </c>
      <c r="F186" s="1"/>
      <c r="H186" s="49"/>
      <c r="I186" s="39"/>
      <c r="J186" s="20">
        <f t="shared" si="18"/>
        <v>41608</v>
      </c>
      <c r="K186" s="27">
        <v>4.0068638380340351</v>
      </c>
      <c r="L186" s="46">
        <f t="shared" si="16"/>
        <v>3240250.2043456556</v>
      </c>
      <c r="M186" s="4"/>
      <c r="O186" s="39"/>
      <c r="P186" s="20">
        <f t="shared" si="19"/>
        <v>41608</v>
      </c>
      <c r="Q186" s="27">
        <v>4.4923479999999998</v>
      </c>
      <c r="R186" s="46">
        <f t="shared" si="17"/>
        <v>4341348.6182594039</v>
      </c>
      <c r="S186" s="54"/>
      <c r="U186" s="49"/>
      <c r="V186" s="39"/>
    </row>
    <row r="187" spans="1:22" x14ac:dyDescent="0.25">
      <c r="A187" s="21">
        <v>41639</v>
      </c>
      <c r="B187" s="24">
        <f t="shared" si="14"/>
        <v>171</v>
      </c>
      <c r="C187" s="96" t="s">
        <v>340</v>
      </c>
      <c r="D187" s="27">
        <f>'BOGIX (Net)'!D187+(1.25/12)</f>
        <v>4.6175206666666666</v>
      </c>
      <c r="E187" s="46">
        <f t="shared" si="15"/>
        <v>6631002.6215382973</v>
      </c>
      <c r="F187" s="12">
        <f>(E187-E175)/E175*100</f>
        <v>48.658421603160932</v>
      </c>
      <c r="G187" s="49">
        <f>(E187/E184-1)*100</f>
        <v>12.351729907122344</v>
      </c>
      <c r="H187" s="5"/>
      <c r="I187" s="39"/>
      <c r="J187" s="20">
        <f t="shared" si="18"/>
        <v>41639</v>
      </c>
      <c r="K187" s="27">
        <v>1.9722705558260061</v>
      </c>
      <c r="L187" s="46">
        <f t="shared" si="16"/>
        <v>3304156.7050610571</v>
      </c>
      <c r="M187" s="12">
        <f>(L187-L175)/L175*100</f>
        <v>38.821984309701151</v>
      </c>
      <c r="N187" s="49">
        <f>(L187/L184-1)*100</f>
        <v>8.7251193029108887</v>
      </c>
      <c r="O187" s="39"/>
      <c r="P187" s="20">
        <f t="shared" si="19"/>
        <v>41639</v>
      </c>
      <c r="Q187" s="27">
        <v>1.447864</v>
      </c>
      <c r="R187" s="46">
        <f t="shared" si="17"/>
        <v>4404205.4420176791</v>
      </c>
      <c r="S187" s="12">
        <f>(R187-R175)/R175*100</f>
        <v>41.307289369616882</v>
      </c>
      <c r="T187" s="49">
        <f>(R187/R184-1)*100</f>
        <v>9.8296204579918509</v>
      </c>
      <c r="U187" s="49"/>
      <c r="V187" s="39"/>
    </row>
    <row r="188" spans="1:22" x14ac:dyDescent="0.25">
      <c r="A188" s="21">
        <v>41670</v>
      </c>
      <c r="B188" s="24">
        <f t="shared" si="14"/>
        <v>172</v>
      </c>
      <c r="C188" s="96" t="s">
        <v>340</v>
      </c>
      <c r="D188" s="27">
        <f>'BOGIX (Net)'!D188+(1.25/12)</f>
        <v>-3.0912683333333333</v>
      </c>
      <c r="E188" s="46">
        <f t="shared" si="15"/>
        <v>6426020.5373161808</v>
      </c>
      <c r="F188" s="10"/>
      <c r="H188" s="49"/>
      <c r="I188" s="39"/>
      <c r="J188" s="20">
        <f t="shared" si="18"/>
        <v>41670</v>
      </c>
      <c r="K188" s="27">
        <v>-2.7679779878653212</v>
      </c>
      <c r="L188" s="46">
        <f t="shared" si="16"/>
        <v>3212698.3747803909</v>
      </c>
      <c r="M188" s="15"/>
      <c r="O188" s="39"/>
      <c r="P188" s="20">
        <f t="shared" si="19"/>
        <v>41670</v>
      </c>
      <c r="Q188" s="27">
        <v>-3.8568199999999999</v>
      </c>
      <c r="R188" s="46">
        <f t="shared" si="17"/>
        <v>4234343.1656888528</v>
      </c>
      <c r="S188" s="10"/>
      <c r="U188" s="49"/>
      <c r="V188" s="39"/>
    </row>
    <row r="189" spans="1:22" x14ac:dyDescent="0.25">
      <c r="A189" s="21">
        <v>41698</v>
      </c>
      <c r="B189" s="24">
        <f t="shared" si="14"/>
        <v>173</v>
      </c>
      <c r="C189" s="96" t="s">
        <v>340</v>
      </c>
      <c r="D189" s="27">
        <f>'BOGIX (Net)'!D189+(1.25/12)</f>
        <v>5.3797346666666668</v>
      </c>
      <c r="E189" s="46">
        <f t="shared" si="15"/>
        <v>6771723.391849299</v>
      </c>
      <c r="F189" s="10"/>
      <c r="H189" s="49"/>
      <c r="I189" s="39"/>
      <c r="J189" s="20">
        <f t="shared" si="18"/>
        <v>41698</v>
      </c>
      <c r="K189" s="27">
        <v>4.7112568096957084</v>
      </c>
      <c r="L189" s="46">
        <f t="shared" si="16"/>
        <v>3364056.8457372156</v>
      </c>
      <c r="M189" s="15"/>
      <c r="O189" s="39"/>
      <c r="P189" s="20">
        <f t="shared" si="19"/>
        <v>41698</v>
      </c>
      <c r="Q189" s="27">
        <v>4.4538799999999998</v>
      </c>
      <c r="R189" s="46">
        <f t="shared" si="17"/>
        <v>4422935.7290768353</v>
      </c>
      <c r="S189" s="10"/>
      <c r="U189" s="49"/>
      <c r="V189" s="39"/>
    </row>
    <row r="190" spans="1:22" x14ac:dyDescent="0.25">
      <c r="A190" s="21">
        <v>41729</v>
      </c>
      <c r="B190" s="24">
        <f t="shared" si="14"/>
        <v>174</v>
      </c>
      <c r="C190" s="96" t="s">
        <v>340</v>
      </c>
      <c r="D190" s="27">
        <f>'BOGIX (Net)'!D190+(1.25/12)</f>
        <v>0.35612636666666669</v>
      </c>
      <c r="E190" s="46">
        <f t="shared" si="15"/>
        <v>6795839.2843254087</v>
      </c>
      <c r="F190" s="10"/>
      <c r="G190" s="49">
        <f>(E190/E187-1)*100</f>
        <v>2.4858482524452885</v>
      </c>
      <c r="H190" s="49"/>
      <c r="I190" s="39"/>
      <c r="J190" s="20">
        <f t="shared" si="18"/>
        <v>41729</v>
      </c>
      <c r="K190" s="27">
        <v>-0.68078276144242911</v>
      </c>
      <c r="L190" s="46">
        <f t="shared" si="16"/>
        <v>3341154.9266463127</v>
      </c>
      <c r="M190" s="15"/>
      <c r="N190" s="49">
        <f>(L190/L187-1)*100</f>
        <v>1.1197477870400263</v>
      </c>
      <c r="O190" s="39"/>
      <c r="P190" s="20">
        <f t="shared" si="19"/>
        <v>41729</v>
      </c>
      <c r="Q190" s="27">
        <v>0.69800530000000005</v>
      </c>
      <c r="R190" s="46">
        <f t="shared" si="17"/>
        <v>4453808.0548813855</v>
      </c>
      <c r="S190" s="10"/>
      <c r="T190" s="49">
        <f>(R190/R187-1)*100</f>
        <v>1.1262556553443215</v>
      </c>
      <c r="U190" s="49"/>
      <c r="V190" s="39"/>
    </row>
    <row r="191" spans="1:22" x14ac:dyDescent="0.25">
      <c r="A191" s="21">
        <v>41759</v>
      </c>
      <c r="B191" s="24">
        <f t="shared" si="14"/>
        <v>175</v>
      </c>
      <c r="C191" s="96" t="s">
        <v>340</v>
      </c>
      <c r="D191" s="27">
        <f>'BOGIX (Net)'!D191+(1.25/12)</f>
        <v>-2.4090973333333334</v>
      </c>
      <c r="E191" s="46">
        <f t="shared" si="15"/>
        <v>6632120.9013491059</v>
      </c>
      <c r="F191" s="10"/>
      <c r="H191" s="49"/>
      <c r="I191" s="39"/>
      <c r="J191" s="20">
        <f t="shared" si="18"/>
        <v>41759</v>
      </c>
      <c r="K191" s="27">
        <v>-3.8781162598282912</v>
      </c>
      <c r="L191" s="46">
        <f t="shared" si="16"/>
        <v>3211581.0541699883</v>
      </c>
      <c r="M191" s="15"/>
      <c r="O191" s="39"/>
      <c r="P191" s="20">
        <f t="shared" si="19"/>
        <v>41759</v>
      </c>
      <c r="Q191" s="27">
        <v>-2.791347</v>
      </c>
      <c r="R191" s="46">
        <f t="shared" si="17"/>
        <v>4329486.8173556952</v>
      </c>
      <c r="S191" s="10"/>
      <c r="U191" s="49"/>
      <c r="V191" s="39"/>
    </row>
    <row r="192" spans="1:22" x14ac:dyDescent="0.25">
      <c r="A192" s="21">
        <v>41790</v>
      </c>
      <c r="B192" s="24">
        <f t="shared" si="14"/>
        <v>176</v>
      </c>
      <c r="C192" s="96" t="s">
        <v>340</v>
      </c>
      <c r="D192" s="27">
        <f>'BOGIX (Net)'!D192+(1.25/12)</f>
        <v>2.2525476666666666</v>
      </c>
      <c r="E192" s="46">
        <f t="shared" si="15"/>
        <v>6781512.5859629577</v>
      </c>
      <c r="F192" s="10"/>
      <c r="H192" s="49"/>
      <c r="I192" s="39"/>
      <c r="J192" s="20">
        <f t="shared" si="18"/>
        <v>41790</v>
      </c>
      <c r="K192" s="27">
        <v>0.80152936191700652</v>
      </c>
      <c r="L192" s="46">
        <f t="shared" si="16"/>
        <v>3237322.8193009244</v>
      </c>
      <c r="M192" s="15"/>
      <c r="O192" s="39"/>
      <c r="P192" s="20">
        <f t="shared" si="19"/>
        <v>41790</v>
      </c>
      <c r="Q192" s="27">
        <v>0.26947650000000001</v>
      </c>
      <c r="R192" s="46">
        <f t="shared" si="17"/>
        <v>4341153.766899067</v>
      </c>
      <c r="S192" s="10"/>
      <c r="U192" s="49"/>
      <c r="V192" s="39"/>
    </row>
    <row r="193" spans="1:22" x14ac:dyDescent="0.25">
      <c r="A193" s="21">
        <v>41820</v>
      </c>
      <c r="B193" s="24">
        <f t="shared" si="14"/>
        <v>177</v>
      </c>
      <c r="C193" s="96" t="s">
        <v>340</v>
      </c>
      <c r="D193" s="27">
        <f>'BOGIX (Net)'!D193+(1.25/12)</f>
        <v>4.9274976666666666</v>
      </c>
      <c r="E193" s="46">
        <f t="shared" si="15"/>
        <v>7115671.4604009883</v>
      </c>
      <c r="F193" s="10"/>
      <c r="G193" s="49">
        <f>(E193/E190-1)*100</f>
        <v>4.7062939939334969</v>
      </c>
      <c r="H193" s="49"/>
      <c r="I193" s="39"/>
      <c r="J193" s="20">
        <f t="shared" si="18"/>
        <v>41820</v>
      </c>
      <c r="K193" s="27">
        <v>5.3207317594899166</v>
      </c>
      <c r="L193" s="46">
        <f t="shared" si="16"/>
        <v>3409572.0827046833</v>
      </c>
      <c r="M193" s="15"/>
      <c r="N193" s="49">
        <f>(L193/L190-1)*100</f>
        <v>2.0477097758242691</v>
      </c>
      <c r="O193" s="39"/>
      <c r="P193" s="20">
        <f t="shared" si="19"/>
        <v>41820</v>
      </c>
      <c r="Q193" s="27">
        <v>4.715681</v>
      </c>
      <c r="R193" s="46">
        <f t="shared" si="17"/>
        <v>4545868.7302655103</v>
      </c>
      <c r="S193" s="10"/>
      <c r="T193" s="49">
        <f>(R193/R190-1)*100</f>
        <v>2.0670103931224926</v>
      </c>
      <c r="U193" s="49"/>
      <c r="V193" s="39"/>
    </row>
    <row r="194" spans="1:22" x14ac:dyDescent="0.25">
      <c r="A194" s="21">
        <v>41851</v>
      </c>
      <c r="B194" s="24">
        <f t="shared" si="14"/>
        <v>178</v>
      </c>
      <c r="C194" s="96" t="s">
        <v>340</v>
      </c>
      <c r="D194" s="27">
        <f>'BOGIX (Net)'!D194+(1.25/12)</f>
        <v>-5.2462883333333332</v>
      </c>
      <c r="E194" s="46">
        <f t="shared" si="15"/>
        <v>6742362.8187356414</v>
      </c>
      <c r="F194" s="22"/>
      <c r="H194" s="49"/>
      <c r="I194" s="39"/>
      <c r="J194" s="20">
        <f t="shared" si="18"/>
        <v>41851</v>
      </c>
      <c r="K194" s="27">
        <v>-6.0529187375197528</v>
      </c>
      <c r="L194" s="46">
        <f t="shared" si="16"/>
        <v>3203193.4552414091</v>
      </c>
      <c r="M194" s="113"/>
      <c r="O194" s="39"/>
      <c r="P194" s="20">
        <f t="shared" si="19"/>
        <v>41851</v>
      </c>
      <c r="Q194" s="27">
        <v>-5.494783</v>
      </c>
      <c r="R194" s="46">
        <f t="shared" si="17"/>
        <v>4296083.1080725649</v>
      </c>
      <c r="S194" s="22"/>
      <c r="U194" s="49"/>
      <c r="V194" s="39"/>
    </row>
    <row r="195" spans="1:22" x14ac:dyDescent="0.25">
      <c r="A195" s="21">
        <v>41882</v>
      </c>
      <c r="B195" s="24">
        <f t="shared" si="14"/>
        <v>179</v>
      </c>
      <c r="C195" s="96" t="s">
        <v>340</v>
      </c>
      <c r="D195" s="27">
        <f>'BOGIX (Net)'!D195+(1.25/12)</f>
        <v>7.7073326666666668</v>
      </c>
      <c r="E195" s="46">
        <f t="shared" si="15"/>
        <v>7262019.1507692412</v>
      </c>
      <c r="F195" s="4"/>
      <c r="H195" s="49"/>
      <c r="I195" s="39"/>
      <c r="J195" s="20">
        <f t="shared" si="18"/>
        <v>41882</v>
      </c>
      <c r="K195" s="27">
        <v>4.958593526650164</v>
      </c>
      <c r="L195" s="46">
        <f t="shared" si="16"/>
        <v>3362026.7985590915</v>
      </c>
      <c r="M195" s="4"/>
      <c r="O195" s="39"/>
      <c r="P195" s="20">
        <f t="shared" si="19"/>
        <v>41882</v>
      </c>
      <c r="Q195" s="27">
        <v>4.2950809999999997</v>
      </c>
      <c r="R195" s="46">
        <f t="shared" si="17"/>
        <v>4480603.3573915996</v>
      </c>
      <c r="S195" s="54"/>
      <c r="U195" s="49"/>
      <c r="V195" s="39"/>
    </row>
    <row r="196" spans="1:22" x14ac:dyDescent="0.25">
      <c r="A196" s="21">
        <v>41912</v>
      </c>
      <c r="B196" s="24">
        <f t="shared" si="14"/>
        <v>180</v>
      </c>
      <c r="C196" s="96" t="s">
        <v>340</v>
      </c>
      <c r="D196" s="27">
        <f>'BOGIX (Net)'!D196+(1.25/12)</f>
        <v>-5.9373353333333334</v>
      </c>
      <c r="E196" s="46">
        <f t="shared" si="15"/>
        <v>6830848.7218171861</v>
      </c>
      <c r="F196" s="12"/>
      <c r="G196" s="49">
        <f>(E196/E193-1)*100</f>
        <v>-4.0027527994912715</v>
      </c>
      <c r="H196" s="49"/>
      <c r="I196" s="39"/>
      <c r="J196" s="20">
        <f t="shared" si="18"/>
        <v>41912</v>
      </c>
      <c r="K196" s="27">
        <v>-6.0493826882581736</v>
      </c>
      <c r="L196" s="46">
        <f t="shared" si="16"/>
        <v>3158644.9314324572</v>
      </c>
      <c r="M196" s="12"/>
      <c r="N196" s="49">
        <f>(L196/L193-1)*100</f>
        <v>-7.3594910207375737</v>
      </c>
      <c r="O196" s="39"/>
      <c r="P196" s="20">
        <f t="shared" si="19"/>
        <v>41912</v>
      </c>
      <c r="Q196" s="27">
        <v>-5.3677429999999999</v>
      </c>
      <c r="R196" s="46">
        <f t="shared" si="17"/>
        <v>4240096.0843174467</v>
      </c>
      <c r="S196" s="37"/>
      <c r="T196" s="49">
        <f>(R196/R193-1)*100</f>
        <v>-6.7263852982002881</v>
      </c>
      <c r="U196" s="49"/>
      <c r="V196" s="39"/>
    </row>
    <row r="197" spans="1:22" x14ac:dyDescent="0.25">
      <c r="A197" s="21">
        <v>41943</v>
      </c>
      <c r="B197" s="24">
        <f t="shared" si="14"/>
        <v>181</v>
      </c>
      <c r="C197" s="96" t="s">
        <v>340</v>
      </c>
      <c r="D197" s="27">
        <f>'BOGIX (Net)'!D197+(1.25/12)</f>
        <v>0.74716356666666661</v>
      </c>
      <c r="E197" s="46">
        <f t="shared" si="15"/>
        <v>6881886.3347607199</v>
      </c>
      <c r="F197" s="12"/>
      <c r="G197" s="49"/>
      <c r="H197" s="49"/>
      <c r="I197" s="39"/>
      <c r="J197" s="20">
        <f t="shared" si="18"/>
        <v>41943</v>
      </c>
      <c r="K197" s="27">
        <v>6.5919147344933187</v>
      </c>
      <c r="L197" s="46">
        <f t="shared" si="16"/>
        <v>3366860.1120778797</v>
      </c>
      <c r="M197" s="12"/>
      <c r="N197" s="49"/>
      <c r="O197" s="39"/>
      <c r="P197" s="20">
        <f t="shared" si="19"/>
        <v>41943</v>
      </c>
      <c r="Q197" s="27">
        <v>7.0882420000000002</v>
      </c>
      <c r="R197" s="46">
        <f t="shared" si="17"/>
        <v>4540644.3558063917</v>
      </c>
      <c r="S197" s="37"/>
      <c r="T197" s="49"/>
      <c r="U197" s="49"/>
      <c r="V197" s="39"/>
    </row>
    <row r="198" spans="1:22" x14ac:dyDescent="0.25">
      <c r="A198" s="21">
        <v>41973</v>
      </c>
      <c r="B198" s="24">
        <f t="shared" si="14"/>
        <v>182</v>
      </c>
      <c r="C198" s="96" t="s">
        <v>340</v>
      </c>
      <c r="D198" s="27">
        <f>'BOGIX (Net)'!D198+(1.25/12)</f>
        <v>-0.11805553333333334</v>
      </c>
      <c r="E198" s="46">
        <f t="shared" si="15"/>
        <v>6873761.8871448245</v>
      </c>
      <c r="F198" s="12"/>
      <c r="H198" s="49"/>
      <c r="I198" s="39"/>
      <c r="J198" s="20">
        <f t="shared" si="18"/>
        <v>41973</v>
      </c>
      <c r="K198" s="27">
        <v>9.0243889280837E-2</v>
      </c>
      <c r="L198" s="46">
        <f t="shared" si="16"/>
        <v>3369898.4975896641</v>
      </c>
      <c r="M198" s="12"/>
      <c r="N198" s="22"/>
      <c r="O198" s="39"/>
      <c r="P198" s="20">
        <f t="shared" si="19"/>
        <v>41973</v>
      </c>
      <c r="Q198" s="27">
        <v>-0.27974300000000002</v>
      </c>
      <c r="R198" s="46">
        <f t="shared" si="17"/>
        <v>4527942.2210661285</v>
      </c>
      <c r="S198" s="37"/>
      <c r="U198" s="49"/>
      <c r="V198" s="39"/>
    </row>
    <row r="199" spans="1:22" x14ac:dyDescent="0.25">
      <c r="A199" s="21">
        <v>42004</v>
      </c>
      <c r="B199" s="24">
        <f t="shared" si="14"/>
        <v>183</v>
      </c>
      <c r="C199" s="96" t="s">
        <v>340</v>
      </c>
      <c r="D199" s="27">
        <f>'BOGIX (Net)'!D199+(1.25/12)</f>
        <v>2.8492666666666694E-3</v>
      </c>
      <c r="E199" s="46">
        <f t="shared" si="15"/>
        <v>6873957.7389510209</v>
      </c>
      <c r="F199" s="12">
        <f>(E199-E$187)/E$187*100</f>
        <v>3.6639273316462893</v>
      </c>
      <c r="G199" s="49">
        <f>(E199/E196-1)*100</f>
        <v>0.63109313189952942</v>
      </c>
      <c r="H199" s="5"/>
      <c r="I199" s="39"/>
      <c r="J199" s="20">
        <f t="shared" si="18"/>
        <v>42004</v>
      </c>
      <c r="K199" s="27">
        <v>2.8498588871171826</v>
      </c>
      <c r="L199" s="46">
        <f t="shared" si="16"/>
        <v>3465935.8494100515</v>
      </c>
      <c r="M199" s="12">
        <f>(L199-L$187)/L$187*100</f>
        <v>4.8962309838753511</v>
      </c>
      <c r="N199" s="49">
        <f>(L199/L196-1)*100</f>
        <v>9.7285679349288898</v>
      </c>
      <c r="O199" s="39"/>
      <c r="P199" s="20">
        <f t="shared" si="19"/>
        <v>42004</v>
      </c>
      <c r="Q199" s="27">
        <v>2.8515109999999999</v>
      </c>
      <c r="R199" s="46">
        <f t="shared" si="17"/>
        <v>4657056.9915734734</v>
      </c>
      <c r="S199" s="12">
        <f>(R199-R$187)/R$187*100</f>
        <v>5.7411388475092702</v>
      </c>
      <c r="T199" s="49">
        <f>(R199/R196-1)*100</f>
        <v>9.8337608149544398</v>
      </c>
      <c r="U199" s="49"/>
      <c r="V199" s="39"/>
    </row>
    <row r="200" spans="1:22" x14ac:dyDescent="0.25">
      <c r="A200" s="21">
        <v>42035</v>
      </c>
      <c r="B200" s="24">
        <f t="shared" si="14"/>
        <v>184</v>
      </c>
      <c r="C200" s="96" t="s">
        <v>340</v>
      </c>
      <c r="D200" s="27">
        <f>'BOGIX (Net)'!D200+(1.25/12)</f>
        <v>-2.0522543333333334</v>
      </c>
      <c r="E200" s="46">
        <f t="shared" si="15"/>
        <v>6732886.6433818964</v>
      </c>
      <c r="F200" s="22"/>
      <c r="H200" s="49"/>
      <c r="I200" s="39"/>
      <c r="J200" s="20">
        <f t="shared" si="18"/>
        <v>42035</v>
      </c>
      <c r="K200" s="27">
        <v>-3.2159753259148767</v>
      </c>
      <c r="L200" s="46">
        <f t="shared" si="16"/>
        <v>3354472.2076809858</v>
      </c>
      <c r="M200" s="12"/>
      <c r="O200" s="39"/>
      <c r="P200" s="20">
        <f t="shared" si="19"/>
        <v>42035</v>
      </c>
      <c r="Q200" s="27">
        <v>-3.4956930000000002</v>
      </c>
      <c r="R200" s="46">
        <f t="shared" si="17"/>
        <v>4494260.576313029</v>
      </c>
      <c r="U200" s="49"/>
      <c r="V200" s="39"/>
    </row>
    <row r="201" spans="1:22" x14ac:dyDescent="0.25">
      <c r="A201" s="21">
        <v>42063</v>
      </c>
      <c r="B201" s="24">
        <f t="shared" si="14"/>
        <v>185</v>
      </c>
      <c r="C201" s="96" t="s">
        <v>340</v>
      </c>
      <c r="D201" s="27">
        <f>'BOGIX (Net)'!D201+(1.25/12)</f>
        <v>7.2423246666666667</v>
      </c>
      <c r="E201" s="46">
        <f t="shared" si="15"/>
        <v>7220504.1535342485</v>
      </c>
      <c r="F201" s="22"/>
      <c r="H201" s="49"/>
      <c r="I201" s="39"/>
      <c r="J201" s="20">
        <f t="shared" si="18"/>
        <v>42063</v>
      </c>
      <c r="K201" s="27">
        <v>5.9366466793778523</v>
      </c>
      <c r="L201" s="46">
        <f t="shared" si="16"/>
        <v>3553615.3706089319</v>
      </c>
      <c r="M201" s="12"/>
      <c r="O201" s="39"/>
      <c r="P201" s="20">
        <f t="shared" si="19"/>
        <v>42063</v>
      </c>
      <c r="Q201" s="27">
        <v>6.0261659999999999</v>
      </c>
      <c r="R201" s="46">
        <f t="shared" si="17"/>
        <v>4765092.1791142086</v>
      </c>
      <c r="U201" s="49"/>
      <c r="V201" s="39"/>
    </row>
    <row r="202" spans="1:22" x14ac:dyDescent="0.25">
      <c r="A202" s="21">
        <v>42094</v>
      </c>
      <c r="B202" s="24">
        <f t="shared" si="14"/>
        <v>186</v>
      </c>
      <c r="C202" s="96" t="s">
        <v>340</v>
      </c>
      <c r="D202" s="27">
        <f>'BOGIX (Net)'!D202+(1.25/12)</f>
        <v>1.4551026666666667</v>
      </c>
      <c r="E202" s="46">
        <f t="shared" si="15"/>
        <v>7325569.9020191031</v>
      </c>
      <c r="F202" s="12"/>
      <c r="G202" s="49">
        <f>(E202/E199-1)*100</f>
        <v>6.5699001975097815</v>
      </c>
      <c r="H202" s="49"/>
      <c r="I202" s="39"/>
      <c r="J202" s="20">
        <f t="shared" si="18"/>
        <v>42094</v>
      </c>
      <c r="K202" s="27">
        <v>1.7420488950149302</v>
      </c>
      <c r="L202" s="46">
        <f t="shared" si="16"/>
        <v>3615521.0879057054</v>
      </c>
      <c r="M202" s="12"/>
      <c r="N202" s="49">
        <f>(L202/L199-1)*100</f>
        <v>4.3158686425519122</v>
      </c>
      <c r="O202" s="39"/>
      <c r="P202" s="20">
        <f t="shared" si="19"/>
        <v>42094</v>
      </c>
      <c r="Q202" s="27">
        <v>1.5953250000000001</v>
      </c>
      <c r="R202" s="46">
        <f t="shared" si="17"/>
        <v>4841110.8859206624</v>
      </c>
      <c r="T202" s="49">
        <f>(R202/R199-1)*100</f>
        <v>3.9521503533286761</v>
      </c>
      <c r="U202" s="49"/>
      <c r="V202" s="39"/>
    </row>
    <row r="203" spans="1:22" x14ac:dyDescent="0.25">
      <c r="A203" s="21">
        <v>42124</v>
      </c>
      <c r="B203" s="24">
        <f t="shared" si="14"/>
        <v>187</v>
      </c>
      <c r="C203" s="96" t="s">
        <v>340</v>
      </c>
      <c r="D203" s="27">
        <f>'BOGIX (Net)'!D203+(1.25/12)</f>
        <v>-0.80464883333333337</v>
      </c>
      <c r="E203" s="46">
        <f t="shared" si="15"/>
        <v>7266624.7892674888</v>
      </c>
      <c r="F203" s="12"/>
      <c r="G203" s="49"/>
      <c r="H203" s="49"/>
      <c r="I203" s="39"/>
      <c r="J203" s="20">
        <f t="shared" si="18"/>
        <v>42124</v>
      </c>
      <c r="K203" s="27">
        <v>-2.5502843863635616</v>
      </c>
      <c r="L203" s="46">
        <f t="shared" si="16"/>
        <v>3523315.0181151642</v>
      </c>
      <c r="M203" s="12"/>
      <c r="N203" s="54"/>
      <c r="O203" s="39"/>
      <c r="P203" s="20">
        <f t="shared" si="19"/>
        <v>42124</v>
      </c>
      <c r="Q203" s="27">
        <v>-2.3251249999999999</v>
      </c>
      <c r="R203" s="46">
        <f t="shared" si="17"/>
        <v>4728549.0064343996</v>
      </c>
      <c r="T203" s="49"/>
      <c r="U203" s="49"/>
      <c r="V203" s="39"/>
    </row>
    <row r="204" spans="1:22" x14ac:dyDescent="0.25">
      <c r="A204" s="21">
        <v>42155</v>
      </c>
      <c r="B204" s="24">
        <f t="shared" si="14"/>
        <v>188</v>
      </c>
      <c r="C204" s="96" t="s">
        <v>340</v>
      </c>
      <c r="D204" s="27">
        <f>'BOGIX (Net)'!D204+(1.25/12)</f>
        <v>0.50159866666666664</v>
      </c>
      <c r="E204" s="46">
        <f t="shared" si="15"/>
        <v>7303074.0823221244</v>
      </c>
      <c r="F204" s="12"/>
      <c r="G204" s="49"/>
      <c r="H204" s="49"/>
      <c r="I204" s="39"/>
      <c r="J204" s="20">
        <f t="shared" si="18"/>
        <v>42155</v>
      </c>
      <c r="K204" s="27">
        <v>2.2830562424304075</v>
      </c>
      <c r="L204" s="46">
        <f t="shared" si="16"/>
        <v>3603754.2815767303</v>
      </c>
      <c r="M204" s="12"/>
      <c r="N204" s="54"/>
      <c r="O204" s="39"/>
      <c r="P204" s="20">
        <f t="shared" si="19"/>
        <v>42155</v>
      </c>
      <c r="Q204" s="27">
        <v>1.5307409999999999</v>
      </c>
      <c r="R204" s="46">
        <f t="shared" si="17"/>
        <v>4800930.8447809834</v>
      </c>
      <c r="T204" s="49"/>
      <c r="U204" s="49"/>
      <c r="V204" s="39"/>
    </row>
    <row r="205" spans="1:22" x14ac:dyDescent="0.25">
      <c r="A205" s="21">
        <v>42185</v>
      </c>
      <c r="B205" s="24">
        <f t="shared" si="14"/>
        <v>189</v>
      </c>
      <c r="C205" s="96" t="s">
        <v>340</v>
      </c>
      <c r="D205" s="27">
        <f>'BOGIX (Net)'!D205+(1.25/12)</f>
        <v>-1.7228733333333333</v>
      </c>
      <c r="E205" s="46">
        <f t="shared" si="15"/>
        <v>7177251.3664442189</v>
      </c>
      <c r="F205" s="12"/>
      <c r="G205" s="49">
        <f>(E205/E202-1)*100</f>
        <v>-2.0246689002858864</v>
      </c>
      <c r="H205" s="49"/>
      <c r="I205" s="39"/>
      <c r="J205" s="20">
        <f t="shared" si="18"/>
        <v>42185</v>
      </c>
      <c r="K205" s="27">
        <v>0.74882261871327926</v>
      </c>
      <c r="L205" s="46">
        <f t="shared" si="16"/>
        <v>3630740.0087600253</v>
      </c>
      <c r="M205" s="12"/>
      <c r="N205" s="49">
        <f>(L205/L202-1)*100</f>
        <v>0.42093298543406377</v>
      </c>
      <c r="O205" s="39"/>
      <c r="P205" s="20">
        <f t="shared" si="19"/>
        <v>42185</v>
      </c>
      <c r="Q205" s="27">
        <v>1.0301750000000001</v>
      </c>
      <c r="R205" s="46">
        <f t="shared" si="17"/>
        <v>4850388.8341112062</v>
      </c>
      <c r="T205" s="49">
        <f>(R205/R202-1)*100</f>
        <v>0.19164915675711214</v>
      </c>
      <c r="U205" s="49"/>
      <c r="V205" s="39"/>
    </row>
    <row r="206" spans="1:22" x14ac:dyDescent="0.25">
      <c r="A206" s="21">
        <v>42216</v>
      </c>
      <c r="B206" s="24">
        <f t="shared" si="14"/>
        <v>190</v>
      </c>
      <c r="C206" s="96" t="s">
        <v>340</v>
      </c>
      <c r="D206" s="27">
        <f>'BOGIX (Net)'!D206+(1.25/12)</f>
        <v>-1.3536493333333333</v>
      </c>
      <c r="E206" s="46">
        <f t="shared" si="15"/>
        <v>7080096.5511706891</v>
      </c>
      <c r="F206" s="12"/>
      <c r="G206" s="49"/>
      <c r="H206" s="49"/>
      <c r="I206" s="39"/>
      <c r="J206" s="20">
        <f t="shared" si="18"/>
        <v>42216</v>
      </c>
      <c r="K206" s="27">
        <v>-1.1619530266059153</v>
      </c>
      <c r="L206" s="46">
        <f t="shared" si="16"/>
        <v>3588552.5153400465</v>
      </c>
      <c r="M206" s="12"/>
      <c r="N206" s="54"/>
      <c r="O206" s="39"/>
      <c r="P206" s="20">
        <f t="shared" si="19"/>
        <v>42216</v>
      </c>
      <c r="Q206" s="27">
        <v>-0.84768290000000002</v>
      </c>
      <c r="R206" s="46">
        <f t="shared" si="17"/>
        <v>4809272.9173809364</v>
      </c>
      <c r="T206" s="49"/>
      <c r="U206" s="49"/>
      <c r="V206" s="39"/>
    </row>
    <row r="207" spans="1:22" x14ac:dyDescent="0.25">
      <c r="A207" s="21">
        <v>42247</v>
      </c>
      <c r="B207" s="24">
        <f t="shared" si="14"/>
        <v>191</v>
      </c>
      <c r="C207" s="96" t="s">
        <v>340</v>
      </c>
      <c r="D207" s="27">
        <f>'BOGIX (Net)'!D207+(1.25/12)</f>
        <v>-5.467127333333333</v>
      </c>
      <c r="E207" s="46">
        <f t="shared" si="15"/>
        <v>6693018.6573952455</v>
      </c>
      <c r="F207" s="12"/>
      <c r="G207" s="105"/>
      <c r="H207" s="49"/>
      <c r="I207" s="39"/>
      <c r="J207" s="20">
        <f t="shared" si="18"/>
        <v>42247</v>
      </c>
      <c r="K207" s="27">
        <v>-6.2840456545254346</v>
      </c>
      <c r="L207" s="46">
        <f t="shared" si="16"/>
        <v>3363046.2369394572</v>
      </c>
      <c r="M207" s="12"/>
      <c r="N207" s="105"/>
      <c r="O207" s="39"/>
      <c r="P207" s="20">
        <f t="shared" si="19"/>
        <v>42247</v>
      </c>
      <c r="Q207" s="27">
        <v>-5.1784420000000004</v>
      </c>
      <c r="R207" s="46">
        <f t="shared" si="17"/>
        <v>4560227.5087326569</v>
      </c>
      <c r="T207" s="105"/>
      <c r="U207" s="49"/>
      <c r="V207" s="39"/>
    </row>
    <row r="208" spans="1:22" x14ac:dyDescent="0.25">
      <c r="A208" s="21">
        <v>42277</v>
      </c>
      <c r="B208" s="24">
        <f t="shared" si="14"/>
        <v>192</v>
      </c>
      <c r="C208" s="96" t="s">
        <v>340</v>
      </c>
      <c r="D208" s="27">
        <f>'BOGIX (Net)'!D208+(1.25/12)</f>
        <v>-8.9291673333333339</v>
      </c>
      <c r="E208" s="46">
        <f t="shared" si="15"/>
        <v>6095387.8218252044</v>
      </c>
      <c r="F208" s="12"/>
      <c r="G208" s="49">
        <f>(E208/E205-1)*100</f>
        <v>-15.073507801009278</v>
      </c>
      <c r="H208" s="49"/>
      <c r="I208" s="39"/>
      <c r="J208" s="20">
        <f t="shared" si="18"/>
        <v>42277</v>
      </c>
      <c r="K208" s="27">
        <v>-4.9062264035734069</v>
      </c>
      <c r="L208" s="46">
        <f t="shared" si="16"/>
        <v>3198047.5744983517</v>
      </c>
      <c r="M208" s="12"/>
      <c r="N208" s="49">
        <f>(L208/L205-1)*100</f>
        <v>-11.917472284374531</v>
      </c>
      <c r="O208" s="39"/>
      <c r="P208" s="20">
        <f t="shared" si="19"/>
        <v>42277</v>
      </c>
      <c r="Q208" s="27">
        <v>-3.4978919999999998</v>
      </c>
      <c r="R208" s="46">
        <f t="shared" si="17"/>
        <v>4400715.6755228983</v>
      </c>
      <c r="S208" s="37"/>
      <c r="T208" s="49">
        <f>(R208/R205-1)*100</f>
        <v>-9.2708682534048172</v>
      </c>
      <c r="U208" s="49"/>
      <c r="V208" s="39"/>
    </row>
    <row r="209" spans="1:26" x14ac:dyDescent="0.25">
      <c r="A209" s="21">
        <v>42308</v>
      </c>
      <c r="B209" s="24">
        <f t="shared" si="14"/>
        <v>193</v>
      </c>
      <c r="C209" s="96" t="s">
        <v>340</v>
      </c>
      <c r="D209" s="27">
        <f>'BOGIX (Net)'!D209+(1.25/12)</f>
        <v>7.9458666666666673</v>
      </c>
      <c r="E209" s="46">
        <f t="shared" si="15"/>
        <v>6579719.210963673</v>
      </c>
      <c r="F209" s="12"/>
      <c r="G209" s="49"/>
      <c r="H209" s="49"/>
      <c r="I209" s="39"/>
      <c r="J209" s="20">
        <f t="shared" si="18"/>
        <v>42308</v>
      </c>
      <c r="K209" s="27">
        <v>5.634204345986376</v>
      </c>
      <c r="L209" s="46">
        <f t="shared" si="16"/>
        <v>3378232.1099274498</v>
      </c>
      <c r="M209" s="12"/>
      <c r="N209" s="49"/>
      <c r="O209" s="39"/>
      <c r="P209" s="20">
        <f t="shared" si="19"/>
        <v>42308</v>
      </c>
      <c r="Q209" s="27">
        <v>6.0951789999999999</v>
      </c>
      <c r="R209" s="46">
        <f t="shared" si="17"/>
        <v>4668947.1732270783</v>
      </c>
      <c r="S209" s="37"/>
      <c r="T209" s="49"/>
      <c r="U209" s="49"/>
      <c r="V209" s="39"/>
    </row>
    <row r="210" spans="1:26" x14ac:dyDescent="0.25">
      <c r="A210" s="21">
        <v>42338</v>
      </c>
      <c r="B210" s="24">
        <f t="shared" ref="B210:B273" si="20">IF(A210&gt;A209,1+B209,"-")</f>
        <v>194</v>
      </c>
      <c r="C210" s="96" t="s">
        <v>340</v>
      </c>
      <c r="D210" s="27">
        <f>'BOGIX (Net)'!D210+(1.25/12)</f>
        <v>2.9923756666666663</v>
      </c>
      <c r="E210" s="46">
        <f t="shared" ref="E210:E273" si="21">E209*D210/100+E209</f>
        <v>6776609.1275675418</v>
      </c>
      <c r="F210" s="12"/>
      <c r="G210" s="49"/>
      <c r="H210" s="49"/>
      <c r="I210" s="39"/>
      <c r="J210" s="20">
        <f t="shared" si="18"/>
        <v>42338</v>
      </c>
      <c r="K210" s="27">
        <v>3.2529358603983836</v>
      </c>
      <c r="L210" s="46">
        <f t="shared" ref="L210:L273" si="22">L209*K210/100+L209</f>
        <v>3488123.8336787727</v>
      </c>
      <c r="M210" s="12"/>
      <c r="N210" s="49"/>
      <c r="O210" s="39"/>
      <c r="P210" s="20">
        <f t="shared" si="19"/>
        <v>42338</v>
      </c>
      <c r="Q210" s="27">
        <v>2.6707320000000001</v>
      </c>
      <c r="R210" s="46">
        <f t="shared" ref="R210:R273" si="23">R209*Q210/100+R209</f>
        <v>4793642.2394455494</v>
      </c>
      <c r="S210" s="37"/>
      <c r="T210" s="49"/>
      <c r="U210" s="49"/>
      <c r="V210" s="39"/>
      <c r="W210" s="92"/>
      <c r="Y210" s="61"/>
      <c r="Z210" s="16"/>
    </row>
    <row r="211" spans="1:26" x14ac:dyDescent="0.25">
      <c r="A211" s="21">
        <v>42369</v>
      </c>
      <c r="B211" s="24">
        <f t="shared" si="20"/>
        <v>195</v>
      </c>
      <c r="C211" s="96" t="s">
        <v>340</v>
      </c>
      <c r="D211" s="27">
        <f>'BOGIX (Net)'!D211+(1.25/12)</f>
        <v>-5.1811453333333333</v>
      </c>
      <c r="E211" s="46">
        <f t="shared" si="21"/>
        <v>6425503.1599963354</v>
      </c>
      <c r="F211" s="12">
        <f>(E211-E$199)/E$199*100</f>
        <v>-6.5239647374253504</v>
      </c>
      <c r="G211" s="49">
        <f>(E211/E208-1)*100</f>
        <v>5.4158217298186706</v>
      </c>
      <c r="H211" s="5"/>
      <c r="I211" s="39"/>
      <c r="J211" s="20">
        <f t="shared" si="18"/>
        <v>42369</v>
      </c>
      <c r="K211" s="27">
        <v>-5.0212707421467879</v>
      </c>
      <c r="L211" s="46">
        <f t="shared" si="22"/>
        <v>3312975.6921684118</v>
      </c>
      <c r="M211" s="12">
        <f>(L211-L$199)/L$199*100</f>
        <v>-4.4132425955799368</v>
      </c>
      <c r="N211" s="49">
        <f>(L211/L208-1)*100</f>
        <v>3.593696309789518</v>
      </c>
      <c r="O211" s="39"/>
      <c r="P211" s="20">
        <f t="shared" si="19"/>
        <v>42369</v>
      </c>
      <c r="Q211" s="27">
        <v>-4.8006900000000003</v>
      </c>
      <c r="R211" s="46">
        <f t="shared" si="23"/>
        <v>4563514.3358207112</v>
      </c>
      <c r="S211" s="12">
        <f>(R211-R$199)/R$199*100</f>
        <v>-2.0086216664734673</v>
      </c>
      <c r="T211" s="49">
        <f>(R211/R208-1)*100</f>
        <v>3.6993678369932281</v>
      </c>
      <c r="U211" s="49"/>
      <c r="V211" s="39"/>
      <c r="W211" s="109"/>
      <c r="Y211" s="61"/>
      <c r="Z211" s="16"/>
    </row>
    <row r="212" spans="1:26" x14ac:dyDescent="0.25">
      <c r="A212" s="21">
        <v>42400</v>
      </c>
      <c r="B212" s="24">
        <f t="shared" si="20"/>
        <v>196</v>
      </c>
      <c r="C212" s="96" t="s">
        <v>340</v>
      </c>
      <c r="D212" s="27">
        <f>'BOGIX (Net)'!D212+(1.25/12)</f>
        <v>-10.207193333333334</v>
      </c>
      <c r="E212" s="46">
        <f t="shared" si="21"/>
        <v>5769639.6298160665</v>
      </c>
      <c r="F212" s="12"/>
      <c r="G212" s="49"/>
      <c r="H212" s="49"/>
      <c r="I212" s="39"/>
      <c r="J212" s="20">
        <f t="shared" si="18"/>
        <v>42400</v>
      </c>
      <c r="K212" s="27">
        <v>-8.7951679430077974</v>
      </c>
      <c r="L212" s="46">
        <f t="shared" si="22"/>
        <v>3021593.9161311751</v>
      </c>
      <c r="M212" s="12"/>
      <c r="N212" s="49"/>
      <c r="O212" s="39"/>
      <c r="P212" s="20">
        <f t="shared" si="19"/>
        <v>42400</v>
      </c>
      <c r="Q212" s="27">
        <v>-6.1684559999999999</v>
      </c>
      <c r="R212" s="46">
        <f t="shared" si="23"/>
        <v>4282015.9619619185</v>
      </c>
      <c r="S212" s="12"/>
      <c r="T212" s="6"/>
      <c r="U212" s="49"/>
      <c r="V212" s="39"/>
      <c r="W212" s="36"/>
      <c r="Y212" s="61"/>
      <c r="Z212" s="16"/>
    </row>
    <row r="213" spans="1:26" x14ac:dyDescent="0.25">
      <c r="A213" s="21">
        <v>42429</v>
      </c>
      <c r="B213" s="24">
        <f t="shared" si="20"/>
        <v>197</v>
      </c>
      <c r="C213" s="96" t="s">
        <v>340</v>
      </c>
      <c r="D213" s="27">
        <f>'BOGIX (Net)'!D213+(1.25/12)</f>
        <v>2.5838786666666667</v>
      </c>
      <c r="E213" s="46">
        <f t="shared" si="21"/>
        <v>5918720.1173544293</v>
      </c>
      <c r="F213" s="104"/>
      <c r="G213" s="49"/>
      <c r="H213" s="49"/>
      <c r="I213" s="39"/>
      <c r="J213" s="20">
        <f t="shared" si="18"/>
        <v>42429</v>
      </c>
      <c r="K213" s="27">
        <v>-1.125449271752009E-2</v>
      </c>
      <c r="L213" s="46">
        <f t="shared" si="22"/>
        <v>3021253.8510639309</v>
      </c>
      <c r="M213" s="104"/>
      <c r="N213" s="49"/>
      <c r="O213" s="39"/>
      <c r="P213" s="20">
        <f t="shared" si="19"/>
        <v>42429</v>
      </c>
      <c r="Q213" s="27">
        <v>1.111027</v>
      </c>
      <c r="R213" s="46">
        <f t="shared" si="23"/>
        <v>4329590.3154436247</v>
      </c>
      <c r="S213" s="104"/>
      <c r="T213" s="6"/>
      <c r="U213" s="49"/>
      <c r="V213" s="39"/>
      <c r="W213" s="36"/>
      <c r="Y213" s="61"/>
      <c r="Z213" s="16"/>
    </row>
    <row r="214" spans="1:26" x14ac:dyDescent="0.25">
      <c r="A214" s="21">
        <v>42460</v>
      </c>
      <c r="B214" s="24">
        <f t="shared" si="20"/>
        <v>198</v>
      </c>
      <c r="C214" s="96" t="s">
        <v>340</v>
      </c>
      <c r="D214" s="27">
        <f>'BOGIX (Net)'!D214+(1.25/12)</f>
        <v>9.9589836666666667</v>
      </c>
      <c r="E214" s="46">
        <f t="shared" si="21"/>
        <v>6508164.4871174712</v>
      </c>
      <c r="F214" s="104"/>
      <c r="G214" s="49">
        <f>(E214/E211-1)*100</f>
        <v>1.2864568744711757</v>
      </c>
      <c r="H214" s="49"/>
      <c r="I214" s="39"/>
      <c r="J214" s="20">
        <f t="shared" si="18"/>
        <v>42460</v>
      </c>
      <c r="K214" s="27">
        <v>7.9811016800056063</v>
      </c>
      <c r="L214" s="46">
        <f t="shared" si="22"/>
        <v>3262383.1929284283</v>
      </c>
      <c r="M214" s="104"/>
      <c r="N214" s="49">
        <f>(L214/L211-1)*100</f>
        <v>-1.5271014320926035</v>
      </c>
      <c r="O214" s="39"/>
      <c r="P214" s="20">
        <f t="shared" si="19"/>
        <v>42460</v>
      </c>
      <c r="Q214" s="27">
        <v>8.19848</v>
      </c>
      <c r="R214" s="46">
        <f t="shared" si="23"/>
        <v>4684550.9115372077</v>
      </c>
      <c r="S214" s="106"/>
      <c r="T214" s="49">
        <f>(R214/R211-1)*100</f>
        <v>2.6522668016277562</v>
      </c>
      <c r="U214" s="49"/>
      <c r="V214" s="39"/>
      <c r="W214" s="36"/>
      <c r="Y214" s="61"/>
      <c r="Z214" s="16"/>
    </row>
    <row r="215" spans="1:26" x14ac:dyDescent="0.25">
      <c r="A215" s="21">
        <v>42490</v>
      </c>
      <c r="B215" s="24">
        <f t="shared" si="20"/>
        <v>199</v>
      </c>
      <c r="C215" s="96" t="s">
        <v>340</v>
      </c>
      <c r="D215" s="27">
        <f>'BOGIX (Net)'!D215+(1.25/12)</f>
        <v>2.8274346666666665</v>
      </c>
      <c r="E215" s="46">
        <f t="shared" si="21"/>
        <v>6692178.5859899195</v>
      </c>
      <c r="F215" s="112"/>
      <c r="G215" s="49"/>
      <c r="H215" s="49"/>
      <c r="I215" s="39"/>
      <c r="J215" s="20">
        <f t="shared" si="18"/>
        <v>42490</v>
      </c>
      <c r="K215" s="27">
        <v>1.5694968610604174</v>
      </c>
      <c r="L215" s="46">
        <f t="shared" si="22"/>
        <v>3313586.1947372025</v>
      </c>
      <c r="M215" s="112"/>
      <c r="N215" s="49"/>
      <c r="O215" s="39"/>
      <c r="P215" s="20">
        <f t="shared" si="19"/>
        <v>42490</v>
      </c>
      <c r="Q215" s="27">
        <v>1.1739580000000001</v>
      </c>
      <c r="R215" s="46">
        <f t="shared" si="23"/>
        <v>4739545.5717272712</v>
      </c>
      <c r="S215" s="106"/>
      <c r="T215" s="49"/>
      <c r="U215" s="49"/>
      <c r="V215" s="39"/>
      <c r="W215" s="36"/>
      <c r="Y215" s="61"/>
      <c r="Z215" s="16"/>
    </row>
    <row r="216" spans="1:26" x14ac:dyDescent="0.25">
      <c r="A216" s="21">
        <v>42521</v>
      </c>
      <c r="B216" s="24">
        <f t="shared" si="20"/>
        <v>200</v>
      </c>
      <c r="C216" s="96" t="s">
        <v>340</v>
      </c>
      <c r="D216" s="27">
        <f>'BOGIX (Net)'!D216+(1.25/12)</f>
        <v>0.61098926666666664</v>
      </c>
      <c r="E216" s="46">
        <f t="shared" si="21"/>
        <v>6733067.0788564831</v>
      </c>
      <c r="F216" s="112"/>
      <c r="G216" s="138"/>
      <c r="H216" s="49"/>
      <c r="I216" s="39"/>
      <c r="J216" s="20">
        <f t="shared" ref="J216:J295" si="24">$A216</f>
        <v>42521</v>
      </c>
      <c r="K216" s="27">
        <v>2.2518361605255559</v>
      </c>
      <c r="L216" s="46">
        <f t="shared" si="22"/>
        <v>3388202.7268804777</v>
      </c>
      <c r="M216" s="112"/>
      <c r="N216" s="138"/>
      <c r="O216" s="39"/>
      <c r="P216" s="20">
        <f t="shared" ref="P216:P281" si="25">$A216</f>
        <v>42521</v>
      </c>
      <c r="Q216" s="27">
        <v>1.656118</v>
      </c>
      <c r="R216" s="46">
        <f t="shared" si="23"/>
        <v>4818038.0390588492</v>
      </c>
      <c r="S216" s="106"/>
      <c r="T216" s="130"/>
      <c r="U216" s="49"/>
      <c r="V216" s="39"/>
      <c r="W216" s="36"/>
      <c r="Y216" s="61"/>
      <c r="Z216" s="16"/>
    </row>
    <row r="217" spans="1:26" x14ac:dyDescent="0.25">
      <c r="A217" s="21">
        <v>42551</v>
      </c>
      <c r="B217" s="24">
        <f t="shared" si="20"/>
        <v>201</v>
      </c>
      <c r="C217" s="96" t="s">
        <v>340</v>
      </c>
      <c r="D217" s="27">
        <f>'BOGIX (Net)'!D217+(1.25/12)</f>
        <v>-2.2232193333333337</v>
      </c>
      <c r="E217" s="46">
        <f t="shared" si="21"/>
        <v>6583376.2298330441</v>
      </c>
      <c r="F217" s="104"/>
      <c r="G217" s="131">
        <f>(E217/E214-1)*100</f>
        <v>1.1556521483814697</v>
      </c>
      <c r="H217" s="49"/>
      <c r="I217" s="39"/>
      <c r="J217" s="20">
        <f t="shared" si="24"/>
        <v>42551</v>
      </c>
      <c r="K217" s="27">
        <v>-6.3906032296119186E-2</v>
      </c>
      <c r="L217" s="46">
        <f t="shared" si="22"/>
        <v>3386037.4609515797</v>
      </c>
      <c r="M217" s="104"/>
      <c r="N217" s="131">
        <f>(L217/L214-1)*100</f>
        <v>3.7903048388425287</v>
      </c>
      <c r="O217" s="39"/>
      <c r="P217" s="20">
        <f t="shared" si="25"/>
        <v>42551</v>
      </c>
      <c r="Q217" s="27">
        <v>0.60744659999999995</v>
      </c>
      <c r="R217" s="46">
        <f t="shared" si="23"/>
        <v>4847305.0473138187</v>
      </c>
      <c r="S217" s="106"/>
      <c r="T217" s="131">
        <f>(R217/R214-1)*100</f>
        <v>3.474274030745983</v>
      </c>
      <c r="U217" s="49"/>
      <c r="V217" s="39"/>
      <c r="W217" s="36"/>
      <c r="Y217" s="61"/>
      <c r="Z217" s="16"/>
    </row>
    <row r="218" spans="1:26" x14ac:dyDescent="0.25">
      <c r="A218" s="21">
        <v>42582</v>
      </c>
      <c r="B218" s="24">
        <f t="shared" si="20"/>
        <v>202</v>
      </c>
      <c r="C218" s="96" t="s">
        <v>340</v>
      </c>
      <c r="D218" s="27">
        <f>'BOGIX (Net)'!D218+(1.25/12)</f>
        <v>7.2924116666666672</v>
      </c>
      <c r="E218" s="46">
        <f t="shared" si="21"/>
        <v>7063463.1260779491</v>
      </c>
      <c r="F218" s="104"/>
      <c r="G218" s="139"/>
      <c r="H218" s="49"/>
      <c r="I218" s="39"/>
      <c r="J218" s="20">
        <f t="shared" si="24"/>
        <v>42582</v>
      </c>
      <c r="K218" s="27">
        <v>5.9706867954982137</v>
      </c>
      <c r="L218" s="46">
        <f t="shared" si="22"/>
        <v>3588207.1525232387</v>
      </c>
      <c r="M218" s="104"/>
      <c r="N218" s="139"/>
      <c r="O218" s="39"/>
      <c r="P218" s="20">
        <f t="shared" si="25"/>
        <v>42582</v>
      </c>
      <c r="Q218" s="27">
        <v>5.090192</v>
      </c>
      <c r="R218" s="46">
        <f t="shared" si="23"/>
        <v>5094042.1810477832</v>
      </c>
      <c r="S218" s="104"/>
      <c r="T218" s="104"/>
      <c r="U218" s="49"/>
      <c r="V218" s="39"/>
      <c r="W218" s="36"/>
    </row>
    <row r="219" spans="1:26" x14ac:dyDescent="0.25">
      <c r="A219" s="21">
        <v>42613</v>
      </c>
      <c r="B219" s="24">
        <f t="shared" si="20"/>
        <v>203</v>
      </c>
      <c r="C219" s="96" t="s">
        <v>340</v>
      </c>
      <c r="D219" s="27">
        <f>'BOGIX (Net)'!D219+(1.25/12)</f>
        <v>0.14121742666666667</v>
      </c>
      <c r="E219" s="46">
        <f t="shared" si="21"/>
        <v>7073437.9669381455</v>
      </c>
      <c r="F219" s="104"/>
      <c r="G219" s="139"/>
      <c r="H219" s="49"/>
      <c r="I219" s="39"/>
      <c r="J219" s="20">
        <f t="shared" si="24"/>
        <v>42613</v>
      </c>
      <c r="K219" s="27">
        <v>1.7677409666168633</v>
      </c>
      <c r="L219" s="46">
        <f t="shared" si="22"/>
        <v>3651637.3603254682</v>
      </c>
      <c r="M219" s="104"/>
      <c r="N219" s="139"/>
      <c r="O219" s="39"/>
      <c r="P219" s="20">
        <f t="shared" si="25"/>
        <v>42613</v>
      </c>
      <c r="Q219" s="27">
        <v>1.355297</v>
      </c>
      <c r="R219" s="46">
        <f t="shared" si="23"/>
        <v>5163081.5819062581</v>
      </c>
      <c r="S219" s="104"/>
      <c r="T219" s="104"/>
      <c r="U219" s="49"/>
      <c r="V219" s="39"/>
      <c r="W219" s="36"/>
    </row>
    <row r="220" spans="1:26" x14ac:dyDescent="0.25">
      <c r="A220" s="21">
        <v>42643</v>
      </c>
      <c r="B220" s="24">
        <f t="shared" si="20"/>
        <v>204</v>
      </c>
      <c r="C220" s="96" t="s">
        <v>340</v>
      </c>
      <c r="D220" s="27">
        <f>'BOGIX (Net)'!D220+(1.25/12)</f>
        <v>3.8819446666666666</v>
      </c>
      <c r="E220" s="46">
        <f t="shared" si="21"/>
        <v>7348024.9148456762</v>
      </c>
      <c r="F220" s="104"/>
      <c r="G220" s="106">
        <f>(E220/E$217-1)*100</f>
        <v>11.614841052947433</v>
      </c>
      <c r="H220" s="49"/>
      <c r="I220" s="39"/>
      <c r="J220" s="20">
        <f t="shared" si="24"/>
        <v>42643</v>
      </c>
      <c r="K220" s="27">
        <v>1.113824774447457</v>
      </c>
      <c r="L220" s="46">
        <f t="shared" si="22"/>
        <v>3692310.2019177526</v>
      </c>
      <c r="M220" s="104"/>
      <c r="N220" s="106">
        <f>(L220/L$217-1)*100</f>
        <v>9.0451669391779621</v>
      </c>
      <c r="O220" s="39"/>
      <c r="P220" s="20">
        <f t="shared" si="25"/>
        <v>42643</v>
      </c>
      <c r="Q220" s="27">
        <v>0.63964160000000003</v>
      </c>
      <c r="R220" s="46">
        <f t="shared" si="23"/>
        <v>5196106.7995460685</v>
      </c>
      <c r="S220" s="104"/>
      <c r="T220" s="106">
        <f>(R220/R$217-1)*100</f>
        <v>7.195787119392083</v>
      </c>
      <c r="U220" s="49"/>
      <c r="V220" s="39"/>
      <c r="W220" s="36"/>
    </row>
    <row r="221" spans="1:26" x14ac:dyDescent="0.25">
      <c r="A221" s="21">
        <v>42674</v>
      </c>
      <c r="B221" s="24">
        <f t="shared" si="20"/>
        <v>205</v>
      </c>
      <c r="C221" s="96" t="s">
        <v>340</v>
      </c>
      <c r="D221" s="27">
        <f>'BOGIX (Net)'!D221+(1.25/12)</f>
        <v>-5.6060403333333326</v>
      </c>
      <c r="E221" s="46">
        <f t="shared" si="21"/>
        <v>6936091.6744160457</v>
      </c>
      <c r="F221" s="104"/>
      <c r="H221" s="49"/>
      <c r="I221" s="39"/>
      <c r="J221" s="20">
        <f t="shared" si="24"/>
        <v>42674</v>
      </c>
      <c r="K221" s="27">
        <v>-4.7540048686390586</v>
      </c>
      <c r="L221" s="46">
        <f t="shared" si="22"/>
        <v>3516777.5951533262</v>
      </c>
      <c r="O221" s="39"/>
      <c r="P221" s="20">
        <f t="shared" si="25"/>
        <v>42674</v>
      </c>
      <c r="Q221" s="27">
        <v>-4.4758680000000002</v>
      </c>
      <c r="R221" s="46">
        <f t="shared" si="23"/>
        <v>4963535.9180593621</v>
      </c>
      <c r="U221" s="49"/>
      <c r="V221" s="39"/>
      <c r="W221" s="36"/>
    </row>
    <row r="222" spans="1:26" x14ac:dyDescent="0.25">
      <c r="A222" s="21">
        <v>42704</v>
      </c>
      <c r="B222" s="24">
        <f t="shared" si="20"/>
        <v>206</v>
      </c>
      <c r="C222" s="96" t="s">
        <v>340</v>
      </c>
      <c r="D222" s="27">
        <f>'BOGIX (Net)'!D222+(1.25/12)</f>
        <v>11.118546666666665</v>
      </c>
      <c r="E222" s="46">
        <f t="shared" si="21"/>
        <v>7707284.2640787754</v>
      </c>
      <c r="F222" s="104"/>
      <c r="G222" s="139"/>
      <c r="H222" s="49"/>
      <c r="I222" s="39"/>
      <c r="J222" s="20">
        <f t="shared" si="24"/>
        <v>42704</v>
      </c>
      <c r="K222" s="27">
        <v>11.137505370213507</v>
      </c>
      <c r="L222" s="46">
        <f t="shared" si="22"/>
        <v>3908458.8886719933</v>
      </c>
      <c r="M222" s="104"/>
      <c r="N222" s="139"/>
      <c r="O222" s="39"/>
      <c r="P222" s="20">
        <f t="shared" si="25"/>
        <v>42704</v>
      </c>
      <c r="Q222" s="27">
        <v>12.52933</v>
      </c>
      <c r="R222" s="46">
        <f t="shared" si="23"/>
        <v>5585433.7129015494</v>
      </c>
      <c r="S222" s="104"/>
      <c r="T222" s="104"/>
      <c r="U222" s="49"/>
      <c r="V222" s="39"/>
      <c r="W222" s="36"/>
    </row>
    <row r="223" spans="1:26" x14ac:dyDescent="0.25">
      <c r="A223" s="21">
        <v>42735</v>
      </c>
      <c r="B223" s="24">
        <f t="shared" si="20"/>
        <v>207</v>
      </c>
      <c r="C223" s="96" t="s">
        <v>340</v>
      </c>
      <c r="D223" s="27">
        <f>'BOGIX (Net)'!D223+(1.25/12)</f>
        <v>1.0929153666666667</v>
      </c>
      <c r="E223" s="46">
        <f t="shared" si="21"/>
        <v>7791518.3581535742</v>
      </c>
      <c r="F223" s="112">
        <f>(E223/E$211-1)*100</f>
        <v>21.259272062330091</v>
      </c>
      <c r="G223" s="106">
        <v>1.68</v>
      </c>
      <c r="H223" s="5"/>
      <c r="I223" s="39"/>
      <c r="J223" s="20">
        <f t="shared" si="24"/>
        <v>42735</v>
      </c>
      <c r="K223" s="27">
        <v>2.8005428284200691</v>
      </c>
      <c r="L223" s="46">
        <f t="shared" si="22"/>
        <v>4017916.9537804434</v>
      </c>
      <c r="M223" s="112">
        <f>(L223/L$211-1)*100</f>
        <v>21.27818997520723</v>
      </c>
      <c r="N223" s="106">
        <f>(L223/L$220-1)*100</f>
        <v>8.8185102024627824</v>
      </c>
      <c r="O223" s="39"/>
      <c r="P223" s="20">
        <f t="shared" si="25"/>
        <v>42735</v>
      </c>
      <c r="Q223" s="27">
        <v>3.319283</v>
      </c>
      <c r="R223" s="46">
        <f t="shared" si="23"/>
        <v>5770830.064610159</v>
      </c>
      <c r="S223" s="112">
        <f>(R223/R$211-1)*100</f>
        <v>26.455832938066614</v>
      </c>
      <c r="T223" s="106">
        <f>(R223/R$220-1)*100</f>
        <v>11.060651507669128</v>
      </c>
      <c r="U223" s="49"/>
      <c r="V223" s="39"/>
      <c r="W223" s="36"/>
    </row>
    <row r="224" spans="1:26" x14ac:dyDescent="0.25">
      <c r="A224" s="21">
        <v>42766</v>
      </c>
      <c r="B224" s="24">
        <f t="shared" si="20"/>
        <v>208</v>
      </c>
      <c r="C224" s="96" t="s">
        <v>340</v>
      </c>
      <c r="D224" s="27">
        <f>'BOGIX (Net)'!D224+(1.25/12)</f>
        <v>2.2986296666666663</v>
      </c>
      <c r="E224" s="46">
        <f t="shared" si="21"/>
        <v>7970616.5106178718</v>
      </c>
      <c r="F224" s="22"/>
      <c r="H224" s="49"/>
      <c r="I224" s="39"/>
      <c r="J224" s="20">
        <f t="shared" si="24"/>
        <v>42766</v>
      </c>
      <c r="K224" s="27">
        <v>0.39328651542358017</v>
      </c>
      <c r="L224" s="46">
        <f t="shared" si="22"/>
        <v>4033718.8793605799</v>
      </c>
      <c r="O224" s="39"/>
      <c r="P224" s="20">
        <f t="shared" si="25"/>
        <v>42766</v>
      </c>
      <c r="Q224" s="27">
        <v>-0.4037152</v>
      </c>
      <c r="R224" s="46">
        <f t="shared" si="23"/>
        <v>5747532.3464731583</v>
      </c>
      <c r="U224" s="49"/>
      <c r="V224" s="39"/>
      <c r="W224" s="36"/>
    </row>
    <row r="225" spans="1:24" x14ac:dyDescent="0.25">
      <c r="A225" s="21">
        <v>42794</v>
      </c>
      <c r="B225" s="24">
        <f t="shared" si="20"/>
        <v>209</v>
      </c>
      <c r="C225" s="96" t="s">
        <v>340</v>
      </c>
      <c r="D225" s="27">
        <f>'BOGIX (Net)'!D225+(1.25/12)</f>
        <v>1.3595346666666668</v>
      </c>
      <c r="E225" s="46">
        <f t="shared" si="21"/>
        <v>8078979.8052267786</v>
      </c>
      <c r="F225" s="22"/>
      <c r="H225" s="49"/>
      <c r="I225" s="39"/>
      <c r="J225" s="20">
        <f t="shared" si="24"/>
        <v>42794</v>
      </c>
      <c r="K225" s="27">
        <v>1.925907515637346</v>
      </c>
      <c r="L225" s="46">
        <f t="shared" si="22"/>
        <v>4111404.5744178677</v>
      </c>
      <c r="M225" s="112"/>
      <c r="O225" s="39"/>
      <c r="P225" s="20">
        <f t="shared" si="25"/>
        <v>42794</v>
      </c>
      <c r="Q225" s="27">
        <v>1.581653</v>
      </c>
      <c r="R225" s="46">
        <f t="shared" si="23"/>
        <v>5838438.3642571215</v>
      </c>
      <c r="U225" s="49"/>
      <c r="V225" s="39"/>
      <c r="W225" s="36"/>
    </row>
    <row r="226" spans="1:24" x14ac:dyDescent="0.25">
      <c r="A226" s="21">
        <v>42825</v>
      </c>
      <c r="B226" s="24">
        <f t="shared" si="20"/>
        <v>210</v>
      </c>
      <c r="C226" s="96" t="s">
        <v>340</v>
      </c>
      <c r="D226" s="27">
        <f>'BOGIX (Net)'!D226+(1.25/12)</f>
        <v>-0.71149403333333339</v>
      </c>
      <c r="E226" s="46">
        <f t="shared" si="21"/>
        <v>8021498.3459583847</v>
      </c>
      <c r="F226" s="22"/>
      <c r="G226" s="106">
        <f>(E226/E$223-1)*100</f>
        <v>2.951670999583067</v>
      </c>
      <c r="H226" s="49"/>
      <c r="I226" s="39"/>
      <c r="J226" s="20">
        <f t="shared" si="24"/>
        <v>42825</v>
      </c>
      <c r="K226" s="27">
        <v>0.13084916475280836</v>
      </c>
      <c r="L226" s="46">
        <f t="shared" si="22"/>
        <v>4116784.312963102</v>
      </c>
      <c r="N226" s="106">
        <f>(L226/L$223-1)*100</f>
        <v>2.4606620873444118</v>
      </c>
      <c r="O226" s="39"/>
      <c r="P226" s="20">
        <f t="shared" si="25"/>
        <v>42825</v>
      </c>
      <c r="Q226" s="27">
        <v>-0.1227819</v>
      </c>
      <c r="R226" s="46">
        <f t="shared" si="23"/>
        <v>5831269.8187031578</v>
      </c>
      <c r="S226" s="112"/>
      <c r="T226" s="106">
        <f>(R226/R$223-1)*100</f>
        <v>1.0473320720990831</v>
      </c>
      <c r="U226" s="49"/>
      <c r="V226" s="39"/>
      <c r="W226" s="36"/>
    </row>
    <row r="227" spans="1:24" x14ac:dyDescent="0.25">
      <c r="A227" s="21">
        <v>42855</v>
      </c>
      <c r="B227" s="24">
        <f t="shared" si="20"/>
        <v>211</v>
      </c>
      <c r="C227" s="96" t="s">
        <v>340</v>
      </c>
      <c r="D227" s="27">
        <f>'BOGIX (Net)'!D227+(1.25/12)</f>
        <v>1.5248076666666668</v>
      </c>
      <c r="E227" s="46">
        <f t="shared" si="21"/>
        <v>8143810.7677190984</v>
      </c>
      <c r="F227" s="106"/>
      <c r="H227" s="49"/>
      <c r="I227" s="39"/>
      <c r="J227" s="20">
        <f t="shared" si="24"/>
        <v>42855</v>
      </c>
      <c r="K227" s="27">
        <v>1.0966058849237992</v>
      </c>
      <c r="L227" s="46">
        <f t="shared" si="22"/>
        <v>4161929.2120086751</v>
      </c>
      <c r="M227" s="106"/>
      <c r="O227" s="39"/>
      <c r="P227" s="20">
        <f t="shared" si="25"/>
        <v>42855</v>
      </c>
      <c r="Q227" s="27">
        <v>0.90167149999999996</v>
      </c>
      <c r="R227" s="46">
        <f t="shared" si="23"/>
        <v>5883848.7167465063</v>
      </c>
      <c r="U227" s="49"/>
      <c r="V227" s="39"/>
      <c r="X227" s="189"/>
    </row>
    <row r="228" spans="1:24" x14ac:dyDescent="0.25">
      <c r="A228" s="21">
        <v>42886</v>
      </c>
      <c r="B228" s="24">
        <f t="shared" si="20"/>
        <v>212</v>
      </c>
      <c r="C228" s="96" t="s">
        <v>340</v>
      </c>
      <c r="D228" s="27">
        <f>'BOGIX (Net)'!D228+(1.25/12)</f>
        <v>-3.8912923333333334</v>
      </c>
      <c r="E228" s="46">
        <f t="shared" si="21"/>
        <v>7826911.2836736701</v>
      </c>
      <c r="F228" s="22"/>
      <c r="H228" s="49"/>
      <c r="I228" s="39"/>
      <c r="J228" s="20">
        <f t="shared" si="24"/>
        <v>42886</v>
      </c>
      <c r="K228" s="27">
        <v>-2.0343905575018346</v>
      </c>
      <c r="L228" s="46">
        <f t="shared" si="22"/>
        <v>4077259.3171096602</v>
      </c>
      <c r="M228" s="106"/>
      <c r="O228" s="39"/>
      <c r="P228" s="20">
        <f t="shared" si="25"/>
        <v>42886</v>
      </c>
      <c r="Q228" s="27">
        <v>-2.1271629999999999</v>
      </c>
      <c r="R228" s="46">
        <f t="shared" si="23"/>
        <v>5758689.6638679001</v>
      </c>
      <c r="U228" s="49"/>
      <c r="V228" s="39"/>
      <c r="X228" s="1"/>
    </row>
    <row r="229" spans="1:24" x14ac:dyDescent="0.25">
      <c r="A229" s="21">
        <v>42916</v>
      </c>
      <c r="B229" s="24">
        <f t="shared" si="20"/>
        <v>213</v>
      </c>
      <c r="C229" s="96" t="s">
        <v>340</v>
      </c>
      <c r="D229" s="27">
        <f>'BOGIX (Net)'!D229+(1.25/12)</f>
        <v>3.0095726666666667</v>
      </c>
      <c r="E229" s="46">
        <f t="shared" si="21"/>
        <v>8062467.866311362</v>
      </c>
      <c r="F229" s="112"/>
      <c r="G229" s="106">
        <f>(E229/E$226-1)*100</f>
        <v>0.51074647884978841</v>
      </c>
      <c r="H229" s="49"/>
      <c r="I229" s="39"/>
      <c r="J229" s="20">
        <f t="shared" si="24"/>
        <v>42916</v>
      </c>
      <c r="K229" s="27">
        <v>3.4550215532803126</v>
      </c>
      <c r="L229" s="46">
        <f t="shared" si="22"/>
        <v>4218129.5052989284</v>
      </c>
      <c r="M229" s="112"/>
      <c r="N229" s="106">
        <f>(L229/L$226-1)*100</f>
        <v>2.4617561822878775</v>
      </c>
      <c r="O229" s="39"/>
      <c r="P229" s="20">
        <f t="shared" si="25"/>
        <v>42916</v>
      </c>
      <c r="Q229" s="27">
        <v>2.9931709999999998</v>
      </c>
      <c r="R229" s="46">
        <f t="shared" si="23"/>
        <v>5931057.0928667914</v>
      </c>
      <c r="S229" s="112"/>
      <c r="T229" s="106">
        <f>(R229/R$226-1)*100</f>
        <v>1.7112443304128533</v>
      </c>
      <c r="U229" s="49"/>
      <c r="V229" s="39"/>
      <c r="X229" s="61"/>
    </row>
    <row r="230" spans="1:24" x14ac:dyDescent="0.25">
      <c r="A230" s="21">
        <v>42947</v>
      </c>
      <c r="B230" s="24">
        <f t="shared" si="20"/>
        <v>214</v>
      </c>
      <c r="C230" s="96" t="s">
        <v>340</v>
      </c>
      <c r="D230" s="27">
        <f>'BOGIX (Net)'!D230+(1.25/12)</f>
        <v>5.0614876666666673</v>
      </c>
      <c r="E230" s="46">
        <f t="shared" si="21"/>
        <v>8470548.6829936747</v>
      </c>
      <c r="F230" s="112"/>
      <c r="G230" s="106"/>
      <c r="H230" s="49"/>
      <c r="I230" s="39"/>
      <c r="J230" s="20">
        <f t="shared" si="24"/>
        <v>42947</v>
      </c>
      <c r="K230" s="27">
        <v>0.74206765933175201</v>
      </c>
      <c r="L230" s="46">
        <f t="shared" si="22"/>
        <v>4249430.8801864823</v>
      </c>
      <c r="M230" s="112"/>
      <c r="O230" s="39"/>
      <c r="P230" s="20">
        <f t="shared" si="25"/>
        <v>42947</v>
      </c>
      <c r="Q230" s="27">
        <v>0.96867360000000002</v>
      </c>
      <c r="R230" s="46">
        <f t="shared" si="23"/>
        <v>5988509.6771263191</v>
      </c>
      <c r="S230" s="112"/>
      <c r="U230" s="49"/>
      <c r="V230" s="39"/>
    </row>
    <row r="231" spans="1:24" x14ac:dyDescent="0.25">
      <c r="A231" s="21">
        <v>42978</v>
      </c>
      <c r="B231" s="24">
        <f t="shared" si="20"/>
        <v>215</v>
      </c>
      <c r="C231" s="96" t="s">
        <v>340</v>
      </c>
      <c r="D231" s="27">
        <f>'BOGIX (Net)'!D231+(1.25/12)</f>
        <v>0.32312196666666665</v>
      </c>
      <c r="E231" s="46">
        <f t="shared" si="21"/>
        <v>8497918.8864856213</v>
      </c>
      <c r="F231" s="112"/>
      <c r="G231" s="106"/>
      <c r="H231" s="49"/>
      <c r="I231" s="39"/>
      <c r="J231" s="20">
        <f t="shared" si="24"/>
        <v>42978</v>
      </c>
      <c r="K231" s="27">
        <v>-1.2722891480434002</v>
      </c>
      <c r="L231" s="46">
        <f t="shared" si="22"/>
        <v>4195365.8322442649</v>
      </c>
      <c r="M231" s="112"/>
      <c r="O231" s="39"/>
      <c r="P231" s="20">
        <f t="shared" si="25"/>
        <v>42978</v>
      </c>
      <c r="Q231" s="27">
        <v>-2.5649670000000002</v>
      </c>
      <c r="R231" s="46">
        <f t="shared" si="23"/>
        <v>5834906.3801162224</v>
      </c>
      <c r="S231" s="112"/>
      <c r="U231" s="49"/>
      <c r="V231" s="39"/>
    </row>
    <row r="232" spans="1:24" x14ac:dyDescent="0.25">
      <c r="A232" s="21">
        <v>43008</v>
      </c>
      <c r="B232" s="24">
        <f t="shared" si="20"/>
        <v>216</v>
      </c>
      <c r="C232" s="96" t="s">
        <v>340</v>
      </c>
      <c r="D232" s="27">
        <f>'BOGIX (Net)'!D232+(1.25/12)</f>
        <v>4.4737046666666673</v>
      </c>
      <c r="E232" s="46">
        <f t="shared" si="21"/>
        <v>8878090.680279877</v>
      </c>
      <c r="F232" s="112"/>
      <c r="G232" s="106">
        <f>(E232/E$229-1)*100</f>
        <v>10.116292275427918</v>
      </c>
      <c r="H232" s="49"/>
      <c r="I232" s="39"/>
      <c r="J232" s="20">
        <f t="shared" si="24"/>
        <v>43008</v>
      </c>
      <c r="K232" s="27">
        <v>6.2398253684003659</v>
      </c>
      <c r="L232" s="46">
        <f t="shared" si="22"/>
        <v>4457149.3337418437</v>
      </c>
      <c r="M232" s="112"/>
      <c r="N232" s="106">
        <f>(L232/L$229-1)*100</f>
        <v>5.6664886211448051</v>
      </c>
      <c r="O232" s="39"/>
      <c r="P232" s="20">
        <f t="shared" si="25"/>
        <v>43008</v>
      </c>
      <c r="Q232" s="27">
        <v>7.7084029999999997</v>
      </c>
      <c r="R232" s="46">
        <f t="shared" si="23"/>
        <v>6284684.4785682932</v>
      </c>
      <c r="S232" s="112"/>
      <c r="T232" s="106">
        <f>(R232/R$229-1)*100</f>
        <v>5.9622994714855215</v>
      </c>
      <c r="U232" s="49"/>
      <c r="V232" s="39"/>
    </row>
    <row r="233" spans="1:24" x14ac:dyDescent="0.25">
      <c r="A233" s="21">
        <v>43039</v>
      </c>
      <c r="B233" s="24">
        <f t="shared" si="20"/>
        <v>217</v>
      </c>
      <c r="C233" s="96" t="s">
        <v>340</v>
      </c>
      <c r="D233" s="27">
        <f>'BOGIX (Net)'!D233+(1.25/12)</f>
        <v>2.9450756666666664</v>
      </c>
      <c r="E233" s="46">
        <f t="shared" si="21"/>
        <v>9139557.1685694009</v>
      </c>
      <c r="F233" s="142"/>
      <c r="H233" s="49"/>
      <c r="I233" s="39"/>
      <c r="J233" s="20">
        <f t="shared" si="24"/>
        <v>43039</v>
      </c>
      <c r="K233" s="27">
        <v>0.85147616539708126</v>
      </c>
      <c r="L233" s="46">
        <f t="shared" si="22"/>
        <v>4495100.8979748106</v>
      </c>
      <c r="O233" s="39"/>
      <c r="P233" s="20">
        <f t="shared" si="25"/>
        <v>43039</v>
      </c>
      <c r="Q233" s="27">
        <v>0.94945849999999998</v>
      </c>
      <c r="R233" s="46">
        <f t="shared" si="23"/>
        <v>6344354.9495482408</v>
      </c>
      <c r="U233" s="49"/>
      <c r="V233" s="39"/>
    </row>
    <row r="234" spans="1:24" x14ac:dyDescent="0.25">
      <c r="A234" s="21">
        <v>43069</v>
      </c>
      <c r="B234" s="24">
        <f t="shared" si="20"/>
        <v>218</v>
      </c>
      <c r="C234" s="96" t="s">
        <v>340</v>
      </c>
      <c r="D234" s="27">
        <f>'BOGIX (Net)'!D234+(1.25/12)</f>
        <v>-0.97172733333333328</v>
      </c>
      <c r="E234" s="46">
        <f t="shared" si="21"/>
        <v>9050745.5934167858</v>
      </c>
      <c r="F234" s="112"/>
      <c r="H234" s="49"/>
      <c r="I234" s="39"/>
      <c r="J234" s="20">
        <f t="shared" si="24"/>
        <v>43069</v>
      </c>
      <c r="K234" s="27">
        <v>2.8792520157457955</v>
      </c>
      <c r="L234" s="46">
        <f t="shared" si="22"/>
        <v>4624526.1811895575</v>
      </c>
      <c r="M234" s="112"/>
      <c r="O234" s="39"/>
      <c r="P234" s="20">
        <f t="shared" si="25"/>
        <v>43069</v>
      </c>
      <c r="Q234" s="27">
        <v>3.5094460000000001</v>
      </c>
      <c r="R234" s="46">
        <f t="shared" si="23"/>
        <v>6567006.6605509631</v>
      </c>
      <c r="U234" s="49"/>
      <c r="V234" s="39"/>
    </row>
    <row r="235" spans="1:24" x14ac:dyDescent="0.25">
      <c r="A235" s="21">
        <v>43100</v>
      </c>
      <c r="B235" s="24">
        <f t="shared" si="20"/>
        <v>219</v>
      </c>
      <c r="C235" s="96" t="s">
        <v>340</v>
      </c>
      <c r="D235" s="27">
        <f>'BOGIX (Net)'!D235+(1.25/12)</f>
        <v>2.0288926666666667</v>
      </c>
      <c r="E235" s="46">
        <f t="shared" si="21"/>
        <v>9234375.5070402753</v>
      </c>
      <c r="F235" s="112">
        <f t="shared" ref="F235" si="26">(E235/E$223-1)*100</f>
        <v>18.518305194991914</v>
      </c>
      <c r="G235" s="106">
        <f>(E235/E$232-1)*100</f>
        <v>4.0130793837438672</v>
      </c>
      <c r="H235" s="5"/>
      <c r="I235" s="39"/>
      <c r="J235" s="20">
        <f t="shared" si="24"/>
        <v>43100</v>
      </c>
      <c r="K235" s="27">
        <v>-0.4082453594050594</v>
      </c>
      <c r="L235" s="46">
        <f t="shared" si="22"/>
        <v>4605646.7676603794</v>
      </c>
      <c r="M235" s="112">
        <f>(L235/L$223-1)*100</f>
        <v>14.627724282029853</v>
      </c>
      <c r="N235" s="106">
        <f>(L235/L$232-1)*100</f>
        <v>3.3316683556992244</v>
      </c>
      <c r="O235" s="39"/>
      <c r="P235" s="20">
        <f t="shared" si="25"/>
        <v>43100</v>
      </c>
      <c r="Q235" s="27">
        <v>-0.56449990000000005</v>
      </c>
      <c r="R235" s="46">
        <f t="shared" si="23"/>
        <v>6529935.9145191601</v>
      </c>
      <c r="S235" s="112">
        <f>(R235/R$223-1)*100</f>
        <v>13.154188243459931</v>
      </c>
      <c r="T235" s="106">
        <f>(R235/R$232-1)*100</f>
        <v>3.9023667263998751</v>
      </c>
      <c r="U235" s="49"/>
      <c r="V235" s="39"/>
    </row>
    <row r="236" spans="1:24" x14ac:dyDescent="0.25">
      <c r="A236" s="21">
        <v>43131</v>
      </c>
      <c r="B236" s="24">
        <f t="shared" si="20"/>
        <v>220</v>
      </c>
      <c r="C236" s="96" t="s">
        <v>340</v>
      </c>
      <c r="D236" s="27">
        <f>'BOGIX (Net)'!D236+(1.25/12)</f>
        <v>3.4983386666666667</v>
      </c>
      <c r="E236" s="46">
        <f t="shared" si="21"/>
        <v>9557425.2360282615</v>
      </c>
      <c r="F236" s="22"/>
      <c r="H236" s="49"/>
      <c r="I236" s="39"/>
      <c r="J236" s="20">
        <f t="shared" si="24"/>
        <v>43131</v>
      </c>
      <c r="K236" s="27">
        <v>2.6110313010553323</v>
      </c>
      <c r="L236" s="46">
        <f t="shared" si="22"/>
        <v>4725901.6463800352</v>
      </c>
      <c r="O236" s="39"/>
      <c r="P236" s="20">
        <f t="shared" si="25"/>
        <v>43131</v>
      </c>
      <c r="Q236" s="27">
        <v>2.5237440000000002</v>
      </c>
      <c r="R236" s="46">
        <f t="shared" si="23"/>
        <v>6694734.7803656822</v>
      </c>
      <c r="U236" s="49"/>
      <c r="V236" s="39"/>
    </row>
    <row r="237" spans="1:24" x14ac:dyDescent="0.25">
      <c r="A237" s="21">
        <v>43159</v>
      </c>
      <c r="B237" s="24">
        <f t="shared" si="20"/>
        <v>221</v>
      </c>
      <c r="C237" s="96" t="s">
        <v>340</v>
      </c>
      <c r="D237" s="27">
        <f>'BOGIX (Net)'!D237+(1.25/12)</f>
        <v>-3.5502153333333335</v>
      </c>
      <c r="E237" s="46">
        <f t="shared" si="21"/>
        <v>9218116.0598269161</v>
      </c>
      <c r="F237" s="22"/>
      <c r="G237" s="106"/>
      <c r="H237" s="49"/>
      <c r="I237" s="39"/>
      <c r="J237" s="20">
        <f t="shared" si="24"/>
        <v>43159</v>
      </c>
      <c r="K237" s="27">
        <v>-3.8603870929858517</v>
      </c>
      <c r="L237" s="46">
        <f t="shared" si="22"/>
        <v>4543463.5491959741</v>
      </c>
      <c r="O237" s="39"/>
      <c r="P237" s="20">
        <f t="shared" si="25"/>
        <v>43159</v>
      </c>
      <c r="Q237" s="27">
        <v>-3.8834620000000002</v>
      </c>
      <c r="R237" s="46">
        <f t="shared" si="23"/>
        <v>6434747.2991693979</v>
      </c>
      <c r="U237" s="49"/>
      <c r="V237" s="39"/>
    </row>
    <row r="238" spans="1:24" x14ac:dyDescent="0.25">
      <c r="A238" s="21">
        <v>43190</v>
      </c>
      <c r="B238" s="24">
        <f t="shared" si="20"/>
        <v>222</v>
      </c>
      <c r="C238" s="96" t="s">
        <v>340</v>
      </c>
      <c r="D238" s="27">
        <f>'BOGIX (Net)'!D238+(1.25/12)</f>
        <v>-2.0173373333333333</v>
      </c>
      <c r="E238" s="46">
        <f t="shared" si="21"/>
        <v>9032155.5631220322</v>
      </c>
      <c r="F238" s="112"/>
      <c r="G238" s="106">
        <f>(E238/E$235-1)*100</f>
        <v>-2.1898605245592506</v>
      </c>
      <c r="H238" s="49"/>
      <c r="I238" s="39"/>
      <c r="J238" s="20">
        <f t="shared" si="24"/>
        <v>43190</v>
      </c>
      <c r="K238" s="27">
        <v>1.2925838628987631</v>
      </c>
      <c r="L238" s="46">
        <f t="shared" si="22"/>
        <v>4602191.6258495683</v>
      </c>
      <c r="M238" s="112"/>
      <c r="N238" s="106">
        <f>(L238/L$235-1)*100</f>
        <v>-7.5019687464361606E-2</v>
      </c>
      <c r="O238" s="39"/>
      <c r="P238" s="20">
        <f t="shared" si="25"/>
        <v>43190</v>
      </c>
      <c r="Q238" s="27">
        <v>2.0351520000000001</v>
      </c>
      <c r="R238" s="46">
        <f t="shared" si="23"/>
        <v>6565704.1875233902</v>
      </c>
      <c r="S238" s="112"/>
      <c r="T238" s="106">
        <f>(R238/R$235-1)*100</f>
        <v>0.54775840793015451</v>
      </c>
      <c r="U238" s="49"/>
      <c r="V238" s="39"/>
    </row>
    <row r="239" spans="1:24" x14ac:dyDescent="0.25">
      <c r="A239" s="21">
        <v>43220</v>
      </c>
      <c r="B239" s="24">
        <f t="shared" si="20"/>
        <v>223</v>
      </c>
      <c r="C239" s="96" t="s">
        <v>340</v>
      </c>
      <c r="D239" s="27">
        <f>'BOGIX (Net)'!D239+(1.25/12)</f>
        <v>0.66245896666666659</v>
      </c>
      <c r="E239" s="46">
        <f t="shared" si="21"/>
        <v>9091989.8875332158</v>
      </c>
      <c r="F239" s="112"/>
      <c r="H239" s="49"/>
      <c r="I239" s="39"/>
      <c r="J239" s="20">
        <f t="shared" si="24"/>
        <v>43220</v>
      </c>
      <c r="K239" s="27">
        <v>0.86466776426594183</v>
      </c>
      <c r="L239" s="46">
        <f t="shared" si="22"/>
        <v>4641985.2932880362</v>
      </c>
      <c r="M239" s="112"/>
      <c r="O239" s="39"/>
      <c r="P239" s="20">
        <f t="shared" si="25"/>
        <v>43220</v>
      </c>
      <c r="Q239" s="27">
        <v>1.0309699999999999</v>
      </c>
      <c r="R239" s="46">
        <f t="shared" si="23"/>
        <v>6633394.6279854998</v>
      </c>
      <c r="U239" s="49"/>
      <c r="V239" s="39"/>
    </row>
    <row r="240" spans="1:24" x14ac:dyDescent="0.25">
      <c r="A240" s="21">
        <v>43251</v>
      </c>
      <c r="B240" s="24">
        <f t="shared" si="20"/>
        <v>224</v>
      </c>
      <c r="C240" s="96" t="s">
        <v>340</v>
      </c>
      <c r="D240" s="27">
        <f>'BOGIX (Net)'!D240+(1.25/12)</f>
        <v>7.8442056666666673</v>
      </c>
      <c r="E240" s="46">
        <f t="shared" si="21"/>
        <v>9805184.2735038567</v>
      </c>
      <c r="F240" s="112"/>
      <c r="H240" s="49"/>
      <c r="I240" s="39"/>
      <c r="J240" s="20">
        <f t="shared" si="24"/>
        <v>43251</v>
      </c>
      <c r="K240" s="27">
        <v>6.0699700580171658</v>
      </c>
      <c r="L240" s="46">
        <f t="shared" si="22"/>
        <v>4923752.4106881805</v>
      </c>
      <c r="M240" s="112"/>
      <c r="O240" s="39"/>
      <c r="P240" s="20">
        <f t="shared" si="25"/>
        <v>43251</v>
      </c>
      <c r="Q240" s="27">
        <v>6.4594319999999996</v>
      </c>
      <c r="R240" s="46">
        <f t="shared" si="23"/>
        <v>7061874.2432718761</v>
      </c>
      <c r="S240" s="112"/>
      <c r="U240" s="49"/>
      <c r="V240" s="39"/>
    </row>
    <row r="241" spans="1:22" x14ac:dyDescent="0.25">
      <c r="A241" s="21">
        <v>43281</v>
      </c>
      <c r="B241" s="24">
        <f t="shared" si="20"/>
        <v>225</v>
      </c>
      <c r="C241" s="96" t="s">
        <v>340</v>
      </c>
      <c r="D241" s="27">
        <f>'BOGIX (Net)'!D241+(1.25/12)</f>
        <v>-0.44145323333333336</v>
      </c>
      <c r="E241" s="46">
        <f t="shared" si="21"/>
        <v>9761898.9704941828</v>
      </c>
      <c r="F241" s="112"/>
      <c r="G241" s="106">
        <f>(E241/E$238-1)*100</f>
        <v>8.0793936981296675</v>
      </c>
      <c r="H241" s="49"/>
      <c r="I241" s="39"/>
      <c r="J241" s="20">
        <f t="shared" si="24"/>
        <v>43281</v>
      </c>
      <c r="K241" s="27">
        <v>0.71507127323460473</v>
      </c>
      <c r="L241" s="46">
        <f t="shared" si="22"/>
        <v>4958960.749742208</v>
      </c>
      <c r="M241" s="112"/>
      <c r="N241" s="106">
        <f>(L241/L$238-1)*100</f>
        <v>7.7521570785697103</v>
      </c>
      <c r="O241" s="39"/>
      <c r="P241" s="20">
        <f t="shared" si="25"/>
        <v>43281</v>
      </c>
      <c r="Q241" s="27">
        <v>1.130071</v>
      </c>
      <c r="R241" s="46">
        <f t="shared" si="23"/>
        <v>7141678.4361515613</v>
      </c>
      <c r="S241" s="112"/>
      <c r="T241" s="106">
        <f>(R241/R$238-1)*100</f>
        <v>8.7724672354669622</v>
      </c>
      <c r="U241" s="49"/>
      <c r="V241" s="39"/>
    </row>
    <row r="242" spans="1:22" x14ac:dyDescent="0.25">
      <c r="A242" s="21">
        <v>43312</v>
      </c>
      <c r="B242" s="24">
        <f t="shared" si="20"/>
        <v>226</v>
      </c>
      <c r="C242" s="96" t="s">
        <v>340</v>
      </c>
      <c r="D242" s="27">
        <f>'BOGIX (Net)'!D242+(1.25/12)</f>
        <v>0.53086586666666669</v>
      </c>
      <c r="E242" s="46">
        <f t="shared" si="21"/>
        <v>9813721.5600670204</v>
      </c>
      <c r="F242" s="112"/>
      <c r="I242" s="39"/>
      <c r="J242" s="20">
        <f t="shared" si="24"/>
        <v>43312</v>
      </c>
      <c r="K242" s="27">
        <v>1.7395888164145061</v>
      </c>
      <c r="L242" s="46">
        <f t="shared" si="22"/>
        <v>5045226.2763551082</v>
      </c>
      <c r="M242" s="112"/>
      <c r="O242" s="39"/>
      <c r="P242" s="20">
        <f t="shared" si="25"/>
        <v>43312</v>
      </c>
      <c r="Q242" s="27">
        <v>3.1579109999999999</v>
      </c>
      <c r="R242" s="46">
        <f t="shared" si="23"/>
        <v>7367206.2850714196</v>
      </c>
      <c r="S242" s="112"/>
      <c r="V242" s="39"/>
    </row>
    <row r="243" spans="1:22" x14ac:dyDescent="0.25">
      <c r="A243" s="21">
        <v>43343</v>
      </c>
      <c r="B243" s="24">
        <f t="shared" si="20"/>
        <v>227</v>
      </c>
      <c r="C243" s="96" t="s">
        <v>340</v>
      </c>
      <c r="D243" s="27">
        <f>'BOGIX (Net)'!D243+(1.25/12)</f>
        <v>6.7506006666666671</v>
      </c>
      <c r="E243" s="46">
        <f t="shared" si="21"/>
        <v>10476206.713125715</v>
      </c>
      <c r="F243" s="112"/>
      <c r="I243" s="39"/>
      <c r="J243" s="20">
        <f t="shared" si="24"/>
        <v>43343</v>
      </c>
      <c r="K243" s="27">
        <v>4.3072100000000004</v>
      </c>
      <c r="L243" s="46">
        <f t="shared" si="22"/>
        <v>5262534.7670529028</v>
      </c>
      <c r="M243" s="112"/>
      <c r="O243" s="39"/>
      <c r="P243" s="20">
        <f t="shared" si="25"/>
        <v>43343</v>
      </c>
      <c r="Q243" s="27">
        <v>4.8328620000000004</v>
      </c>
      <c r="R243" s="46">
        <f t="shared" si="23"/>
        <v>7723253.1980842482</v>
      </c>
      <c r="S243" s="112"/>
      <c r="V243" s="39"/>
    </row>
    <row r="244" spans="1:22" x14ac:dyDescent="0.25">
      <c r="A244" s="21">
        <v>43373</v>
      </c>
      <c r="B244" s="24">
        <f t="shared" si="20"/>
        <v>228</v>
      </c>
      <c r="C244" s="96" t="s">
        <v>340</v>
      </c>
      <c r="D244" s="27">
        <f>'BOGIX (Net)'!D244+(1.25/12)</f>
        <v>-0.60727333333333333</v>
      </c>
      <c r="E244" s="46">
        <f t="shared" si="21"/>
        <v>10412587.503412027</v>
      </c>
      <c r="F244" s="112"/>
      <c r="G244" s="106">
        <f>(E244/E241-1)*100</f>
        <v>6.6655938038754803</v>
      </c>
      <c r="I244" s="39"/>
      <c r="J244" s="20">
        <f t="shared" si="24"/>
        <v>43373</v>
      </c>
      <c r="K244" s="27">
        <v>-2.4049999999999998</v>
      </c>
      <c r="L244" s="46">
        <f t="shared" si="22"/>
        <v>5135970.8059052806</v>
      </c>
      <c r="M244" s="112"/>
      <c r="N244" s="106">
        <f>(L244/L$241-1)*100</f>
        <v>3.569499036109014</v>
      </c>
      <c r="O244" s="39"/>
      <c r="P244" s="20">
        <f t="shared" si="25"/>
        <v>43373</v>
      </c>
      <c r="Q244" s="27">
        <v>-3.174283</v>
      </c>
      <c r="R244" s="46">
        <f t="shared" si="23"/>
        <v>7478095.2847705036</v>
      </c>
      <c r="S244" s="112"/>
      <c r="T244" s="106">
        <f>(R244/R$241-1)*100</f>
        <v>4.710613221059945</v>
      </c>
      <c r="V244" s="39"/>
    </row>
    <row r="245" spans="1:22" x14ac:dyDescent="0.25">
      <c r="A245" s="21">
        <v>43404</v>
      </c>
      <c r="B245" s="24">
        <f t="shared" si="20"/>
        <v>229</v>
      </c>
      <c r="C245" s="96" t="s">
        <v>340</v>
      </c>
      <c r="D245" s="27">
        <f>'BOGIX (Net)'!D245+(1.25/12)</f>
        <v>-11.475083333333334</v>
      </c>
      <c r="E245" s="46">
        <f t="shared" si="21"/>
        <v>9217734.4102392439</v>
      </c>
      <c r="F245" s="112"/>
      <c r="I245" s="39"/>
      <c r="J245" s="20">
        <f t="shared" si="24"/>
        <v>43404</v>
      </c>
      <c r="K245" s="27">
        <v>-10.861624881516924</v>
      </c>
      <c r="L245" s="46">
        <f t="shared" si="22"/>
        <v>4578120.9229436275</v>
      </c>
      <c r="M245" s="112"/>
      <c r="O245" s="39"/>
      <c r="P245" s="20">
        <f t="shared" si="25"/>
        <v>43404</v>
      </c>
      <c r="Q245" s="27">
        <v>-10.47911</v>
      </c>
      <c r="R245" s="46">
        <f t="shared" si="23"/>
        <v>6694457.4539745897</v>
      </c>
      <c r="S245" s="112"/>
      <c r="V245" s="39"/>
    </row>
    <row r="246" spans="1:22" x14ac:dyDescent="0.25">
      <c r="A246" s="21">
        <v>43434</v>
      </c>
      <c r="B246" s="24">
        <f t="shared" si="20"/>
        <v>230</v>
      </c>
      <c r="C246" s="96" t="s">
        <v>340</v>
      </c>
      <c r="D246" s="27">
        <f>'BOGIX (Net)'!D246+(1.25/12)</f>
        <v>-2.7483453333333334</v>
      </c>
      <c r="E246" s="46">
        <f t="shared" si="21"/>
        <v>8964399.2367363721</v>
      </c>
      <c r="F246" s="112"/>
      <c r="I246" s="39"/>
      <c r="J246" s="20">
        <f t="shared" si="24"/>
        <v>43434</v>
      </c>
      <c r="K246" s="27">
        <v>1.5799600677700532</v>
      </c>
      <c r="L246" s="46">
        <f t="shared" si="22"/>
        <v>4650453.4053803626</v>
      </c>
      <c r="M246" s="112"/>
      <c r="O246" s="39"/>
      <c r="P246" s="20">
        <f t="shared" si="25"/>
        <v>43434</v>
      </c>
      <c r="Q246" s="27">
        <v>1.4983470000000001</v>
      </c>
      <c r="R246" s="46">
        <f t="shared" si="23"/>
        <v>6794763.6564024948</v>
      </c>
      <c r="S246" s="112"/>
      <c r="V246" s="39"/>
    </row>
    <row r="247" spans="1:22" x14ac:dyDescent="0.25">
      <c r="A247" s="21">
        <v>43465</v>
      </c>
      <c r="B247" s="24">
        <f t="shared" si="20"/>
        <v>231</v>
      </c>
      <c r="C247" s="96" t="s">
        <v>340</v>
      </c>
      <c r="D247" s="27">
        <f>'BOGIX (Net)'!D247+(1.25/12)</f>
        <v>-12.364173333333333</v>
      </c>
      <c r="E247" s="46">
        <f t="shared" si="21"/>
        <v>7856025.3768142769</v>
      </c>
      <c r="F247" s="112">
        <f>(E247/E$235-1)*100</f>
        <v>-14.926295006902702</v>
      </c>
      <c r="G247" s="106">
        <f>(E247/E244-1)*100</f>
        <v>-24.552611209845853</v>
      </c>
      <c r="H247" s="5"/>
      <c r="I247" s="39"/>
      <c r="J247" s="20">
        <f t="shared" si="24"/>
        <v>43465</v>
      </c>
      <c r="K247" s="27">
        <v>-11.88434454640741</v>
      </c>
      <c r="L247" s="46">
        <f t="shared" si="22"/>
        <v>4097777.4997148239</v>
      </c>
      <c r="M247" s="112">
        <f>(L247/L$235-1)*100</f>
        <v>-11.02709985298217</v>
      </c>
      <c r="N247" s="106">
        <f>(L247/L$244-1)*100</f>
        <v>-20.214159025139978</v>
      </c>
      <c r="O247" s="39"/>
      <c r="P247" s="20">
        <f t="shared" si="25"/>
        <v>43465</v>
      </c>
      <c r="Q247" s="27">
        <v>-12.084770000000001</v>
      </c>
      <c r="R247" s="46">
        <f t="shared" si="23"/>
        <v>5973632.0964826625</v>
      </c>
      <c r="S247" s="112">
        <f>(R247/R$235-1)*100</f>
        <v>-8.5192844971046178</v>
      </c>
      <c r="T247" s="106">
        <f>(R247/R$244-1)*100</f>
        <v>-20.118267165594318</v>
      </c>
      <c r="V247" s="39"/>
    </row>
    <row r="248" spans="1:22" x14ac:dyDescent="0.25">
      <c r="A248" s="21">
        <v>43496</v>
      </c>
      <c r="B248" s="24">
        <f t="shared" si="20"/>
        <v>232</v>
      </c>
      <c r="C248" s="96" t="s">
        <v>340</v>
      </c>
      <c r="D248" s="27">
        <f>'BOGIX (Net)'!D248+(1.25/12)</f>
        <v>12.768496666666666</v>
      </c>
      <c r="E248" s="46">
        <f t="shared" si="21"/>
        <v>8859121.7151852958</v>
      </c>
      <c r="I248" s="39"/>
      <c r="J248" s="20">
        <f t="shared" si="24"/>
        <v>43496</v>
      </c>
      <c r="K248" s="27">
        <v>11.246632927110163</v>
      </c>
      <c r="L248" s="46">
        <f t="shared" si="22"/>
        <v>4558639.4932774631</v>
      </c>
      <c r="O248" s="39"/>
      <c r="P248" s="20">
        <f t="shared" si="25"/>
        <v>43496</v>
      </c>
      <c r="Q248" s="27">
        <v>10.63137</v>
      </c>
      <c r="R248" s="46">
        <f t="shared" si="23"/>
        <v>6608711.0270984918</v>
      </c>
      <c r="V248" s="39"/>
    </row>
    <row r="249" spans="1:22" x14ac:dyDescent="0.25">
      <c r="A249" s="21">
        <v>43524</v>
      </c>
      <c r="B249" s="24">
        <f t="shared" si="20"/>
        <v>233</v>
      </c>
      <c r="C249" s="96" t="s">
        <v>340</v>
      </c>
      <c r="D249" s="27">
        <f>'BOGIX (Net)'!D249+(1.25/12)</f>
        <v>4.227076666666667</v>
      </c>
      <c r="E249" s="46">
        <f t="shared" si="21"/>
        <v>9233603.5820794925</v>
      </c>
      <c r="I249" s="39"/>
      <c r="J249" s="20">
        <f t="shared" si="24"/>
        <v>43524</v>
      </c>
      <c r="K249" s="27">
        <v>5.1894965863048865</v>
      </c>
      <c r="L249" s="46">
        <f t="shared" si="22"/>
        <v>4795209.9341630433</v>
      </c>
      <c r="M249" s="112"/>
      <c r="O249" s="39"/>
      <c r="P249" s="20">
        <f t="shared" si="25"/>
        <v>43524</v>
      </c>
      <c r="Q249" s="27">
        <v>4.3402789999999998</v>
      </c>
      <c r="R249" s="46">
        <f t="shared" si="23"/>
        <v>6895547.5239783321</v>
      </c>
      <c r="S249" s="112"/>
      <c r="V249" s="39"/>
    </row>
    <row r="250" spans="1:22" x14ac:dyDescent="0.25">
      <c r="A250" s="21">
        <v>43555</v>
      </c>
      <c r="B250" s="24">
        <f t="shared" si="20"/>
        <v>234</v>
      </c>
      <c r="C250" s="96" t="s">
        <v>340</v>
      </c>
      <c r="D250" s="27">
        <f>'BOGIX (Net)'!D250+(1.25/12)</f>
        <v>-1.8009513333333333</v>
      </c>
      <c r="E250" s="46">
        <f t="shared" si="21"/>
        <v>9067310.8752533179</v>
      </c>
      <c r="F250" s="112"/>
      <c r="G250" s="106">
        <f>(E250/E247-1)*100</f>
        <v>15.418553789476608</v>
      </c>
      <c r="I250" s="39"/>
      <c r="J250" s="20">
        <f t="shared" si="24"/>
        <v>43555</v>
      </c>
      <c r="K250" s="27">
        <v>-2.0937400864579221</v>
      </c>
      <c r="L250" s="46">
        <f t="shared" si="22"/>
        <v>4694810.7015416594</v>
      </c>
      <c r="M250" s="112"/>
      <c r="N250" s="106">
        <f>(L250/L$247-1)*100</f>
        <v>14.569683245817643</v>
      </c>
      <c r="O250" s="39"/>
      <c r="P250" s="20">
        <f t="shared" si="25"/>
        <v>43555</v>
      </c>
      <c r="Q250" s="27">
        <v>-3.3310089999999999</v>
      </c>
      <c r="R250" s="46">
        <f t="shared" si="23"/>
        <v>6665856.2153553367</v>
      </c>
      <c r="S250" s="112"/>
      <c r="T250" s="106">
        <f>(R250/R$247-1)*100</f>
        <v>11.587993831763811</v>
      </c>
      <c r="V250" s="39"/>
    </row>
    <row r="251" spans="1:22" x14ac:dyDescent="0.25">
      <c r="A251" s="21">
        <v>43585</v>
      </c>
      <c r="B251" s="24">
        <f t="shared" si="20"/>
        <v>235</v>
      </c>
      <c r="C251" s="96" t="s">
        <v>340</v>
      </c>
      <c r="D251" s="27">
        <f>'BOGIX (Net)'!D251+(1.25/12)</f>
        <v>2.9602216666666665</v>
      </c>
      <c r="E251" s="46">
        <f t="shared" si="21"/>
        <v>9335723.3763665892</v>
      </c>
      <c r="F251" s="112"/>
      <c r="G251" s="106"/>
      <c r="I251" s="39"/>
      <c r="J251" s="20">
        <f t="shared" si="24"/>
        <v>43585</v>
      </c>
      <c r="K251" s="27">
        <v>3.3970374167589599</v>
      </c>
      <c r="L251" s="46">
        <f t="shared" si="22"/>
        <v>4854295.1777190333</v>
      </c>
      <c r="M251" s="112"/>
      <c r="O251" s="39"/>
      <c r="P251" s="20">
        <f t="shared" si="25"/>
        <v>43585</v>
      </c>
      <c r="Q251" s="27">
        <v>3.8744360000000002</v>
      </c>
      <c r="R251" s="46">
        <f t="shared" si="23"/>
        <v>6924120.5482713012</v>
      </c>
      <c r="S251" s="112"/>
      <c r="V251" s="39"/>
    </row>
    <row r="252" spans="1:22" x14ac:dyDescent="0.25">
      <c r="A252" s="21">
        <v>43616</v>
      </c>
      <c r="B252" s="24">
        <f t="shared" si="20"/>
        <v>236</v>
      </c>
      <c r="C252" s="96" t="s">
        <v>340</v>
      </c>
      <c r="D252" s="27">
        <f>'BOGIX (Net)'!D252+(1.25/12)</f>
        <v>-8.3371513333333347</v>
      </c>
      <c r="E252" s="46">
        <f t="shared" si="21"/>
        <v>8557389.9904175308</v>
      </c>
      <c r="F252" s="112"/>
      <c r="G252" s="106"/>
      <c r="I252" s="39"/>
      <c r="J252" s="20">
        <f t="shared" si="24"/>
        <v>43616</v>
      </c>
      <c r="K252" s="27">
        <v>-7.7772522689384598</v>
      </c>
      <c r="L252" s="46">
        <f t="shared" si="22"/>
        <v>4476764.3958689095</v>
      </c>
      <c r="M252" s="112"/>
      <c r="N252" s="106"/>
      <c r="O252" s="39"/>
      <c r="P252" s="20">
        <f t="shared" si="25"/>
        <v>43616</v>
      </c>
      <c r="Q252" s="27">
        <v>-8.7295400000000001</v>
      </c>
      <c r="R252" s="46">
        <f t="shared" si="23"/>
        <v>6319676.6753617385</v>
      </c>
      <c r="S252" s="112"/>
      <c r="T252" s="106"/>
      <c r="V252" s="39"/>
    </row>
    <row r="253" spans="1:22" x14ac:dyDescent="0.25">
      <c r="A253" s="21">
        <v>43646</v>
      </c>
      <c r="B253" s="24">
        <f t="shared" si="20"/>
        <v>237</v>
      </c>
      <c r="C253" s="96" t="s">
        <v>340</v>
      </c>
      <c r="D253" s="27">
        <f>'BOGIX (Net)'!D253+(1.25/12)</f>
        <v>7.6253956666666669</v>
      </c>
      <c r="E253" s="46">
        <f t="shared" si="21"/>
        <v>9209924.8359265961</v>
      </c>
      <c r="F253" s="112"/>
      <c r="G253" s="106">
        <f>(E253/E250-1)*100</f>
        <v>1.5728363418365143</v>
      </c>
      <c r="I253" s="39"/>
      <c r="J253" s="20">
        <f t="shared" si="24"/>
        <v>43646</v>
      </c>
      <c r="K253" s="27">
        <v>7.0659142624330968</v>
      </c>
      <c r="L253" s="46">
        <f t="shared" si="22"/>
        <v>4793088.7298121378</v>
      </c>
      <c r="M253" s="112"/>
      <c r="N253" s="106">
        <f>(L253/L250-1)*100</f>
        <v>2.0933331398901078</v>
      </c>
      <c r="O253" s="39"/>
      <c r="P253" s="20">
        <f t="shared" si="25"/>
        <v>43646</v>
      </c>
      <c r="Q253" s="27">
        <v>7.4458159999999998</v>
      </c>
      <c r="R253" s="46">
        <f t="shared" si="23"/>
        <v>6790228.1724040909</v>
      </c>
      <c r="S253" s="112"/>
      <c r="T253" s="106">
        <f>(R253/R$250-1)*100</f>
        <v>1.8658061774907919</v>
      </c>
      <c r="V253" s="39"/>
    </row>
    <row r="254" spans="1:22" x14ac:dyDescent="0.25">
      <c r="A254" s="21">
        <v>43677</v>
      </c>
      <c r="B254" s="24">
        <f t="shared" si="20"/>
        <v>238</v>
      </c>
      <c r="C254" s="96" t="s">
        <v>340</v>
      </c>
      <c r="D254" s="27">
        <f>'BOGIX (Net)'!D254+(1.25/12)</f>
        <v>2.2102216666666665</v>
      </c>
      <c r="E254" s="46">
        <f t="shared" si="21"/>
        <v>9413484.5901339594</v>
      </c>
      <c r="F254" s="112"/>
      <c r="G254" s="106"/>
      <c r="I254" s="39"/>
      <c r="J254" s="20">
        <f t="shared" si="24"/>
        <v>43677</v>
      </c>
      <c r="K254" s="27">
        <v>0.57276328251731323</v>
      </c>
      <c r="L254" s="46">
        <f t="shared" si="22"/>
        <v>4820541.7821549773</v>
      </c>
      <c r="M254" s="112"/>
      <c r="N254" s="106"/>
      <c r="O254" s="39"/>
      <c r="P254" s="20">
        <f t="shared" si="25"/>
        <v>43677</v>
      </c>
      <c r="Q254" s="27">
        <v>1.1375500000000001</v>
      </c>
      <c r="R254" s="46">
        <f t="shared" si="23"/>
        <v>6867470.4129792741</v>
      </c>
      <c r="S254" s="112"/>
      <c r="T254" s="106"/>
      <c r="V254" s="39"/>
    </row>
    <row r="255" spans="1:22" x14ac:dyDescent="0.25">
      <c r="A255" s="21">
        <v>43708</v>
      </c>
      <c r="B255" s="24">
        <f t="shared" si="20"/>
        <v>239</v>
      </c>
      <c r="C255" s="96" t="s">
        <v>340</v>
      </c>
      <c r="D255" s="27">
        <f>'BOGIX (Net)'!D255+(1.25/12)</f>
        <v>-5.3470303333333327</v>
      </c>
      <c r="E255" s="46">
        <f t="shared" si="21"/>
        <v>8910142.713675838</v>
      </c>
      <c r="F255" s="112"/>
      <c r="I255" s="39"/>
      <c r="J255" s="20">
        <f t="shared" si="24"/>
        <v>43708</v>
      </c>
      <c r="K255" s="27">
        <v>-4.9388228429049992</v>
      </c>
      <c r="L255" s="46">
        <f t="shared" si="22"/>
        <v>4582463.7634661272</v>
      </c>
      <c r="M255" s="112"/>
      <c r="O255" s="39"/>
      <c r="P255" s="20">
        <f t="shared" si="25"/>
        <v>43708</v>
      </c>
      <c r="Q255" s="27">
        <v>-4.5114580000000002</v>
      </c>
      <c r="R255" s="46">
        <f t="shared" si="23"/>
        <v>6557647.3696352877</v>
      </c>
      <c r="S255" s="112"/>
      <c r="V255" s="39"/>
    </row>
    <row r="256" spans="1:22" x14ac:dyDescent="0.25">
      <c r="A256" s="21">
        <v>43738</v>
      </c>
      <c r="B256" s="24">
        <f t="shared" si="20"/>
        <v>240</v>
      </c>
      <c r="C256" s="96" t="s">
        <v>340</v>
      </c>
      <c r="D256" s="27">
        <f>'BOGIX (Net)'!D256+(1.25/12)</f>
        <v>0.76641836666666663</v>
      </c>
      <c r="E256" s="46">
        <f t="shared" si="21"/>
        <v>8978431.6839296613</v>
      </c>
      <c r="F256" s="112"/>
      <c r="G256" s="106">
        <f>(E256/E253-1)*100</f>
        <v>-2.5135183632977509</v>
      </c>
      <c r="I256" s="39"/>
      <c r="J256" s="20">
        <f t="shared" si="24"/>
        <v>43738</v>
      </c>
      <c r="K256" s="27">
        <v>2.0805680904424926</v>
      </c>
      <c r="L256" s="46">
        <f t="shared" si="22"/>
        <v>4677805.0422848938</v>
      </c>
      <c r="M256" s="112"/>
      <c r="N256" s="106">
        <f>(L256/L253-1)*100</f>
        <v>-2.4052066219888757</v>
      </c>
      <c r="O256" s="39"/>
      <c r="P256" s="20">
        <f t="shared" si="25"/>
        <v>43738</v>
      </c>
      <c r="Q256" s="27">
        <v>3.3370989999999998</v>
      </c>
      <c r="R256" s="46">
        <f t="shared" si="23"/>
        <v>6776482.5544309132</v>
      </c>
      <c r="S256" s="112"/>
      <c r="T256" s="106">
        <f>(R256/R253-1)*100</f>
        <v>-0.20243234283408018</v>
      </c>
      <c r="V256" s="39"/>
    </row>
    <row r="257" spans="1:22" x14ac:dyDescent="0.25">
      <c r="A257" s="21">
        <v>43769</v>
      </c>
      <c r="B257" s="24">
        <f t="shared" si="20"/>
        <v>241</v>
      </c>
      <c r="C257" s="96" t="s">
        <v>340</v>
      </c>
      <c r="D257" s="27">
        <f>'BOGIX (Net)'!D257+(1.25/12)</f>
        <v>3.0453426666666665</v>
      </c>
      <c r="E257" s="46">
        <f t="shared" si="21"/>
        <v>9251855.6947978903</v>
      </c>
      <c r="F257" s="112"/>
      <c r="G257" s="106"/>
      <c r="I257" s="39"/>
      <c r="J257" s="20">
        <f t="shared" si="24"/>
        <v>43769</v>
      </c>
      <c r="K257" s="27">
        <v>2.6336339999999998</v>
      </c>
      <c r="L257" s="46">
        <f t="shared" si="22"/>
        <v>4801001.3063322231</v>
      </c>
      <c r="M257" s="112"/>
      <c r="N257" s="106"/>
      <c r="O257" s="39"/>
      <c r="P257" s="20">
        <f t="shared" si="25"/>
        <v>43769</v>
      </c>
      <c r="Q257" s="27">
        <v>1.947581</v>
      </c>
      <c r="R257" s="46">
        <f t="shared" si="23"/>
        <v>6908460.0411293246</v>
      </c>
      <c r="S257" s="112"/>
      <c r="T257" s="106"/>
      <c r="V257" s="39"/>
    </row>
    <row r="258" spans="1:22" x14ac:dyDescent="0.25">
      <c r="A258" s="21">
        <v>43799</v>
      </c>
      <c r="B258" s="24">
        <f t="shared" si="20"/>
        <v>242</v>
      </c>
      <c r="C258" s="96" t="s">
        <v>340</v>
      </c>
      <c r="D258" s="27">
        <f>'BOGIX (Net)'!D258+(1.25/12)</f>
        <v>5.0289786666666672</v>
      </c>
      <c r="E258" s="46">
        <f t="shared" si="21"/>
        <v>9717129.5439600609</v>
      </c>
      <c r="F258" s="112"/>
      <c r="I258" s="39"/>
      <c r="J258" s="20">
        <f t="shared" si="24"/>
        <v>43799</v>
      </c>
      <c r="K258" s="27">
        <v>4.1039970911143833</v>
      </c>
      <c r="L258" s="46">
        <f t="shared" si="22"/>
        <v>4998034.2602884611</v>
      </c>
      <c r="M258" s="112"/>
      <c r="N258" s="106"/>
      <c r="O258" s="39"/>
      <c r="P258" s="20">
        <f t="shared" si="25"/>
        <v>43799</v>
      </c>
      <c r="Q258" s="27">
        <v>3.0501209999999999</v>
      </c>
      <c r="R258" s="46">
        <f t="shared" si="23"/>
        <v>7119176.431620419</v>
      </c>
      <c r="S258" s="112"/>
      <c r="T258" s="106"/>
      <c r="V258" s="39"/>
    </row>
    <row r="259" spans="1:22" x14ac:dyDescent="0.25">
      <c r="A259" s="21">
        <v>43830</v>
      </c>
      <c r="B259" s="24">
        <f t="shared" si="20"/>
        <v>243</v>
      </c>
      <c r="C259" s="96" t="s">
        <v>340</v>
      </c>
      <c r="D259" s="27">
        <f>'BOGIX (Net)'!D259+(1.25/12)</f>
        <v>1.5297566666666667</v>
      </c>
      <c r="E259" s="46">
        <f t="shared" si="21"/>
        <v>9865777.9809674267</v>
      </c>
      <c r="F259" s="112">
        <f>(E259/E$247-1)*100</f>
        <v>25.582307945244075</v>
      </c>
      <c r="G259" s="106">
        <f>(E259/E256-1)*100</f>
        <v>9.8830879186396317</v>
      </c>
      <c r="H259" s="5"/>
      <c r="I259" s="39"/>
      <c r="J259" s="20">
        <f t="shared" si="24"/>
        <v>43830</v>
      </c>
      <c r="K259" s="27">
        <v>2.8824800000000002</v>
      </c>
      <c r="L259" s="46">
        <f t="shared" si="22"/>
        <v>5142101.5982344244</v>
      </c>
      <c r="M259" s="112">
        <f>(L259/L$247-1)*100</f>
        <v>25.48513428540906</v>
      </c>
      <c r="N259" s="106">
        <f>(L259/L256-1)*100</f>
        <v>9.925521729797083</v>
      </c>
      <c r="O259" s="39"/>
      <c r="P259" s="20">
        <f t="shared" si="25"/>
        <v>43830</v>
      </c>
      <c r="Q259" s="27">
        <v>2.9880439999999999</v>
      </c>
      <c r="R259" s="46">
        <f t="shared" si="23"/>
        <v>7331900.5558348671</v>
      </c>
      <c r="S259" s="112">
        <f>(R259/R$247-1)*100</f>
        <v>22.737732043323653</v>
      </c>
      <c r="T259" s="106">
        <f>(R259/R256-1)*100</f>
        <v>8.1962581168424151</v>
      </c>
      <c r="V259" s="39"/>
    </row>
    <row r="260" spans="1:22" x14ac:dyDescent="0.25">
      <c r="A260" s="21">
        <v>43861</v>
      </c>
      <c r="B260" s="24">
        <f t="shared" si="20"/>
        <v>244</v>
      </c>
      <c r="C260" s="96" t="s">
        <v>340</v>
      </c>
      <c r="D260" s="27">
        <f>'BOGIX (Net)'!D260+(1.25/12)</f>
        <v>-4.0063933333333335</v>
      </c>
      <c r="E260" s="46">
        <f t="shared" si="21"/>
        <v>9470516.1096564792</v>
      </c>
      <c r="I260" s="39"/>
      <c r="J260" s="20">
        <f t="shared" si="24"/>
        <v>43861</v>
      </c>
      <c r="K260" s="27">
        <v>-3.2096710000000002</v>
      </c>
      <c r="L260" s="46">
        <f t="shared" si="22"/>
        <v>4977057.054445358</v>
      </c>
      <c r="M260" s="112"/>
      <c r="N260" s="106"/>
      <c r="O260" s="39"/>
      <c r="P260" s="20">
        <f t="shared" si="25"/>
        <v>43861</v>
      </c>
      <c r="Q260" s="27">
        <v>-3.9778980000000002</v>
      </c>
      <c r="R260" s="46">
        <f t="shared" si="23"/>
        <v>7040245.0302623231</v>
      </c>
      <c r="S260" s="112"/>
      <c r="T260" s="106"/>
      <c r="V260" s="39"/>
    </row>
    <row r="261" spans="1:22" x14ac:dyDescent="0.25">
      <c r="A261" s="21">
        <v>43890</v>
      </c>
      <c r="B261" s="24">
        <f t="shared" si="20"/>
        <v>245</v>
      </c>
      <c r="C261" s="96" t="s">
        <v>340</v>
      </c>
      <c r="D261" s="27">
        <f>'BOGIX (Net)'!D261+(1.25/12)</f>
        <v>-6.362943333333333</v>
      </c>
      <c r="E261" s="46">
        <f t="shared" si="21"/>
        <v>8867912.5362248328</v>
      </c>
      <c r="I261" s="39"/>
      <c r="J261" s="20">
        <f t="shared" si="24"/>
        <v>43890</v>
      </c>
      <c r="K261" s="27">
        <v>-8.4235100000000003</v>
      </c>
      <c r="L261" s="46">
        <f t="shared" si="22"/>
        <v>4557814.1557584479</v>
      </c>
      <c r="M261" s="112"/>
      <c r="O261" s="39"/>
      <c r="P261" s="20">
        <f t="shared" si="25"/>
        <v>43890</v>
      </c>
      <c r="Q261" s="27">
        <v>-9.6112540000000006</v>
      </c>
      <c r="R261" s="46">
        <f t="shared" si="23"/>
        <v>6363589.1981814345</v>
      </c>
      <c r="S261" s="112"/>
      <c r="V261" s="39">
        <v>3</v>
      </c>
    </row>
    <row r="262" spans="1:22" x14ac:dyDescent="0.25">
      <c r="A262" s="21">
        <v>43921</v>
      </c>
      <c r="B262" s="24">
        <f t="shared" si="20"/>
        <v>246</v>
      </c>
      <c r="C262" s="96" t="s">
        <v>340</v>
      </c>
      <c r="D262" s="27">
        <f>'BOGIX (Net)'!D262+(1.25/12)</f>
        <v>-22.693143333333332</v>
      </c>
      <c r="E262" s="46">
        <f t="shared" si="21"/>
        <v>6855504.4337046966</v>
      </c>
      <c r="F262" s="112"/>
      <c r="G262" s="106">
        <f>(E262/E259-1)*100</f>
        <v>-30.512277420696087</v>
      </c>
      <c r="I262" s="39"/>
      <c r="J262" s="20">
        <f t="shared" si="24"/>
        <v>43921</v>
      </c>
      <c r="K262" s="27">
        <v>-21.728459999999998</v>
      </c>
      <c r="L262" s="46">
        <f t="shared" si="22"/>
        <v>3567471.330050136</v>
      </c>
      <c r="M262" s="112"/>
      <c r="N262" s="106">
        <f>(L262/L259-1)*100</f>
        <v>-30.622309538281943</v>
      </c>
      <c r="O262" s="39"/>
      <c r="P262" s="20">
        <f t="shared" si="25"/>
        <v>43921</v>
      </c>
      <c r="Q262" s="27">
        <v>-22.396529999999998</v>
      </c>
      <c r="R262" s="46">
        <f t="shared" si="23"/>
        <v>4938366.0343339704</v>
      </c>
      <c r="S262" s="112"/>
      <c r="T262" s="106">
        <f>(R262/R259-1)*100</f>
        <v>-32.645485345488979</v>
      </c>
      <c r="V262" s="39">
        <v>3</v>
      </c>
    </row>
    <row r="263" spans="1:22" x14ac:dyDescent="0.25">
      <c r="A263" s="21">
        <v>43951</v>
      </c>
      <c r="B263" s="24">
        <f t="shared" si="20"/>
        <v>247</v>
      </c>
      <c r="C263" s="96" t="s">
        <v>340</v>
      </c>
      <c r="D263" s="27">
        <f>'BOGIX (Net)'!D263+(1.25/12)</f>
        <v>14.433746666666666</v>
      </c>
      <c r="E263" s="46">
        <f t="shared" si="21"/>
        <v>7845010.5763877332</v>
      </c>
      <c r="I263" s="39"/>
      <c r="J263" s="20">
        <f t="shared" si="24"/>
        <v>43951</v>
      </c>
      <c r="K263" s="27">
        <v>13.736280000000001</v>
      </c>
      <c r="L263" s="46">
        <f t="shared" si="22"/>
        <v>4057509.1808655467</v>
      </c>
      <c r="M263" s="112"/>
      <c r="N263" s="106"/>
      <c r="O263" s="39"/>
      <c r="P263" s="20">
        <f t="shared" si="25"/>
        <v>43951</v>
      </c>
      <c r="Q263" s="27">
        <v>12.6998</v>
      </c>
      <c r="R263" s="46">
        <f t="shared" si="23"/>
        <v>5565528.6439623162</v>
      </c>
      <c r="S263" s="112"/>
      <c r="T263" s="106"/>
      <c r="V263" s="39">
        <v>3</v>
      </c>
    </row>
    <row r="264" spans="1:22" x14ac:dyDescent="0.25">
      <c r="A264" s="21">
        <v>43982</v>
      </c>
      <c r="B264" s="24">
        <f t="shared" si="20"/>
        <v>248</v>
      </c>
      <c r="C264" s="96" t="s">
        <v>340</v>
      </c>
      <c r="D264" s="27">
        <f>'BOGIX (Net)'!D264+(1.25/12)</f>
        <v>8.0271746666666672</v>
      </c>
      <c r="E264" s="46">
        <f t="shared" si="21"/>
        <v>8474743.2779728509</v>
      </c>
      <c r="I264" s="39"/>
      <c r="J264" s="20">
        <f t="shared" si="24"/>
        <v>43982</v>
      </c>
      <c r="K264" s="27">
        <v>6.507466</v>
      </c>
      <c r="L264" s="46">
        <f t="shared" si="22"/>
        <v>4321550.211257251</v>
      </c>
      <c r="M264" s="112"/>
      <c r="N264" s="106"/>
      <c r="O264" s="39"/>
      <c r="P264" s="20">
        <f t="shared" si="25"/>
        <v>43982</v>
      </c>
      <c r="Q264" s="27">
        <v>4.3077259999999997</v>
      </c>
      <c r="R264" s="46">
        <f t="shared" si="23"/>
        <v>5805276.3683957281</v>
      </c>
      <c r="S264" s="112"/>
      <c r="T264" s="106"/>
      <c r="V264" s="39">
        <v>3</v>
      </c>
    </row>
    <row r="265" spans="1:22" x14ac:dyDescent="0.25">
      <c r="A265" s="21">
        <v>44012</v>
      </c>
      <c r="B265" s="24">
        <f t="shared" si="20"/>
        <v>249</v>
      </c>
      <c r="C265" s="96" t="s">
        <v>340</v>
      </c>
      <c r="D265" s="27">
        <f>'BOGIX (Net)'!D265+(1.25/12)</f>
        <v>4.9569246666666666</v>
      </c>
      <c r="E265" s="46">
        <f t="shared" si="21"/>
        <v>8894829.9179553632</v>
      </c>
      <c r="F265" s="112"/>
      <c r="G265" s="106">
        <f>(E265/E262-1)*100</f>
        <v>29.747271028291355</v>
      </c>
      <c r="I265" s="39"/>
      <c r="J265" s="20">
        <f t="shared" si="24"/>
        <v>44012</v>
      </c>
      <c r="K265" s="27">
        <v>3.5346199999999999</v>
      </c>
      <c r="L265" s="46">
        <f t="shared" si="22"/>
        <v>4474300.589334392</v>
      </c>
      <c r="M265" s="112"/>
      <c r="N265" s="106">
        <f>(L265/L262-1)*100</f>
        <v>25.419384639357755</v>
      </c>
      <c r="O265" s="39"/>
      <c r="P265" s="20">
        <f t="shared" si="25"/>
        <v>44012</v>
      </c>
      <c r="Q265" s="27">
        <v>3.7340610000000001</v>
      </c>
      <c r="R265" s="46">
        <f t="shared" si="23"/>
        <v>6022048.9292102093</v>
      </c>
      <c r="S265" s="112"/>
      <c r="T265" s="106">
        <f>(R265/R262-1)*100</f>
        <v>21.944159006074848</v>
      </c>
      <c r="V265" s="39">
        <v>3</v>
      </c>
    </row>
    <row r="266" spans="1:22" x14ac:dyDescent="0.25">
      <c r="A266" s="21">
        <v>44043</v>
      </c>
      <c r="B266" s="24">
        <f t="shared" si="20"/>
        <v>250</v>
      </c>
      <c r="C266" s="96" t="s">
        <v>340</v>
      </c>
      <c r="D266" s="27">
        <f>'BOGIX (Net)'!D266+(1.25/12)</f>
        <v>7.9364446666666666</v>
      </c>
      <c r="E266" s="46">
        <f t="shared" si="21"/>
        <v>9600763.1725880019</v>
      </c>
      <c r="F266" s="112"/>
      <c r="I266" s="39"/>
      <c r="J266" s="20">
        <f t="shared" si="24"/>
        <v>44043</v>
      </c>
      <c r="K266" s="27">
        <v>2.7678639999999999</v>
      </c>
      <c r="L266" s="46">
        <f t="shared" si="22"/>
        <v>4598143.1445983667</v>
      </c>
      <c r="M266" s="112"/>
      <c r="O266" s="39"/>
      <c r="P266" s="20">
        <f t="shared" si="25"/>
        <v>44043</v>
      </c>
      <c r="Q266" s="27">
        <v>4.1085960000000004</v>
      </c>
      <c r="R266" s="46">
        <f t="shared" si="23"/>
        <v>6269470.5906337826</v>
      </c>
      <c r="S266" s="112"/>
      <c r="V266" s="39">
        <v>3</v>
      </c>
    </row>
    <row r="267" spans="1:22" x14ac:dyDescent="0.25">
      <c r="A267" s="21">
        <v>44074</v>
      </c>
      <c r="B267" s="24">
        <f t="shared" si="20"/>
        <v>251</v>
      </c>
      <c r="C267" s="96" t="s">
        <v>340</v>
      </c>
      <c r="D267" s="27">
        <f>'BOGIX (Net)'!D267+(1.25/12)</f>
        <v>3.4057076666666664</v>
      </c>
      <c r="E267" s="46">
        <f t="shared" si="21"/>
        <v>9927737.1000153422</v>
      </c>
      <c r="F267" s="112"/>
      <c r="I267" s="39"/>
      <c r="J267" s="20">
        <f t="shared" si="24"/>
        <v>44074</v>
      </c>
      <c r="K267" s="27">
        <v>5.6343430000000003</v>
      </c>
      <c r="L267" s="46">
        <f t="shared" si="22"/>
        <v>4857218.3009960251</v>
      </c>
      <c r="M267" s="112"/>
      <c r="O267" s="39"/>
      <c r="P267" s="20">
        <f t="shared" si="25"/>
        <v>44074</v>
      </c>
      <c r="Q267" s="27">
        <v>3.9882879999999998</v>
      </c>
      <c r="R267" s="46">
        <f t="shared" si="23"/>
        <v>6519515.133863559</v>
      </c>
      <c r="S267" s="112"/>
      <c r="V267" s="39">
        <v>3</v>
      </c>
    </row>
    <row r="268" spans="1:22" x14ac:dyDescent="0.25">
      <c r="A268" s="21">
        <v>44104</v>
      </c>
      <c r="B268" s="24">
        <f t="shared" si="20"/>
        <v>252</v>
      </c>
      <c r="C268" s="96" t="s">
        <v>340</v>
      </c>
      <c r="D268" s="27">
        <f>'BOGIX (Net)'!D268+(1.25/12)</f>
        <v>-2.7012313333333333</v>
      </c>
      <c r="E268" s="46">
        <f t="shared" si="21"/>
        <v>9659565.95477877</v>
      </c>
      <c r="F268" s="112"/>
      <c r="G268" s="106">
        <f>(E268/E265-1)*100</f>
        <v>8.597534116753458</v>
      </c>
      <c r="I268" s="39"/>
      <c r="J268" s="20">
        <f t="shared" si="24"/>
        <v>44104</v>
      </c>
      <c r="K268" s="27">
        <v>-3.3404400000000001</v>
      </c>
      <c r="L268" s="46">
        <f t="shared" si="22"/>
        <v>4694965.8379822336</v>
      </c>
      <c r="M268" s="112"/>
      <c r="N268" s="106">
        <f>(L268/L265-1)*100</f>
        <v>4.9318378200573276</v>
      </c>
      <c r="O268" s="39"/>
      <c r="P268" s="20">
        <f t="shared" si="25"/>
        <v>44104</v>
      </c>
      <c r="Q268" s="27">
        <v>-4.7034339999999997</v>
      </c>
      <c r="R268" s="46">
        <f t="shared" si="23"/>
        <v>6212874.0424222751</v>
      </c>
      <c r="S268" s="112"/>
      <c r="T268" s="106">
        <f>(R268/R265-1)*100</f>
        <v>3.1687738750587169</v>
      </c>
      <c r="V268" s="39">
        <v>3</v>
      </c>
    </row>
    <row r="269" spans="1:22" x14ac:dyDescent="0.25">
      <c r="A269" s="21">
        <v>44135</v>
      </c>
      <c r="B269" s="24">
        <f t="shared" si="20"/>
        <v>253</v>
      </c>
      <c r="C269" s="96" t="s">
        <v>340</v>
      </c>
      <c r="D269" s="27">
        <f>'BOGIX (Net)'!D269+(1.25/12)</f>
        <v>1.9675206666666667</v>
      </c>
      <c r="E269" s="46">
        <f t="shared" si="21"/>
        <v>9849619.9112493396</v>
      </c>
      <c r="I269" s="39"/>
      <c r="J269" s="20">
        <f t="shared" si="24"/>
        <v>44135</v>
      </c>
      <c r="K269" s="27">
        <v>2.0943360000000002</v>
      </c>
      <c r="L269" s="46">
        <f t="shared" si="22"/>
        <v>4793294.1977147972</v>
      </c>
      <c r="M269" s="112"/>
      <c r="O269" s="39"/>
      <c r="P269" s="20">
        <f t="shared" si="25"/>
        <v>44135</v>
      </c>
      <c r="Q269" s="27">
        <v>2.5713189999999999</v>
      </c>
      <c r="R269" s="46">
        <f t="shared" si="23"/>
        <v>6372626.8531211475</v>
      </c>
      <c r="S269" s="112"/>
      <c r="V269" s="39">
        <v>3</v>
      </c>
    </row>
    <row r="270" spans="1:22" x14ac:dyDescent="0.25">
      <c r="A270" s="21">
        <v>44165</v>
      </c>
      <c r="B270" s="24">
        <f t="shared" si="20"/>
        <v>254</v>
      </c>
      <c r="C270" s="96" t="s">
        <v>340</v>
      </c>
      <c r="D270" s="27">
        <f>'BOGIX (Net)'!D270+(1.25/12)</f>
        <v>14.845916666666666</v>
      </c>
      <c r="E270" s="46">
        <f t="shared" si="21"/>
        <v>11311886.275256824</v>
      </c>
      <c r="I270" s="39"/>
      <c r="J270" s="20">
        <f t="shared" si="24"/>
        <v>44165</v>
      </c>
      <c r="K270" s="27">
        <v>18.421068002624729</v>
      </c>
      <c r="L270" s="46">
        <f t="shared" si="22"/>
        <v>5676270.1814417057</v>
      </c>
      <c r="M270" s="112"/>
      <c r="O270" s="39"/>
      <c r="P270" s="20">
        <f t="shared" si="25"/>
        <v>44165</v>
      </c>
      <c r="Q270" s="27">
        <v>18.159469999999999</v>
      </c>
      <c r="R270" s="46">
        <f t="shared" si="23"/>
        <v>7529862.1147256261</v>
      </c>
      <c r="S270" s="112"/>
      <c r="V270" s="39">
        <v>3</v>
      </c>
    </row>
    <row r="271" spans="1:22" x14ac:dyDescent="0.25">
      <c r="A271" s="21">
        <v>44196</v>
      </c>
      <c r="B271" s="24">
        <f t="shared" si="20"/>
        <v>255</v>
      </c>
      <c r="C271" s="96" t="s">
        <v>340</v>
      </c>
      <c r="D271" s="27">
        <f>'BOGIX (Net)'!D271+(1.25/12)</f>
        <v>7.3384076666666669</v>
      </c>
      <c r="E271" s="46">
        <f t="shared" si="21"/>
        <v>12141998.604924886</v>
      </c>
      <c r="F271" s="112">
        <f>(E271/E$259-1)*100</f>
        <v>23.071881693958971</v>
      </c>
      <c r="G271" s="106">
        <f>(E271/E268-1)*100</f>
        <v>25.699215283249966</v>
      </c>
      <c r="H271" s="5"/>
      <c r="I271" s="39"/>
      <c r="J271" s="20">
        <f t="shared" si="24"/>
        <v>44196</v>
      </c>
      <c r="K271" s="27">
        <v>8.6478210000000004</v>
      </c>
      <c r="L271" s="46">
        <f t="shared" si="22"/>
        <v>6167143.8662091596</v>
      </c>
      <c r="M271" s="112">
        <f>(L271/L$259-1)*100</f>
        <v>19.934306010730918</v>
      </c>
      <c r="N271" s="106">
        <f>(L271/L268-1)*100</f>
        <v>31.356522688983546</v>
      </c>
      <c r="O271" s="39"/>
      <c r="P271" s="20">
        <f t="shared" si="25"/>
        <v>44196</v>
      </c>
      <c r="Q271" s="27">
        <v>8.3141119999999997</v>
      </c>
      <c r="R271" s="46">
        <f t="shared" si="23"/>
        <v>8155903.2843894828</v>
      </c>
      <c r="S271" s="112">
        <f>(R271/R$259-1)*100</f>
        <v>11.238596626884934</v>
      </c>
      <c r="T271" s="106">
        <f>(R271/R268-1)*100</f>
        <v>31.274241658529746</v>
      </c>
      <c r="V271" s="39">
        <v>3</v>
      </c>
    </row>
    <row r="272" spans="1:22" x14ac:dyDescent="0.25">
      <c r="A272" s="21">
        <v>44227</v>
      </c>
      <c r="B272" s="24">
        <f t="shared" si="20"/>
        <v>256</v>
      </c>
      <c r="C272" s="96" t="s">
        <v>340</v>
      </c>
      <c r="D272" s="27">
        <f>'BOGIX (Net)'!D272+(1.25/12)</f>
        <v>6.893721666666667</v>
      </c>
      <c r="E272" s="46">
        <f t="shared" si="21"/>
        <v>12979034.193518957</v>
      </c>
      <c r="I272" s="39"/>
      <c r="J272" s="20">
        <f t="shared" si="24"/>
        <v>44227</v>
      </c>
      <c r="K272" s="27">
        <v>5.0320150000000003</v>
      </c>
      <c r="L272" s="46">
        <f t="shared" si="22"/>
        <v>6477475.4706283845</v>
      </c>
      <c r="O272" s="39"/>
      <c r="P272" s="20">
        <f t="shared" si="25"/>
        <v>44227</v>
      </c>
      <c r="Q272" s="27">
        <v>6.2879319999999996</v>
      </c>
      <c r="R272" s="46">
        <f t="shared" si="23"/>
        <v>8668740.9368976597</v>
      </c>
      <c r="V272" s="39">
        <v>4</v>
      </c>
    </row>
    <row r="273" spans="1:22" x14ac:dyDescent="0.25">
      <c r="A273" s="21">
        <v>44255</v>
      </c>
      <c r="B273" s="24">
        <f t="shared" si="20"/>
        <v>257</v>
      </c>
      <c r="C273" s="96" t="s">
        <v>340</v>
      </c>
      <c r="D273" s="27">
        <f>'BOGIX (Net)'!D273+(1.25/12)</f>
        <v>6.0880566666666667</v>
      </c>
      <c r="E273" s="46">
        <f t="shared" si="21"/>
        <v>13769205.150006434</v>
      </c>
      <c r="I273" s="39"/>
      <c r="J273" s="20">
        <f t="shared" si="24"/>
        <v>44255</v>
      </c>
      <c r="K273" s="27">
        <v>6.2316390000000004</v>
      </c>
      <c r="L273" s="46">
        <f t="shared" si="22"/>
        <v>6881128.3582714964</v>
      </c>
      <c r="M273" s="112"/>
      <c r="O273" s="39"/>
      <c r="P273" s="20">
        <f t="shared" si="25"/>
        <v>44255</v>
      </c>
      <c r="Q273" s="27">
        <v>7.6497479999999998</v>
      </c>
      <c r="R273" s="46">
        <f t="shared" si="23"/>
        <v>9331877.7733431701</v>
      </c>
      <c r="S273" s="112"/>
      <c r="V273" s="39">
        <v>4</v>
      </c>
    </row>
    <row r="274" spans="1:22" x14ac:dyDescent="0.25">
      <c r="A274" s="21">
        <v>44286</v>
      </c>
      <c r="B274" s="24">
        <f t="shared" ref="B274:B337" si="27">IF(A274&gt;A273,1+B273,"-")</f>
        <v>258</v>
      </c>
      <c r="C274" s="96" t="s">
        <v>340</v>
      </c>
      <c r="D274" s="27">
        <f>'BOGIX (Net)'!D274+(1.25/12)</f>
        <v>2.2485746666666664</v>
      </c>
      <c r="E274" s="46">
        <f t="shared" ref="E274:E278" si="28">E273*D274/100+E273</f>
        <v>14078816.008810841</v>
      </c>
      <c r="F274" s="112"/>
      <c r="G274" s="106">
        <f>(E274/E271-1)*100</f>
        <v>15.951388786195109</v>
      </c>
      <c r="I274" s="39"/>
      <c r="J274" s="20">
        <f t="shared" si="24"/>
        <v>44286</v>
      </c>
      <c r="K274" s="27">
        <v>1.0008870000000001</v>
      </c>
      <c r="L274" s="46">
        <f t="shared" ref="L274:L278" si="29">L273*K274/100+L273</f>
        <v>6950000.6774627492</v>
      </c>
      <c r="M274" s="112"/>
      <c r="N274" s="106">
        <f>(L274/L271-1)*100</f>
        <v>12.693993009357163</v>
      </c>
      <c r="O274" s="39"/>
      <c r="P274" s="20">
        <f t="shared" si="25"/>
        <v>44286</v>
      </c>
      <c r="Q274" s="27">
        <v>3.3309000000000002</v>
      </c>
      <c r="R274" s="46">
        <f t="shared" ref="R274:R278" si="30">R273*Q274/100+R273</f>
        <v>9642713.2900954578</v>
      </c>
      <c r="S274" s="112"/>
      <c r="T274" s="106">
        <f>(R274/R271-1)*100</f>
        <v>18.229863129345226</v>
      </c>
      <c r="V274" s="39">
        <v>5</v>
      </c>
    </row>
    <row r="275" spans="1:22" x14ac:dyDescent="0.25">
      <c r="A275" s="21">
        <v>44316</v>
      </c>
      <c r="B275" s="24">
        <f t="shared" si="27"/>
        <v>259</v>
      </c>
      <c r="C275" s="96" t="s">
        <v>340</v>
      </c>
      <c r="D275" s="27">
        <f>'BOGIX (Net)'!D275+(1.23/12)</f>
        <v>2.547358</v>
      </c>
      <c r="E275" s="46">
        <f t="shared" si="28"/>
        <v>14437453.854716564</v>
      </c>
      <c r="F275" s="112"/>
      <c r="I275" s="39"/>
      <c r="J275" s="20">
        <f t="shared" si="24"/>
        <v>44316</v>
      </c>
      <c r="K275" s="27">
        <v>2.0999029999999999</v>
      </c>
      <c r="L275" s="46">
        <f t="shared" si="29"/>
        <v>7095943.95018881</v>
      </c>
      <c r="M275" s="112"/>
      <c r="O275" s="39"/>
      <c r="P275" s="20">
        <f t="shared" si="25"/>
        <v>44316</v>
      </c>
      <c r="Q275" s="27">
        <v>2.0377260000000001</v>
      </c>
      <c r="R275" s="46">
        <f t="shared" si="30"/>
        <v>9839205.3659131881</v>
      </c>
      <c r="S275" s="112"/>
      <c r="V275" s="39">
        <v>6</v>
      </c>
    </row>
    <row r="276" spans="1:22" x14ac:dyDescent="0.25">
      <c r="A276" s="21">
        <v>44347</v>
      </c>
      <c r="B276" s="24">
        <f t="shared" si="27"/>
        <v>260</v>
      </c>
      <c r="C276" s="96" t="s">
        <v>340</v>
      </c>
      <c r="D276" s="27">
        <f>'BOGIX (Net)'!D276+(1.23/12)</f>
        <v>1.6329800000000001</v>
      </c>
      <c r="E276" s="46">
        <f t="shared" si="28"/>
        <v>14673214.588673314</v>
      </c>
      <c r="F276" s="112"/>
      <c r="I276" s="39"/>
      <c r="J276" s="20">
        <f t="shared" si="24"/>
        <v>44347</v>
      </c>
      <c r="K276" s="27">
        <v>0.2059976</v>
      </c>
      <c r="L276" s="46">
        <f t="shared" si="29"/>
        <v>7110561.4244235437</v>
      </c>
      <c r="M276" s="112"/>
      <c r="O276" s="39"/>
      <c r="P276" s="20">
        <f t="shared" si="25"/>
        <v>44347</v>
      </c>
      <c r="Q276" s="27">
        <v>2.0718920000000001</v>
      </c>
      <c r="R276" s="46">
        <f t="shared" si="30"/>
        <v>10043063.074753115</v>
      </c>
      <c r="S276" s="112"/>
      <c r="V276" s="39">
        <v>6</v>
      </c>
    </row>
    <row r="277" spans="1:22" x14ac:dyDescent="0.25">
      <c r="A277" s="21">
        <v>44377</v>
      </c>
      <c r="B277" s="24">
        <f t="shared" si="27"/>
        <v>261</v>
      </c>
      <c r="C277" s="96" t="s">
        <v>340</v>
      </c>
      <c r="D277" s="27">
        <f>'BOGIX (Net)'!D277+(1.23/12)</f>
        <v>1.1755710000000001</v>
      </c>
      <c r="E277" s="46">
        <f t="shared" si="28"/>
        <v>14845708.644145526</v>
      </c>
      <c r="F277" s="112"/>
      <c r="G277" s="106">
        <f>(E277/E274-1)*100</f>
        <v>5.4471387001204352</v>
      </c>
      <c r="I277" s="39"/>
      <c r="J277" s="20">
        <f t="shared" si="24"/>
        <v>44377</v>
      </c>
      <c r="K277" s="27">
        <v>1.937303</v>
      </c>
      <c r="L277" s="46">
        <f t="shared" si="29"/>
        <v>7248314.5442157434</v>
      </c>
      <c r="M277" s="112"/>
      <c r="N277" s="106">
        <f>(L277/L274-1)*100</f>
        <v>4.2922854341634453</v>
      </c>
      <c r="O277" s="39"/>
      <c r="P277" s="20">
        <f t="shared" si="25"/>
        <v>44377</v>
      </c>
      <c r="Q277" s="27">
        <v>0.33467239999999998</v>
      </c>
      <c r="R277" s="46">
        <f t="shared" si="30"/>
        <v>10076674.434978904</v>
      </c>
      <c r="T277" s="106">
        <f>(R277/R274-1)*100</f>
        <v>4.5004049361209386</v>
      </c>
      <c r="V277" s="39">
        <v>6</v>
      </c>
    </row>
    <row r="278" spans="1:22" x14ac:dyDescent="0.25">
      <c r="A278" s="21">
        <v>44408</v>
      </c>
      <c r="B278" s="24">
        <f t="shared" si="27"/>
        <v>262</v>
      </c>
      <c r="C278" s="96" t="s">
        <v>340</v>
      </c>
      <c r="D278" s="27">
        <f>'BOGIX (Net)'!D278+(1.23/12)</f>
        <v>-1.8691885743174952</v>
      </c>
      <c r="E278" s="46">
        <f t="shared" si="28"/>
        <v>14568214.354392692</v>
      </c>
      <c r="F278" s="112"/>
      <c r="H278" s="5"/>
      <c r="I278" s="39"/>
      <c r="J278" s="20">
        <f t="shared" si="24"/>
        <v>44408</v>
      </c>
      <c r="K278" s="27">
        <v>-3.6109</v>
      </c>
      <c r="L278" s="46">
        <f t="shared" si="29"/>
        <v>6986585.1543386569</v>
      </c>
      <c r="M278" s="112"/>
      <c r="O278" s="39"/>
      <c r="P278" s="20">
        <f t="shared" si="25"/>
        <v>44408</v>
      </c>
      <c r="Q278" s="27">
        <v>-2.3865609999999999</v>
      </c>
      <c r="R278" s="46">
        <f t="shared" si="30"/>
        <v>9836188.4528167266</v>
      </c>
      <c r="V278" s="39">
        <v>6</v>
      </c>
    </row>
    <row r="279" spans="1:22" x14ac:dyDescent="0.25">
      <c r="A279" s="21">
        <v>44439</v>
      </c>
      <c r="B279" s="24">
        <f t="shared" ref="B279:B282" si="31">IF(A279&gt;A278,1+B278,"-")</f>
        <v>263</v>
      </c>
      <c r="C279" s="96" t="s">
        <v>340</v>
      </c>
      <c r="D279" s="27">
        <f>'BOGIX (Net)'!D279+(1.23/12)</f>
        <v>-0.25851080000000004</v>
      </c>
      <c r="E279" s="46">
        <f t="shared" ref="E279" si="32">E278*D279/100+E278</f>
        <v>14530553.946919437</v>
      </c>
      <c r="F279" s="112"/>
      <c r="I279" s="39"/>
      <c r="J279" s="20">
        <f t="shared" si="24"/>
        <v>44439</v>
      </c>
      <c r="K279" s="27">
        <v>2.2345830000000002</v>
      </c>
      <c r="L279" s="46">
        <f t="shared" ref="L279" si="33">L278*K279/100+L278</f>
        <v>7142706.1984780319</v>
      </c>
      <c r="M279" s="112"/>
      <c r="O279" s="39"/>
      <c r="P279" s="20">
        <f t="shared" si="25"/>
        <v>44439</v>
      </c>
      <c r="Q279" s="27">
        <v>2.0108519999999999</v>
      </c>
      <c r="R279" s="46">
        <f t="shared" ref="R279:R280" si="34">R278*Q279/100+R278</f>
        <v>10033979.645043962</v>
      </c>
      <c r="V279" s="39">
        <v>6</v>
      </c>
    </row>
    <row r="280" spans="1:22" x14ac:dyDescent="0.25">
      <c r="A280" s="21">
        <v>44469</v>
      </c>
      <c r="B280" s="24">
        <f t="shared" si="31"/>
        <v>264</v>
      </c>
      <c r="C280" s="96" t="s">
        <v>340</v>
      </c>
      <c r="D280" s="27">
        <f>'BOGIX (Net)'!D280+(1.23/12)</f>
        <v>-2.5372509999999999</v>
      </c>
      <c r="E280" s="46">
        <f t="shared" ref="E280" si="35">E279*D280/100+E279</f>
        <v>14161877.321595684</v>
      </c>
      <c r="F280" s="112"/>
      <c r="G280" s="106">
        <f>(E280/E277-1)*100</f>
        <v>-4.6062558476756443</v>
      </c>
      <c r="I280" s="39"/>
      <c r="J280" s="20">
        <f t="shared" si="24"/>
        <v>44469</v>
      </c>
      <c r="K280" s="27">
        <v>-2.9489740000000002</v>
      </c>
      <c r="L280" s="46">
        <f t="shared" ref="L280" si="36">L279*K280/100+L279</f>
        <v>6932069.6497885259</v>
      </c>
      <c r="M280" s="112"/>
      <c r="N280" s="106">
        <f>(L280/L277-1)*100</f>
        <v>-4.3630128424763992</v>
      </c>
      <c r="O280" s="39"/>
      <c r="P280" s="20">
        <f t="shared" si="25"/>
        <v>44469</v>
      </c>
      <c r="Q280" s="27">
        <v>-2.434911</v>
      </c>
      <c r="R280" s="46">
        <f t="shared" si="34"/>
        <v>9789661.1709290259</v>
      </c>
      <c r="T280" s="106">
        <f>(R280/R277-1)*100</f>
        <v>-2.8482935109382601</v>
      </c>
      <c r="V280" s="39">
        <v>6</v>
      </c>
    </row>
    <row r="281" spans="1:22" x14ac:dyDescent="0.25">
      <c r="A281" s="21">
        <v>44500</v>
      </c>
      <c r="B281" s="24">
        <f t="shared" si="31"/>
        <v>265</v>
      </c>
      <c r="C281" s="96" t="s">
        <v>340</v>
      </c>
      <c r="D281" s="27">
        <f>'BOGIX (Net)'!D281+(1.23/12)</f>
        <v>3.132803</v>
      </c>
      <c r="E281" s="46">
        <f t="shared" ref="E281" si="37">E280*D281/100+E280</f>
        <v>14605541.039182954</v>
      </c>
      <c r="F281" s="112"/>
      <c r="I281" s="39"/>
      <c r="J281" s="20">
        <f t="shared" si="24"/>
        <v>44500</v>
      </c>
      <c r="K281" s="27">
        <v>4.2539100000000003</v>
      </c>
      <c r="L281" s="46">
        <f t="shared" ref="L281" si="38">L280*K281/100+L280</f>
        <v>7226953.6538278451</v>
      </c>
      <c r="M281" s="112"/>
      <c r="O281" s="39"/>
      <c r="P281" s="20">
        <f t="shared" si="25"/>
        <v>44500</v>
      </c>
      <c r="Q281" s="27">
        <v>3.4261490000000001</v>
      </c>
      <c r="R281" s="46">
        <f t="shared" ref="R281:R282" si="39">R280*Q281/100+R280</f>
        <v>10125069.5492402</v>
      </c>
      <c r="V281" s="39">
        <v>6</v>
      </c>
    </row>
    <row r="282" spans="1:22" x14ac:dyDescent="0.25">
      <c r="A282" s="21">
        <v>44530</v>
      </c>
      <c r="B282" s="24">
        <f t="shared" si="31"/>
        <v>266</v>
      </c>
      <c r="C282" s="96" t="s">
        <v>340</v>
      </c>
      <c r="D282" s="27">
        <f>'BOGIX (Net)'!D282+(1.23/12)</f>
        <v>-4.3092649999999999</v>
      </c>
      <c r="E282" s="46">
        <f t="shared" ref="E282" si="40">E281*D282/100+E281</f>
        <v>13976149.571120806</v>
      </c>
      <c r="F282" s="112"/>
      <c r="I282" s="39"/>
      <c r="J282" s="20">
        <f t="shared" si="24"/>
        <v>44530</v>
      </c>
      <c r="K282" s="27">
        <v>-4.1879010000000001</v>
      </c>
      <c r="L282" s="46">
        <f t="shared" ref="L282" si="41">L281*K282/100+L281</f>
        <v>6924295.9894896522</v>
      </c>
      <c r="M282" s="112"/>
      <c r="O282" s="39"/>
      <c r="P282" s="20">
        <f t="shared" ref="P282:P331" si="42">$A282</f>
        <v>44530</v>
      </c>
      <c r="Q282" s="27">
        <v>-2.315226</v>
      </c>
      <c r="R282" s="46">
        <f t="shared" si="39"/>
        <v>9890651.3065181077</v>
      </c>
      <c r="V282" s="39">
        <v>6</v>
      </c>
    </row>
    <row r="283" spans="1:22" x14ac:dyDescent="0.25">
      <c r="A283" s="21">
        <v>44561</v>
      </c>
      <c r="B283" s="24">
        <f t="shared" ref="B283:B288" si="43">IF(A283&gt;A282,1+B282,"-")</f>
        <v>267</v>
      </c>
      <c r="C283" s="96" t="s">
        <v>340</v>
      </c>
      <c r="D283" s="27">
        <f>'BOGIX (Net)'!D283+(1.23/12)</f>
        <v>5.262327</v>
      </c>
      <c r="E283" s="46">
        <f t="shared" ref="E283:E286" si="44">E282*D283/100+E282</f>
        <v>14711620.263562281</v>
      </c>
      <c r="F283" s="112">
        <f>(E283/E$271-1)*100</f>
        <v>21.163086426275314</v>
      </c>
      <c r="G283" s="106">
        <f>(E283/E280-1)*100</f>
        <v>3.8818507566668714</v>
      </c>
      <c r="I283" s="39"/>
      <c r="J283" s="20">
        <f t="shared" si="24"/>
        <v>44561</v>
      </c>
      <c r="K283" s="27">
        <v>2.2329729999999999</v>
      </c>
      <c r="L283" s="46">
        <f t="shared" ref="L283" si="45">L282*K283/100+L282</f>
        <v>7078913.6493750392</v>
      </c>
      <c r="M283" s="112">
        <f>(L283/L$271-1)*100</f>
        <v>14.784311878333556</v>
      </c>
      <c r="N283" s="106">
        <f>(L283/L280-1)*100</f>
        <v>2.1183283926033969</v>
      </c>
      <c r="O283" s="39"/>
      <c r="P283" s="20">
        <f t="shared" si="42"/>
        <v>44561</v>
      </c>
      <c r="Q283" s="27">
        <v>4.5109009999999996</v>
      </c>
      <c r="R283" s="46">
        <f t="shared" ref="R283" si="46">R282*Q283/100+R282</f>
        <v>10336808.795210347</v>
      </c>
      <c r="S283" s="112">
        <f>(R283/R$271-1)*100</f>
        <v>26.740208101721219</v>
      </c>
      <c r="T283" s="106">
        <f>(R283/R280-1)*100</f>
        <v>5.5890353580990926</v>
      </c>
      <c r="V283" s="39">
        <v>6</v>
      </c>
    </row>
    <row r="284" spans="1:22" x14ac:dyDescent="0.25">
      <c r="A284" s="21">
        <v>44592</v>
      </c>
      <c r="B284" s="24">
        <f t="shared" si="43"/>
        <v>268</v>
      </c>
      <c r="C284" s="96" t="s">
        <v>340</v>
      </c>
      <c r="D284" s="27">
        <f>'BOGIX (Net)'!D284+(1.23/12)</f>
        <v>-6.9303900000000001</v>
      </c>
      <c r="E284" s="46">
        <f t="shared" si="44"/>
        <v>13692047.603978386</v>
      </c>
      <c r="I284" s="39"/>
      <c r="J284" s="20">
        <f t="shared" si="24"/>
        <v>44592</v>
      </c>
      <c r="K284" s="27">
        <v>-9.6280570000000001</v>
      </c>
      <c r="L284" s="46">
        <f t="shared" ref="L284" si="47">L283*K284/100+L283</f>
        <v>6397351.8082324304</v>
      </c>
      <c r="O284" s="39"/>
      <c r="P284" s="20">
        <f t="shared" si="42"/>
        <v>44592</v>
      </c>
      <c r="Q284" s="27">
        <v>-7.2656700000000001</v>
      </c>
      <c r="R284" s="46">
        <f t="shared" ref="R284" si="48">R283*Q284/100+R283</f>
        <v>9585770.379619386</v>
      </c>
      <c r="V284" s="39">
        <v>6</v>
      </c>
    </row>
    <row r="285" spans="1:22" x14ac:dyDescent="0.25">
      <c r="A285" s="21">
        <v>44620</v>
      </c>
      <c r="B285" s="24">
        <f t="shared" si="43"/>
        <v>269</v>
      </c>
      <c r="C285" s="96" t="s">
        <v>340</v>
      </c>
      <c r="D285" s="27">
        <f>'BOGIX (Net)'!D285+(1.23/12)</f>
        <v>0.89286510000000008</v>
      </c>
      <c r="E285" s="46">
        <f t="shared" si="44"/>
        <v>13814299.118509695</v>
      </c>
      <c r="I285" s="39"/>
      <c r="J285" s="20">
        <f t="shared" si="24"/>
        <v>44620</v>
      </c>
      <c r="K285" s="27">
        <v>1.0656110000000001</v>
      </c>
      <c r="L285" s="46">
        <f t="shared" ref="L285" si="49">L284*K285/100+L284</f>
        <v>6465522.6928096544</v>
      </c>
      <c r="M285" s="112"/>
      <c r="O285" s="39"/>
      <c r="P285" s="20">
        <f t="shared" si="42"/>
        <v>44620</v>
      </c>
      <c r="Q285" s="27">
        <v>1.3960319999999999</v>
      </c>
      <c r="R285" s="46">
        <f t="shared" ref="R285" si="50">R284*Q285/100+R284</f>
        <v>9719590.8015653938</v>
      </c>
      <c r="V285" s="39">
        <v>6</v>
      </c>
    </row>
    <row r="286" spans="1:22" x14ac:dyDescent="0.25">
      <c r="A286" s="21">
        <v>44651</v>
      </c>
      <c r="B286" s="24">
        <f t="shared" si="43"/>
        <v>270</v>
      </c>
      <c r="C286" s="96" t="s">
        <v>340</v>
      </c>
      <c r="D286" s="27">
        <f>'BOGIX (Net)'!D286+(1.23/12)</f>
        <v>0.1771826</v>
      </c>
      <c r="E286" s="46">
        <f t="shared" si="44"/>
        <v>13838775.652859647</v>
      </c>
      <c r="F286" s="112"/>
      <c r="G286" s="106">
        <f>(E286/E283-1)*100</f>
        <v>-5.9330284160779678</v>
      </c>
      <c r="I286" s="39"/>
      <c r="J286" s="20">
        <f t="shared" si="24"/>
        <v>44651</v>
      </c>
      <c r="K286" s="27">
        <v>1.2401329999999999</v>
      </c>
      <c r="L286" s="46">
        <f t="shared" ref="L286" si="51">L285*K286/100+L285</f>
        <v>6545703.7733456753</v>
      </c>
      <c r="M286" s="112"/>
      <c r="N286" s="106">
        <f>(L286/L283-1)*100</f>
        <v>-7.5323687000538264</v>
      </c>
      <c r="O286" s="39"/>
      <c r="P286" s="20">
        <f t="shared" si="42"/>
        <v>44651</v>
      </c>
      <c r="Q286" s="27">
        <v>0.3599078</v>
      </c>
      <c r="R286" s="46">
        <f t="shared" ref="R286" si="52">R285*Q286/100+R285</f>
        <v>9754572.3669883106</v>
      </c>
      <c r="T286" s="106">
        <f>(R286/R283-1)*100</f>
        <v>-5.6326516215702949</v>
      </c>
      <c r="V286" s="39">
        <v>6</v>
      </c>
    </row>
    <row r="287" spans="1:22" x14ac:dyDescent="0.25">
      <c r="A287" s="21">
        <v>44681</v>
      </c>
      <c r="B287" s="24">
        <f t="shared" si="43"/>
        <v>271</v>
      </c>
      <c r="C287" s="96" t="s">
        <v>340</v>
      </c>
      <c r="D287" s="27">
        <f>'BOGIX (Net)'!D287+(1.23/12)</f>
        <v>-6.1288429999999998</v>
      </c>
      <c r="E287" s="46">
        <f t="shared" ref="E287" si="53">E286*D287/100+E286</f>
        <v>12990618.819973655</v>
      </c>
      <c r="F287" s="112"/>
      <c r="G287" s="106"/>
      <c r="I287" s="39"/>
      <c r="J287" s="20">
        <f t="shared" si="24"/>
        <v>44681</v>
      </c>
      <c r="K287" s="27">
        <v>-9.9109250000000007</v>
      </c>
      <c r="L287" s="46">
        <f t="shared" ref="L287" si="54">L286*K287/100+L286</f>
        <v>5896963.9816472158</v>
      </c>
      <c r="M287" s="112"/>
      <c r="N287" s="106"/>
      <c r="O287" s="39"/>
      <c r="P287" s="20">
        <f t="shared" si="42"/>
        <v>44681</v>
      </c>
      <c r="Q287" s="27">
        <v>-7.8083660000000004</v>
      </c>
      <c r="R287" s="46">
        <f t="shared" ref="R287" si="55">R286*Q287/100+R286</f>
        <v>8992899.6548389997</v>
      </c>
      <c r="V287" s="39">
        <v>6</v>
      </c>
    </row>
    <row r="288" spans="1:22" x14ac:dyDescent="0.25">
      <c r="A288" s="21">
        <v>44712</v>
      </c>
      <c r="B288" s="24">
        <f t="shared" si="43"/>
        <v>272</v>
      </c>
      <c r="C288" s="96" t="s">
        <v>340</v>
      </c>
      <c r="D288" s="27">
        <f>'BOGIX (Net)'!D288+(1.23/12)</f>
        <v>3.0471880000000002</v>
      </c>
      <c r="E288" s="46">
        <f t="shared" ref="E288" si="56">E287*D288/100+E287</f>
        <v>13386467.397781635</v>
      </c>
      <c r="F288" s="112"/>
      <c r="G288" s="106"/>
      <c r="I288" s="39"/>
      <c r="J288" s="20">
        <f t="shared" si="24"/>
        <v>44712</v>
      </c>
      <c r="K288" s="27">
        <v>0.1437899</v>
      </c>
      <c r="L288" s="46">
        <f t="shared" ref="L288" si="57">L287*K288/100+L287</f>
        <v>5905443.2202594625</v>
      </c>
      <c r="M288" s="112"/>
      <c r="N288" s="106"/>
      <c r="O288" s="39"/>
      <c r="P288" s="20">
        <f t="shared" si="42"/>
        <v>44712</v>
      </c>
      <c r="Q288" s="27">
        <v>1.8534470000000001</v>
      </c>
      <c r="R288" s="46">
        <f t="shared" ref="R288" si="58">R287*Q288/100+R287</f>
        <v>9159578.2837046236</v>
      </c>
      <c r="V288" s="39">
        <v>6</v>
      </c>
    </row>
    <row r="289" spans="1:22" x14ac:dyDescent="0.25">
      <c r="A289" s="21">
        <v>44742</v>
      </c>
      <c r="B289" s="24">
        <f t="shared" ref="B289:B294" si="59">IF(A289&gt;A288,1+B288,"-")</f>
        <v>273</v>
      </c>
      <c r="C289" s="96" t="s">
        <v>340</v>
      </c>
      <c r="D289" s="27">
        <f>'BOGIX (Net)'!D289+(1.23/12)</f>
        <v>-8.324249</v>
      </c>
      <c r="E289" s="46">
        <f t="shared" ref="E289" si="60">E288*D289/100+E288</f>
        <v>12272144.51928647</v>
      </c>
      <c r="F289" s="112"/>
      <c r="G289" s="106">
        <f>(E289/E286-1)*100</f>
        <v>-11.320590584539513</v>
      </c>
      <c r="I289" s="39"/>
      <c r="J289" s="20">
        <f t="shared" si="24"/>
        <v>44742</v>
      </c>
      <c r="K289" s="27">
        <v>-8.2253299999999996</v>
      </c>
      <c r="L289" s="46">
        <f t="shared" ref="L289" si="61">L288*K289/100+L288</f>
        <v>5419701.0274304952</v>
      </c>
      <c r="M289" s="112"/>
      <c r="N289" s="106">
        <f>(L289/L286-1)*100</f>
        <v>-17.202164731320423</v>
      </c>
      <c r="O289" s="39"/>
      <c r="P289" s="20">
        <f t="shared" si="42"/>
        <v>44742</v>
      </c>
      <c r="Q289" s="27">
        <v>-8.5474490000000003</v>
      </c>
      <c r="R289" s="46">
        <f t="shared" ref="R289" si="62">R288*Q289/100+R288</f>
        <v>8376668.0012898957</v>
      </c>
      <c r="T289" s="106">
        <f>(R289/R286-1)*100</f>
        <v>-14.125728057147402</v>
      </c>
      <c r="V289" s="39">
        <v>6</v>
      </c>
    </row>
    <row r="290" spans="1:22" x14ac:dyDescent="0.25">
      <c r="A290" s="21">
        <v>44773</v>
      </c>
      <c r="B290" s="24">
        <f t="shared" si="59"/>
        <v>274</v>
      </c>
      <c r="C290" s="96" t="s">
        <v>340</v>
      </c>
      <c r="D290" s="27">
        <f>'BOGIX (Net)'!D290+(1.23/12)</f>
        <v>10.824319999999998</v>
      </c>
      <c r="E290" s="46">
        <f t="shared" ref="E290" si="63">E289*D290/100+E289</f>
        <v>13600520.712916499</v>
      </c>
      <c r="F290" s="112"/>
      <c r="I290" s="39"/>
      <c r="J290" s="20">
        <f t="shared" si="24"/>
        <v>44773</v>
      </c>
      <c r="K290" s="27">
        <v>10.440250000000001</v>
      </c>
      <c r="L290" s="46">
        <f t="shared" ref="L290" si="64">L289*K290/100+L289</f>
        <v>5985531.3639468076</v>
      </c>
      <c r="M290" s="112"/>
      <c r="O290" s="39"/>
      <c r="P290" s="20">
        <f t="shared" si="42"/>
        <v>44773</v>
      </c>
      <c r="Q290" s="27">
        <v>10.01394</v>
      </c>
      <c r="R290" s="46">
        <f t="shared" ref="R290" si="65">R289*Q290/100+R289</f>
        <v>9215502.508938266</v>
      </c>
      <c r="V290" s="39">
        <v>7</v>
      </c>
    </row>
    <row r="291" spans="1:22" x14ac:dyDescent="0.25">
      <c r="A291" s="21">
        <v>44804</v>
      </c>
      <c r="B291" s="24">
        <f t="shared" si="59"/>
        <v>275</v>
      </c>
      <c r="C291" s="96" t="s">
        <v>340</v>
      </c>
      <c r="D291" s="27">
        <f>'BOGIX (Net)'!D291+(1.23/12)</f>
        <v>-2.5661999999999998</v>
      </c>
      <c r="E291" s="46">
        <f t="shared" ref="E291" si="66">E290*D291/100+E290</f>
        <v>13251504.150381636</v>
      </c>
      <c r="F291" s="112"/>
      <c r="I291" s="39"/>
      <c r="J291" s="20">
        <f t="shared" si="24"/>
        <v>44804</v>
      </c>
      <c r="K291" s="27">
        <v>-2.046306</v>
      </c>
      <c r="L291" s="46">
        <f t="shared" ref="L291" si="67">L290*K291/100+L290</f>
        <v>5863049.0765144825</v>
      </c>
      <c r="M291" s="112"/>
      <c r="O291" s="39"/>
      <c r="P291" s="20">
        <f t="shared" si="42"/>
        <v>44804</v>
      </c>
      <c r="Q291" s="27">
        <v>-4.3909000000000002</v>
      </c>
      <c r="R291" s="46">
        <f t="shared" ref="R291" si="68">R290*Q291/100+R290</f>
        <v>8810859.0092732962</v>
      </c>
      <c r="V291" s="39">
        <v>8</v>
      </c>
    </row>
    <row r="292" spans="1:22" x14ac:dyDescent="0.25">
      <c r="A292" s="21">
        <v>44834</v>
      </c>
      <c r="B292" s="24">
        <f t="shared" si="59"/>
        <v>276</v>
      </c>
      <c r="C292" s="96" t="s">
        <v>340</v>
      </c>
      <c r="D292" s="27">
        <f>'BOGIX (Net)'!D292+(1.23/12)</f>
        <v>-9.3373750000000015</v>
      </c>
      <c r="E292" s="46">
        <f t="shared" ref="E292" si="69">E291*D292/100+E291</f>
        <v>12014161.514719939</v>
      </c>
      <c r="F292" s="112"/>
      <c r="G292" s="106">
        <f>(E292/E289-1)*100</f>
        <v>-2.1021835601845673</v>
      </c>
      <c r="I292" s="39"/>
      <c r="J292" s="20">
        <f t="shared" si="24"/>
        <v>44834</v>
      </c>
      <c r="K292" s="27">
        <v>-9.5742589999999996</v>
      </c>
      <c r="L292" s="46">
        <f t="shared" ref="L292" si="70">L291*K292/100+L291</f>
        <v>5301705.5726318778</v>
      </c>
      <c r="M292" s="112"/>
      <c r="N292" s="106">
        <f>(L292/L289-1)*100</f>
        <v>-2.1771580056060724</v>
      </c>
      <c r="O292" s="39"/>
      <c r="P292" s="20">
        <f t="shared" si="42"/>
        <v>44834</v>
      </c>
      <c r="Q292" s="27">
        <v>-9.8790829999999996</v>
      </c>
      <c r="R292" s="46">
        <f t="shared" ref="R292" si="71">R291*Q292/100+R291</f>
        <v>7940426.9347342094</v>
      </c>
      <c r="S292" s="112"/>
      <c r="T292" s="106">
        <f>(R292/R289-1)*100</f>
        <v>-5.2078113456151209</v>
      </c>
      <c r="V292" s="39">
        <v>8</v>
      </c>
    </row>
    <row r="293" spans="1:22" x14ac:dyDescent="0.25">
      <c r="A293" s="21">
        <v>44865</v>
      </c>
      <c r="B293" s="24">
        <f t="shared" si="59"/>
        <v>277</v>
      </c>
      <c r="C293" s="96" t="s">
        <v>340</v>
      </c>
      <c r="D293" s="27">
        <f>'BOGIX (Net)'!D293+(1.23/12)</f>
        <v>11.088659999999999</v>
      </c>
      <c r="E293" s="46">
        <f t="shared" ref="E293" si="72">E292*D293/100+E292</f>
        <v>13346371.036938082</v>
      </c>
      <c r="F293" s="112"/>
      <c r="G293" s="106"/>
      <c r="I293" s="39"/>
      <c r="J293" s="20">
        <f t="shared" si="24"/>
        <v>44865</v>
      </c>
      <c r="K293" s="27">
        <v>11.00892</v>
      </c>
      <c r="L293" s="46">
        <f t="shared" ref="L293" si="73">L292*K293/100+L292</f>
        <v>5885366.0977584627</v>
      </c>
      <c r="M293" s="112"/>
      <c r="N293" s="106"/>
      <c r="O293" s="39"/>
      <c r="P293" s="20">
        <f t="shared" si="42"/>
        <v>44865</v>
      </c>
      <c r="Q293" s="27">
        <v>12.36529</v>
      </c>
      <c r="R293" s="46">
        <f t="shared" ref="R293" si="74">R292*Q293/100+R292</f>
        <v>8922283.7524522059</v>
      </c>
      <c r="S293" s="112"/>
      <c r="T293" s="106"/>
      <c r="V293" s="39">
        <v>8</v>
      </c>
    </row>
    <row r="294" spans="1:22" x14ac:dyDescent="0.25">
      <c r="A294" s="21">
        <v>44895</v>
      </c>
      <c r="B294" s="24">
        <f t="shared" si="59"/>
        <v>278</v>
      </c>
      <c r="C294" s="96" t="s">
        <v>340</v>
      </c>
      <c r="D294" s="27">
        <f>'BOGIX (Net)'!D294+(1.23/12)</f>
        <v>3.181222</v>
      </c>
      <c r="E294" s="46">
        <f t="shared" ref="E294:E300" si="75">E293*D294/100+E293</f>
        <v>13770948.728566784</v>
      </c>
      <c r="F294" s="112"/>
      <c r="G294" s="106"/>
      <c r="I294" s="39"/>
      <c r="J294" s="20">
        <f t="shared" si="24"/>
        <v>44895</v>
      </c>
      <c r="K294" s="27">
        <v>2.3137370000000002</v>
      </c>
      <c r="L294" s="46">
        <f t="shared" ref="L294:L300" si="76">L293*K294/100+L293</f>
        <v>6021537.9907477563</v>
      </c>
      <c r="M294" s="112"/>
      <c r="N294" s="106"/>
      <c r="O294" s="39"/>
      <c r="P294" s="20">
        <f t="shared" si="42"/>
        <v>44895</v>
      </c>
      <c r="Q294" s="27">
        <v>4.1502249999999998</v>
      </c>
      <c r="R294" s="46">
        <f t="shared" ref="R294:R300" si="77">R293*Q294/100+R293</f>
        <v>9292578.6033174153</v>
      </c>
      <c r="S294" s="112"/>
      <c r="T294" s="106"/>
      <c r="V294" s="39">
        <v>8</v>
      </c>
    </row>
    <row r="295" spans="1:22" x14ac:dyDescent="0.25">
      <c r="A295" s="21">
        <v>44926</v>
      </c>
      <c r="B295" s="24">
        <f t="shared" ref="B295:B300" si="78">IF(A295&gt;A294,1+B294,"-")</f>
        <v>279</v>
      </c>
      <c r="C295" s="96" t="s">
        <v>340</v>
      </c>
      <c r="D295" s="27">
        <f>'BOGIX (Net)'!D295+(1.23/12)</f>
        <v>-6.1367430000000001</v>
      </c>
      <c r="E295" s="46">
        <f t="shared" si="75"/>
        <v>12925860.996432872</v>
      </c>
      <c r="F295" s="112">
        <f>(E295/E$283-1)*100</f>
        <v>-12.138426870304519</v>
      </c>
      <c r="G295" s="106">
        <f>(E295/E292-1)*100</f>
        <v>7.588540245575226</v>
      </c>
      <c r="I295" s="39"/>
      <c r="J295" s="20">
        <f t="shared" si="24"/>
        <v>44926</v>
      </c>
      <c r="K295" s="27">
        <v>-6.4934729999999998</v>
      </c>
      <c r="L295" s="46">
        <f t="shared" si="76"/>
        <v>5630531.047133808</v>
      </c>
      <c r="M295" s="112">
        <f>(L295/L$283-1)*100</f>
        <v>-20.46052083668377</v>
      </c>
      <c r="N295" s="106">
        <f>(L295/L292-1)*100</f>
        <v>6.2022583109739626</v>
      </c>
      <c r="O295" s="39"/>
      <c r="P295" s="20">
        <f t="shared" si="42"/>
        <v>44926</v>
      </c>
      <c r="Q295" s="27">
        <v>-6.7240900000000003</v>
      </c>
      <c r="R295" s="46">
        <f t="shared" si="77"/>
        <v>8667737.2547096089</v>
      </c>
      <c r="S295" s="112">
        <f>(R295/R$283-1)*100</f>
        <v>-16.146874471298311</v>
      </c>
      <c r="T295" s="106">
        <f>(R295/R292-1)*100</f>
        <v>9.1595870845922569</v>
      </c>
      <c r="V295" s="39">
        <v>8</v>
      </c>
    </row>
    <row r="296" spans="1:22" x14ac:dyDescent="0.25">
      <c r="A296" s="21">
        <v>44957</v>
      </c>
      <c r="B296" s="24">
        <f t="shared" si="78"/>
        <v>280</v>
      </c>
      <c r="C296" s="96" t="s">
        <v>340</v>
      </c>
      <c r="D296" s="27">
        <f>'BOGIX (Net)'!D296+(1.23/12)</f>
        <v>9.1491529999999983</v>
      </c>
      <c r="E296" s="46">
        <f t="shared" si="75"/>
        <v>14108467.795563839</v>
      </c>
      <c r="I296" s="39"/>
      <c r="J296" s="20">
        <f t="shared" ref="J296:J331" si="79">$A296</f>
        <v>44957</v>
      </c>
      <c r="K296" s="27">
        <v>9.7465890000000002</v>
      </c>
      <c r="L296" s="46">
        <f t="shared" si="76"/>
        <v>6179315.7668153364</v>
      </c>
      <c r="M296" s="61"/>
      <c r="O296" s="39"/>
      <c r="P296" s="20">
        <f t="shared" si="42"/>
        <v>44957</v>
      </c>
      <c r="Q296" s="27">
        <v>9.4840990000000005</v>
      </c>
      <c r="R296" s="46">
        <f t="shared" si="77"/>
        <v>9489794.0370061509</v>
      </c>
      <c r="S296" s="61"/>
      <c r="V296" s="39">
        <v>8</v>
      </c>
    </row>
    <row r="297" spans="1:22" x14ac:dyDescent="0.25">
      <c r="A297" s="21">
        <v>44985</v>
      </c>
      <c r="B297" s="24">
        <f t="shared" si="78"/>
        <v>281</v>
      </c>
      <c r="C297" s="96" t="s">
        <v>340</v>
      </c>
      <c r="D297" s="27">
        <f>'BOGIX (Net)'!D297+(1.23/12)</f>
        <v>1.330179</v>
      </c>
      <c r="E297" s="46">
        <f t="shared" si="75"/>
        <v>14296135.671402192</v>
      </c>
      <c r="I297" s="39"/>
      <c r="J297" s="20">
        <f t="shared" si="79"/>
        <v>44985</v>
      </c>
      <c r="K297" s="27">
        <v>-1.6926909999999999</v>
      </c>
      <c r="L297" s="46">
        <f t="shared" si="76"/>
        <v>6074719.0449688723</v>
      </c>
      <c r="M297" s="61"/>
      <c r="O297" s="39"/>
      <c r="P297" s="20">
        <f t="shared" si="42"/>
        <v>44985</v>
      </c>
      <c r="Q297" s="27">
        <v>-1.238982</v>
      </c>
      <c r="R297" s="46">
        <f t="shared" si="77"/>
        <v>9372217.1970505714</v>
      </c>
      <c r="S297" s="61"/>
      <c r="V297" s="39">
        <v>8</v>
      </c>
    </row>
    <row r="298" spans="1:22" x14ac:dyDescent="0.25">
      <c r="A298" s="21">
        <v>45016</v>
      </c>
      <c r="B298" s="24">
        <f t="shared" si="78"/>
        <v>282</v>
      </c>
      <c r="C298" s="96" t="s">
        <v>340</v>
      </c>
      <c r="D298" s="27">
        <f>'BOGIX (Net)'!D298+(1.23/12)</f>
        <v>-4.8221600000000002</v>
      </c>
      <c r="E298" s="46">
        <f t="shared" si="75"/>
        <v>13606753.135510104</v>
      </c>
      <c r="G298" s="106">
        <f>(E298/E295-1)*100</f>
        <v>5.2676733817974331</v>
      </c>
      <c r="I298" s="39"/>
      <c r="J298" s="20">
        <f t="shared" si="79"/>
        <v>45016</v>
      </c>
      <c r="K298" s="27">
        <v>-4.7829889999999997</v>
      </c>
      <c r="L298" s="46">
        <f t="shared" si="76"/>
        <v>5784165.9012671057</v>
      </c>
      <c r="M298" s="61"/>
      <c r="N298" s="106">
        <f>(L298/L295-1)*100</f>
        <v>2.7286032675639893</v>
      </c>
      <c r="O298" s="39"/>
      <c r="P298" s="20">
        <f t="shared" si="42"/>
        <v>45016</v>
      </c>
      <c r="Q298" s="27">
        <v>-5.1637300000000002</v>
      </c>
      <c r="R298" s="46">
        <f t="shared" si="77"/>
        <v>8888261.2059813123</v>
      </c>
      <c r="S298" s="61"/>
      <c r="T298" s="106">
        <f>(R298/R295-1)*100</f>
        <v>2.5441928474687181</v>
      </c>
      <c r="V298" s="39">
        <v>8</v>
      </c>
    </row>
    <row r="299" spans="1:22" x14ac:dyDescent="0.25">
      <c r="A299" s="21">
        <v>45046</v>
      </c>
      <c r="B299" s="24">
        <f t="shared" si="78"/>
        <v>283</v>
      </c>
      <c r="C299" s="96" t="s">
        <v>340</v>
      </c>
      <c r="D299" s="27">
        <f>'BOGIX (Net)'!D299+(1.23/12)</f>
        <v>-1.4823469999999999</v>
      </c>
      <c r="E299" s="46">
        <f t="shared" si="75"/>
        <v>13405053.838608464</v>
      </c>
      <c r="I299" s="39"/>
      <c r="J299" s="20">
        <f t="shared" si="79"/>
        <v>45046</v>
      </c>
      <c r="K299" s="27">
        <v>-1.7983370000000001</v>
      </c>
      <c r="L299" s="46">
        <f t="shared" si="76"/>
        <v>5680147.1057232358</v>
      </c>
      <c r="M299" s="61"/>
      <c r="O299" s="39"/>
      <c r="P299" s="20">
        <f t="shared" si="42"/>
        <v>45046</v>
      </c>
      <c r="Q299" s="27">
        <v>-2.778788</v>
      </c>
      <c r="R299" s="46">
        <f t="shared" si="77"/>
        <v>8641275.2701808475</v>
      </c>
      <c r="S299" s="61"/>
      <c r="V299" s="39">
        <v>8</v>
      </c>
    </row>
    <row r="300" spans="1:22" x14ac:dyDescent="0.25">
      <c r="A300" s="21">
        <v>45077</v>
      </c>
      <c r="B300" s="24">
        <f t="shared" si="78"/>
        <v>284</v>
      </c>
      <c r="C300" s="96" t="s">
        <v>340</v>
      </c>
      <c r="D300" s="27">
        <f>'BOGIX (Net)'!D300+(1.23/12)</f>
        <v>-2.214861</v>
      </c>
      <c r="E300" s="46">
        <f t="shared" si="75"/>
        <v>13108150.529108122</v>
      </c>
      <c r="F300" s="112"/>
      <c r="I300" s="39"/>
      <c r="J300" s="20">
        <f t="shared" si="79"/>
        <v>45077</v>
      </c>
      <c r="K300" s="27">
        <v>-0.93249360000000003</v>
      </c>
      <c r="L300" s="46">
        <f t="shared" si="76"/>
        <v>5627180.0974917812</v>
      </c>
      <c r="M300" s="112"/>
      <c r="O300" s="39"/>
      <c r="P300" s="20">
        <f t="shared" si="42"/>
        <v>45077</v>
      </c>
      <c r="Q300" s="27">
        <v>-1.773007</v>
      </c>
      <c r="R300" s="46">
        <f t="shared" si="77"/>
        <v>8488064.8547512721</v>
      </c>
      <c r="S300" s="112"/>
      <c r="V300" s="39">
        <v>8</v>
      </c>
    </row>
    <row r="301" spans="1:22" x14ac:dyDescent="0.25">
      <c r="A301" s="21">
        <v>45107</v>
      </c>
      <c r="B301" s="24">
        <f t="shared" ref="B301:B305" si="80">IF(A301&gt;A300,1+B300,"-")</f>
        <v>285</v>
      </c>
      <c r="C301" s="96" t="s">
        <v>340</v>
      </c>
      <c r="D301" s="27">
        <f>'BOGIX (Net)'!D301+(1.23/12)</f>
        <v>10.95895</v>
      </c>
      <c r="E301" s="46">
        <f t="shared" ref="E301" si="81">E300*D301/100+E300</f>
        <v>14544666.191517817</v>
      </c>
      <c r="F301" s="112"/>
      <c r="G301" s="106">
        <f>(E301/E298-1)*100</f>
        <v>6.8929967837808581</v>
      </c>
      <c r="I301" s="39"/>
      <c r="J301" s="20">
        <f t="shared" si="79"/>
        <v>45107</v>
      </c>
      <c r="K301" s="27">
        <v>8.1256939999999993</v>
      </c>
      <c r="L301" s="46">
        <f t="shared" ref="L301" si="82">L300*K301/100+L300</f>
        <v>6084427.5330428649</v>
      </c>
      <c r="M301" s="112"/>
      <c r="N301" s="106">
        <f>(L301/L298-1)*100</f>
        <v>5.1910964675128346</v>
      </c>
      <c r="O301" s="39"/>
      <c r="P301" s="20">
        <f t="shared" si="42"/>
        <v>45107</v>
      </c>
      <c r="Q301" s="27">
        <v>8.2307839999999999</v>
      </c>
      <c r="R301" s="46">
        <f t="shared" ref="R301" si="83">R300*Q301/100+R300</f>
        <v>9186699.1387257632</v>
      </c>
      <c r="S301" s="112"/>
      <c r="T301" s="106">
        <f>(R301/R298-1)*100</f>
        <v>3.3576638425479421</v>
      </c>
      <c r="V301" s="39">
        <v>8</v>
      </c>
    </row>
    <row r="302" spans="1:22" x14ac:dyDescent="0.25">
      <c r="A302" s="21">
        <v>45138</v>
      </c>
      <c r="B302" s="24">
        <f t="shared" si="80"/>
        <v>286</v>
      </c>
      <c r="C302" s="96" t="s">
        <v>340</v>
      </c>
      <c r="D302" s="27">
        <f>'BOGIX (Net)'!D302+(1.23/12)</f>
        <v>4.5275999999999996</v>
      </c>
      <c r="E302" s="46">
        <f t="shared" ref="E302" si="84">E301*D302/100+E301</f>
        <v>15203190.498004977</v>
      </c>
      <c r="F302" s="112"/>
      <c r="G302" s="106"/>
      <c r="I302" s="39"/>
      <c r="J302" s="20">
        <f t="shared" si="79"/>
        <v>45138</v>
      </c>
      <c r="K302" s="27">
        <v>6.114903</v>
      </c>
      <c r="L302" s="46">
        <f t="shared" ref="L302" si="85">L301*K302/100+L301</f>
        <v>6456484.3747937288</v>
      </c>
      <c r="M302" s="112"/>
      <c r="N302" s="106"/>
      <c r="O302" s="39"/>
      <c r="P302" s="20">
        <f t="shared" si="42"/>
        <v>45138</v>
      </c>
      <c r="Q302" s="27">
        <v>5.5092189999999999</v>
      </c>
      <c r="R302" s="46">
        <f t="shared" ref="R302" si="86">R301*Q302/100+R301</f>
        <v>9692814.5131492801</v>
      </c>
      <c r="S302" s="112"/>
      <c r="T302" s="106"/>
      <c r="V302" s="39">
        <v>8</v>
      </c>
    </row>
    <row r="303" spans="1:22" x14ac:dyDescent="0.25">
      <c r="A303" s="21">
        <v>45169</v>
      </c>
      <c r="B303" s="24">
        <f t="shared" si="80"/>
        <v>287</v>
      </c>
      <c r="C303" s="96" t="s">
        <v>340</v>
      </c>
      <c r="D303" s="27">
        <f>'BOGIX (Net)'!D303+(1.23/12)</f>
        <v>-4.3782220000000001</v>
      </c>
      <c r="E303" s="46">
        <f t="shared" ref="E303" si="87">E302*D303/100+E302</f>
        <v>14537561.066919412</v>
      </c>
      <c r="F303" s="112"/>
      <c r="G303" s="106"/>
      <c r="I303" s="39"/>
      <c r="J303" s="20">
        <f t="shared" si="79"/>
        <v>45169</v>
      </c>
      <c r="K303" s="27">
        <v>-5.0064710000000003</v>
      </c>
      <c r="L303" s="46">
        <f t="shared" ref="L303" si="88">L302*K303/100+L302</f>
        <v>6133242.3569501499</v>
      </c>
      <c r="M303" s="112"/>
      <c r="N303" s="106"/>
      <c r="O303" s="39"/>
      <c r="P303" s="20">
        <f t="shared" si="42"/>
        <v>45169</v>
      </c>
      <c r="Q303" s="27">
        <v>-4.1496180000000003</v>
      </c>
      <c r="R303" s="46">
        <f t="shared" ref="R303" si="89">R302*Q303/100+R302</f>
        <v>9290599.7374050245</v>
      </c>
      <c r="S303" s="112"/>
      <c r="T303" s="106"/>
      <c r="V303" s="39">
        <v>8</v>
      </c>
    </row>
    <row r="304" spans="1:22" x14ac:dyDescent="0.25">
      <c r="A304" s="21">
        <v>45199</v>
      </c>
      <c r="B304" s="24">
        <f t="shared" si="80"/>
        <v>288</v>
      </c>
      <c r="C304" s="96" t="s">
        <v>340</v>
      </c>
      <c r="D304" s="27">
        <f>'BOGIX (Net)'!D304+(1.23/12)</f>
        <v>-4.8793179999999996</v>
      </c>
      <c r="E304" s="46">
        <f t="shared" ref="E304" si="90">E303*D304/100+E303</f>
        <v>13828227.233020222</v>
      </c>
      <c r="F304" s="112"/>
      <c r="G304" s="106">
        <f>(E304/E301-1)*100</f>
        <v>-4.9257848139231175</v>
      </c>
      <c r="I304" s="39"/>
      <c r="J304" s="20">
        <f t="shared" si="79"/>
        <v>45199</v>
      </c>
      <c r="K304" s="27">
        <v>-5.8905890000000003</v>
      </c>
      <c r="L304" s="46">
        <f t="shared" ref="L304" si="91">L303*K304/100+L303</f>
        <v>5771958.2573283035</v>
      </c>
      <c r="M304" s="112"/>
      <c r="N304" s="106">
        <f>(L304/L301-1)*100</f>
        <v>-5.1355575198755554</v>
      </c>
      <c r="O304" s="39"/>
      <c r="P304" s="20">
        <f t="shared" si="42"/>
        <v>45199</v>
      </c>
      <c r="Q304" s="27">
        <v>-5.9987870000000001</v>
      </c>
      <c r="R304" s="46">
        <f t="shared" ref="R304" si="92">R303*Q304/100+R303</f>
        <v>8733276.448135538</v>
      </c>
      <c r="S304" s="112"/>
      <c r="T304" s="106">
        <f>(R304/R301-1)*100</f>
        <v>-4.9356431917843002</v>
      </c>
      <c r="V304" s="39">
        <v>8</v>
      </c>
    </row>
    <row r="305" spans="1:22" x14ac:dyDescent="0.25">
      <c r="A305" s="21">
        <v>45230</v>
      </c>
      <c r="B305" s="24">
        <f t="shared" si="80"/>
        <v>289</v>
      </c>
      <c r="C305" s="96" t="s">
        <v>340</v>
      </c>
      <c r="D305" s="27">
        <f>'BOGIX (Net)'!D305+(1.23/12)</f>
        <v>-6.2120810000000004</v>
      </c>
      <c r="E305" s="46">
        <f t="shared" ref="E305:E307" si="93">E304*D305/100+E304</f>
        <v>12969206.556440948</v>
      </c>
      <c r="F305" s="112"/>
      <c r="G305" s="106"/>
      <c r="I305" s="39"/>
      <c r="J305" s="20">
        <f t="shared" si="79"/>
        <v>45230</v>
      </c>
      <c r="K305" s="27">
        <v>-6.8217509999999999</v>
      </c>
      <c r="L305" s="46">
        <f t="shared" ref="L305:L307" si="94">L304*K305/100+L304</f>
        <v>5378209.6371894274</v>
      </c>
      <c r="M305" s="112"/>
      <c r="N305" s="106"/>
      <c r="O305" s="39"/>
      <c r="P305" s="20">
        <f t="shared" si="42"/>
        <v>45230</v>
      </c>
      <c r="Q305" s="27">
        <v>-5.738213</v>
      </c>
      <c r="R305" s="46">
        <f t="shared" ref="R305:R307" si="95">R304*Q305/100+R304</f>
        <v>8232142.4436626863</v>
      </c>
      <c r="S305" s="112"/>
      <c r="T305" s="106"/>
      <c r="V305" s="39">
        <v>8</v>
      </c>
    </row>
    <row r="306" spans="1:22" x14ac:dyDescent="0.25">
      <c r="A306" s="21">
        <v>45260</v>
      </c>
      <c r="B306" s="24">
        <f t="shared" ref="B306:B309" si="96">IF(A306&gt;A305,1+B305,"-")</f>
        <v>290</v>
      </c>
      <c r="C306" s="96" t="s">
        <v>340</v>
      </c>
      <c r="D306" s="27">
        <f>'BOGIX (Net)'!D306+(1.23/12)</f>
        <v>8.5992319999999989</v>
      </c>
      <c r="E306" s="46">
        <f t="shared" si="93"/>
        <v>14084458.716788515</v>
      </c>
      <c r="F306" s="112"/>
      <c r="G306" s="106"/>
      <c r="I306" s="39"/>
      <c r="J306" s="20">
        <f t="shared" si="79"/>
        <v>45260</v>
      </c>
      <c r="K306" s="27">
        <v>9.028518</v>
      </c>
      <c r="L306" s="46">
        <f t="shared" si="94"/>
        <v>5863782.2623608094</v>
      </c>
      <c r="M306" s="112"/>
      <c r="N306" s="106"/>
      <c r="O306" s="39"/>
      <c r="P306" s="20">
        <f t="shared" si="42"/>
        <v>45260</v>
      </c>
      <c r="Q306" s="27">
        <v>8.2344270000000002</v>
      </c>
      <c r="R306" s="46">
        <f t="shared" si="95"/>
        <v>8910012.2037221063</v>
      </c>
      <c r="S306" s="112"/>
      <c r="T306" s="106"/>
      <c r="V306" s="39">
        <v>8</v>
      </c>
    </row>
    <row r="307" spans="1:22" x14ac:dyDescent="0.25">
      <c r="A307" s="21">
        <v>45291</v>
      </c>
      <c r="B307" s="24">
        <f t="shared" si="96"/>
        <v>291</v>
      </c>
      <c r="C307" s="96" t="s">
        <v>340</v>
      </c>
      <c r="D307" s="27">
        <f>'BOGIX (Net)'!D307+(1.23/12)</f>
        <v>12.527199999999999</v>
      </c>
      <c r="E307" s="46">
        <f t="shared" si="93"/>
        <v>15848847.029158046</v>
      </c>
      <c r="F307" s="112">
        <f>(E307/E$295-1)*100</f>
        <v>22.613472584393612</v>
      </c>
      <c r="G307" s="106">
        <f t="shared" ref="G307" si="97">(E307/E304-1)*100</f>
        <v>14.612283715679887</v>
      </c>
      <c r="H307" s="320">
        <f>STDEVP(K272:K307)*SQRT(12)</f>
        <v>21.106284010562383</v>
      </c>
      <c r="I307" s="39"/>
      <c r="J307" s="20">
        <f t="shared" si="79"/>
        <v>45291</v>
      </c>
      <c r="K307" s="27">
        <v>12.23072</v>
      </c>
      <c r="L307" s="46">
        <f t="shared" si="94"/>
        <v>6580965.0522798253</v>
      </c>
      <c r="M307" s="112">
        <f t="shared" ref="M307" si="98">(L307/L$295-1)*100</f>
        <v>16.880006471677845</v>
      </c>
      <c r="N307" s="106">
        <f t="shared" ref="N307" si="99">(L307/L304-1)*100</f>
        <v>14.01615810239749</v>
      </c>
      <c r="O307" s="39"/>
      <c r="P307" s="20">
        <f t="shared" si="42"/>
        <v>45291</v>
      </c>
      <c r="Q307" s="27">
        <v>12.789160000000001</v>
      </c>
      <c r="R307" s="46">
        <f t="shared" si="95"/>
        <v>10049527.920475652</v>
      </c>
      <c r="S307" s="112">
        <f t="shared" ref="S307" si="100">(R307/R$295-1)*100</f>
        <v>15.941769174131903</v>
      </c>
      <c r="T307" s="106">
        <f>(R307/R304-1)*100</f>
        <v>15.071679914828762</v>
      </c>
      <c r="V307" s="39">
        <v>8</v>
      </c>
    </row>
    <row r="308" spans="1:22" x14ac:dyDescent="0.25">
      <c r="A308" s="21">
        <v>45322</v>
      </c>
      <c r="B308" s="24">
        <f t="shared" si="96"/>
        <v>292</v>
      </c>
      <c r="C308" s="96" t="s">
        <v>340</v>
      </c>
      <c r="D308" s="27">
        <f>'BOGIX (Net)'!D308+(1.23/12)</f>
        <v>-1.505002</v>
      </c>
      <c r="E308" s="46">
        <f t="shared" ref="E308" si="101">E307*D308/100+E307</f>
        <v>15610321.564392278</v>
      </c>
      <c r="F308" s="112"/>
      <c r="G308" s="106"/>
      <c r="I308" s="39"/>
      <c r="J308" s="20">
        <f t="shared" si="79"/>
        <v>45322</v>
      </c>
      <c r="K308" s="27">
        <v>-3.8897680000000001</v>
      </c>
      <c r="L308" s="46">
        <f t="shared" ref="L308" si="102">L307*K308/100+L307</f>
        <v>6324980.7795850616</v>
      </c>
      <c r="M308" s="112"/>
      <c r="N308" s="106"/>
      <c r="O308" s="39"/>
      <c r="P308" s="20">
        <f t="shared" si="42"/>
        <v>45322</v>
      </c>
      <c r="Q308" s="27">
        <v>-3.952928</v>
      </c>
      <c r="R308" s="46">
        <f t="shared" ref="R308" si="103">R307*Q308/100+R307</f>
        <v>9652277.3174393531</v>
      </c>
      <c r="S308" s="112"/>
      <c r="T308" s="106"/>
      <c r="V308" s="39">
        <v>8</v>
      </c>
    </row>
    <row r="309" spans="1:22" x14ac:dyDescent="0.25">
      <c r="A309" s="21">
        <v>45351</v>
      </c>
      <c r="B309" s="24">
        <f t="shared" si="96"/>
        <v>293</v>
      </c>
      <c r="C309" s="96" t="s">
        <v>340</v>
      </c>
      <c r="D309" s="27">
        <f>'BOGIX (Net)'!D309+(1.23/12)</f>
        <v>3.1658080000000002</v>
      </c>
      <c r="E309" s="46">
        <f t="shared" ref="E309:E310" si="104">E308*D309/100+E308</f>
        <v>16104514.373303534</v>
      </c>
      <c r="F309" s="112"/>
      <c r="G309" s="106"/>
      <c r="I309" s="39"/>
      <c r="J309" s="20">
        <f t="shared" si="79"/>
        <v>45351</v>
      </c>
      <c r="K309" s="27">
        <v>5.6506040000000004</v>
      </c>
      <c r="L309" s="46">
        <f t="shared" ref="L309:L310" si="105">L308*K309/100+L308</f>
        <v>6682380.3965155259</v>
      </c>
      <c r="M309" s="112"/>
      <c r="N309" s="106"/>
      <c r="O309" s="39"/>
      <c r="P309" s="20">
        <f t="shared" si="42"/>
        <v>45351</v>
      </c>
      <c r="Q309" s="27">
        <v>3.3164099999999999</v>
      </c>
      <c r="R309" s="46">
        <f t="shared" ref="R309:R310" si="106">R308*Q309/100+R308</f>
        <v>9972386.4076226428</v>
      </c>
      <c r="S309" s="112"/>
      <c r="T309" s="106"/>
      <c r="V309" s="39">
        <v>8</v>
      </c>
    </row>
    <row r="310" spans="1:22" x14ac:dyDescent="0.25">
      <c r="A310" s="21">
        <v>45382</v>
      </c>
      <c r="B310" s="24">
        <f t="shared" ref="B310:B314" si="107">IF(A310&gt;A309,1+B309,"-")</f>
        <v>294</v>
      </c>
      <c r="C310" s="96" t="s">
        <v>340</v>
      </c>
      <c r="D310" s="27">
        <f>'BOGIX (Net)'!D310+(1.23/12)</f>
        <v>4.164587</v>
      </c>
      <c r="E310" s="46">
        <f t="shared" si="104"/>
        <v>16775200.885307265</v>
      </c>
      <c r="F310" s="112"/>
      <c r="G310" s="106">
        <f t="shared" ref="G310" si="108">(E310/E307-1)*100</f>
        <v>5.8449289998506071</v>
      </c>
      <c r="I310" s="39"/>
      <c r="J310" s="20">
        <f t="shared" si="79"/>
        <v>45382</v>
      </c>
      <c r="K310" s="27">
        <v>3.5787599999999999</v>
      </c>
      <c r="L310" s="46">
        <f t="shared" si="105"/>
        <v>6921526.7531938646</v>
      </c>
      <c r="M310" s="112"/>
      <c r="N310" s="106">
        <f t="shared" ref="N310" si="109">(L310/L307-1)*100</f>
        <v>5.1749507588717547</v>
      </c>
      <c r="O310" s="39"/>
      <c r="P310" s="20">
        <f t="shared" si="42"/>
        <v>45382</v>
      </c>
      <c r="Q310" s="27">
        <v>3.2380599999999999</v>
      </c>
      <c r="R310" s="46">
        <f t="shared" si="106"/>
        <v>10295298.262933308</v>
      </c>
      <c r="S310" s="112"/>
      <c r="T310" s="106">
        <f>(R310/R307-1)*100</f>
        <v>2.4455909213098925</v>
      </c>
      <c r="V310" s="39">
        <v>8</v>
      </c>
    </row>
    <row r="311" spans="1:22" x14ac:dyDescent="0.25">
      <c r="A311" s="21">
        <v>45412</v>
      </c>
      <c r="B311" s="24">
        <f t="shared" si="107"/>
        <v>295</v>
      </c>
      <c r="C311" s="96" t="s">
        <v>340</v>
      </c>
      <c r="D311" s="27">
        <f>'BOGIX (Net)'!D311+(1.23/12)</f>
        <v>-6.8794110000000002</v>
      </c>
      <c r="E311" s="46">
        <f t="shared" ref="E311:E313" si="110">E310*D311/100+E310</f>
        <v>15621165.87033134</v>
      </c>
      <c r="F311" s="112"/>
      <c r="G311" s="106"/>
      <c r="I311" s="39"/>
      <c r="J311" s="20">
        <f t="shared" si="79"/>
        <v>45412</v>
      </c>
      <c r="K311" s="27">
        <v>-7.0382660000000001</v>
      </c>
      <c r="L311" s="46">
        <f t="shared" ref="L311:L313" si="111">L310*K311/100+L310</f>
        <v>6434371.2890429171</v>
      </c>
      <c r="M311" s="112"/>
      <c r="N311" s="106"/>
      <c r="O311" s="39"/>
      <c r="P311" s="20">
        <f t="shared" si="42"/>
        <v>45412</v>
      </c>
      <c r="Q311" s="27">
        <v>-5.6117460000000001</v>
      </c>
      <c r="R311" s="46">
        <f t="shared" ref="R311:R313" si="112">R310*Q311/100+R310</f>
        <v>9717552.274475079</v>
      </c>
      <c r="S311" s="112"/>
      <c r="T311" s="106"/>
      <c r="V311" s="39">
        <v>8</v>
      </c>
    </row>
    <row r="312" spans="1:22" x14ac:dyDescent="0.25">
      <c r="A312" s="21">
        <v>45443</v>
      </c>
      <c r="B312" s="24">
        <f t="shared" si="107"/>
        <v>296</v>
      </c>
      <c r="C312" s="96" t="s">
        <v>340</v>
      </c>
      <c r="D312" s="27">
        <f>'BOGIX (Net)'!D312+(1.23/12)</f>
        <v>4.8790269999999998</v>
      </c>
      <c r="E312" s="46">
        <f t="shared" si="110"/>
        <v>16383326.77085959</v>
      </c>
      <c r="F312" s="112"/>
      <c r="G312" s="106"/>
      <c r="I312" s="39"/>
      <c r="J312" s="20">
        <f t="shared" si="79"/>
        <v>45443</v>
      </c>
      <c r="K312" s="27">
        <v>5.0208769999999996</v>
      </c>
      <c r="L312" s="46">
        <f t="shared" si="111"/>
        <v>6757433.1571890768</v>
      </c>
      <c r="M312" s="112"/>
      <c r="N312" s="106"/>
      <c r="O312" s="39"/>
      <c r="P312" s="20">
        <f t="shared" si="42"/>
        <v>45443</v>
      </c>
      <c r="Q312" s="27">
        <v>5.039256</v>
      </c>
      <c r="R312" s="46">
        <f t="shared" si="112"/>
        <v>10207244.610519702</v>
      </c>
      <c r="S312" s="112"/>
      <c r="T312" s="106"/>
      <c r="V312" s="39">
        <v>8</v>
      </c>
    </row>
    <row r="313" spans="1:22" x14ac:dyDescent="0.25">
      <c r="A313" s="21">
        <v>45473</v>
      </c>
      <c r="B313" s="24">
        <f t="shared" si="107"/>
        <v>297</v>
      </c>
      <c r="C313" s="96" t="s">
        <v>340</v>
      </c>
      <c r="D313" s="27">
        <f>'BOGIX (Net)'!D313+(1.23/12)</f>
        <v>-2.3722639999999999</v>
      </c>
      <c r="E313" s="46">
        <f t="shared" si="110"/>
        <v>15994671.007872125</v>
      </c>
      <c r="F313" s="112"/>
      <c r="G313" s="106">
        <f t="shared" ref="G313" si="113">(E313/E310-1)*100</f>
        <v>-4.6528794663721502</v>
      </c>
      <c r="I313" s="39"/>
      <c r="J313" s="20">
        <f t="shared" si="79"/>
        <v>45473</v>
      </c>
      <c r="K313" s="27">
        <v>-0.92645219999999995</v>
      </c>
      <c r="L313" s="46">
        <f t="shared" si="111"/>
        <v>6694828.769040769</v>
      </c>
      <c r="M313" s="112"/>
      <c r="N313" s="106">
        <f t="shared" ref="N313" si="114">(L313/L310-1)*100</f>
        <v>-3.2752598124176635</v>
      </c>
      <c r="O313" s="39"/>
      <c r="P313" s="20">
        <f t="shared" si="42"/>
        <v>45473</v>
      </c>
      <c r="Q313" s="27">
        <v>-2.2750349999999999</v>
      </c>
      <c r="R313" s="46">
        <f t="shared" si="112"/>
        <v>9975026.2230947651</v>
      </c>
      <c r="S313" s="112"/>
      <c r="T313" s="106">
        <f t="shared" ref="T313" si="115">(R313/R310-1)*100</f>
        <v>-3.1108573220421931</v>
      </c>
      <c r="V313" s="39">
        <v>8</v>
      </c>
    </row>
    <row r="314" spans="1:22" x14ac:dyDescent="0.25">
      <c r="A314" s="21">
        <v>45504</v>
      </c>
      <c r="B314" s="24">
        <f t="shared" si="107"/>
        <v>298</v>
      </c>
      <c r="C314" s="96" t="s">
        <v>340</v>
      </c>
      <c r="D314" s="27">
        <f>'BOGIX (Net)'!D314+(1.23/12)</f>
        <v>9.9522499999999994</v>
      </c>
      <c r="E314" s="46">
        <f t="shared" ref="E314:E316" si="116">E313*D314/100+E313</f>
        <v>17586500.653253078</v>
      </c>
      <c r="F314" s="112"/>
      <c r="G314" s="106"/>
      <c r="I314" s="39"/>
      <c r="J314" s="20">
        <f t="shared" si="79"/>
        <v>45504</v>
      </c>
      <c r="K314" s="27">
        <v>10.15991</v>
      </c>
      <c r="L314" s="46">
        <f t="shared" ref="L314:L316" si="117">L313*K314/100+L313</f>
        <v>7375017.3466294184</v>
      </c>
      <c r="M314" s="112"/>
      <c r="N314" s="106"/>
      <c r="O314" s="39"/>
      <c r="P314" s="20">
        <f t="shared" si="42"/>
        <v>45504</v>
      </c>
      <c r="Q314" s="27">
        <v>10.794890000000001</v>
      </c>
      <c r="R314" s="46">
        <f t="shared" ref="R314:R316" si="118">R313*Q314/100+R313</f>
        <v>11051819.331349</v>
      </c>
      <c r="S314" s="112"/>
      <c r="T314" s="106"/>
      <c r="V314" s="39">
        <v>8</v>
      </c>
    </row>
    <row r="315" spans="1:22" x14ac:dyDescent="0.25">
      <c r="A315" s="21">
        <v>45535</v>
      </c>
      <c r="B315" s="24">
        <f t="shared" ref="B315:B319" si="119">IF(A315&gt;A314,1+B314,"-")</f>
        <v>299</v>
      </c>
      <c r="C315" s="96" t="s">
        <v>340</v>
      </c>
      <c r="D315" s="27">
        <f>'BOGIX (Net)'!D315+(1.23/12)</f>
        <v>-1.781998</v>
      </c>
      <c r="E315" s="46">
        <f t="shared" si="116"/>
        <v>17273109.56334212</v>
      </c>
      <c r="F315" s="112"/>
      <c r="G315" s="106"/>
      <c r="I315" s="39"/>
      <c r="J315" s="20">
        <f t="shared" si="79"/>
        <v>45535</v>
      </c>
      <c r="K315" s="27">
        <v>-1.4953719999999999</v>
      </c>
      <c r="L315" s="46">
        <f t="shared" si="117"/>
        <v>7264733.4022327792</v>
      </c>
      <c r="M315" s="112"/>
      <c r="N315" s="106"/>
      <c r="O315" s="39"/>
      <c r="P315" s="20">
        <f t="shared" si="42"/>
        <v>45535</v>
      </c>
      <c r="Q315" s="27">
        <v>-1.444175</v>
      </c>
      <c r="R315" s="46">
        <f t="shared" si="118"/>
        <v>10892211.719520491</v>
      </c>
      <c r="S315" s="112"/>
      <c r="T315" s="106"/>
      <c r="V315" s="39">
        <v>8</v>
      </c>
    </row>
    <row r="316" spans="1:22" x14ac:dyDescent="0.25">
      <c r="A316" s="21">
        <v>45565</v>
      </c>
      <c r="B316" s="24">
        <f t="shared" si="119"/>
        <v>300</v>
      </c>
      <c r="C316" s="96" t="s">
        <v>340</v>
      </c>
      <c r="D316" s="27">
        <f>'BOGIX (Net)'!D316+(1.23/12)</f>
        <v>1.3416570000000001</v>
      </c>
      <c r="E316" s="46">
        <f t="shared" si="116"/>
        <v>17504855.446916368</v>
      </c>
      <c r="F316" s="112"/>
      <c r="G316" s="106">
        <f t="shared" ref="G316" si="120">(E316/E313-1)*100</f>
        <v>9.4417974480436087</v>
      </c>
      <c r="I316" s="39"/>
      <c r="J316" s="20">
        <f t="shared" si="79"/>
        <v>45565</v>
      </c>
      <c r="K316" s="27">
        <v>0.69889100000000004</v>
      </c>
      <c r="L316" s="46">
        <f t="shared" si="117"/>
        <v>7315505.9701549783</v>
      </c>
      <c r="M316" s="112"/>
      <c r="N316" s="106">
        <f t="shared" ref="N316" si="121">(L316/L313-1)*100</f>
        <v>9.2709944126493369</v>
      </c>
      <c r="O316" s="39"/>
      <c r="P316" s="20">
        <f t="shared" si="42"/>
        <v>45565</v>
      </c>
      <c r="Q316" s="27">
        <v>0.83447249999999995</v>
      </c>
      <c r="R316" s="46">
        <f t="shared" si="118"/>
        <v>10983104.230961666</v>
      </c>
      <c r="S316" s="112"/>
      <c r="T316" s="106">
        <f t="shared" ref="T316" si="122">(R316/R313-1)*100</f>
        <v>10.106018624120905</v>
      </c>
      <c r="V316" s="39">
        <v>8</v>
      </c>
    </row>
    <row r="317" spans="1:22" x14ac:dyDescent="0.25">
      <c r="A317" s="21">
        <v>45596</v>
      </c>
      <c r="B317" s="24">
        <f t="shared" si="119"/>
        <v>301</v>
      </c>
      <c r="C317" s="96" t="s">
        <v>340</v>
      </c>
      <c r="D317" s="27">
        <f>'BOGIX (Net)'!D317+(1.23/12)</f>
        <v>-2.8962759999999999</v>
      </c>
      <c r="E317" s="46">
        <f t="shared" ref="E317:E320" si="123">E316*D317/100+E316</f>
        <v>16997866.519772638</v>
      </c>
      <c r="F317" s="112"/>
      <c r="G317" s="106"/>
      <c r="I317" s="39"/>
      <c r="J317" s="20">
        <f t="shared" si="79"/>
        <v>45596</v>
      </c>
      <c r="K317" s="27">
        <v>-1.4444090000000001</v>
      </c>
      <c r="L317" s="46">
        <f t="shared" ref="L317:L320" si="124">L316*K317/100+L316</f>
        <v>7209840.1435265224</v>
      </c>
      <c r="M317" s="112"/>
      <c r="N317" s="106"/>
      <c r="O317" s="39"/>
      <c r="P317" s="20">
        <f t="shared" si="42"/>
        <v>45596</v>
      </c>
      <c r="Q317" s="27">
        <v>-2.6360079999999999</v>
      </c>
      <c r="R317" s="46">
        <f t="shared" ref="R317:R320" si="125">R316*Q317/100+R316</f>
        <v>10693588.724785177</v>
      </c>
      <c r="S317" s="112"/>
      <c r="T317" s="106"/>
      <c r="V317" s="39">
        <v>8</v>
      </c>
    </row>
    <row r="318" spans="1:22" x14ac:dyDescent="0.25">
      <c r="A318" s="21">
        <v>45626</v>
      </c>
      <c r="B318" s="24">
        <f t="shared" si="119"/>
        <v>302</v>
      </c>
      <c r="C318" s="96" t="s">
        <v>340</v>
      </c>
      <c r="D318" s="27">
        <f>'BOGIX (Net)'!D318+(1.23/12)</f>
        <v>8.9668529999999986</v>
      </c>
      <c r="E318" s="46">
        <f t="shared" si="123"/>
        <v>18522040.223736867</v>
      </c>
      <c r="F318" s="112"/>
      <c r="G318" s="106"/>
      <c r="I318" s="39"/>
      <c r="J318" s="20">
        <f t="shared" si="79"/>
        <v>45626</v>
      </c>
      <c r="K318" s="27">
        <v>10.96611</v>
      </c>
      <c r="L318" s="46">
        <f t="shared" si="124"/>
        <v>8000479.1444897987</v>
      </c>
      <c r="M318" s="112"/>
      <c r="N318" s="106"/>
      <c r="O318" s="39"/>
      <c r="P318" s="20">
        <f t="shared" si="42"/>
        <v>45626</v>
      </c>
      <c r="Q318" s="27">
        <v>10.93075</v>
      </c>
      <c r="R318" s="46">
        <f t="shared" si="125"/>
        <v>11862478.174319632</v>
      </c>
      <c r="S318" s="112"/>
      <c r="T318" s="106"/>
      <c r="V318" s="39">
        <v>8</v>
      </c>
    </row>
    <row r="319" spans="1:22" x14ac:dyDescent="0.25">
      <c r="A319" s="21">
        <v>45657</v>
      </c>
      <c r="B319" s="24">
        <f t="shared" si="119"/>
        <v>303</v>
      </c>
      <c r="C319" s="96" t="s">
        <v>340</v>
      </c>
      <c r="D319" s="27">
        <f>'BOGIX (Net)'!D319+(1.23/12)</f>
        <v>-8.7122210000000013</v>
      </c>
      <c r="E319" s="46">
        <f t="shared" si="123"/>
        <v>16908359.145736016</v>
      </c>
      <c r="F319" s="112">
        <f t="shared" ref="F319" si="126">(E319/E$307-1)*100</f>
        <v>6.6851053242467762</v>
      </c>
      <c r="G319" s="106">
        <f t="shared" ref="G319" si="127">(E319/E316-1)*100</f>
        <v>-3.407604838493139</v>
      </c>
      <c r="H319" s="320">
        <f>STDEVP(D284:D319)*SQRT(12)</f>
        <v>22.197282724386152</v>
      </c>
      <c r="I319" s="39"/>
      <c r="J319" s="20">
        <f t="shared" si="79"/>
        <v>45657</v>
      </c>
      <c r="K319" s="27">
        <v>-8.261158</v>
      </c>
      <c r="L319" s="46">
        <f t="shared" si="124"/>
        <v>7339546.9216064485</v>
      </c>
      <c r="M319" s="112">
        <f t="shared" ref="M319" si="128">(L319/L$307-1)*100</f>
        <v>11.526909249637018</v>
      </c>
      <c r="N319" s="106">
        <f t="shared" ref="N319" si="129">(L319/L316-1)*100</f>
        <v>0.32863005716281535</v>
      </c>
      <c r="O319" s="39"/>
      <c r="P319" s="20">
        <f t="shared" si="42"/>
        <v>45657</v>
      </c>
      <c r="Q319" s="27">
        <v>-7.9610960000000004</v>
      </c>
      <c r="R319" s="46">
        <f t="shared" si="125"/>
        <v>10918094.898882998</v>
      </c>
      <c r="S319" s="112">
        <f t="shared" ref="S319" si="130">(R319/R$307-1)*100</f>
        <v>8.6428634785686178</v>
      </c>
      <c r="T319" s="106">
        <f t="shared" ref="T319" si="131">(R319/R316-1)*100</f>
        <v>-0.59190307868884906</v>
      </c>
      <c r="V319" s="39">
        <v>8</v>
      </c>
    </row>
    <row r="320" spans="1:22" x14ac:dyDescent="0.25">
      <c r="A320" s="21">
        <v>45688</v>
      </c>
      <c r="B320" s="24">
        <f t="shared" ref="B320:B322" si="132">IF(A320&gt;A319,1+B319,"-")</f>
        <v>304</v>
      </c>
      <c r="C320" s="96" t="s">
        <v>340</v>
      </c>
      <c r="D320" s="27">
        <f>'BOGIX (Net)'!D320+(1.23/12)</f>
        <v>4.1609420000000004</v>
      </c>
      <c r="E320" s="46">
        <f t="shared" si="123"/>
        <v>17611906.162941787</v>
      </c>
      <c r="F320" s="112"/>
      <c r="G320" s="106"/>
      <c r="I320" s="39"/>
      <c r="J320" s="20">
        <f t="shared" si="79"/>
        <v>45688</v>
      </c>
      <c r="K320" s="27">
        <v>2.6219139999999999</v>
      </c>
      <c r="L320" s="46">
        <f t="shared" si="124"/>
        <v>7531983.5298806168</v>
      </c>
      <c r="M320" s="112"/>
      <c r="N320" s="106"/>
      <c r="O320" s="39"/>
      <c r="P320" s="20">
        <f t="shared" si="42"/>
        <v>45688</v>
      </c>
      <c r="Q320" s="27">
        <v>2.9063159999999999</v>
      </c>
      <c r="R320" s="46">
        <f t="shared" si="125"/>
        <v>11235409.237824418</v>
      </c>
      <c r="S320" s="112"/>
      <c r="T320" s="106"/>
      <c r="V320" s="39">
        <v>8</v>
      </c>
    </row>
    <row r="321" spans="1:22" x14ac:dyDescent="0.25">
      <c r="A321" s="21">
        <v>45716</v>
      </c>
      <c r="B321" s="24">
        <f t="shared" si="132"/>
        <v>305</v>
      </c>
      <c r="C321" s="96" t="s">
        <v>340</v>
      </c>
      <c r="D321" s="27">
        <f>'BOGIX (Net)'!D321+(1.23/12)</f>
        <v>-5.6697309999999996</v>
      </c>
      <c r="E321" s="46">
        <f t="shared" ref="E321:E323" si="133">E320*D321/100+E320</f>
        <v>16613358.459530566</v>
      </c>
      <c r="F321" s="112"/>
      <c r="G321" s="106"/>
      <c r="I321" s="39"/>
      <c r="J321" s="20">
        <f t="shared" si="79"/>
        <v>45716</v>
      </c>
      <c r="K321" s="27">
        <v>-5.3509830000000003</v>
      </c>
      <c r="L321" s="46">
        <f t="shared" ref="L321:L323" si="134">L320*K321/100+L320</f>
        <v>7128948.371633905</v>
      </c>
      <c r="M321" s="112"/>
      <c r="N321" s="106"/>
      <c r="O321" s="39"/>
      <c r="P321" s="20">
        <f t="shared" si="42"/>
        <v>45716</v>
      </c>
      <c r="Q321" s="27">
        <v>-5.7160909999999996</v>
      </c>
      <c r="R321" s="46">
        <f t="shared" ref="R321:R323" si="135">R320*Q321/100+R320</f>
        <v>10593183.021567967</v>
      </c>
      <c r="S321" s="112"/>
      <c r="T321" s="106"/>
      <c r="V321" s="39">
        <v>8</v>
      </c>
    </row>
    <row r="322" spans="1:22" x14ac:dyDescent="0.25">
      <c r="A322" s="21">
        <v>45747</v>
      </c>
      <c r="B322" s="24">
        <f t="shared" si="132"/>
        <v>306</v>
      </c>
      <c r="C322" s="96" t="s">
        <v>340</v>
      </c>
      <c r="D322" s="27">
        <f>'BOGIX (Net)'!D322+(1.23/12)</f>
        <v>-4.9637250000000002</v>
      </c>
      <c r="E322" s="46">
        <f t="shared" si="133"/>
        <v>15788717.032335233</v>
      </c>
      <c r="F322" s="253"/>
      <c r="G322" s="131">
        <f>(E322/E319-1)*100</f>
        <v>-6.6218259486352178</v>
      </c>
      <c r="I322" s="39"/>
      <c r="J322" s="20">
        <f t="shared" si="79"/>
        <v>45747</v>
      </c>
      <c r="K322" s="27">
        <v>-6.8090390000000003</v>
      </c>
      <c r="L322" s="46">
        <f t="shared" si="134"/>
        <v>6643535.496719487</v>
      </c>
      <c r="M322" s="253"/>
      <c r="N322" s="131">
        <f>(L322/L319-1)*100</f>
        <v>-9.4830298425917174</v>
      </c>
      <c r="O322" s="39"/>
      <c r="P322" s="20">
        <f t="shared" si="42"/>
        <v>45747</v>
      </c>
      <c r="Q322" s="27">
        <v>-6.145391</v>
      </c>
      <c r="R322" s="46">
        <f t="shared" si="135"/>
        <v>9942190.5055470001</v>
      </c>
      <c r="S322" s="253"/>
      <c r="T322" s="131">
        <f>(R322/R319-1)*100</f>
        <v>-8.938412812622099</v>
      </c>
      <c r="V322" s="39">
        <v>8</v>
      </c>
    </row>
    <row r="323" spans="1:22" x14ac:dyDescent="0.25">
      <c r="A323" s="21">
        <v>45777</v>
      </c>
      <c r="B323" s="24">
        <f t="shared" ref="B323:B325" si="136">IF(A323&gt;A322,1+B322,"-")</f>
        <v>307</v>
      </c>
      <c r="C323" s="96" t="s">
        <v>340</v>
      </c>
      <c r="D323" s="27">
        <f>'BOGIX (Net)'!D323+(1.23/12)</f>
        <v>-2.0600390000000002</v>
      </c>
      <c r="E323" s="46">
        <f t="shared" si="133"/>
        <v>15463463.303869484</v>
      </c>
      <c r="F323" s="112"/>
      <c r="G323" s="106"/>
      <c r="I323" s="39"/>
      <c r="J323" s="20">
        <f t="shared" si="79"/>
        <v>45777</v>
      </c>
      <c r="K323" s="27">
        <v>-2.3113199999999998</v>
      </c>
      <c r="L323" s="46">
        <f t="shared" si="134"/>
        <v>6489982.1320767105</v>
      </c>
      <c r="M323" s="112"/>
      <c r="N323" s="106"/>
      <c r="O323" s="39"/>
      <c r="P323" s="20">
        <f t="shared" si="42"/>
        <v>45777</v>
      </c>
      <c r="Q323" s="27">
        <v>-4.1882159999999997</v>
      </c>
      <c r="R323" s="46">
        <f t="shared" si="135"/>
        <v>9525790.0920432005</v>
      </c>
      <c r="S323" s="112"/>
      <c r="T323" s="106"/>
      <c r="V323" s="39">
        <v>8</v>
      </c>
    </row>
    <row r="324" spans="1:22" x14ac:dyDescent="0.25">
      <c r="A324" s="21">
        <v>45808</v>
      </c>
      <c r="B324" s="24">
        <f t="shared" si="136"/>
        <v>308</v>
      </c>
      <c r="C324" s="96" t="s">
        <v>340</v>
      </c>
      <c r="D324" s="27">
        <f>'BOGIX (Net)'!D324+(1.23/12)</f>
        <v>5.2718410000000002</v>
      </c>
      <c r="E324" s="46">
        <f t="shared" ref="E324:E326" si="137">E323*D324/100+E323</f>
        <v>16278672.502342829</v>
      </c>
      <c r="F324" s="112"/>
      <c r="G324" s="106"/>
      <c r="I324" s="39"/>
      <c r="J324" s="20">
        <f t="shared" si="79"/>
        <v>45808</v>
      </c>
      <c r="K324" s="27">
        <v>5.3393110000000004</v>
      </c>
      <c r="L324" s="46">
        <f t="shared" ref="L324:L326" si="138">L323*K324/100+L323</f>
        <v>6836502.461952717</v>
      </c>
      <c r="M324" s="112"/>
      <c r="N324" s="106"/>
      <c r="O324" s="39"/>
      <c r="P324" s="20">
        <f t="shared" si="42"/>
        <v>45808</v>
      </c>
      <c r="Q324" s="27">
        <v>5.2287270000000001</v>
      </c>
      <c r="R324" s="46">
        <f t="shared" ref="R324:R326" si="139">R323*Q324/100+R323</f>
        <v>10023867.650549188</v>
      </c>
      <c r="S324" s="112"/>
      <c r="T324" s="106"/>
      <c r="V324" s="39">
        <v>8</v>
      </c>
    </row>
    <row r="325" spans="1:22" x14ac:dyDescent="0.25">
      <c r="A325" s="21">
        <v>45838</v>
      </c>
      <c r="B325" s="24">
        <f t="shared" si="136"/>
        <v>309</v>
      </c>
      <c r="C325" s="96" t="s">
        <v>340</v>
      </c>
      <c r="D325" s="27">
        <f>'BOGIX (Net)'!D325+(1.23/12)</f>
        <v>4.1025</v>
      </c>
      <c r="E325" s="46">
        <f t="shared" si="137"/>
        <v>16946505.041751444</v>
      </c>
      <c r="F325" s="253"/>
      <c r="G325" s="131">
        <f>(E325/E322-1)*100</f>
        <v>7.3330088001771543</v>
      </c>
      <c r="H325" s="320"/>
      <c r="I325" s="39"/>
      <c r="J325" s="20">
        <f t="shared" si="79"/>
        <v>45838</v>
      </c>
      <c r="K325" s="27">
        <v>5.4339259999999996</v>
      </c>
      <c r="L325" s="46">
        <f t="shared" si="138"/>
        <v>7207992.9467234062</v>
      </c>
      <c r="M325" s="253"/>
      <c r="N325" s="131">
        <f>(L325/L322-1)*100</f>
        <v>8.4963412972301136</v>
      </c>
      <c r="O325" s="39"/>
      <c r="P325" s="20">
        <f t="shared" si="42"/>
        <v>45838</v>
      </c>
      <c r="Q325" s="27">
        <v>4.0408080000000002</v>
      </c>
      <c r="R325" s="46">
        <f t="shared" si="139"/>
        <v>10428912.896481993</v>
      </c>
      <c r="S325" s="253"/>
      <c r="T325" s="131">
        <f>(R325/R322-1)*100</f>
        <v>4.8955246900915572</v>
      </c>
      <c r="V325" s="39">
        <v>8</v>
      </c>
    </row>
    <row r="326" spans="1:22" x14ac:dyDescent="0.25">
      <c r="A326" s="21">
        <v>45869</v>
      </c>
      <c r="B326" s="24">
        <f t="shared" ref="B326:B328" si="140">IF(A326&gt;A325,1+B325,"-")</f>
        <v>310</v>
      </c>
      <c r="C326" s="96" t="s">
        <v>340</v>
      </c>
      <c r="D326" s="27">
        <f>'BOGIX (Net)'!D326+(1.23/12)</f>
        <v>0.88476860000000002</v>
      </c>
      <c r="E326" s="46">
        <f t="shared" si="137"/>
        <v>17096442.397158276</v>
      </c>
      <c r="F326" s="112"/>
      <c r="G326" s="106"/>
      <c r="I326" s="39"/>
      <c r="J326" s="20">
        <f t="shared" si="79"/>
        <v>45869</v>
      </c>
      <c r="K326" s="27">
        <v>1.7346760000000001</v>
      </c>
      <c r="L326" s="46">
        <f t="shared" si="138"/>
        <v>7333028.2704519099</v>
      </c>
      <c r="M326" s="112"/>
      <c r="N326" s="106"/>
      <c r="O326" s="39"/>
      <c r="P326" s="20">
        <f t="shared" si="42"/>
        <v>45869</v>
      </c>
      <c r="Q326" s="27">
        <v>0.92689690000000002</v>
      </c>
      <c r="R326" s="46">
        <f t="shared" si="139"/>
        <v>10525578.166823184</v>
      </c>
      <c r="S326" s="112"/>
      <c r="T326" s="106"/>
      <c r="V326" s="39">
        <v>8</v>
      </c>
    </row>
    <row r="327" spans="1:22" x14ac:dyDescent="0.25">
      <c r="A327" s="21">
        <v>45900</v>
      </c>
      <c r="B327" s="24">
        <f t="shared" si="140"/>
        <v>311</v>
      </c>
      <c r="C327" s="96" t="s">
        <v>340</v>
      </c>
      <c r="D327" s="27">
        <f>'BOGIX (Net)'!D327+(1.23/12)</f>
        <v>8.2849059999999994</v>
      </c>
      <c r="E327" s="46">
        <f t="shared" ref="E327:E329" si="141">E326*D327/100+E326</f>
        <v>18512866.579106987</v>
      </c>
      <c r="F327" s="112"/>
      <c r="G327" s="106"/>
      <c r="I327" s="39"/>
      <c r="J327" s="20">
        <f t="shared" si="79"/>
        <v>45900</v>
      </c>
      <c r="K327" s="27">
        <v>7.1434139999999999</v>
      </c>
      <c r="L327" s="46">
        <f t="shared" ref="L327:L329" si="142">L326*K327/100+L326</f>
        <v>7856856.8385473294</v>
      </c>
      <c r="M327" s="112"/>
      <c r="N327" s="106"/>
      <c r="O327" s="39"/>
      <c r="P327" s="20">
        <f t="shared" si="42"/>
        <v>45900</v>
      </c>
      <c r="Q327" s="27">
        <v>7.0620659999999997</v>
      </c>
      <c r="R327" s="46">
        <f t="shared" ref="R327:R329" si="143">R326*Q327/100+R326</f>
        <v>11268901.443845827</v>
      </c>
      <c r="S327" s="112"/>
      <c r="T327" s="106"/>
      <c r="V327" s="39">
        <v>8</v>
      </c>
    </row>
    <row r="328" spans="1:22" x14ac:dyDescent="0.25">
      <c r="A328" s="21">
        <v>45930</v>
      </c>
      <c r="B328" s="24">
        <f t="shared" si="140"/>
        <v>312</v>
      </c>
      <c r="C328" s="96" t="s">
        <v>340</v>
      </c>
      <c r="D328" s="27">
        <f>'BOGIX (Net)'!D328+(1.23/12)</f>
        <v>-0.1067676</v>
      </c>
      <c r="E328" s="46">
        <f t="shared" si="141"/>
        <v>18493100.835769273</v>
      </c>
      <c r="F328" s="253"/>
      <c r="G328" s="131">
        <f>(E328/E325-1)*100</f>
        <v>9.1263407422796039</v>
      </c>
      <c r="H328" s="320"/>
      <c r="I328" s="39"/>
      <c r="J328" s="20">
        <f t="shared" si="79"/>
        <v>45930</v>
      </c>
      <c r="K328" s="27">
        <v>3.11131</v>
      </c>
      <c r="L328" s="46">
        <f t="shared" si="142"/>
        <v>8101308.0110507365</v>
      </c>
      <c r="M328" s="253"/>
      <c r="N328" s="131">
        <f>(L328/L325-1)*100</f>
        <v>12.393395372749527</v>
      </c>
      <c r="O328" s="39"/>
      <c r="P328" s="20">
        <f t="shared" si="42"/>
        <v>45930</v>
      </c>
      <c r="Q328" s="27">
        <v>0.97821230000000003</v>
      </c>
      <c r="R328" s="46">
        <f t="shared" si="143"/>
        <v>11379135.223844405</v>
      </c>
      <c r="S328" s="253">
        <f>(R328/R$319-1)*100</f>
        <v>4.2227176923381959</v>
      </c>
      <c r="T328" s="131">
        <f>(R328/R325-1)*100</f>
        <v>9.1114226074603835</v>
      </c>
      <c r="V328" s="39">
        <v>8</v>
      </c>
    </row>
    <row r="329" spans="1:22" x14ac:dyDescent="0.25">
      <c r="A329" s="21">
        <v>45961</v>
      </c>
      <c r="B329" s="24">
        <f t="shared" ref="B329:B331" si="144">IF(A329&gt;A328,1+B328,"-")</f>
        <v>313</v>
      </c>
      <c r="C329" s="96" t="s">
        <v>340</v>
      </c>
      <c r="D329" s="27">
        <f>'BOGIX (Net)'!D329+(1.23/12)</f>
        <v>-1.2156549999999999</v>
      </c>
      <c r="E329" s="46">
        <f t="shared" si="141"/>
        <v>18268288.530804202</v>
      </c>
      <c r="F329" s="112"/>
      <c r="G329" s="106"/>
      <c r="I329" s="39"/>
      <c r="J329" s="20">
        <f t="shared" si="79"/>
        <v>45961</v>
      </c>
      <c r="K329" s="27">
        <v>1.8091459999999999</v>
      </c>
      <c r="L329" s="46">
        <f t="shared" si="142"/>
        <v>8247872.5008803401</v>
      </c>
      <c r="M329" s="112"/>
      <c r="N329" s="106"/>
      <c r="O329" s="39"/>
      <c r="P329" s="20">
        <f t="shared" si="42"/>
        <v>45961</v>
      </c>
      <c r="Q329" s="27">
        <v>-0.87566129999999998</v>
      </c>
      <c r="R329" s="46">
        <f t="shared" si="143"/>
        <v>11279492.540414531</v>
      </c>
      <c r="S329" s="112"/>
      <c r="T329" s="106"/>
      <c r="V329" s="39">
        <v>8</v>
      </c>
    </row>
    <row r="330" spans="1:22" x14ac:dyDescent="0.25">
      <c r="A330" s="21">
        <v>45991</v>
      </c>
      <c r="B330" s="24">
        <f t="shared" si="144"/>
        <v>314</v>
      </c>
      <c r="C330" s="96" t="s">
        <v>340</v>
      </c>
      <c r="D330" s="27">
        <f>'BOGIX (Net)'!D330+(1.23/12)</f>
        <v>1.1953960000000001</v>
      </c>
      <c r="E330" s="46">
        <f t="shared" ref="E330:E331" si="145">E329*D330/100+E329</f>
        <v>18486666.921169896</v>
      </c>
      <c r="F330" s="112"/>
      <c r="G330" s="106"/>
      <c r="I330" s="39"/>
      <c r="J330" s="20">
        <f t="shared" si="79"/>
        <v>45991</v>
      </c>
      <c r="K330" s="27">
        <v>0.95805180000000001</v>
      </c>
      <c r="L330" s="46">
        <f t="shared" ref="L330:L331" si="146">L329*K330/100+L329</f>
        <v>8326891.3918367289</v>
      </c>
      <c r="M330" s="112"/>
      <c r="N330" s="106"/>
      <c r="O330" s="39"/>
      <c r="P330" s="20">
        <f t="shared" si="42"/>
        <v>45991</v>
      </c>
      <c r="Q330" s="27">
        <v>2.6493350000000002</v>
      </c>
      <c r="R330" s="46">
        <f t="shared" ref="R330:R331" si="147">R329*Q330/100+R329</f>
        <v>11578324.084110122</v>
      </c>
      <c r="S330" s="112"/>
      <c r="T330" s="106"/>
      <c r="V330" s="39">
        <v>8</v>
      </c>
    </row>
    <row r="331" spans="1:22" x14ac:dyDescent="0.25">
      <c r="A331" s="21">
        <v>46022</v>
      </c>
      <c r="B331" s="24">
        <f t="shared" si="144"/>
        <v>315</v>
      </c>
      <c r="C331" s="96" t="s">
        <v>340</v>
      </c>
      <c r="D331" s="27">
        <f>'BOGIX (Net)'!D331+(1.23/12)</f>
        <v>0.95060540000000004</v>
      </c>
      <c r="E331" s="46">
        <f t="shared" si="145"/>
        <v>18662402.175202552</v>
      </c>
      <c r="F331" s="253">
        <f>(E331/E$319-1)*100</f>
        <v>10.373821695814133</v>
      </c>
      <c r="G331" s="131">
        <f>(E331/E328-1)*100</f>
        <v>0.91548378466534963</v>
      </c>
      <c r="H331" s="320">
        <f>STDEVP(K296:K331)*SQRT(12)</f>
        <v>19.632559847962707</v>
      </c>
      <c r="I331" s="39"/>
      <c r="J331" s="20">
        <f t="shared" si="79"/>
        <v>46022</v>
      </c>
      <c r="K331" s="27">
        <v>-0.58173470000000005</v>
      </c>
      <c r="L331" s="46">
        <f t="shared" si="146"/>
        <v>8278450.9751791013</v>
      </c>
      <c r="M331" s="253">
        <f>(L331/L$319-1)*100</f>
        <v>12.792397999509619</v>
      </c>
      <c r="N331" s="131">
        <f>(L331/L328-1)*100</f>
        <v>2.1865970765057918</v>
      </c>
      <c r="O331" s="39"/>
      <c r="P331" s="20">
        <f t="shared" si="42"/>
        <v>46022</v>
      </c>
      <c r="Q331" s="27">
        <v>-5.727964E-2</v>
      </c>
      <c r="R331" s="46">
        <f t="shared" si="147"/>
        <v>11571692.061756711</v>
      </c>
      <c r="S331" s="253">
        <f>(R331/R$319-1)*100</f>
        <v>5.986366384675601</v>
      </c>
      <c r="T331" s="131">
        <f>(R331/R328-1)*100</f>
        <v>1.6921921932065098</v>
      </c>
      <c r="V331" s="39">
        <v>8</v>
      </c>
    </row>
    <row r="332" spans="1:22" x14ac:dyDescent="0.25">
      <c r="B332" s="24" t="str">
        <f t="shared" si="27"/>
        <v>-</v>
      </c>
      <c r="K332" s="34"/>
      <c r="L332" s="34"/>
    </row>
    <row r="333" spans="1:22" x14ac:dyDescent="0.25">
      <c r="B333" s="24" t="str">
        <f t="shared" si="27"/>
        <v>-</v>
      </c>
      <c r="J333" t="s">
        <v>105</v>
      </c>
      <c r="K333" s="29">
        <f>_xll.BDP(J$333&amp;" INDEX","cust trr return holding per","cust trr start dt",TEXT($A327,"YYYYMMDD"),"cust trr end dt",TEXT($A328,"YYYYMMDD"))</f>
        <v>3.11131</v>
      </c>
      <c r="L333" s="34"/>
    </row>
    <row r="334" spans="1:22" x14ac:dyDescent="0.25">
      <c r="B334" s="24" t="str">
        <f t="shared" si="27"/>
        <v>-</v>
      </c>
      <c r="J334" t="s">
        <v>424</v>
      </c>
      <c r="K334" s="29">
        <f>_xll.BDP(J$334&amp;" INDEX","cust trr return holding per","cust trr start dt",TEXT($A327,"YYYYMMDD"),"cust trr end dt",TEXT($A328,"YYYYMMDD"))</f>
        <v>0.97821230000000003</v>
      </c>
      <c r="L334" s="34"/>
    </row>
    <row r="335" spans="1:22" x14ac:dyDescent="0.25">
      <c r="B335" s="24" t="str">
        <f t="shared" si="27"/>
        <v>-</v>
      </c>
      <c r="K335" s="34"/>
      <c r="L335" s="34"/>
    </row>
    <row r="336" spans="1:22" x14ac:dyDescent="0.25">
      <c r="B336" s="24" t="str">
        <f t="shared" si="27"/>
        <v>-</v>
      </c>
      <c r="K336" s="34"/>
      <c r="L336" s="34"/>
    </row>
    <row r="337" spans="2:12" x14ac:dyDescent="0.25">
      <c r="B337" s="24" t="str">
        <f t="shared" si="27"/>
        <v>-</v>
      </c>
      <c r="K337" s="34"/>
      <c r="L337" s="34"/>
    </row>
    <row r="338" spans="2:12" x14ac:dyDescent="0.25">
      <c r="B338" s="24" t="str">
        <f t="shared" ref="B338:B401" si="148">IF(A338&gt;A337,1+B337,"-")</f>
        <v>-</v>
      </c>
      <c r="K338" s="34"/>
      <c r="L338" s="34"/>
    </row>
    <row r="339" spans="2:12" x14ac:dyDescent="0.25">
      <c r="B339" s="24" t="str">
        <f t="shared" si="148"/>
        <v>-</v>
      </c>
      <c r="K339" s="34"/>
      <c r="L339" s="34"/>
    </row>
    <row r="340" spans="2:12" x14ac:dyDescent="0.25">
      <c r="B340" s="24" t="str">
        <f t="shared" si="148"/>
        <v>-</v>
      </c>
      <c r="K340" s="34"/>
      <c r="L340" s="34"/>
    </row>
    <row r="341" spans="2:12" x14ac:dyDescent="0.25">
      <c r="B341" s="24" t="str">
        <f t="shared" si="148"/>
        <v>-</v>
      </c>
      <c r="K341" s="34"/>
      <c r="L341" s="34"/>
    </row>
    <row r="342" spans="2:12" x14ac:dyDescent="0.25">
      <c r="B342" s="24" t="str">
        <f t="shared" si="148"/>
        <v>-</v>
      </c>
      <c r="K342" s="34"/>
      <c r="L342" s="34"/>
    </row>
    <row r="343" spans="2:12" x14ac:dyDescent="0.25">
      <c r="B343" s="24" t="str">
        <f t="shared" si="148"/>
        <v>-</v>
      </c>
      <c r="K343" s="34"/>
      <c r="L343" s="34"/>
    </row>
    <row r="344" spans="2:12" x14ac:dyDescent="0.25">
      <c r="B344" s="24" t="str">
        <f t="shared" si="148"/>
        <v>-</v>
      </c>
      <c r="K344" s="34"/>
      <c r="L344" s="34"/>
    </row>
    <row r="345" spans="2:12" x14ac:dyDescent="0.25">
      <c r="B345" s="24" t="str">
        <f t="shared" si="148"/>
        <v>-</v>
      </c>
      <c r="K345" s="34"/>
      <c r="L345" s="34"/>
    </row>
    <row r="346" spans="2:12" x14ac:dyDescent="0.25">
      <c r="B346" s="24" t="str">
        <f t="shared" si="148"/>
        <v>-</v>
      </c>
      <c r="K346" s="34"/>
      <c r="L346" s="34"/>
    </row>
    <row r="347" spans="2:12" x14ac:dyDescent="0.25">
      <c r="B347" s="24" t="str">
        <f t="shared" si="148"/>
        <v>-</v>
      </c>
      <c r="K347" s="34"/>
      <c r="L347" s="34"/>
    </row>
    <row r="348" spans="2:12" x14ac:dyDescent="0.25">
      <c r="B348" s="24" t="str">
        <f t="shared" si="148"/>
        <v>-</v>
      </c>
      <c r="K348" s="34"/>
      <c r="L348" s="34"/>
    </row>
    <row r="349" spans="2:12" x14ac:dyDescent="0.25">
      <c r="B349" s="24" t="str">
        <f t="shared" si="148"/>
        <v>-</v>
      </c>
      <c r="K349" s="34"/>
      <c r="L349" s="34"/>
    </row>
    <row r="350" spans="2:12" x14ac:dyDescent="0.25">
      <c r="B350" s="24" t="str">
        <f t="shared" si="148"/>
        <v>-</v>
      </c>
      <c r="K350" s="34"/>
      <c r="L350" s="34"/>
    </row>
    <row r="351" spans="2:12" x14ac:dyDescent="0.25">
      <c r="B351" s="24" t="str">
        <f t="shared" si="148"/>
        <v>-</v>
      </c>
      <c r="K351" s="34"/>
      <c r="L351" s="34"/>
    </row>
    <row r="352" spans="2:12" x14ac:dyDescent="0.25">
      <c r="B352" s="24" t="str">
        <f t="shared" si="148"/>
        <v>-</v>
      </c>
      <c r="K352" s="34"/>
      <c r="L352" s="34"/>
    </row>
    <row r="353" spans="2:12" x14ac:dyDescent="0.25">
      <c r="B353" s="24" t="str">
        <f t="shared" si="148"/>
        <v>-</v>
      </c>
      <c r="K353" s="34"/>
      <c r="L353" s="34"/>
    </row>
    <row r="354" spans="2:12" x14ac:dyDescent="0.25">
      <c r="B354" s="24" t="str">
        <f t="shared" si="148"/>
        <v>-</v>
      </c>
      <c r="K354" s="34"/>
      <c r="L354" s="34"/>
    </row>
    <row r="355" spans="2:12" x14ac:dyDescent="0.25">
      <c r="B355" s="24" t="str">
        <f t="shared" si="148"/>
        <v>-</v>
      </c>
      <c r="K355" s="34"/>
      <c r="L355" s="34"/>
    </row>
    <row r="356" spans="2:12" x14ac:dyDescent="0.25">
      <c r="B356" s="24" t="str">
        <f t="shared" si="148"/>
        <v>-</v>
      </c>
      <c r="K356" s="34"/>
      <c r="L356" s="34"/>
    </row>
    <row r="357" spans="2:12" x14ac:dyDescent="0.25">
      <c r="B357" s="24" t="str">
        <f t="shared" si="148"/>
        <v>-</v>
      </c>
      <c r="K357" s="34"/>
      <c r="L357" s="34"/>
    </row>
    <row r="358" spans="2:12" x14ac:dyDescent="0.25">
      <c r="B358" s="24" t="str">
        <f t="shared" si="148"/>
        <v>-</v>
      </c>
      <c r="K358" s="34"/>
      <c r="L358" s="34"/>
    </row>
    <row r="359" spans="2:12" x14ac:dyDescent="0.25">
      <c r="B359" s="24" t="str">
        <f t="shared" si="148"/>
        <v>-</v>
      </c>
      <c r="K359" s="34"/>
      <c r="L359" s="34"/>
    </row>
    <row r="360" spans="2:12" x14ac:dyDescent="0.25">
      <c r="B360" s="24" t="str">
        <f t="shared" si="148"/>
        <v>-</v>
      </c>
      <c r="K360" s="34"/>
      <c r="L360" s="34"/>
    </row>
    <row r="361" spans="2:12" x14ac:dyDescent="0.25">
      <c r="B361" s="24" t="str">
        <f t="shared" si="148"/>
        <v>-</v>
      </c>
      <c r="K361" s="34"/>
      <c r="L361" s="34"/>
    </row>
    <row r="362" spans="2:12" x14ac:dyDescent="0.25">
      <c r="B362" s="24" t="str">
        <f t="shared" si="148"/>
        <v>-</v>
      </c>
      <c r="K362" s="34"/>
      <c r="L362" s="34"/>
    </row>
    <row r="363" spans="2:12" x14ac:dyDescent="0.25">
      <c r="B363" s="24" t="str">
        <f t="shared" si="148"/>
        <v>-</v>
      </c>
      <c r="K363" s="34"/>
      <c r="L363" s="34"/>
    </row>
    <row r="364" spans="2:12" x14ac:dyDescent="0.25">
      <c r="B364" s="24" t="str">
        <f t="shared" si="148"/>
        <v>-</v>
      </c>
      <c r="K364" s="34"/>
      <c r="L364" s="34"/>
    </row>
    <row r="365" spans="2:12" x14ac:dyDescent="0.25">
      <c r="B365" s="24" t="str">
        <f t="shared" si="148"/>
        <v>-</v>
      </c>
      <c r="K365" s="34"/>
      <c r="L365" s="34"/>
    </row>
    <row r="366" spans="2:12" x14ac:dyDescent="0.25">
      <c r="B366" s="24" t="str">
        <f t="shared" si="148"/>
        <v>-</v>
      </c>
      <c r="K366" s="34"/>
      <c r="L366" s="34"/>
    </row>
    <row r="367" spans="2:12" x14ac:dyDescent="0.25">
      <c r="B367" s="24" t="str">
        <f t="shared" si="148"/>
        <v>-</v>
      </c>
      <c r="K367" s="34"/>
      <c r="L367" s="34"/>
    </row>
    <row r="368" spans="2:12" x14ac:dyDescent="0.25">
      <c r="B368" s="24" t="str">
        <f t="shared" si="148"/>
        <v>-</v>
      </c>
      <c r="K368" s="34"/>
      <c r="L368" s="34"/>
    </row>
    <row r="369" spans="2:12" x14ac:dyDescent="0.25">
      <c r="B369" s="24" t="str">
        <f t="shared" si="148"/>
        <v>-</v>
      </c>
      <c r="K369" s="34"/>
      <c r="L369" s="34"/>
    </row>
    <row r="370" spans="2:12" x14ac:dyDescent="0.25">
      <c r="B370" s="24" t="str">
        <f t="shared" si="148"/>
        <v>-</v>
      </c>
      <c r="K370" s="34"/>
      <c r="L370" s="34"/>
    </row>
    <row r="371" spans="2:12" x14ac:dyDescent="0.25">
      <c r="B371" s="24" t="str">
        <f t="shared" si="148"/>
        <v>-</v>
      </c>
      <c r="K371" s="34"/>
      <c r="L371" s="34"/>
    </row>
    <row r="372" spans="2:12" x14ac:dyDescent="0.25">
      <c r="B372" s="24" t="str">
        <f t="shared" si="148"/>
        <v>-</v>
      </c>
      <c r="K372" s="34"/>
      <c r="L372" s="34"/>
    </row>
    <row r="373" spans="2:12" x14ac:dyDescent="0.25">
      <c r="B373" s="24" t="str">
        <f t="shared" si="148"/>
        <v>-</v>
      </c>
      <c r="K373" s="34"/>
      <c r="L373" s="34"/>
    </row>
    <row r="374" spans="2:12" x14ac:dyDescent="0.25">
      <c r="B374" s="24" t="str">
        <f t="shared" si="148"/>
        <v>-</v>
      </c>
      <c r="K374" s="34"/>
      <c r="L374" s="34"/>
    </row>
    <row r="375" spans="2:12" x14ac:dyDescent="0.25">
      <c r="B375" s="24" t="str">
        <f t="shared" si="148"/>
        <v>-</v>
      </c>
      <c r="K375" s="34"/>
      <c r="L375" s="34"/>
    </row>
    <row r="376" spans="2:12" x14ac:dyDescent="0.25">
      <c r="B376" s="24" t="str">
        <f t="shared" si="148"/>
        <v>-</v>
      </c>
      <c r="K376" s="34"/>
      <c r="L376" s="34"/>
    </row>
    <row r="377" spans="2:12" x14ac:dyDescent="0.25">
      <c r="B377" s="24" t="str">
        <f t="shared" si="148"/>
        <v>-</v>
      </c>
      <c r="K377" s="34"/>
      <c r="L377" s="34"/>
    </row>
    <row r="378" spans="2:12" x14ac:dyDescent="0.25">
      <c r="B378" s="24" t="str">
        <f t="shared" si="148"/>
        <v>-</v>
      </c>
      <c r="K378" s="34"/>
      <c r="L378" s="34"/>
    </row>
    <row r="379" spans="2:12" x14ac:dyDescent="0.25">
      <c r="B379" s="24" t="str">
        <f t="shared" si="148"/>
        <v>-</v>
      </c>
      <c r="K379" s="34"/>
      <c r="L379" s="34"/>
    </row>
    <row r="380" spans="2:12" x14ac:dyDescent="0.25">
      <c r="B380" s="24" t="str">
        <f t="shared" si="148"/>
        <v>-</v>
      </c>
      <c r="K380" s="34"/>
      <c r="L380" s="34"/>
    </row>
    <row r="381" spans="2:12" x14ac:dyDescent="0.25">
      <c r="B381" s="24" t="str">
        <f t="shared" si="148"/>
        <v>-</v>
      </c>
      <c r="K381" s="34"/>
      <c r="L381" s="34"/>
    </row>
    <row r="382" spans="2:12" x14ac:dyDescent="0.25">
      <c r="B382" s="24" t="str">
        <f t="shared" si="148"/>
        <v>-</v>
      </c>
      <c r="K382" s="34"/>
      <c r="L382" s="34"/>
    </row>
    <row r="383" spans="2:12" x14ac:dyDescent="0.25">
      <c r="B383" s="24" t="str">
        <f t="shared" si="148"/>
        <v>-</v>
      </c>
      <c r="K383" s="34"/>
      <c r="L383" s="34"/>
    </row>
    <row r="384" spans="2:12" x14ac:dyDescent="0.25">
      <c r="B384" s="24" t="str">
        <f t="shared" si="148"/>
        <v>-</v>
      </c>
      <c r="K384" s="34"/>
      <c r="L384" s="34"/>
    </row>
    <row r="385" spans="2:12" x14ac:dyDescent="0.25">
      <c r="B385" s="24" t="str">
        <f t="shared" si="148"/>
        <v>-</v>
      </c>
      <c r="K385" s="34"/>
      <c r="L385" s="34"/>
    </row>
    <row r="386" spans="2:12" x14ac:dyDescent="0.25">
      <c r="B386" s="24" t="str">
        <f t="shared" si="148"/>
        <v>-</v>
      </c>
      <c r="K386" s="34"/>
      <c r="L386" s="34"/>
    </row>
    <row r="387" spans="2:12" x14ac:dyDescent="0.25">
      <c r="B387" s="24" t="str">
        <f t="shared" si="148"/>
        <v>-</v>
      </c>
      <c r="K387" s="34"/>
      <c r="L387" s="34"/>
    </row>
    <row r="388" spans="2:12" x14ac:dyDescent="0.25">
      <c r="B388" s="24" t="str">
        <f t="shared" si="148"/>
        <v>-</v>
      </c>
      <c r="K388" s="34"/>
      <c r="L388" s="34"/>
    </row>
    <row r="389" spans="2:12" x14ac:dyDescent="0.25">
      <c r="B389" s="24" t="str">
        <f t="shared" si="148"/>
        <v>-</v>
      </c>
      <c r="K389" s="34"/>
      <c r="L389" s="34"/>
    </row>
    <row r="390" spans="2:12" x14ac:dyDescent="0.25">
      <c r="B390" s="24" t="str">
        <f t="shared" si="148"/>
        <v>-</v>
      </c>
      <c r="K390" s="34"/>
      <c r="L390" s="34"/>
    </row>
    <row r="391" spans="2:12" x14ac:dyDescent="0.25">
      <c r="B391" s="24" t="str">
        <f t="shared" si="148"/>
        <v>-</v>
      </c>
      <c r="K391" s="34"/>
      <c r="L391" s="34"/>
    </row>
    <row r="392" spans="2:12" x14ac:dyDescent="0.25">
      <c r="B392" s="24" t="str">
        <f t="shared" si="148"/>
        <v>-</v>
      </c>
      <c r="K392" s="34"/>
      <c r="L392" s="34"/>
    </row>
    <row r="393" spans="2:12" x14ac:dyDescent="0.25">
      <c r="B393" s="24" t="str">
        <f t="shared" si="148"/>
        <v>-</v>
      </c>
      <c r="K393" s="34"/>
      <c r="L393" s="34"/>
    </row>
    <row r="394" spans="2:12" x14ac:dyDescent="0.25">
      <c r="B394" s="24" t="str">
        <f t="shared" si="148"/>
        <v>-</v>
      </c>
      <c r="K394" s="34"/>
      <c r="L394" s="34"/>
    </row>
    <row r="395" spans="2:12" x14ac:dyDescent="0.25">
      <c r="B395" s="24" t="str">
        <f t="shared" si="148"/>
        <v>-</v>
      </c>
      <c r="K395" s="34"/>
      <c r="L395" s="34"/>
    </row>
    <row r="396" spans="2:12" x14ac:dyDescent="0.25">
      <c r="B396" s="24" t="str">
        <f t="shared" si="148"/>
        <v>-</v>
      </c>
      <c r="K396" s="34"/>
      <c r="L396" s="34"/>
    </row>
    <row r="397" spans="2:12" x14ac:dyDescent="0.25">
      <c r="B397" s="24" t="str">
        <f t="shared" si="148"/>
        <v>-</v>
      </c>
      <c r="K397" s="34"/>
      <c r="L397" s="34"/>
    </row>
    <row r="398" spans="2:12" x14ac:dyDescent="0.25">
      <c r="B398" s="24" t="str">
        <f t="shared" si="148"/>
        <v>-</v>
      </c>
      <c r="K398" s="34"/>
      <c r="L398" s="34"/>
    </row>
    <row r="399" spans="2:12" x14ac:dyDescent="0.25">
      <c r="B399" s="24" t="str">
        <f t="shared" si="148"/>
        <v>-</v>
      </c>
      <c r="K399" s="34"/>
      <c r="L399" s="34"/>
    </row>
    <row r="400" spans="2:12" x14ac:dyDescent="0.25">
      <c r="B400" s="24" t="str">
        <f t="shared" si="148"/>
        <v>-</v>
      </c>
      <c r="K400" s="34"/>
      <c r="L400" s="34"/>
    </row>
    <row r="401" spans="2:12" x14ac:dyDescent="0.25">
      <c r="B401" s="24" t="str">
        <f t="shared" si="148"/>
        <v>-</v>
      </c>
      <c r="K401" s="34"/>
      <c r="L401" s="34"/>
    </row>
    <row r="402" spans="2:12" x14ac:dyDescent="0.25">
      <c r="B402" s="24" t="str">
        <f t="shared" ref="B402:B465" si="149">IF(A402&gt;A401,1+B401,"-")</f>
        <v>-</v>
      </c>
      <c r="K402" s="34"/>
      <c r="L402" s="34"/>
    </row>
    <row r="403" spans="2:12" x14ac:dyDescent="0.25">
      <c r="B403" s="24" t="str">
        <f t="shared" si="149"/>
        <v>-</v>
      </c>
      <c r="K403" s="34"/>
      <c r="L403" s="34"/>
    </row>
    <row r="404" spans="2:12" x14ac:dyDescent="0.25">
      <c r="B404" s="24" t="str">
        <f t="shared" si="149"/>
        <v>-</v>
      </c>
      <c r="K404" s="34"/>
      <c r="L404" s="34"/>
    </row>
    <row r="405" spans="2:12" x14ac:dyDescent="0.25">
      <c r="B405" s="24" t="str">
        <f t="shared" si="149"/>
        <v>-</v>
      </c>
      <c r="K405" s="34"/>
      <c r="L405" s="34"/>
    </row>
    <row r="406" spans="2:12" x14ac:dyDescent="0.25">
      <c r="B406" s="24" t="str">
        <f t="shared" si="149"/>
        <v>-</v>
      </c>
      <c r="K406" s="34"/>
      <c r="L406" s="34"/>
    </row>
    <row r="407" spans="2:12" x14ac:dyDescent="0.25">
      <c r="B407" s="24" t="str">
        <f t="shared" si="149"/>
        <v>-</v>
      </c>
      <c r="K407" s="34"/>
      <c r="L407" s="34"/>
    </row>
    <row r="408" spans="2:12" x14ac:dyDescent="0.25">
      <c r="B408" s="24" t="str">
        <f t="shared" si="149"/>
        <v>-</v>
      </c>
      <c r="K408" s="34"/>
      <c r="L408" s="34"/>
    </row>
    <row r="409" spans="2:12" x14ac:dyDescent="0.25">
      <c r="B409" s="24" t="str">
        <f t="shared" si="149"/>
        <v>-</v>
      </c>
      <c r="K409" s="34"/>
      <c r="L409" s="34"/>
    </row>
    <row r="410" spans="2:12" x14ac:dyDescent="0.25">
      <c r="B410" s="24" t="str">
        <f t="shared" si="149"/>
        <v>-</v>
      </c>
      <c r="K410" s="34"/>
      <c r="L410" s="34"/>
    </row>
    <row r="411" spans="2:12" x14ac:dyDescent="0.25">
      <c r="B411" s="24" t="str">
        <f t="shared" si="149"/>
        <v>-</v>
      </c>
      <c r="K411" s="34"/>
      <c r="L411" s="34"/>
    </row>
    <row r="412" spans="2:12" x14ac:dyDescent="0.25">
      <c r="B412" s="24" t="str">
        <f t="shared" si="149"/>
        <v>-</v>
      </c>
      <c r="K412" s="34"/>
      <c r="L412" s="34"/>
    </row>
    <row r="413" spans="2:12" x14ac:dyDescent="0.25">
      <c r="B413" s="24" t="str">
        <f t="shared" si="149"/>
        <v>-</v>
      </c>
      <c r="K413" s="34"/>
      <c r="L413" s="34"/>
    </row>
    <row r="414" spans="2:12" x14ac:dyDescent="0.25">
      <c r="B414" s="24" t="str">
        <f t="shared" si="149"/>
        <v>-</v>
      </c>
      <c r="K414" s="34"/>
      <c r="L414" s="34"/>
    </row>
    <row r="415" spans="2:12" x14ac:dyDescent="0.25">
      <c r="B415" s="24" t="str">
        <f t="shared" si="149"/>
        <v>-</v>
      </c>
      <c r="K415" s="34"/>
      <c r="L415" s="34"/>
    </row>
    <row r="416" spans="2:12" x14ac:dyDescent="0.25">
      <c r="B416" s="24" t="str">
        <f t="shared" si="149"/>
        <v>-</v>
      </c>
      <c r="K416" s="34"/>
      <c r="L416" s="34"/>
    </row>
    <row r="417" spans="2:12" x14ac:dyDescent="0.25">
      <c r="B417" s="24" t="str">
        <f t="shared" si="149"/>
        <v>-</v>
      </c>
      <c r="K417" s="34"/>
      <c r="L417" s="34"/>
    </row>
    <row r="418" spans="2:12" x14ac:dyDescent="0.25">
      <c r="B418" s="24" t="str">
        <f t="shared" si="149"/>
        <v>-</v>
      </c>
      <c r="K418" s="34"/>
      <c r="L418" s="34"/>
    </row>
    <row r="419" spans="2:12" x14ac:dyDescent="0.25">
      <c r="B419" s="24" t="str">
        <f t="shared" si="149"/>
        <v>-</v>
      </c>
      <c r="K419" s="34"/>
      <c r="L419" s="34"/>
    </row>
    <row r="420" spans="2:12" x14ac:dyDescent="0.25">
      <c r="B420" s="24" t="str">
        <f t="shared" si="149"/>
        <v>-</v>
      </c>
      <c r="K420" s="34"/>
      <c r="L420" s="34"/>
    </row>
    <row r="421" spans="2:12" x14ac:dyDescent="0.25">
      <c r="B421" s="24" t="str">
        <f t="shared" si="149"/>
        <v>-</v>
      </c>
      <c r="K421" s="34"/>
      <c r="L421" s="34"/>
    </row>
    <row r="422" spans="2:12" x14ac:dyDescent="0.25">
      <c r="B422" s="24" t="str">
        <f t="shared" si="149"/>
        <v>-</v>
      </c>
      <c r="K422" s="34"/>
      <c r="L422" s="34"/>
    </row>
    <row r="423" spans="2:12" x14ac:dyDescent="0.25">
      <c r="B423" s="24" t="str">
        <f t="shared" si="149"/>
        <v>-</v>
      </c>
      <c r="K423" s="34"/>
      <c r="L423" s="34"/>
    </row>
    <row r="424" spans="2:12" x14ac:dyDescent="0.25">
      <c r="B424" s="24" t="str">
        <f t="shared" si="149"/>
        <v>-</v>
      </c>
      <c r="K424" s="34"/>
      <c r="L424" s="34"/>
    </row>
    <row r="425" spans="2:12" x14ac:dyDescent="0.25">
      <c r="B425" s="24" t="str">
        <f t="shared" si="149"/>
        <v>-</v>
      </c>
      <c r="K425" s="34"/>
      <c r="L425" s="34"/>
    </row>
    <row r="426" spans="2:12" x14ac:dyDescent="0.25">
      <c r="B426" s="24" t="str">
        <f t="shared" si="149"/>
        <v>-</v>
      </c>
      <c r="K426" s="34"/>
      <c r="L426" s="34"/>
    </row>
    <row r="427" spans="2:12" x14ac:dyDescent="0.25">
      <c r="B427" s="24" t="str">
        <f t="shared" si="149"/>
        <v>-</v>
      </c>
      <c r="K427" s="34"/>
      <c r="L427" s="34"/>
    </row>
    <row r="428" spans="2:12" x14ac:dyDescent="0.25">
      <c r="B428" s="24" t="str">
        <f t="shared" si="149"/>
        <v>-</v>
      </c>
      <c r="K428" s="34"/>
      <c r="L428" s="34"/>
    </row>
    <row r="429" spans="2:12" x14ac:dyDescent="0.25">
      <c r="B429" s="24" t="str">
        <f t="shared" si="149"/>
        <v>-</v>
      </c>
      <c r="K429" s="34"/>
      <c r="L429" s="34"/>
    </row>
    <row r="430" spans="2:12" x14ac:dyDescent="0.25">
      <c r="B430" s="24" t="str">
        <f t="shared" si="149"/>
        <v>-</v>
      </c>
      <c r="K430" s="34"/>
      <c r="L430" s="34"/>
    </row>
    <row r="431" spans="2:12" x14ac:dyDescent="0.25">
      <c r="B431" s="24" t="str">
        <f t="shared" si="149"/>
        <v>-</v>
      </c>
      <c r="K431" s="34"/>
      <c r="L431" s="34"/>
    </row>
    <row r="432" spans="2:12" x14ac:dyDescent="0.25">
      <c r="B432" s="24" t="str">
        <f t="shared" si="149"/>
        <v>-</v>
      </c>
      <c r="K432" s="34"/>
      <c r="L432" s="34"/>
    </row>
    <row r="433" spans="2:12" x14ac:dyDescent="0.25">
      <c r="B433" s="24" t="str">
        <f t="shared" si="149"/>
        <v>-</v>
      </c>
      <c r="K433" s="34"/>
      <c r="L433" s="34"/>
    </row>
    <row r="434" spans="2:12" x14ac:dyDescent="0.25">
      <c r="B434" s="24" t="str">
        <f t="shared" si="149"/>
        <v>-</v>
      </c>
      <c r="K434" s="34"/>
      <c r="L434" s="34"/>
    </row>
    <row r="435" spans="2:12" x14ac:dyDescent="0.25">
      <c r="B435" s="24" t="str">
        <f t="shared" si="149"/>
        <v>-</v>
      </c>
      <c r="K435" s="34"/>
      <c r="L435" s="34"/>
    </row>
    <row r="436" spans="2:12" x14ac:dyDescent="0.25">
      <c r="B436" s="24" t="str">
        <f t="shared" si="149"/>
        <v>-</v>
      </c>
      <c r="K436" s="34"/>
      <c r="L436" s="34"/>
    </row>
    <row r="437" spans="2:12" x14ac:dyDescent="0.25">
      <c r="B437" s="24" t="str">
        <f t="shared" si="149"/>
        <v>-</v>
      </c>
      <c r="K437" s="34"/>
      <c r="L437" s="34"/>
    </row>
    <row r="438" spans="2:12" x14ac:dyDescent="0.25">
      <c r="B438" s="24" t="str">
        <f t="shared" si="149"/>
        <v>-</v>
      </c>
      <c r="K438" s="34"/>
      <c r="L438" s="34"/>
    </row>
    <row r="439" spans="2:12" x14ac:dyDescent="0.25">
      <c r="B439" s="24" t="str">
        <f t="shared" si="149"/>
        <v>-</v>
      </c>
      <c r="K439" s="34"/>
      <c r="L439" s="34"/>
    </row>
    <row r="440" spans="2:12" x14ac:dyDescent="0.25">
      <c r="B440" s="24" t="str">
        <f t="shared" si="149"/>
        <v>-</v>
      </c>
      <c r="K440" s="34"/>
      <c r="L440" s="34"/>
    </row>
    <row r="441" spans="2:12" x14ac:dyDescent="0.25">
      <c r="B441" s="24" t="str">
        <f t="shared" si="149"/>
        <v>-</v>
      </c>
      <c r="K441" s="34"/>
      <c r="L441" s="34"/>
    </row>
    <row r="442" spans="2:12" x14ac:dyDescent="0.25">
      <c r="B442" s="24" t="str">
        <f t="shared" si="149"/>
        <v>-</v>
      </c>
      <c r="K442" s="34"/>
      <c r="L442" s="34"/>
    </row>
    <row r="443" spans="2:12" x14ac:dyDescent="0.25">
      <c r="B443" s="24" t="str">
        <f t="shared" si="149"/>
        <v>-</v>
      </c>
      <c r="K443" s="34"/>
      <c r="L443" s="34"/>
    </row>
    <row r="444" spans="2:12" x14ac:dyDescent="0.25">
      <c r="B444" s="24" t="str">
        <f t="shared" si="149"/>
        <v>-</v>
      </c>
      <c r="K444" s="34"/>
      <c r="L444" s="34"/>
    </row>
    <row r="445" spans="2:12" x14ac:dyDescent="0.25">
      <c r="B445" s="24" t="str">
        <f t="shared" si="149"/>
        <v>-</v>
      </c>
      <c r="K445" s="34"/>
      <c r="L445" s="34"/>
    </row>
    <row r="446" spans="2:12" x14ac:dyDescent="0.25">
      <c r="B446" s="24" t="str">
        <f t="shared" si="149"/>
        <v>-</v>
      </c>
      <c r="K446" s="34"/>
      <c r="L446" s="34"/>
    </row>
    <row r="447" spans="2:12" x14ac:dyDescent="0.25">
      <c r="B447" s="24" t="str">
        <f t="shared" si="149"/>
        <v>-</v>
      </c>
      <c r="K447" s="34"/>
      <c r="L447" s="34"/>
    </row>
    <row r="448" spans="2:12" x14ac:dyDescent="0.25">
      <c r="B448" s="24" t="str">
        <f t="shared" si="149"/>
        <v>-</v>
      </c>
      <c r="K448" s="34"/>
      <c r="L448" s="34"/>
    </row>
    <row r="449" spans="2:12" x14ac:dyDescent="0.25">
      <c r="B449" s="24" t="str">
        <f t="shared" si="149"/>
        <v>-</v>
      </c>
      <c r="K449" s="34"/>
      <c r="L449" s="34"/>
    </row>
    <row r="450" spans="2:12" x14ac:dyDescent="0.25">
      <c r="B450" s="24" t="str">
        <f t="shared" si="149"/>
        <v>-</v>
      </c>
      <c r="K450" s="34"/>
      <c r="L450" s="34"/>
    </row>
    <row r="451" spans="2:12" x14ac:dyDescent="0.25">
      <c r="B451" s="24" t="str">
        <f t="shared" si="149"/>
        <v>-</v>
      </c>
      <c r="K451" s="34"/>
      <c r="L451" s="34"/>
    </row>
    <row r="452" spans="2:12" x14ac:dyDescent="0.25">
      <c r="B452" s="24" t="str">
        <f t="shared" si="149"/>
        <v>-</v>
      </c>
      <c r="K452" s="34"/>
      <c r="L452" s="34"/>
    </row>
    <row r="453" spans="2:12" x14ac:dyDescent="0.25">
      <c r="B453" s="24" t="str">
        <f t="shared" si="149"/>
        <v>-</v>
      </c>
      <c r="K453" s="34"/>
      <c r="L453" s="34"/>
    </row>
    <row r="454" spans="2:12" x14ac:dyDescent="0.25">
      <c r="B454" s="24" t="str">
        <f t="shared" si="149"/>
        <v>-</v>
      </c>
      <c r="K454" s="34"/>
      <c r="L454" s="34"/>
    </row>
    <row r="455" spans="2:12" x14ac:dyDescent="0.25">
      <c r="B455" s="24" t="str">
        <f t="shared" si="149"/>
        <v>-</v>
      </c>
      <c r="K455" s="34"/>
      <c r="L455" s="34"/>
    </row>
    <row r="456" spans="2:12" x14ac:dyDescent="0.25">
      <c r="B456" s="24" t="str">
        <f t="shared" si="149"/>
        <v>-</v>
      </c>
      <c r="K456" s="34"/>
      <c r="L456" s="34"/>
    </row>
    <row r="457" spans="2:12" x14ac:dyDescent="0.25">
      <c r="B457" s="24" t="str">
        <f t="shared" si="149"/>
        <v>-</v>
      </c>
      <c r="K457" s="34"/>
      <c r="L457" s="34"/>
    </row>
    <row r="458" spans="2:12" x14ac:dyDescent="0.25">
      <c r="B458" s="24" t="str">
        <f t="shared" si="149"/>
        <v>-</v>
      </c>
      <c r="K458" s="34"/>
      <c r="L458" s="34"/>
    </row>
    <row r="459" spans="2:12" x14ac:dyDescent="0.25">
      <c r="B459" s="24" t="str">
        <f t="shared" si="149"/>
        <v>-</v>
      </c>
      <c r="K459" s="34"/>
      <c r="L459" s="34"/>
    </row>
    <row r="460" spans="2:12" x14ac:dyDescent="0.25">
      <c r="B460" s="24" t="str">
        <f t="shared" si="149"/>
        <v>-</v>
      </c>
      <c r="K460" s="34"/>
      <c r="L460" s="34"/>
    </row>
    <row r="461" spans="2:12" x14ac:dyDescent="0.25">
      <c r="B461" s="24" t="str">
        <f t="shared" si="149"/>
        <v>-</v>
      </c>
      <c r="K461" s="34"/>
      <c r="L461" s="34"/>
    </row>
    <row r="462" spans="2:12" x14ac:dyDescent="0.25">
      <c r="B462" s="24" t="str">
        <f t="shared" si="149"/>
        <v>-</v>
      </c>
      <c r="K462" s="34"/>
      <c r="L462" s="34"/>
    </row>
    <row r="463" spans="2:12" x14ac:dyDescent="0.25">
      <c r="B463" s="24" t="str">
        <f t="shared" si="149"/>
        <v>-</v>
      </c>
      <c r="K463" s="34"/>
      <c r="L463" s="34"/>
    </row>
    <row r="464" spans="2:12" x14ac:dyDescent="0.25">
      <c r="B464" s="24" t="str">
        <f t="shared" si="149"/>
        <v>-</v>
      </c>
      <c r="K464" s="34"/>
      <c r="L464" s="34"/>
    </row>
    <row r="465" spans="2:12" x14ac:dyDescent="0.25">
      <c r="B465" s="24" t="str">
        <f t="shared" si="149"/>
        <v>-</v>
      </c>
      <c r="K465" s="34"/>
      <c r="L465" s="34"/>
    </row>
    <row r="466" spans="2:12" x14ac:dyDescent="0.25">
      <c r="B466" s="24" t="str">
        <f t="shared" ref="B466:B509" si="150">IF(A466&gt;A465,1+B465,"-")</f>
        <v>-</v>
      </c>
      <c r="K466" s="34"/>
      <c r="L466" s="34"/>
    </row>
    <row r="467" spans="2:12" x14ac:dyDescent="0.25">
      <c r="B467" s="24" t="str">
        <f t="shared" si="150"/>
        <v>-</v>
      </c>
      <c r="K467" s="34"/>
      <c r="L467" s="34"/>
    </row>
    <row r="468" spans="2:12" x14ac:dyDescent="0.25">
      <c r="B468" s="24" t="str">
        <f t="shared" si="150"/>
        <v>-</v>
      </c>
      <c r="K468" s="34"/>
      <c r="L468" s="34"/>
    </row>
    <row r="469" spans="2:12" x14ac:dyDescent="0.25">
      <c r="B469" s="24" t="str">
        <f t="shared" si="150"/>
        <v>-</v>
      </c>
      <c r="K469" s="34"/>
      <c r="L469" s="34"/>
    </row>
    <row r="470" spans="2:12" x14ac:dyDescent="0.25">
      <c r="B470" s="24" t="str">
        <f t="shared" si="150"/>
        <v>-</v>
      </c>
      <c r="K470" s="34"/>
      <c r="L470" s="34"/>
    </row>
    <row r="471" spans="2:12" x14ac:dyDescent="0.25">
      <c r="B471" s="24" t="str">
        <f t="shared" si="150"/>
        <v>-</v>
      </c>
      <c r="K471" s="34"/>
      <c r="L471" s="34"/>
    </row>
    <row r="472" spans="2:12" x14ac:dyDescent="0.25">
      <c r="B472" s="24" t="str">
        <f t="shared" si="150"/>
        <v>-</v>
      </c>
      <c r="K472" s="34"/>
      <c r="L472" s="34"/>
    </row>
    <row r="473" spans="2:12" x14ac:dyDescent="0.25">
      <c r="B473" s="24" t="str">
        <f t="shared" si="150"/>
        <v>-</v>
      </c>
      <c r="K473" s="34"/>
      <c r="L473" s="34"/>
    </row>
    <row r="474" spans="2:12" x14ac:dyDescent="0.25">
      <c r="B474" s="24" t="str">
        <f t="shared" si="150"/>
        <v>-</v>
      </c>
      <c r="K474" s="34"/>
      <c r="L474" s="34"/>
    </row>
    <row r="475" spans="2:12" x14ac:dyDescent="0.25">
      <c r="B475" s="24" t="str">
        <f t="shared" si="150"/>
        <v>-</v>
      </c>
      <c r="K475" s="34"/>
      <c r="L475" s="34"/>
    </row>
    <row r="476" spans="2:12" x14ac:dyDescent="0.25">
      <c r="B476" s="24" t="str">
        <f t="shared" si="150"/>
        <v>-</v>
      </c>
      <c r="K476" s="34"/>
      <c r="L476" s="34"/>
    </row>
    <row r="477" spans="2:12" x14ac:dyDescent="0.25">
      <c r="B477" s="24" t="str">
        <f t="shared" si="150"/>
        <v>-</v>
      </c>
      <c r="K477" s="34"/>
      <c r="L477" s="34"/>
    </row>
    <row r="478" spans="2:12" x14ac:dyDescent="0.25">
      <c r="B478" s="24" t="str">
        <f t="shared" si="150"/>
        <v>-</v>
      </c>
      <c r="K478" s="34"/>
      <c r="L478" s="34"/>
    </row>
    <row r="479" spans="2:12" x14ac:dyDescent="0.25">
      <c r="B479" s="24" t="str">
        <f t="shared" si="150"/>
        <v>-</v>
      </c>
      <c r="K479" s="34"/>
      <c r="L479" s="34"/>
    </row>
    <row r="480" spans="2:12" x14ac:dyDescent="0.25">
      <c r="B480" s="24" t="str">
        <f t="shared" si="150"/>
        <v>-</v>
      </c>
      <c r="K480" s="34"/>
      <c r="L480" s="34"/>
    </row>
    <row r="481" spans="2:12" x14ac:dyDescent="0.25">
      <c r="B481" s="24" t="str">
        <f t="shared" si="150"/>
        <v>-</v>
      </c>
      <c r="K481" s="34"/>
      <c r="L481" s="34"/>
    </row>
    <row r="482" spans="2:12" x14ac:dyDescent="0.25">
      <c r="B482" s="24" t="str">
        <f t="shared" si="150"/>
        <v>-</v>
      </c>
      <c r="K482" s="34"/>
      <c r="L482" s="34"/>
    </row>
    <row r="483" spans="2:12" x14ac:dyDescent="0.25">
      <c r="B483" s="24" t="str">
        <f t="shared" si="150"/>
        <v>-</v>
      </c>
      <c r="K483" s="34"/>
      <c r="L483" s="34"/>
    </row>
    <row r="484" spans="2:12" x14ac:dyDescent="0.25">
      <c r="B484" s="24" t="str">
        <f t="shared" si="150"/>
        <v>-</v>
      </c>
      <c r="K484" s="34"/>
      <c r="L484" s="34"/>
    </row>
    <row r="485" spans="2:12" x14ac:dyDescent="0.25">
      <c r="B485" s="24" t="str">
        <f t="shared" si="150"/>
        <v>-</v>
      </c>
      <c r="K485" s="34"/>
      <c r="L485" s="34"/>
    </row>
    <row r="486" spans="2:12" x14ac:dyDescent="0.25">
      <c r="B486" s="24" t="str">
        <f t="shared" si="150"/>
        <v>-</v>
      </c>
      <c r="K486" s="34"/>
      <c r="L486" s="34"/>
    </row>
    <row r="487" spans="2:12" x14ac:dyDescent="0.25">
      <c r="B487" s="24" t="str">
        <f t="shared" si="150"/>
        <v>-</v>
      </c>
      <c r="K487" s="34"/>
      <c r="L487" s="34"/>
    </row>
    <row r="488" spans="2:12" x14ac:dyDescent="0.25">
      <c r="B488" s="24" t="str">
        <f t="shared" si="150"/>
        <v>-</v>
      </c>
      <c r="K488" s="34"/>
      <c r="L488" s="34"/>
    </row>
    <row r="489" spans="2:12" x14ac:dyDescent="0.25">
      <c r="B489" s="24" t="str">
        <f t="shared" si="150"/>
        <v>-</v>
      </c>
      <c r="K489" s="34"/>
      <c r="L489" s="34"/>
    </row>
    <row r="490" spans="2:12" x14ac:dyDescent="0.25">
      <c r="B490" s="24" t="str">
        <f t="shared" si="150"/>
        <v>-</v>
      </c>
      <c r="K490" s="34"/>
      <c r="L490" s="34"/>
    </row>
    <row r="491" spans="2:12" x14ac:dyDescent="0.25">
      <c r="B491" s="24" t="str">
        <f t="shared" si="150"/>
        <v>-</v>
      </c>
      <c r="K491" s="34"/>
      <c r="L491" s="34"/>
    </row>
    <row r="492" spans="2:12" x14ac:dyDescent="0.25">
      <c r="B492" s="24" t="str">
        <f t="shared" si="150"/>
        <v>-</v>
      </c>
      <c r="K492" s="34"/>
      <c r="L492" s="34"/>
    </row>
    <row r="493" spans="2:12" x14ac:dyDescent="0.25">
      <c r="B493" s="24" t="str">
        <f t="shared" si="150"/>
        <v>-</v>
      </c>
      <c r="K493" s="34"/>
      <c r="L493" s="34"/>
    </row>
    <row r="494" spans="2:12" x14ac:dyDescent="0.25">
      <c r="B494" s="24" t="str">
        <f t="shared" si="150"/>
        <v>-</v>
      </c>
      <c r="K494" s="34"/>
      <c r="L494" s="34"/>
    </row>
    <row r="495" spans="2:12" x14ac:dyDescent="0.25">
      <c r="B495" s="24" t="str">
        <f t="shared" si="150"/>
        <v>-</v>
      </c>
      <c r="K495" s="34"/>
      <c r="L495" s="34"/>
    </row>
    <row r="496" spans="2:12" x14ac:dyDescent="0.25">
      <c r="B496" s="24" t="str">
        <f t="shared" si="150"/>
        <v>-</v>
      </c>
      <c r="K496" s="34"/>
      <c r="L496" s="34"/>
    </row>
    <row r="497" spans="2:12" x14ac:dyDescent="0.25">
      <c r="B497" s="24" t="str">
        <f t="shared" si="150"/>
        <v>-</v>
      </c>
      <c r="K497" s="34"/>
      <c r="L497" s="34"/>
    </row>
    <row r="498" spans="2:12" x14ac:dyDescent="0.25">
      <c r="B498" s="24" t="str">
        <f t="shared" si="150"/>
        <v>-</v>
      </c>
      <c r="K498" s="34"/>
      <c r="L498" s="34"/>
    </row>
    <row r="499" spans="2:12" x14ac:dyDescent="0.25">
      <c r="B499" s="24" t="str">
        <f t="shared" si="150"/>
        <v>-</v>
      </c>
      <c r="K499" s="34"/>
      <c r="L499" s="34"/>
    </row>
    <row r="500" spans="2:12" x14ac:dyDescent="0.25">
      <c r="B500" s="24" t="str">
        <f t="shared" si="150"/>
        <v>-</v>
      </c>
      <c r="K500" s="34"/>
      <c r="L500" s="34"/>
    </row>
    <row r="501" spans="2:12" x14ac:dyDescent="0.25">
      <c r="B501" s="24" t="str">
        <f t="shared" si="150"/>
        <v>-</v>
      </c>
      <c r="K501" s="34"/>
      <c r="L501" s="34"/>
    </row>
    <row r="502" spans="2:12" x14ac:dyDescent="0.25">
      <c r="B502" s="24" t="str">
        <f t="shared" si="150"/>
        <v>-</v>
      </c>
      <c r="K502" s="34"/>
      <c r="L502" s="34"/>
    </row>
    <row r="503" spans="2:12" x14ac:dyDescent="0.25">
      <c r="B503" s="24" t="str">
        <f t="shared" si="150"/>
        <v>-</v>
      </c>
    </row>
    <row r="504" spans="2:12" x14ac:dyDescent="0.25">
      <c r="B504" s="24" t="str">
        <f t="shared" si="150"/>
        <v>-</v>
      </c>
    </row>
    <row r="505" spans="2:12" x14ac:dyDescent="0.25">
      <c r="B505" s="24" t="str">
        <f t="shared" si="150"/>
        <v>-</v>
      </c>
    </row>
    <row r="506" spans="2:12" x14ac:dyDescent="0.25">
      <c r="B506" s="24" t="str">
        <f t="shared" si="150"/>
        <v>-</v>
      </c>
    </row>
    <row r="507" spans="2:12" x14ac:dyDescent="0.25">
      <c r="B507" s="24" t="str">
        <f t="shared" si="150"/>
        <v>-</v>
      </c>
    </row>
    <row r="508" spans="2:12" x14ac:dyDescent="0.25">
      <c r="B508" s="24" t="str">
        <f t="shared" si="150"/>
        <v>-</v>
      </c>
    </row>
    <row r="509" spans="2:12" x14ac:dyDescent="0.25">
      <c r="B509" s="24" t="str">
        <f t="shared" si="150"/>
        <v>-</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5FADB-CBA6-40D4-8656-2FC792274EAA}">
  <sheetPr codeName="Sheet14"/>
  <dimension ref="A1:AA509"/>
  <sheetViews>
    <sheetView zoomScaleNormal="100" workbookViewId="0">
      <pane xSplit="2" ySplit="15" topLeftCell="C16" activePane="bottomRight" state="frozen"/>
      <selection pane="topRight" activeCell="AF257" sqref="AF257"/>
      <selection pane="bottomLeft" activeCell="AF257" sqref="AF257"/>
      <selection pane="bottomRight" activeCell="D17" sqref="D17"/>
    </sheetView>
  </sheetViews>
  <sheetFormatPr defaultColWidth="11" defaultRowHeight="15.75" x14ac:dyDescent="0.25"/>
  <cols>
    <col min="1" max="1" width="12" customWidth="1"/>
    <col min="2" max="2" width="4.125" style="23" bestFit="1" customWidth="1"/>
    <col min="3" max="4" width="11.625" style="23" bestFit="1" customWidth="1"/>
    <col min="5" max="5" width="13.5" style="2" bestFit="1" customWidth="1"/>
    <col min="6" max="6" width="8.625" style="61" bestFit="1" customWidth="1"/>
    <col min="7" max="7" width="9.125" bestFit="1" customWidth="1"/>
    <col min="8" max="8" width="10.125" bestFit="1" customWidth="1"/>
    <col min="9" max="9" width="1.625" customWidth="1"/>
    <col min="10" max="10" width="11.625" customWidth="1"/>
    <col min="11" max="11" width="10.125" style="23" bestFit="1" customWidth="1"/>
    <col min="12" max="12" width="11.125" style="23" bestFit="1" customWidth="1"/>
    <col min="13" max="13" width="7.125" bestFit="1" customWidth="1"/>
    <col min="14" max="14" width="9.125" bestFit="1" customWidth="1"/>
    <col min="15" max="15" width="2" customWidth="1"/>
    <col min="16" max="16" width="12.125" customWidth="1"/>
    <col min="17" max="17" width="10.125" bestFit="1" customWidth="1"/>
    <col min="18" max="18" width="13.625" bestFit="1" customWidth="1"/>
    <col min="19" max="19" width="7.125" bestFit="1" customWidth="1"/>
    <col min="20" max="20" width="9.125" bestFit="1" customWidth="1"/>
    <col min="21" max="21" width="9.125" customWidth="1"/>
    <col min="22" max="22" width="1.625" customWidth="1"/>
    <col min="23" max="23" width="5.625" customWidth="1"/>
  </cols>
  <sheetData>
    <row r="1" spans="1:27" x14ac:dyDescent="0.25">
      <c r="C1" s="74" t="s">
        <v>340</v>
      </c>
      <c r="D1" s="13"/>
      <c r="E1" s="14"/>
      <c r="F1" s="15"/>
      <c r="I1" s="39"/>
      <c r="J1" s="7" t="s">
        <v>95</v>
      </c>
      <c r="K1" s="13"/>
      <c r="L1" s="13"/>
      <c r="M1" s="14"/>
      <c r="N1" s="15"/>
      <c r="O1" s="39"/>
      <c r="P1" s="7" t="s">
        <v>425</v>
      </c>
      <c r="Q1" s="13"/>
      <c r="R1" s="13"/>
      <c r="S1" s="14"/>
      <c r="T1" s="15"/>
      <c r="U1" s="15"/>
      <c r="V1" s="39"/>
    </row>
    <row r="2" spans="1:27" x14ac:dyDescent="0.25">
      <c r="A2" s="7"/>
      <c r="C2" s="36"/>
      <c r="D2" s="16"/>
      <c r="E2" s="16"/>
      <c r="F2" s="16"/>
      <c r="G2" s="16"/>
      <c r="H2" s="16"/>
      <c r="I2" s="39"/>
      <c r="K2" s="16"/>
      <c r="L2" s="36"/>
      <c r="M2" s="16"/>
      <c r="N2" s="16"/>
      <c r="O2" s="39"/>
      <c r="Q2" s="16"/>
      <c r="R2" s="36"/>
      <c r="S2" s="16"/>
      <c r="T2" s="16"/>
      <c r="U2" s="16"/>
      <c r="V2" s="39"/>
    </row>
    <row r="3" spans="1:27" x14ac:dyDescent="0.25">
      <c r="C3" s="7"/>
      <c r="D3" s="191"/>
      <c r="E3" s="16"/>
      <c r="F3" s="16"/>
      <c r="G3" s="16"/>
      <c r="H3" s="16"/>
      <c r="I3" s="39"/>
      <c r="K3" s="16"/>
      <c r="L3" s="16"/>
      <c r="M3" s="16"/>
      <c r="N3" s="16"/>
      <c r="O3" s="39"/>
      <c r="P3" s="43"/>
      <c r="Q3" s="42"/>
      <c r="R3" s="16"/>
      <c r="S3" s="16"/>
      <c r="T3" s="16"/>
      <c r="U3" s="16"/>
      <c r="V3" s="39"/>
    </row>
    <row r="4" spans="1:27" x14ac:dyDescent="0.25">
      <c r="A4" s="7"/>
      <c r="D4" s="16" t="s">
        <v>41</v>
      </c>
      <c r="E4" s="23" t="s">
        <v>42</v>
      </c>
      <c r="F4" s="17" t="s">
        <v>43</v>
      </c>
      <c r="G4" s="35" t="s">
        <v>44</v>
      </c>
      <c r="H4" s="17" t="s">
        <v>45</v>
      </c>
      <c r="I4" s="39"/>
      <c r="K4" s="23" t="s">
        <v>41</v>
      </c>
      <c r="L4" s="17" t="s">
        <v>43</v>
      </c>
      <c r="M4" s="17" t="s">
        <v>45</v>
      </c>
      <c r="N4" s="35"/>
      <c r="O4" s="40"/>
      <c r="Q4" s="23" t="s">
        <v>41</v>
      </c>
      <c r="R4" s="23" t="s">
        <v>42</v>
      </c>
      <c r="S4" s="17" t="s">
        <v>43</v>
      </c>
      <c r="T4" s="35" t="s">
        <v>44</v>
      </c>
      <c r="U4" s="17" t="s">
        <v>45</v>
      </c>
      <c r="V4" s="40"/>
    </row>
    <row r="5" spans="1:27" x14ac:dyDescent="0.25">
      <c r="B5" s="23">
        <v>12</v>
      </c>
      <c r="C5" s="7" t="s">
        <v>7</v>
      </c>
      <c r="D5" s="16">
        <f t="array" aca="1" ref="D5" ca="1">IFERROR((GEOMEAN(1+OFFSET(D$16,MAX($B$16:$B$509)-$B$5+1,0,$B$5,1)/100)^$B$5-1)*100,"N/A")</f>
        <v>9.0338287119451355</v>
      </c>
      <c r="E5" s="36">
        <f t="shared" ref="E5:E12" ca="1" si="0">IFERROR(D5-$K5,"N/A")</f>
        <v>-3.7585692875644394</v>
      </c>
      <c r="F5" s="16">
        <f ca="1">IFERROR(SLOPE(OFFSET(D$16,MAX($B$16:$B$509)-$B$5+1,0,$B$5,1),OFFSET($K$16,MAX($B$16:$B$509)-$B$5+1,0,$B$5,1)),"N/A")</f>
        <v>0.88956709909707565</v>
      </c>
      <c r="G5" s="16">
        <f t="array" aca="1" ref="G5" ca="1">IFERROR(INTERCEPT(OFFSET(D$16,MAX($B$16:$B$509)-$B$5+1,0,$B$5,1),OFFSET($K$16,MAX($B$16:$B$509)-$B$5+1,0,$B$5,1))*12,"N/A")</f>
        <v>-2.0471063420207956</v>
      </c>
      <c r="H5" s="16">
        <f ca="1">IFERROR(STDEVP(OFFSET(D$16,MAX($B$16:$B$509)-$B$5+1,0,$B$5,1))*SQRT(12),"N/A")</f>
        <v>13.653775044225597</v>
      </c>
      <c r="I5" s="39"/>
      <c r="J5" s="7" t="s">
        <v>7</v>
      </c>
      <c r="K5" s="16">
        <f t="array" aca="1" ref="K5" ca="1">IFERROR((GEOMEAN(1+OFFSET(K$16,MAX($B$16:$B$509)-$B$5+1,0,$B$5,1)/100)^$B$5-1)*100,"N/A")</f>
        <v>12.792397999509575</v>
      </c>
      <c r="L5" s="16">
        <f ca="1">IFERROR(SLOPE(OFFSET(K$16,MAX($B$16:$B$509)-$B$5+1,0,$B$5,1),OFFSET($K$16,MAX($B$16:$B$509)-$B$5+1,0,$B$5,1)),"N/A")</f>
        <v>1</v>
      </c>
      <c r="M5" s="16">
        <f ca="1">IFERROR(STDEVP(OFFSET(K$16,MAX($B$16:$B$509)-$B$5+1,0,$B$5,1))*SQRT(12),"N/A")</f>
        <v>14.113735363478908</v>
      </c>
      <c r="N5" s="16"/>
      <c r="O5" s="40"/>
      <c r="P5" s="7" t="s">
        <v>7</v>
      </c>
      <c r="Q5" s="16">
        <f t="array" aca="1" ref="Q5" ca="1">IFERROR((GEOMEAN(1+OFFSET(Q$16,MAX($B$16:$B$509)-$B$5+1,0,$B$5,1)/100)^$B$5-1)*100,"N/A")</f>
        <v>5.9863663846757564</v>
      </c>
      <c r="R5" s="36">
        <f t="shared" ref="R5:R12" ca="1" si="1">IFERROR(Q5-$K5,"N/A")</f>
        <v>-6.8060316148338185</v>
      </c>
      <c r="S5" s="16">
        <f ca="1">IFERROR(SLOPE(OFFSET(Q$16,MAX($B$16:$B$509)-$B$5+1,0,$B$5,1),OFFSET($K$16,MAX($B$16:$B$509)-$B$5+1,0,$B$5,1)),"N/A")</f>
        <v>0.94508884653297864</v>
      </c>
      <c r="T5" s="16">
        <f t="array" aca="1" ref="T5" ca="1">IFERROR(INTERCEPT(OFFSET(Q$16,MAX($B$16:$B$509)-$B$5+1,0,$B$5,1),OFFSET($K$16,MAX($B$16:$B$509)-$B$5+1,0,$B$5,1))*12,"N/A")</f>
        <v>-5.5696866461027046</v>
      </c>
      <c r="U5" s="16">
        <f ca="1">IFERROR(STDEVP(OFFSET(Q$16,MAX($B$16:$B$509)-$B$5+1,0,$B$5,1))*SQRT(12),"N/A")</f>
        <v>13.989587604597098</v>
      </c>
      <c r="V5" s="40"/>
    </row>
    <row r="6" spans="1:27" x14ac:dyDescent="0.25">
      <c r="C6" s="7" t="s">
        <v>46</v>
      </c>
      <c r="D6" s="16">
        <f t="array" aca="1" ref="D6" ca="1">IFERROR((GEOMEAN(1+OFFSET(D$16,MAX($B$16:$B$509)-11,0,12,1)/100)^12-1)*100,"N/A")</f>
        <v>9.0338287119451355</v>
      </c>
      <c r="E6" s="36">
        <f t="shared" ca="1" si="0"/>
        <v>-3.7585692875644394</v>
      </c>
      <c r="F6" s="16">
        <f ca="1">IFERROR(SLOPE(OFFSET(D$16,MAX($B$16:$B$509)-11,0,12,1),OFFSET($K$16,MAX($B$16:$B$509)-11,0,12,1)),"N/A")</f>
        <v>0.88956709909707565</v>
      </c>
      <c r="G6" s="16">
        <f ca="1">IFERROR(INTERCEPT(OFFSET(D$16,MAX($B$16:$B$509)-11,0,12,1),OFFSET($K$16,MAX($B$16:$B$509)-11,0,12,1))*12,"N/A")</f>
        <v>-2.0471063420207956</v>
      </c>
      <c r="H6" s="16">
        <f ca="1">IFERROR(STDEVP(OFFSET(D$16,MAX($B$16:$B$509)-11,0,12,1))*SQRT(12),"N/A")</f>
        <v>13.653775044225597</v>
      </c>
      <c r="I6" s="39"/>
      <c r="J6" s="7" t="s">
        <v>46</v>
      </c>
      <c r="K6" s="16">
        <f t="array" aca="1" ref="K6" ca="1">IFERROR((GEOMEAN(1+OFFSET(K$16,MAX($B$16:$B$509)-11,0,12,1)/100)^12-1)*100,"N/A")</f>
        <v>12.792397999509575</v>
      </c>
      <c r="L6" s="16">
        <f ca="1">IFERROR(SLOPE(OFFSET(K$16,MAX($B$16:$B$509)-11,0,12,1),OFFSET($K$16,MAX($B$16:$B$509)-11,0,12,1)),"N/A")</f>
        <v>1</v>
      </c>
      <c r="M6" s="16">
        <f ca="1">IFERROR(STDEVP(OFFSET(K$16,MAX($B$16:$B$509)-11,0,12,1))*SQRT(12),"N/A")</f>
        <v>14.113735363478908</v>
      </c>
      <c r="N6" s="16"/>
      <c r="O6" s="41"/>
      <c r="P6" s="7" t="s">
        <v>46</v>
      </c>
      <c r="Q6" s="16">
        <f t="array" aca="1" ref="Q6" ca="1">IFERROR((GEOMEAN(1+OFFSET(Q$16,MAX($B$16:$B$509)-11,0,12,1)/100)^12-1)*100,"N/A")</f>
        <v>5.9863663846757564</v>
      </c>
      <c r="R6" s="36">
        <f t="shared" ca="1" si="1"/>
        <v>-6.8060316148338185</v>
      </c>
      <c r="S6" s="16">
        <f ca="1">IFERROR(SLOPE(OFFSET(Q$16,MAX($B$16:$B$509)-11,0,12,1),OFFSET($K$16,MAX($B$16:$B$509)-11,0,12,1)),"N/A")</f>
        <v>0.94508884653297864</v>
      </c>
      <c r="T6" s="16">
        <f ca="1">IFERROR(INTERCEPT(OFFSET(Q$16,MAX($B$16:$B$509)-11,0,12,1),OFFSET($K$16,MAX($B$16:$B$509)-11,0,12,1))*12,"N/A")</f>
        <v>-5.5696866461027046</v>
      </c>
      <c r="U6" s="16">
        <f ca="1">IFERROR(STDEVP(OFFSET(Q$16,MAX($B$16:$B$509)-11,0,12,1))*SQRT(12),"N/A")</f>
        <v>13.989587604597098</v>
      </c>
      <c r="V6" s="41"/>
    </row>
    <row r="7" spans="1:27" x14ac:dyDescent="0.25">
      <c r="C7" s="7" t="s">
        <v>47</v>
      </c>
      <c r="D7" s="16">
        <f t="array" aca="1" ref="D7" ca="1">IFERROR((GEOMEAN(1+OFFSET(D$16,MAX($B$16:$B$509)-23,0,24,1)/100)^12-1)*100,"N/A")</f>
        <v>7.1940235519712514</v>
      </c>
      <c r="E7" s="36">
        <f t="shared" ca="1" si="0"/>
        <v>-4.9638452568655724</v>
      </c>
      <c r="F7" s="16">
        <f ca="1">IFERROR(SLOPE(OFFSET(D$16,MAX($B$16:$B$509)-23,0,24,1),OFFSET($K$16,MAX($B$16:$B$509)-23,0,24,1)),"N/A")</f>
        <v>0.90935084339253069</v>
      </c>
      <c r="G7" s="16">
        <f ca="1">IFERROR(INTERCEPT(OFFSET(D$16,MAX($B$16:$B$509)-23,0,24,1),OFFSET($K$16,MAX($B$16:$B$509)-23,0,24,1))*12,"N/A")</f>
        <v>-3.5263683338887728</v>
      </c>
      <c r="H7" s="16">
        <f ca="1">IFERROR(STDEVP(OFFSET(D$16,MAX($B$16:$B$509)-23,0,24,1))*SQRT(12),"N/A")</f>
        <v>16.673696196114491</v>
      </c>
      <c r="I7" s="39"/>
      <c r="J7" s="7" t="s">
        <v>47</v>
      </c>
      <c r="K7" s="16">
        <f t="array" aca="1" ref="K7" ca="1">IFERROR((GEOMEAN(1+OFFSET(K$16,MAX($B$16:$B$509)-23,0,24,1)/100)^12-1)*100,"N/A")</f>
        <v>12.157868808836824</v>
      </c>
      <c r="L7" s="16">
        <f ca="1">IFERROR(SLOPE(OFFSET(K$16,MAX($B$16:$B$509)-23,0,24,1),OFFSET($K$16,MAX($B$16:$B$509)-23,0,24,1)),"N/A")</f>
        <v>1</v>
      </c>
      <c r="M7" s="16">
        <f ca="1">IFERROR(STDEVP(OFFSET(K$16,MAX($B$16:$B$509)-23,0,24,1))*SQRT(12),"N/A")</f>
        <v>17.565313898269768</v>
      </c>
      <c r="N7" s="16"/>
      <c r="O7" s="41"/>
      <c r="P7" s="7" t="s">
        <v>47</v>
      </c>
      <c r="Q7" s="16">
        <f t="array" aca="1" ref="Q7" ca="1">IFERROR((GEOMEAN(1+OFFSET(Q$16,MAX($B$16:$B$509)-23,0,24,1)/100)^12-1)*100,"N/A")</f>
        <v>7.3063946543720171</v>
      </c>
      <c r="R7" s="36">
        <f t="shared" ca="1" si="1"/>
        <v>-4.8514741544648068</v>
      </c>
      <c r="S7" s="16">
        <f ca="1">IFERROR(SLOPE(OFFSET(Q$16,MAX($B$16:$B$509)-23,0,24,1),OFFSET($K$16,MAX($B$16:$B$509)-23,0,24,1)),"N/A")</f>
        <v>0.95866469833696344</v>
      </c>
      <c r="T7" s="16">
        <f ca="1">IFERROR(INTERCEPT(OFFSET(Q$16,MAX($B$16:$B$509)-23,0,24,1),OFFSET($K$16,MAX($B$16:$B$509)-23,0,24,1))*12,"N/A")</f>
        <v>-3.978107121256488</v>
      </c>
      <c r="U7" s="16">
        <f ca="1">IFERROR(STDEVP(OFFSET(Q$16,MAX($B$16:$B$509)-23,0,24,1))*SQRT(12),"N/A")</f>
        <v>17.258408639191192</v>
      </c>
      <c r="V7" s="41"/>
    </row>
    <row r="8" spans="1:27" s="182" customFormat="1" x14ac:dyDescent="0.25">
      <c r="B8" s="183"/>
      <c r="C8" s="85" t="s">
        <v>48</v>
      </c>
      <c r="D8" s="184">
        <f t="array" aca="1" ref="D8" ca="1">IFERROR((GEOMEAN(1+OFFSET(D$16,MAX($B$16:$B$509)-35,0,36,1)/100)^12-1)*100,"N/A")</f>
        <v>11.653242558910271</v>
      </c>
      <c r="E8" s="185">
        <f t="shared" ca="1" si="0"/>
        <v>-2.0570842978781201</v>
      </c>
      <c r="F8" s="184">
        <f ca="1">IFERROR(SLOPE(OFFSET(D$16,MAX($B$16:$B$509)-35,0,36,1),OFFSET($K$16,MAX($B$16:$B$509)-35,0,36,1)),"N/A")</f>
        <v>0.93847367439007734</v>
      </c>
      <c r="G8" s="184">
        <f ca="1">IFERROR(INTERCEPT(OFFSET(D$16,MAX($B$16:$B$509)-35,0,36,1),OFFSET($K$16,MAX($B$16:$B$509)-35,0,36,1))*12,"N/A")</f>
        <v>-1.0446418910245354</v>
      </c>
      <c r="H8" s="184">
        <f ca="1">IFERROR(STDEVP(OFFSET(D$16,MAX($B$16:$B$509)-35,0,36,1))*SQRT(12),"N/A")</f>
        <v>19.066373847383133</v>
      </c>
      <c r="J8" s="85" t="s">
        <v>48</v>
      </c>
      <c r="K8" s="184">
        <f t="array" aca="1" ref="K8" ca="1">IFERROR((GEOMEAN(1+OFFSET(K$16,MAX($B$16:$B$509)-35,0,36,1)/100)^12-1)*100,"N/A")</f>
        <v>13.710326856788392</v>
      </c>
      <c r="L8" s="184">
        <f ca="1">IFERROR(SLOPE(OFFSET(K$16,MAX($B$16:$B$509)-35,0,36,1),OFFSET($K$16,MAX($B$16:$B$509)-35,0,36,1)),"N/A")</f>
        <v>1</v>
      </c>
      <c r="M8" s="184">
        <f ca="1">IFERROR(STDEVP(OFFSET(K$16,MAX($B$16:$B$509)-35,0,36,1))*SQRT(12),"N/A")</f>
        <v>19.632559847962707</v>
      </c>
      <c r="N8" s="184"/>
      <c r="O8" s="186"/>
      <c r="P8" s="85" t="s">
        <v>48</v>
      </c>
      <c r="Q8" s="184">
        <f t="array" aca="1" ref="Q8" ca="1">IFERROR((GEOMEAN(1+OFFSET(Q$16,MAX($B$16:$B$509)-35,0,36,1)/100)^12-1)*100,"N/A")</f>
        <v>10.110916287882032</v>
      </c>
      <c r="R8" s="185">
        <f t="shared" ca="1" si="1"/>
        <v>-3.5994105689063591</v>
      </c>
      <c r="S8" s="184">
        <f ca="1">IFERROR(SLOPE(OFFSET(Q$16,MAX($B$16:$B$509)-35,0,36,1),OFFSET($K$16,MAX($B$16:$B$509)-35,0,36,1)),"N/A")</f>
        <v>0.96865111693992156</v>
      </c>
      <c r="T8" s="184">
        <f ca="1">IFERROR(INTERCEPT(OFFSET(Q$16,MAX($B$16:$B$509)-35,0,36,1),OFFSET($K$16,MAX($B$16:$B$509)-35,0,36,1))*12,"N/A")</f>
        <v>-2.8524119368326959</v>
      </c>
      <c r="U8" s="184">
        <f ca="1">IFERROR(STDEVP(OFFSET(Q$16,MAX($B$16:$B$509)-35,0,36,1))*SQRT(12),"N/A")</f>
        <v>19.316941466195924</v>
      </c>
      <c r="V8" s="186"/>
    </row>
    <row r="9" spans="1:27" x14ac:dyDescent="0.25">
      <c r="C9" s="7" t="s">
        <v>49</v>
      </c>
      <c r="D9" s="16">
        <f t="array" aca="1" ref="D9" ca="1">IFERROR((GEOMEAN(1+OFFSET(D$16,MAX($B$16:$B$509)-47,0,48,1)/100)^12-1)*100,"N/A")</f>
        <v>4.8333930649174572</v>
      </c>
      <c r="E9" s="36">
        <f t="shared" ca="1" si="0"/>
        <v>0.84242607591942242</v>
      </c>
      <c r="F9" s="16">
        <f ca="1">IFERROR(SLOPE(OFFSET(D$16,MAX($B$16:$B$509)-47,0,48,1),OFFSET($K$16,MAX($B$16:$B$509)-47,0,48,1)),"N/A")</f>
        <v>0.92475482471323278</v>
      </c>
      <c r="G9" s="16">
        <f ca="1">IFERROR(INTERCEPT(OFFSET(D$16,MAX($B$16:$B$509)-47,0,48,1),OFFSET($K$16,MAX($B$16:$B$509)-47,0,48,1))*12,"N/A")</f>
        <v>1.0548787968929716</v>
      </c>
      <c r="H9" s="16">
        <f ca="1">IFERROR(STDEVP(OFFSET(D$16,MAX($B$16:$B$509)-47,0,48,1))*SQRT(12),"N/A")</f>
        <v>20.405079036414136</v>
      </c>
      <c r="I9" s="39"/>
      <c r="J9" s="7" t="s">
        <v>49</v>
      </c>
      <c r="K9" s="16">
        <f t="array" aca="1" ref="K9" ca="1">IFERROR((GEOMEAN(1+OFFSET(K$16,MAX($B$16:$B$509)-47,0,48,1)/100)^12-1)*100,"N/A")</f>
        <v>3.9909669889980348</v>
      </c>
      <c r="L9" s="16">
        <f ca="1">IFERROR(SLOPE(OFFSET(K$16,MAX($B$16:$B$509)-47,0,48,1),OFFSET($K$16,MAX($B$16:$B$509)-47,0,48,1)),"N/A")</f>
        <v>1</v>
      </c>
      <c r="M9" s="16">
        <f ca="1">IFERROR(STDEVP(OFFSET(K$16,MAX($B$16:$B$509)-47,0,48,1))*SQRT(12),"N/A")</f>
        <v>21.408101586603664</v>
      </c>
      <c r="N9" s="16"/>
      <c r="O9" s="41"/>
      <c r="P9" s="7" t="s">
        <v>49</v>
      </c>
      <c r="Q9" s="16">
        <f t="array" aca="1" ref="Q9" ca="1">IFERROR((GEOMEAN(1+OFFSET(Q$16,MAX($B$16:$B$509)-47,0,48,1)/100)^12-1)*100,"N/A")</f>
        <v>2.861439134685817</v>
      </c>
      <c r="R9" s="36">
        <f t="shared" ca="1" si="1"/>
        <v>-1.1295278543122178</v>
      </c>
      <c r="S9" s="16">
        <f ca="1">IFERROR(SLOPE(OFFSET(Q$16,MAX($B$16:$B$509)-47,0,48,1),OFFSET($K$16,MAX($B$16:$B$509)-47,0,48,1)),"N/A")</f>
        <v>0.96532989552704962</v>
      </c>
      <c r="T9" s="16">
        <f ca="1">IFERROR(INTERCEPT(OFFSET(Q$16,MAX($B$16:$B$509)-47,0,48,1),OFFSET($K$16,MAX($B$16:$B$509)-47,0,48,1))*12,"N/A")</f>
        <v>-0.97556715256393201</v>
      </c>
      <c r="U9" s="16">
        <f ca="1">IFERROR(STDEVP(OFFSET(Q$16,MAX($B$16:$B$509)-47,0,48,1))*SQRT(12),"N/A")</f>
        <v>21.029486655019145</v>
      </c>
      <c r="V9" s="41"/>
    </row>
    <row r="10" spans="1:27" x14ac:dyDescent="0.25">
      <c r="C10" s="7" t="s">
        <v>50</v>
      </c>
      <c r="D10" s="16">
        <f t="array" aca="1" ref="D10" ca="1">IFERROR((GEOMEAN(1+OFFSET(D$16,MAX($B$16:$B$509)-59,0,60,1)/100)^12-1)*100,"N/A")</f>
        <v>7.6507677456078893</v>
      </c>
      <c r="E10" s="36">
        <f t="shared" ca="1" si="0"/>
        <v>1.5855469649249887</v>
      </c>
      <c r="F10" s="16">
        <f ca="1">IFERROR(SLOPE(OFFSET(D$16,MAX($B$16:$B$509)-59,0,60,1),OFFSET($K$16,MAX($B$16:$B$509)-59,0,60,1)),"N/A")</f>
        <v>0.92673812850548154</v>
      </c>
      <c r="G10" s="16">
        <f ca="1">IFERROR(INTERCEPT(OFFSET(D$16,MAX($B$16:$B$509)-59,0,60,1),OFFSET($K$16,MAX($B$16:$B$509)-59,0,60,1))*12,"N/A")</f>
        <v>1.9044119455759758</v>
      </c>
      <c r="H10" s="16">
        <f ca="1">IFERROR(STDEVP(OFFSET(D$16,MAX($B$16:$B$509)-59,0,60,1))*SQRT(12),"N/A")</f>
        <v>19.015350232872738</v>
      </c>
      <c r="I10" s="39"/>
      <c r="J10" s="7" t="s">
        <v>50</v>
      </c>
      <c r="K10" s="16">
        <f t="array" aca="1" ref="K10" ca="1">IFERROR((GEOMEAN(1+OFFSET(K$16,MAX($B$16:$B$509)-59,0,60,1)/100)^12-1)*100,"N/A")</f>
        <v>6.0652207806829006</v>
      </c>
      <c r="L10" s="16">
        <f ca="1">IFERROR(SLOPE(OFFSET(K$16,MAX($B$16:$B$509)-59,0,60,1),OFFSET($K$16,MAX($B$16:$B$509)-59,0,60,1)),"N/A")</f>
        <v>1</v>
      </c>
      <c r="M10" s="16">
        <f ca="1">IFERROR(STDEVP(OFFSET(K$16,MAX($B$16:$B$509)-59,0,60,1))*SQRT(12),"N/A")</f>
        <v>19.80424691772906</v>
      </c>
      <c r="N10" s="16"/>
      <c r="O10" s="41"/>
      <c r="P10" s="7" t="s">
        <v>50</v>
      </c>
      <c r="Q10" s="16">
        <f t="array" aca="1" ref="Q10" ca="1">IFERROR((GEOMEAN(1+OFFSET(Q$16,MAX($B$16:$B$509)-59,0,60,1)/100)^12-1)*100,"N/A")</f>
        <v>7.2469524830898635</v>
      </c>
      <c r="R10" s="36">
        <f t="shared" ca="1" si="1"/>
        <v>1.1817317024069629</v>
      </c>
      <c r="S10" s="16">
        <f ca="1">IFERROR(SLOPE(OFFSET(Q$16,MAX($B$16:$B$509)-59,0,60,1),OFFSET($K$16,MAX($B$16:$B$509)-59,0,60,1)),"N/A")</f>
        <v>0.96555554951798706</v>
      </c>
      <c r="T10" s="16">
        <f ca="1">IFERROR(INTERCEPT(OFFSET(Q$16,MAX($B$16:$B$509)-59,0,60,1),OFFSET($K$16,MAX($B$16:$B$509)-59,0,60,1))*12,"N/A")</f>
        <v>1.3267170042454288</v>
      </c>
      <c r="U10" s="16">
        <f ca="1">IFERROR(STDEVP(OFFSET(Q$16,MAX($B$16:$B$509)-59,0,60,1))*SQRT(12),"N/A")</f>
        <v>19.570724484662918</v>
      </c>
      <c r="V10" s="41"/>
    </row>
    <row r="11" spans="1:27" x14ac:dyDescent="0.25">
      <c r="C11" s="7" t="s">
        <v>51</v>
      </c>
      <c r="D11" s="16">
        <f t="array" aca="1" ref="D11" ca="1">IFERROR((GEOMEAN(1+OFFSET(D$16,MAX($B$16:$B$509)-119,0,120,1)/100)^12-1)*100,"N/A")</f>
        <v>9.8888881069819856</v>
      </c>
      <c r="E11" s="36">
        <f t="shared" ca="1" si="0"/>
        <v>0.2983439962567882</v>
      </c>
      <c r="F11" s="16">
        <f ca="1">IFERROR(SLOPE(OFFSET(D$16,MAX($B$16:$B$509)-119,0,120,1),OFFSET($K$16,MAX($B$16:$B$509)-119,0,120,1)),"N/A")</f>
        <v>0.96577563381193787</v>
      </c>
      <c r="G11" s="16">
        <f ca="1">IFERROR(INTERCEPT(OFFSET(D$16,MAX($B$16:$B$509)-119,0,120,1),OFFSET($K$16,MAX($B$16:$B$509)-119,0,120,1))*12,"N/A")</f>
        <v>0.6965825398529164</v>
      </c>
      <c r="H11" s="16">
        <f ca="1">IFERROR(STDEVP(OFFSET(D$16,MAX($B$16:$B$509)-119,0,120,1))*SQRT(12),"N/A")</f>
        <v>20.750694360497061</v>
      </c>
      <c r="I11" s="39"/>
      <c r="J11" s="7" t="s">
        <v>51</v>
      </c>
      <c r="K11" s="16">
        <f t="array" aca="1" ref="K11" ca="1">IFERROR((GEOMEAN(1+OFFSET(K$16,MAX($B$16:$B$509)-119,0,120,1)/100)^12-1)*100,"N/A")</f>
        <v>9.5905441107251974</v>
      </c>
      <c r="L11" s="16">
        <f ca="1">IFERROR(SLOPE(OFFSET(K$16,MAX($B$16:$B$509)-119,0,120,1),OFFSET($K$16,MAX($B$16:$B$509)-119,0,120,1)),"N/A")</f>
        <v>1</v>
      </c>
      <c r="M11" s="16">
        <f ca="1">IFERROR(STDEVP(OFFSET(K$16,MAX($B$16:$B$509)-119,0,120,1))*SQRT(12),"N/A")</f>
        <v>20.61927551763797</v>
      </c>
      <c r="N11" s="16"/>
      <c r="O11" s="41"/>
      <c r="P11" s="7" t="s">
        <v>51</v>
      </c>
      <c r="Q11" s="16">
        <f t="array" aca="1" ref="Q11" ca="1">IFERROR((GEOMEAN(1+OFFSET(Q$16,MAX($B$16:$B$509)-119,0,120,1)/100)^12-1)*100,"N/A")</f>
        <v>9.7513181282001593</v>
      </c>
      <c r="R11" s="36">
        <f t="shared" ca="1" si="1"/>
        <v>0.16077401747496189</v>
      </c>
      <c r="S11" s="16">
        <f ca="1">IFERROR(SLOPE(OFFSET(Q$16,MAX($B$16:$B$509)-119,0,120,1),OFFSET($K$16,MAX($B$16:$B$509)-119,0,120,1)),"N/A")</f>
        <v>0.98313641983892464</v>
      </c>
      <c r="T11" s="16">
        <f ca="1">IFERROR(INTERCEPT(OFFSET(Q$16,MAX($B$16:$B$509)-119,0,120,1),OFFSET($K$16,MAX($B$16:$B$509)-119,0,120,1))*12,"N/A")</f>
        <v>0.33400156700655437</v>
      </c>
      <c r="U11" s="16">
        <f ca="1">IFERROR(STDEVP(OFFSET(Q$16,MAX($B$16:$B$509)-119,0,120,1))*SQRT(12),"N/A")</f>
        <v>20.59725525047153</v>
      </c>
      <c r="V11" s="41"/>
    </row>
    <row r="12" spans="1:27" x14ac:dyDescent="0.25">
      <c r="C12" s="7" t="s">
        <v>52</v>
      </c>
      <c r="D12" s="16" cm="1">
        <f t="array" aca="1" ref="D12" ca="1">IFERROR((GEOMEAN(1+OFFSET(D$16,1,0,MAX($B$16:$B$509),1)/100)^12-1)*100,"N/A")</f>
        <v>10.418534256714551</v>
      </c>
      <c r="E12" s="36">
        <f t="shared" ca="1" si="0"/>
        <v>2.0334576736644507</v>
      </c>
      <c r="F12" s="16">
        <f ca="1">IFERROR(SLOPE(OFFSET(D$16,1,0,MAX($B$16:$B$509),1),OFFSET($K$16,1,0,MAX($B$16:$B$509),1)),"N/A")</f>
        <v>0.9874995647550836</v>
      </c>
      <c r="G12" s="16">
        <f ca="1">IFERROR(INTERCEPT(OFFSET(D$16,1,0,MAX($B$16:$B$509),1),OFFSET($K$16,1,0,MAX($B$16:$B$509),1))*12,"N/A")</f>
        <v>2.1636738455757571</v>
      </c>
      <c r="H12" s="16">
        <f ca="1">IFERROR(STDEVP(OFFSET(D$16,1,0,MAX($B$16:$B$509),1))*SQRT(12),"N/A")</f>
        <v>21.073906147953416</v>
      </c>
      <c r="I12" s="39"/>
      <c r="J12" s="7" t="s">
        <v>53</v>
      </c>
      <c r="K12" s="16" cm="1">
        <f t="array" aca="1" ref="K12" ca="1">IFERROR((GEOMEAN(1+OFFSET(K$16,1,0,MAX($B$16:$B$509),1)/100)^12-1)*100,"N/A")</f>
        <v>8.3850765830501004</v>
      </c>
      <c r="L12" s="16">
        <f ca="1">IFERROR(SLOPE(OFFSET(K$16,1,0,MAX($B$16:$B$509),1),OFFSET($K$16,1,0,MAX($B$16:$B$509),1)),"N/A")</f>
        <v>1</v>
      </c>
      <c r="M12" s="16">
        <f ca="1">IFERROR(STDEVP(OFFSET(K$16,1,0,MAX($B$16:$B$509),1))*SQRT(12),"N/A")</f>
        <v>20.301390048058504</v>
      </c>
      <c r="N12" s="16"/>
      <c r="O12" s="41"/>
      <c r="P12" s="7" t="s">
        <v>52</v>
      </c>
      <c r="Q12" s="16">
        <f t="array" aca="1" ref="Q12" ca="1">IFERROR((GEOMEAN(1+OFFSET(Q$16,1,0,MAX($B$16:$B$509),1)/100)^12-1)*100,"N/A")</f>
        <v>9.7767469065904056</v>
      </c>
      <c r="R12" s="36">
        <f t="shared" ca="1" si="1"/>
        <v>1.3916703235403052</v>
      </c>
      <c r="S12" s="16">
        <f ca="1">IFERROR(SLOPE(OFFSET(Q$16,1,0,MAX($B$16:$B$509),1),OFFSET($K$16,1,0,MAX($B$16:$B$509),1)),"N/A")</f>
        <v>0.9456546008461103</v>
      </c>
      <c r="T12" s="16">
        <f ca="1">IFERROR(INTERCEPT(OFFSET(Q$16,1,0,MAX($B$16:$B$509),1),OFFSET($K$16,1,0,MAX($B$16:$B$509),1))*12,"N/A")</f>
        <v>1.6836341561632109</v>
      </c>
      <c r="U12" s="16">
        <f ca="1">IFERROR(STDEVP(OFFSET(Q$16,1,0,MAX($B$16:$B$509),1))*SQRT(12),"N/A")</f>
        <v>19.537523109148015</v>
      </c>
      <c r="V12" s="41"/>
    </row>
    <row r="13" spans="1:27" x14ac:dyDescent="0.25">
      <c r="C13" s="7"/>
      <c r="D13" s="33"/>
      <c r="E13" s="42"/>
      <c r="F13" s="33"/>
      <c r="G13" s="33"/>
      <c r="H13" s="33"/>
      <c r="I13" s="39"/>
      <c r="J13" s="7"/>
      <c r="K13" s="16"/>
      <c r="L13" s="16"/>
      <c r="M13" s="16"/>
      <c r="N13" s="16"/>
      <c r="O13" s="41"/>
      <c r="P13" s="7"/>
      <c r="Q13" s="16"/>
      <c r="R13" s="36"/>
      <c r="S13" s="16"/>
      <c r="T13" s="16"/>
      <c r="U13" s="16"/>
      <c r="V13" s="41"/>
    </row>
    <row r="14" spans="1:27" x14ac:dyDescent="0.25">
      <c r="A14" s="7" t="s">
        <v>340</v>
      </c>
      <c r="C14" s="17"/>
      <c r="D14" s="16"/>
      <c r="E14" s="18"/>
      <c r="F14" s="16"/>
      <c r="I14" s="39"/>
      <c r="J14" s="7"/>
      <c r="K14" s="16"/>
      <c r="L14" s="16"/>
      <c r="M14" s="16"/>
      <c r="N14" s="10"/>
      <c r="O14" s="39"/>
      <c r="P14" s="7"/>
      <c r="Q14" s="16"/>
      <c r="R14" s="16"/>
      <c r="S14" s="18"/>
      <c r="T14" s="10"/>
      <c r="U14" s="10"/>
      <c r="V14" s="39"/>
    </row>
    <row r="15" spans="1:27" s="23" customFormat="1" x14ac:dyDescent="0.25">
      <c r="A15" s="13" t="s">
        <v>69</v>
      </c>
      <c r="B15" s="23" t="s">
        <v>70</v>
      </c>
      <c r="C15" s="13" t="s">
        <v>71</v>
      </c>
      <c r="D15" s="33" t="s">
        <v>72</v>
      </c>
      <c r="E15" s="13" t="s">
        <v>73</v>
      </c>
      <c r="F15" s="13" t="s">
        <v>74</v>
      </c>
      <c r="G15" s="13" t="s">
        <v>75</v>
      </c>
      <c r="H15" s="33"/>
      <c r="I15" s="44"/>
      <c r="J15" s="13" t="s">
        <v>69</v>
      </c>
      <c r="K15" s="33" t="s">
        <v>41</v>
      </c>
      <c r="L15" s="13" t="s">
        <v>73</v>
      </c>
      <c r="M15" s="13" t="s">
        <v>74</v>
      </c>
      <c r="N15" s="13" t="s">
        <v>75</v>
      </c>
      <c r="O15" s="44"/>
      <c r="P15" s="13" t="s">
        <v>69</v>
      </c>
      <c r="Q15" s="33" t="s">
        <v>41</v>
      </c>
      <c r="R15" s="13" t="s">
        <v>73</v>
      </c>
      <c r="S15" s="13" t="s">
        <v>74</v>
      </c>
      <c r="T15" s="13" t="s">
        <v>75</v>
      </c>
      <c r="U15" s="33"/>
      <c r="V15" s="44"/>
      <c r="W15"/>
      <c r="X15"/>
      <c r="Y15"/>
      <c r="Z15"/>
      <c r="AA15"/>
    </row>
    <row r="16" spans="1:27" x14ac:dyDescent="0.25">
      <c r="A16" s="20">
        <v>36433</v>
      </c>
      <c r="B16" s="23">
        <v>0</v>
      </c>
      <c r="C16" s="17"/>
      <c r="D16" s="16"/>
      <c r="E16" s="46">
        <v>1000000</v>
      </c>
      <c r="F16" s="8"/>
      <c r="I16" s="39"/>
      <c r="J16" s="20">
        <f>$A16</f>
        <v>36433</v>
      </c>
      <c r="K16" s="16"/>
      <c r="L16" s="46">
        <v>1000000</v>
      </c>
      <c r="M16" s="8"/>
      <c r="O16" s="39"/>
      <c r="P16" s="20">
        <f>$A16</f>
        <v>36433</v>
      </c>
      <c r="Q16" s="16"/>
      <c r="R16" s="46">
        <v>1000000</v>
      </c>
      <c r="S16" s="8"/>
      <c r="V16" s="39"/>
    </row>
    <row r="17" spans="1:22" x14ac:dyDescent="0.25">
      <c r="A17" s="20">
        <v>36464</v>
      </c>
      <c r="B17" s="24">
        <f>IF(A17&gt;A16,1+B16,"-")</f>
        <v>1</v>
      </c>
      <c r="C17" s="96" t="s">
        <v>340</v>
      </c>
      <c r="D17" s="27">
        <v>3.25</v>
      </c>
      <c r="E17" s="46">
        <f>E16*D17/100+E16</f>
        <v>1032500</v>
      </c>
      <c r="F17" s="10"/>
      <c r="I17" s="39"/>
      <c r="J17" s="20">
        <f t="shared" ref="J17:J83" si="2">$A17</f>
        <v>36464</v>
      </c>
      <c r="K17" s="27">
        <f>'BOGIX (Gross)'!K17</f>
        <v>1.3017181039249341</v>
      </c>
      <c r="L17" s="46">
        <f>L16*K17/100+L16</f>
        <v>1013017.1810392493</v>
      </c>
      <c r="M17" s="10"/>
      <c r="O17" s="39"/>
      <c r="P17" s="20">
        <f t="shared" ref="P17:P83" si="3">$A17</f>
        <v>36464</v>
      </c>
      <c r="Q17" s="27">
        <f>'BOGIX (Gross)'!Q17</f>
        <v>0.70884230000000004</v>
      </c>
      <c r="R17" s="46">
        <f>R16*Q17/100+R16</f>
        <v>1007088.423</v>
      </c>
      <c r="S17" s="10"/>
      <c r="V17" s="39"/>
    </row>
    <row r="18" spans="1:22" x14ac:dyDescent="0.25">
      <c r="A18" s="20">
        <v>36494</v>
      </c>
      <c r="B18" s="24">
        <f t="shared" ref="B18:B81" si="4">IF(A18&gt;A17,1+B17,"-")</f>
        <v>2</v>
      </c>
      <c r="C18" s="96" t="s">
        <v>340</v>
      </c>
      <c r="D18" s="27">
        <v>9.9273609999999994</v>
      </c>
      <c r="E18" s="46">
        <f t="shared" ref="E18:E81" si="5">E17*D18/100+E17</f>
        <v>1135000.002325</v>
      </c>
      <c r="F18" s="10"/>
      <c r="I18" s="39"/>
      <c r="J18" s="20">
        <f t="shared" si="2"/>
        <v>36494</v>
      </c>
      <c r="K18" s="27">
        <f>'BOGIX (Gross)'!K18</f>
        <v>5.9685949999999997</v>
      </c>
      <c r="L18" s="46">
        <f t="shared" ref="L18:L81" si="6">L17*K18/100+L17</f>
        <v>1073480.0738558988</v>
      </c>
      <c r="M18" s="10"/>
      <c r="O18" s="39"/>
      <c r="P18" s="20">
        <f t="shared" si="3"/>
        <v>36494</v>
      </c>
      <c r="Q18" s="27">
        <f>'BOGIX (Gross)'!Q18</f>
        <v>4.2323310000000003</v>
      </c>
      <c r="R18" s="46">
        <f t="shared" ref="R18:R81" si="7">R17*Q18/100+R17</f>
        <v>1049711.73852404</v>
      </c>
      <c r="S18" s="10"/>
      <c r="V18" s="39"/>
    </row>
    <row r="19" spans="1:22" x14ac:dyDescent="0.25">
      <c r="A19" s="20">
        <v>36525</v>
      </c>
      <c r="B19" s="24">
        <f t="shared" si="4"/>
        <v>3</v>
      </c>
      <c r="C19" s="96" t="s">
        <v>340</v>
      </c>
      <c r="D19" s="27">
        <v>14.684290000000001</v>
      </c>
      <c r="E19" s="46">
        <f t="shared" si="5"/>
        <v>1301666.6941664098</v>
      </c>
      <c r="F19" s="10"/>
      <c r="I19" s="39"/>
      <c r="J19" s="20">
        <f t="shared" si="2"/>
        <v>36525</v>
      </c>
      <c r="K19" s="27">
        <f>'BOGIX (Gross)'!K19</f>
        <v>11.309150000000001</v>
      </c>
      <c r="L19" s="46">
        <f t="shared" si="6"/>
        <v>1194881.5456283733</v>
      </c>
      <c r="M19" s="10"/>
      <c r="O19" s="39"/>
      <c r="P19" s="20">
        <f t="shared" si="3"/>
        <v>36525</v>
      </c>
      <c r="Q19" s="27">
        <f>'BOGIX (Gross)'!Q19</f>
        <v>8.1676559999999991</v>
      </c>
      <c r="R19" s="46">
        <f t="shared" si="7"/>
        <v>1135448.5823183029</v>
      </c>
      <c r="S19" s="10"/>
      <c r="V19" s="39"/>
    </row>
    <row r="20" spans="1:22" x14ac:dyDescent="0.25">
      <c r="A20" s="20">
        <v>36556</v>
      </c>
      <c r="B20" s="24">
        <f t="shared" si="4"/>
        <v>4</v>
      </c>
      <c r="C20" s="96" t="s">
        <v>340</v>
      </c>
      <c r="D20" s="27">
        <v>-3.3290649999999999</v>
      </c>
      <c r="E20" s="46">
        <f t="shared" si="5"/>
        <v>1258333.3638342589</v>
      </c>
      <c r="F20" s="10"/>
      <c r="I20" s="39"/>
      <c r="J20" s="20">
        <f t="shared" si="2"/>
        <v>36556</v>
      </c>
      <c r="K20" s="27">
        <f>'BOGIX (Gross)'!K20</f>
        <v>-1.6083909999999999</v>
      </c>
      <c r="L20" s="46">
        <f t="shared" si="6"/>
        <v>1175663.1783878256</v>
      </c>
      <c r="M20" s="10"/>
      <c r="O20" s="39"/>
      <c r="P20" s="20">
        <f t="shared" si="3"/>
        <v>36556</v>
      </c>
      <c r="Q20" s="27">
        <f>'BOGIX (Gross)'!Q20</f>
        <v>-3.0988709999999999</v>
      </c>
      <c r="R20" s="46">
        <f t="shared" si="7"/>
        <v>1100262.49548093</v>
      </c>
      <c r="S20" s="10"/>
      <c r="V20" s="39"/>
    </row>
    <row r="21" spans="1:22" x14ac:dyDescent="0.25">
      <c r="A21" s="20">
        <v>36585</v>
      </c>
      <c r="B21" s="24">
        <f t="shared" si="4"/>
        <v>5</v>
      </c>
      <c r="C21" s="96" t="s">
        <v>340</v>
      </c>
      <c r="D21" s="27">
        <v>17.81457</v>
      </c>
      <c r="E21" s="46">
        <f t="shared" si="5"/>
        <v>1482500.0417678675</v>
      </c>
      <c r="F21" s="8"/>
      <c r="I21" s="39"/>
      <c r="J21" s="20">
        <f t="shared" si="2"/>
        <v>36585</v>
      </c>
      <c r="K21" s="27">
        <f>'BOGIX (Gross)'!K21</f>
        <v>16.512250000000002</v>
      </c>
      <c r="L21" s="46">
        <f t="shared" si="6"/>
        <v>1369791.6215611694</v>
      </c>
      <c r="M21" s="8"/>
      <c r="O21" s="39"/>
      <c r="P21" s="20">
        <f t="shared" si="3"/>
        <v>36585</v>
      </c>
      <c r="Q21" s="27">
        <f>'BOGIX (Gross)'!Q21</f>
        <v>13.39167</v>
      </c>
      <c r="R21" s="46">
        <f t="shared" si="7"/>
        <v>1247606.018009501</v>
      </c>
      <c r="S21" s="8"/>
      <c r="V21" s="39"/>
    </row>
    <row r="22" spans="1:22" x14ac:dyDescent="0.25">
      <c r="A22" s="20">
        <v>36616</v>
      </c>
      <c r="B22" s="24">
        <f t="shared" si="4"/>
        <v>6</v>
      </c>
      <c r="C22" s="96" t="s">
        <v>340</v>
      </c>
      <c r="D22" s="27">
        <v>1.854975</v>
      </c>
      <c r="E22" s="46">
        <f t="shared" si="5"/>
        <v>1510000.0469176511</v>
      </c>
      <c r="F22" s="8"/>
      <c r="G22" s="5">
        <f>(E22/E19-1)*100</f>
        <v>16.00512279256392</v>
      </c>
      <c r="H22" s="5"/>
      <c r="I22" s="39"/>
      <c r="J22" s="20">
        <f t="shared" si="2"/>
        <v>36616</v>
      </c>
      <c r="K22" s="27">
        <f>'BOGIX (Gross)'!K22</f>
        <v>-6.5932560000000002</v>
      </c>
      <c r="L22" s="46">
        <f t="shared" si="6"/>
        <v>1279477.7532850902</v>
      </c>
      <c r="M22" s="8"/>
      <c r="N22" s="5">
        <f>(L22/L19-1)*100</f>
        <v>7.0798823503654296</v>
      </c>
      <c r="O22" s="39"/>
      <c r="P22" s="20">
        <f t="shared" si="3"/>
        <v>36616</v>
      </c>
      <c r="Q22" s="27">
        <f>'BOGIX (Gross)'!Q22</f>
        <v>-3.696609</v>
      </c>
      <c r="R22" s="46">
        <f t="shared" si="7"/>
        <v>1201486.9016632203</v>
      </c>
      <c r="S22" s="8"/>
      <c r="T22" s="5">
        <f>(R22/R19-1)*100</f>
        <v>5.8160554668255982</v>
      </c>
      <c r="U22" s="5"/>
      <c r="V22" s="39"/>
    </row>
    <row r="23" spans="1:22" x14ac:dyDescent="0.25">
      <c r="A23" s="20">
        <v>36646</v>
      </c>
      <c r="B23" s="24">
        <f t="shared" si="4"/>
        <v>7</v>
      </c>
      <c r="C23" s="96" t="s">
        <v>340</v>
      </c>
      <c r="D23" s="27">
        <v>-2.7041940000000002</v>
      </c>
      <c r="E23" s="46">
        <f t="shared" si="5"/>
        <v>1469166.7162489067</v>
      </c>
      <c r="F23" s="8"/>
      <c r="I23" s="39"/>
      <c r="J23" s="20">
        <f t="shared" si="2"/>
        <v>36646</v>
      </c>
      <c r="K23" s="27">
        <f>'BOGIX (Gross)'!K23</f>
        <v>-6.0134879999999997</v>
      </c>
      <c r="L23" s="46">
        <f t="shared" si="6"/>
        <v>1202536.5121286218</v>
      </c>
      <c r="M23" s="8"/>
      <c r="O23" s="39"/>
      <c r="P23" s="20">
        <f t="shared" si="3"/>
        <v>36646</v>
      </c>
      <c r="Q23" s="27">
        <f>'BOGIX (Gross)'!Q23</f>
        <v>-1.713997</v>
      </c>
      <c r="R23" s="46">
        <f t="shared" si="7"/>
        <v>1180893.4522133197</v>
      </c>
      <c r="S23" s="8"/>
      <c r="V23" s="39"/>
    </row>
    <row r="24" spans="1:22" x14ac:dyDescent="0.25">
      <c r="A24" s="20">
        <v>36677</v>
      </c>
      <c r="B24" s="24">
        <f t="shared" si="4"/>
        <v>8</v>
      </c>
      <c r="C24" s="96" t="s">
        <v>340</v>
      </c>
      <c r="D24" s="27">
        <v>-2.9495179999999999</v>
      </c>
      <c r="E24" s="46">
        <f t="shared" si="5"/>
        <v>1425833.3795031363</v>
      </c>
      <c r="F24" s="8"/>
      <c r="I24" s="39"/>
      <c r="J24" s="20">
        <f t="shared" si="2"/>
        <v>36677</v>
      </c>
      <c r="K24" s="27">
        <f>'BOGIX (Gross)'!K24</f>
        <v>-5.8288599999999997</v>
      </c>
      <c r="L24" s="46">
        <f t="shared" si="6"/>
        <v>1132442.3423877615</v>
      </c>
      <c r="M24" s="8"/>
      <c r="O24" s="39"/>
      <c r="P24" s="20">
        <f t="shared" si="3"/>
        <v>36677</v>
      </c>
      <c r="Q24" s="27">
        <f>'BOGIX (Gross)'!Q24</f>
        <v>-2.9643359999999999</v>
      </c>
      <c r="R24" s="46">
        <f t="shared" si="7"/>
        <v>1145887.8024877175</v>
      </c>
      <c r="S24" s="8"/>
      <c r="V24" s="39"/>
    </row>
    <row r="25" spans="1:22" x14ac:dyDescent="0.25">
      <c r="A25" s="20">
        <v>36707</v>
      </c>
      <c r="B25" s="24">
        <f t="shared" si="4"/>
        <v>9</v>
      </c>
      <c r="C25" s="96" t="s">
        <v>340</v>
      </c>
      <c r="D25" s="27">
        <v>11.74752</v>
      </c>
      <c r="E25" s="46">
        <f t="shared" si="5"/>
        <v>1593333.440926943</v>
      </c>
      <c r="F25" s="8"/>
      <c r="G25" s="5">
        <f>(E25/E22-1)*100</f>
        <v>5.5187676437096433</v>
      </c>
      <c r="H25" s="5"/>
      <c r="I25" s="39"/>
      <c r="J25" s="20">
        <f t="shared" si="2"/>
        <v>36707</v>
      </c>
      <c r="K25" s="27">
        <f>'BOGIX (Gross)'!K25</f>
        <v>8.6743419999999993</v>
      </c>
      <c r="L25" s="46">
        <f t="shared" si="6"/>
        <v>1230674.2641192868</v>
      </c>
      <c r="M25" s="8"/>
      <c r="N25" s="5">
        <f>(L25/L22-1)*100</f>
        <v>-3.8143288572622169</v>
      </c>
      <c r="O25" s="39"/>
      <c r="P25" s="20">
        <f t="shared" si="3"/>
        <v>36707</v>
      </c>
      <c r="Q25" s="27">
        <f>'BOGIX (Gross)'!Q25</f>
        <v>5.9182430000000004</v>
      </c>
      <c r="R25" s="46">
        <f t="shared" si="7"/>
        <v>1213704.2271463007</v>
      </c>
      <c r="S25" s="8"/>
      <c r="T25" s="5">
        <f>(R25/R22-1)*100</f>
        <v>1.0168504930156086</v>
      </c>
      <c r="U25" s="5"/>
      <c r="V25" s="39"/>
    </row>
    <row r="26" spans="1:22" x14ac:dyDescent="0.25">
      <c r="A26" s="20">
        <v>36738</v>
      </c>
      <c r="B26" s="24">
        <f t="shared" si="4"/>
        <v>10</v>
      </c>
      <c r="C26" s="96" t="s">
        <v>340</v>
      </c>
      <c r="D26" s="27">
        <v>-1.0983259999999999</v>
      </c>
      <c r="E26" s="46">
        <f t="shared" si="5"/>
        <v>1575833.4454785478</v>
      </c>
      <c r="F26" s="8"/>
      <c r="I26" s="39"/>
      <c r="J26" s="20">
        <f t="shared" si="2"/>
        <v>36738</v>
      </c>
      <c r="K26" s="27">
        <f>'BOGIX (Gross)'!K26</f>
        <v>-3.217371</v>
      </c>
      <c r="L26" s="46">
        <f t="shared" si="6"/>
        <v>1191078.9072410495</v>
      </c>
      <c r="M26" s="8"/>
      <c r="O26" s="39"/>
      <c r="P26" s="20">
        <f t="shared" si="3"/>
        <v>36738</v>
      </c>
      <c r="Q26" s="27">
        <f>'BOGIX (Gross)'!Q26</f>
        <v>-2.4599039999999999</v>
      </c>
      <c r="R26" s="46">
        <f t="shared" si="7"/>
        <v>1183848.2683145597</v>
      </c>
      <c r="S26" s="8"/>
      <c r="V26" s="39"/>
    </row>
    <row r="27" spans="1:22" x14ac:dyDescent="0.25">
      <c r="A27" s="20">
        <v>36769</v>
      </c>
      <c r="B27" s="24">
        <f t="shared" si="4"/>
        <v>11</v>
      </c>
      <c r="C27" s="96" t="s">
        <v>340</v>
      </c>
      <c r="D27" s="27">
        <v>10.576420000000001</v>
      </c>
      <c r="E27" s="46">
        <f t="shared" si="5"/>
        <v>1742500.20917283</v>
      </c>
      <c r="F27" s="8"/>
      <c r="I27" s="39"/>
      <c r="J27" s="20">
        <f t="shared" si="2"/>
        <v>36769</v>
      </c>
      <c r="K27" s="27">
        <f>'BOGIX (Gross)'!K27</f>
        <v>7.6089180000000001</v>
      </c>
      <c r="L27" s="46">
        <f t="shared" si="6"/>
        <v>1281707.1246083169</v>
      </c>
      <c r="M27" s="8"/>
      <c r="O27" s="39"/>
      <c r="P27" s="20">
        <f t="shared" si="3"/>
        <v>36769</v>
      </c>
      <c r="Q27" s="27">
        <f>'BOGIX (Gross)'!Q27</f>
        <v>8.8652270000000009</v>
      </c>
      <c r="R27" s="46">
        <f t="shared" si="7"/>
        <v>1288799.1046362144</v>
      </c>
      <c r="S27" s="8"/>
      <c r="V27" s="39"/>
    </row>
    <row r="28" spans="1:22" x14ac:dyDescent="0.25">
      <c r="A28" s="20">
        <v>36799</v>
      </c>
      <c r="B28" s="24">
        <f t="shared" si="4"/>
        <v>12</v>
      </c>
      <c r="C28" s="96" t="s">
        <v>340</v>
      </c>
      <c r="D28" s="27">
        <v>-1.7694879999999999</v>
      </c>
      <c r="E28" s="46">
        <f t="shared" si="5"/>
        <v>1711666.877071542</v>
      </c>
      <c r="F28" s="8"/>
      <c r="G28" s="5">
        <f>(E28/E25-1)*100</f>
        <v>7.4267841937565082</v>
      </c>
      <c r="H28" s="5"/>
      <c r="I28" s="39"/>
      <c r="J28" s="20">
        <f t="shared" si="2"/>
        <v>36799</v>
      </c>
      <c r="K28" s="27">
        <f>'BOGIX (Gross)'!K28</f>
        <v>-2.9409990000000001</v>
      </c>
      <c r="L28" s="46">
        <f t="shared" si="6"/>
        <v>1244012.1308906577</v>
      </c>
      <c r="M28" s="8"/>
      <c r="N28" s="5">
        <f>(L28/L25-1)*100</f>
        <v>1.0837853004845188</v>
      </c>
      <c r="O28" s="39"/>
      <c r="P28" s="20">
        <f t="shared" si="3"/>
        <v>36799</v>
      </c>
      <c r="Q28" s="27">
        <f>'BOGIX (Gross)'!Q28</f>
        <v>-2.7224300000000001</v>
      </c>
      <c r="R28" s="46">
        <f t="shared" si="7"/>
        <v>1253712.4511718669</v>
      </c>
      <c r="S28" s="8"/>
      <c r="T28" s="5">
        <f>(R28/R25-1)*100</f>
        <v>3.2963734599190442</v>
      </c>
      <c r="U28" s="5"/>
      <c r="V28" s="39"/>
    </row>
    <row r="29" spans="1:22" x14ac:dyDescent="0.25">
      <c r="A29" s="20">
        <v>36830</v>
      </c>
      <c r="B29" s="24">
        <f t="shared" si="4"/>
        <v>13</v>
      </c>
      <c r="C29" s="96" t="s">
        <v>340</v>
      </c>
      <c r="D29" s="27">
        <v>-0.14605650000000001</v>
      </c>
      <c r="E29" s="46">
        <f t="shared" si="5"/>
        <v>1709166.8763392321</v>
      </c>
      <c r="F29" s="8"/>
      <c r="I29" s="39"/>
      <c r="J29" s="20">
        <f t="shared" si="2"/>
        <v>36830</v>
      </c>
      <c r="K29" s="27">
        <f>'BOGIX (Gross)'!K29</f>
        <v>-4.4646340000000002</v>
      </c>
      <c r="L29" s="46">
        <f t="shared" si="6"/>
        <v>1188471.5423307889</v>
      </c>
      <c r="M29" s="8"/>
      <c r="O29" s="39"/>
      <c r="P29" s="20">
        <f t="shared" si="3"/>
        <v>36830</v>
      </c>
      <c r="Q29" s="27">
        <f>'BOGIX (Gross)'!Q29</f>
        <v>0.62625810000000004</v>
      </c>
      <c r="R29" s="46">
        <f t="shared" si="7"/>
        <v>1261563.9269480393</v>
      </c>
      <c r="S29" s="8"/>
      <c r="V29" s="39"/>
    </row>
    <row r="30" spans="1:22" x14ac:dyDescent="0.25">
      <c r="A30" s="20">
        <v>36860</v>
      </c>
      <c r="B30" s="24">
        <f t="shared" si="4"/>
        <v>14</v>
      </c>
      <c r="C30" s="96" t="s">
        <v>340</v>
      </c>
      <c r="D30" s="27">
        <v>-10.94314</v>
      </c>
      <c r="E30" s="46">
        <f t="shared" si="5"/>
        <v>1522130.3522278031</v>
      </c>
      <c r="F30" s="8"/>
      <c r="I30" s="39"/>
      <c r="J30" s="20">
        <f t="shared" si="2"/>
        <v>36860</v>
      </c>
      <c r="K30" s="27">
        <f>'BOGIX (Gross)'!K30</f>
        <v>-10.265610000000001</v>
      </c>
      <c r="L30" s="46">
        <f t="shared" si="6"/>
        <v>1066467.6888341252</v>
      </c>
      <c r="M30" s="8"/>
      <c r="O30" s="39"/>
      <c r="P30" s="20">
        <f t="shared" si="3"/>
        <v>36860</v>
      </c>
      <c r="Q30" s="27">
        <f>'BOGIX (Gross)'!Q30</f>
        <v>-10.41089</v>
      </c>
      <c r="R30" s="46">
        <f t="shared" si="7"/>
        <v>1130223.8942337986</v>
      </c>
      <c r="S30" s="8"/>
      <c r="V30" s="39"/>
    </row>
    <row r="31" spans="1:22" x14ac:dyDescent="0.25">
      <c r="A31" s="20">
        <v>36891</v>
      </c>
      <c r="B31" s="24">
        <f t="shared" si="4"/>
        <v>15</v>
      </c>
      <c r="C31" s="96" t="s">
        <v>340</v>
      </c>
      <c r="D31" s="27">
        <v>8.4419260000000005</v>
      </c>
      <c r="E31" s="46">
        <f t="shared" si="5"/>
        <v>1650627.4701864135</v>
      </c>
      <c r="F31" s="11">
        <f>(E31-E19)/E19*100</f>
        <v>26.808765837208348</v>
      </c>
      <c r="G31" s="5">
        <f>(E31/E28-1)*100</f>
        <v>-3.5660798080967449</v>
      </c>
      <c r="H31" s="5"/>
      <c r="I31" s="39"/>
      <c r="J31" s="20">
        <f t="shared" si="2"/>
        <v>36891</v>
      </c>
      <c r="K31" s="27">
        <f>'BOGIX (Gross)'!K31</f>
        <v>8.5862309999999997</v>
      </c>
      <c r="L31" s="46">
        <f t="shared" si="6"/>
        <v>1158037.0681377845</v>
      </c>
      <c r="M31" s="11">
        <f>(L31-L19)/L19*100</f>
        <v>-3.0835255281487122</v>
      </c>
      <c r="N31" s="5">
        <f>(L31/L28-1)*100</f>
        <v>-6.911111284045024</v>
      </c>
      <c r="O31" s="39"/>
      <c r="P31" s="20">
        <f t="shared" si="3"/>
        <v>36891</v>
      </c>
      <c r="Q31" s="27">
        <f>'BOGIX (Gross)'!Q31</f>
        <v>12.319000000000001</v>
      </c>
      <c r="R31" s="46">
        <f t="shared" si="7"/>
        <v>1269456.1757644603</v>
      </c>
      <c r="S31" s="11">
        <f>(R31-R19)/R19*100</f>
        <v>11.802171893380439</v>
      </c>
      <c r="T31" s="5">
        <f>(R31/R28-1)*100</f>
        <v>1.2557683843593903</v>
      </c>
      <c r="U31" s="5"/>
      <c r="V31" s="39"/>
    </row>
    <row r="32" spans="1:22" x14ac:dyDescent="0.25">
      <c r="A32" s="20">
        <v>36922</v>
      </c>
      <c r="B32" s="24">
        <f t="shared" si="4"/>
        <v>16</v>
      </c>
      <c r="C32" s="96" t="s">
        <v>340</v>
      </c>
      <c r="D32" s="27">
        <v>2.0898639999999999</v>
      </c>
      <c r="E32" s="46">
        <f t="shared" si="5"/>
        <v>1685123.3394599501</v>
      </c>
      <c r="F32" s="10"/>
      <c r="I32" s="39"/>
      <c r="J32" s="20">
        <f t="shared" si="2"/>
        <v>36922</v>
      </c>
      <c r="K32" s="27">
        <f>'BOGIX (Gross)'!K32</f>
        <v>5.2033269999999998</v>
      </c>
      <c r="L32" s="46">
        <f t="shared" si="6"/>
        <v>1218293.5235742063</v>
      </c>
      <c r="M32" s="10"/>
      <c r="O32" s="39"/>
      <c r="P32" s="20">
        <f t="shared" si="3"/>
        <v>36922</v>
      </c>
      <c r="Q32" s="27">
        <f>'BOGIX (Gross)'!Q32</f>
        <v>4.2861710000000004</v>
      </c>
      <c r="R32" s="46">
        <f t="shared" si="7"/>
        <v>1323867.2382277858</v>
      </c>
      <c r="S32" s="10"/>
      <c r="V32" s="39"/>
    </row>
    <row r="33" spans="1:22" x14ac:dyDescent="0.25">
      <c r="A33" s="20">
        <v>36950</v>
      </c>
      <c r="B33" s="24">
        <f t="shared" si="4"/>
        <v>17</v>
      </c>
      <c r="C33" s="96" t="s">
        <v>340</v>
      </c>
      <c r="D33" s="27">
        <v>-5.9365410000000001</v>
      </c>
      <c r="E33" s="46">
        <f t="shared" si="5"/>
        <v>1585085.301512341</v>
      </c>
      <c r="F33" s="8"/>
      <c r="I33" s="39"/>
      <c r="J33" s="20">
        <f t="shared" si="2"/>
        <v>36950</v>
      </c>
      <c r="K33" s="27">
        <f>'BOGIX (Gross)'!K33</f>
        <v>-6.5631570000000004</v>
      </c>
      <c r="L33" s="46">
        <f t="shared" si="6"/>
        <v>1138335.006901199</v>
      </c>
      <c r="M33" s="8"/>
      <c r="O33" s="39"/>
      <c r="P33" s="20">
        <f t="shared" si="3"/>
        <v>36950</v>
      </c>
      <c r="Q33" s="27">
        <f>'BOGIX (Gross)'!Q33</f>
        <v>-6.1027750000000003</v>
      </c>
      <c r="R33" s="46">
        <f t="shared" si="7"/>
        <v>1243074.5993800301</v>
      </c>
      <c r="S33" s="8"/>
      <c r="V33" s="39"/>
    </row>
    <row r="34" spans="1:22" x14ac:dyDescent="0.25">
      <c r="A34" s="20">
        <v>36981</v>
      </c>
      <c r="B34" s="24">
        <f t="shared" si="4"/>
        <v>18</v>
      </c>
      <c r="C34" s="96" t="s">
        <v>340</v>
      </c>
      <c r="D34" s="27">
        <v>-4.8966269999999996</v>
      </c>
      <c r="E34" s="46">
        <f t="shared" si="5"/>
        <v>1507469.5866654564</v>
      </c>
      <c r="F34" s="8"/>
      <c r="G34" s="5">
        <f>(E34/E31-1)*100</f>
        <v>-8.6729371773262454</v>
      </c>
      <c r="H34" s="5"/>
      <c r="I34" s="39"/>
      <c r="J34" s="20">
        <f t="shared" si="2"/>
        <v>36981</v>
      </c>
      <c r="K34" s="27">
        <f>'BOGIX (Gross)'!K34</f>
        <v>-4.8920110000000001</v>
      </c>
      <c r="L34" s="46">
        <f t="shared" si="6"/>
        <v>1082647.5331467416</v>
      </c>
      <c r="M34" s="8"/>
      <c r="N34" s="5">
        <f>(L34/L31-1)*100</f>
        <v>-6.5101141461969991</v>
      </c>
      <c r="O34" s="39"/>
      <c r="P34" s="20">
        <f t="shared" si="3"/>
        <v>36981</v>
      </c>
      <c r="Q34" s="27">
        <f>'BOGIX (Gross)'!Q34</f>
        <v>-4.5858730000000003</v>
      </c>
      <c r="R34" s="46">
        <f t="shared" si="7"/>
        <v>1186068.7769572032</v>
      </c>
      <c r="S34" s="8"/>
      <c r="T34" s="5">
        <f>(R34/R31-1)*100</f>
        <v>-6.5687497055218707</v>
      </c>
      <c r="U34" s="5"/>
      <c r="V34" s="39"/>
    </row>
    <row r="35" spans="1:22" x14ac:dyDescent="0.25">
      <c r="A35" s="20">
        <v>37011</v>
      </c>
      <c r="B35" s="24">
        <f t="shared" si="4"/>
        <v>19</v>
      </c>
      <c r="C35" s="96" t="s">
        <v>340</v>
      </c>
      <c r="D35" s="27">
        <v>10.411899999999999</v>
      </c>
      <c r="E35" s="46">
        <f t="shared" si="5"/>
        <v>1664425.8125594771</v>
      </c>
      <c r="F35" s="8"/>
      <c r="I35" s="39"/>
      <c r="J35" s="20">
        <f t="shared" si="2"/>
        <v>37011</v>
      </c>
      <c r="K35" s="27">
        <f>'BOGIX (Gross)'!K35</f>
        <v>7.8205220000000004</v>
      </c>
      <c r="L35" s="46">
        <f t="shared" si="6"/>
        <v>1167316.2216589397</v>
      </c>
      <c r="M35" s="8"/>
      <c r="O35" s="39"/>
      <c r="P35" s="20">
        <f t="shared" si="3"/>
        <v>37011</v>
      </c>
      <c r="Q35" s="27">
        <f>'BOGIX (Gross)'!Q35</f>
        <v>7.6229129999999996</v>
      </c>
      <c r="R35" s="46">
        <f t="shared" si="7"/>
        <v>1276481.7679448149</v>
      </c>
      <c r="S35" s="8"/>
      <c r="V35" s="39"/>
    </row>
    <row r="36" spans="1:22" x14ac:dyDescent="0.25">
      <c r="A36" s="20">
        <v>37042</v>
      </c>
      <c r="B36" s="24">
        <f t="shared" si="4"/>
        <v>20</v>
      </c>
      <c r="C36" s="96" t="s">
        <v>340</v>
      </c>
      <c r="D36" s="27">
        <v>3.3160620000000001</v>
      </c>
      <c r="E36" s="46">
        <f t="shared" si="5"/>
        <v>1719619.204447953</v>
      </c>
      <c r="F36" s="8"/>
      <c r="I36" s="39"/>
      <c r="J36" s="20">
        <f t="shared" si="2"/>
        <v>37042</v>
      </c>
      <c r="K36" s="27">
        <f>'BOGIX (Gross)'!K36</f>
        <v>2.4572470000000002</v>
      </c>
      <c r="L36" s="46">
        <f t="shared" si="6"/>
        <v>1196000.0644961675</v>
      </c>
      <c r="M36" s="8"/>
      <c r="O36" s="39"/>
      <c r="P36" s="20">
        <f t="shared" si="3"/>
        <v>37042</v>
      </c>
      <c r="Q36" s="27">
        <f>'BOGIX (Gross)'!Q36</f>
        <v>1.9135960000000001</v>
      </c>
      <c r="R36" s="46">
        <f t="shared" si="7"/>
        <v>1300908.471996936</v>
      </c>
      <c r="S36" s="8"/>
      <c r="V36" s="39"/>
    </row>
    <row r="37" spans="1:22" x14ac:dyDescent="0.25">
      <c r="A37" s="20">
        <v>37072</v>
      </c>
      <c r="B37" s="24">
        <f t="shared" si="4"/>
        <v>21</v>
      </c>
      <c r="C37" s="96" t="s">
        <v>340</v>
      </c>
      <c r="D37" s="27">
        <v>2.0060180000000001</v>
      </c>
      <c r="E37" s="46">
        <f t="shared" si="5"/>
        <v>1754115.0752206359</v>
      </c>
      <c r="F37" s="8"/>
      <c r="G37" s="5">
        <f>(E37/E34-1)*100</f>
        <v>16.361556527369991</v>
      </c>
      <c r="H37" s="5"/>
      <c r="I37" s="39"/>
      <c r="J37" s="20">
        <f t="shared" si="2"/>
        <v>37072</v>
      </c>
      <c r="K37" s="27">
        <f>'BOGIX (Gross)'!K37</f>
        <v>3.4524699999999999</v>
      </c>
      <c r="L37" s="46">
        <f t="shared" si="6"/>
        <v>1237291.6079228783</v>
      </c>
      <c r="M37" s="8"/>
      <c r="N37" s="5">
        <f>(L37/L34-1)*100</f>
        <v>14.283880029418249</v>
      </c>
      <c r="O37" s="39"/>
      <c r="P37" s="20">
        <f t="shared" si="3"/>
        <v>37072</v>
      </c>
      <c r="Q37" s="27">
        <f>'BOGIX (Gross)'!Q37</f>
        <v>3.663656</v>
      </c>
      <c r="R37" s="46">
        <f t="shared" si="7"/>
        <v>1348569.2832857601</v>
      </c>
      <c r="S37" s="8"/>
      <c r="T37" s="5">
        <f>(R37/R34-1)*100</f>
        <v>13.700765881844013</v>
      </c>
      <c r="U37" s="5"/>
      <c r="V37" s="39"/>
    </row>
    <row r="38" spans="1:22" x14ac:dyDescent="0.25">
      <c r="A38" s="20">
        <v>37103</v>
      </c>
      <c r="B38" s="24">
        <f t="shared" si="4"/>
        <v>22</v>
      </c>
      <c r="C38" s="96" t="s">
        <v>340</v>
      </c>
      <c r="D38" s="27">
        <v>-0.88495579999999996</v>
      </c>
      <c r="E38" s="46">
        <f t="shared" si="5"/>
        <v>1738591.9321237965</v>
      </c>
      <c r="F38" s="8"/>
      <c r="I38" s="39"/>
      <c r="J38" s="20">
        <f t="shared" si="2"/>
        <v>37103</v>
      </c>
      <c r="K38" s="27">
        <f>'BOGIX (Gross)'!K38</f>
        <v>-5.391635</v>
      </c>
      <c r="L38" s="46">
        <f t="shared" si="6"/>
        <v>1170581.3605380456</v>
      </c>
      <c r="M38" s="8"/>
      <c r="O38" s="39"/>
      <c r="P38" s="20">
        <f t="shared" si="3"/>
        <v>37103</v>
      </c>
      <c r="Q38" s="27">
        <f>'BOGIX (Gross)'!Q38</f>
        <v>-1.6720010000000001</v>
      </c>
      <c r="R38" s="46">
        <f t="shared" si="7"/>
        <v>1326021.1913835295</v>
      </c>
      <c r="S38" s="8"/>
      <c r="V38" s="39"/>
    </row>
    <row r="39" spans="1:22" x14ac:dyDescent="0.25">
      <c r="A39" s="20">
        <v>37134</v>
      </c>
      <c r="B39" s="24">
        <f t="shared" si="4"/>
        <v>23</v>
      </c>
      <c r="C39" s="96" t="s">
        <v>340</v>
      </c>
      <c r="D39" s="27">
        <v>-3.1746029999999998</v>
      </c>
      <c r="E39" s="46">
        <f t="shared" si="5"/>
        <v>1683398.5404888366</v>
      </c>
      <c r="F39" s="8"/>
      <c r="I39" s="39"/>
      <c r="J39" s="20">
        <f t="shared" si="2"/>
        <v>37134</v>
      </c>
      <c r="K39" s="27">
        <f>'BOGIX (Gross)'!K39</f>
        <v>-3.2296490000000002</v>
      </c>
      <c r="L39" s="46">
        <f t="shared" si="6"/>
        <v>1132775.6913332422</v>
      </c>
      <c r="M39" s="8"/>
      <c r="O39" s="39"/>
      <c r="P39" s="20">
        <f t="shared" si="3"/>
        <v>37134</v>
      </c>
      <c r="Q39" s="27">
        <f>'BOGIX (Gross)'!Q39</f>
        <v>-2.2801840000000002</v>
      </c>
      <c r="R39" s="46">
        <f t="shared" si="7"/>
        <v>1295785.4683409929</v>
      </c>
      <c r="S39" s="8"/>
      <c r="V39" s="39"/>
    </row>
    <row r="40" spans="1:22" x14ac:dyDescent="0.25">
      <c r="A40" s="20">
        <v>37164</v>
      </c>
      <c r="B40" s="24">
        <f t="shared" si="4"/>
        <v>24</v>
      </c>
      <c r="C40" s="96" t="s">
        <v>340</v>
      </c>
      <c r="D40" s="27">
        <v>-9.733606</v>
      </c>
      <c r="E40" s="46">
        <f t="shared" si="5"/>
        <v>1519543.1591479029</v>
      </c>
      <c r="F40" s="8"/>
      <c r="G40" s="5">
        <f>(E40/E37-1)*100</f>
        <v>-13.372664050745254</v>
      </c>
      <c r="H40" s="5"/>
      <c r="I40" s="39"/>
      <c r="J40" s="20">
        <f t="shared" si="2"/>
        <v>37164</v>
      </c>
      <c r="K40" s="27">
        <f>'BOGIX (Gross)'!K40</f>
        <v>-13.46433</v>
      </c>
      <c r="L40" s="46">
        <f t="shared" si="6"/>
        <v>980255.03409235307</v>
      </c>
      <c r="M40" s="8"/>
      <c r="N40" s="5">
        <f>(L40/L37-1)*100</f>
        <v>-20.774130543245928</v>
      </c>
      <c r="O40" s="39"/>
      <c r="P40" s="20">
        <f t="shared" si="3"/>
        <v>37164</v>
      </c>
      <c r="Q40" s="27">
        <f>'BOGIX (Gross)'!Q40</f>
        <v>-13.51914</v>
      </c>
      <c r="R40" s="46">
        <f t="shared" si="7"/>
        <v>1120606.4167763183</v>
      </c>
      <c r="S40" s="8"/>
      <c r="T40" s="5">
        <f>(R40/R37-1)*100</f>
        <v>-16.904053008979648</v>
      </c>
      <c r="U40" s="5"/>
      <c r="V40" s="39"/>
    </row>
    <row r="41" spans="1:22" x14ac:dyDescent="0.25">
      <c r="A41" s="20">
        <v>37195</v>
      </c>
      <c r="B41" s="24">
        <f t="shared" si="4"/>
        <v>25</v>
      </c>
      <c r="C41" s="96" t="s">
        <v>340</v>
      </c>
      <c r="D41" s="27">
        <v>4.9943249999999999</v>
      </c>
      <c r="E41" s="46">
        <f t="shared" si="5"/>
        <v>1595434.0830310164</v>
      </c>
      <c r="F41" s="8"/>
      <c r="I41" s="39"/>
      <c r="J41" s="20">
        <f t="shared" si="2"/>
        <v>37195</v>
      </c>
      <c r="K41" s="27">
        <f>'BOGIX (Gross)'!K41</f>
        <v>5.8522610000000004</v>
      </c>
      <c r="L41" s="46">
        <f t="shared" si="6"/>
        <v>1037622.1171530766</v>
      </c>
      <c r="M41" s="8"/>
      <c r="O41" s="39"/>
      <c r="P41" s="20">
        <f t="shared" si="3"/>
        <v>37195</v>
      </c>
      <c r="Q41" s="27">
        <f>'BOGIX (Gross)'!Q41</f>
        <v>5.3320429999999996</v>
      </c>
      <c r="R41" s="46">
        <f t="shared" si="7"/>
        <v>1180357.6327795908</v>
      </c>
      <c r="S41" s="8"/>
      <c r="V41" s="39"/>
    </row>
    <row r="42" spans="1:22" x14ac:dyDescent="0.25">
      <c r="A42" s="20">
        <v>37225</v>
      </c>
      <c r="B42" s="24">
        <f t="shared" si="4"/>
        <v>26</v>
      </c>
      <c r="C42" s="96" t="s">
        <v>340</v>
      </c>
      <c r="D42" s="27">
        <v>4.0540539999999998</v>
      </c>
      <c r="E42" s="46">
        <f t="shared" si="5"/>
        <v>1660113.8422914986</v>
      </c>
      <c r="F42" s="8"/>
      <c r="I42" s="39"/>
      <c r="J42" s="20">
        <f t="shared" si="2"/>
        <v>37225</v>
      </c>
      <c r="K42" s="27">
        <f>'BOGIX (Gross)'!K42</f>
        <v>7.7396900000000004</v>
      </c>
      <c r="L42" s="46">
        <f t="shared" si="6"/>
        <v>1117930.8523921615</v>
      </c>
      <c r="M42" s="8"/>
      <c r="O42" s="39"/>
      <c r="P42" s="20">
        <f t="shared" si="3"/>
        <v>37225</v>
      </c>
      <c r="Q42" s="27">
        <f>'BOGIX (Gross)'!Q42</f>
        <v>7.3124440000000002</v>
      </c>
      <c r="R42" s="46">
        <f t="shared" si="7"/>
        <v>1266670.623676324</v>
      </c>
      <c r="S42" s="8"/>
      <c r="V42" s="39"/>
    </row>
    <row r="43" spans="1:22" x14ac:dyDescent="0.25">
      <c r="A43" s="20">
        <v>37256</v>
      </c>
      <c r="B43" s="24">
        <f t="shared" si="4"/>
        <v>27</v>
      </c>
      <c r="C43" s="96" t="s">
        <v>340</v>
      </c>
      <c r="D43" s="27">
        <v>4.6233769999999996</v>
      </c>
      <c r="E43" s="46">
        <f t="shared" si="5"/>
        <v>1736867.1638498199</v>
      </c>
      <c r="F43" s="11">
        <f>(E43-E31)/E31*100</f>
        <v>5.224661240713929</v>
      </c>
      <c r="G43" s="5">
        <f>(E43/E40-1)*100</f>
        <v>14.301930379113648</v>
      </c>
      <c r="H43" s="5"/>
      <c r="I43" s="39"/>
      <c r="J43" s="20">
        <f t="shared" si="2"/>
        <v>37256</v>
      </c>
      <c r="K43" s="27">
        <f>'BOGIX (Gross)'!K43</f>
        <v>6.1708530000000001</v>
      </c>
      <c r="L43" s="46">
        <f t="shared" si="6"/>
        <v>1186916.7219349288</v>
      </c>
      <c r="M43" s="11">
        <f>(L43-L31)/L31*100</f>
        <v>2.4938453691802009</v>
      </c>
      <c r="N43" s="5">
        <f>(L43/L40-1)*100</f>
        <v>21.082440860294049</v>
      </c>
      <c r="O43" s="39"/>
      <c r="P43" s="20">
        <f t="shared" si="3"/>
        <v>37256</v>
      </c>
      <c r="Q43" s="27">
        <f>'BOGIX (Gross)'!Q43</f>
        <v>6.767093</v>
      </c>
      <c r="R43" s="46">
        <f t="shared" si="7"/>
        <v>1352387.4027841808</v>
      </c>
      <c r="S43" s="11">
        <f>(R43-R31)/R31*100</f>
        <v>6.5328152797224135</v>
      </c>
      <c r="T43" s="5">
        <f>(R43/R40-1)*100</f>
        <v>20.683531928599308</v>
      </c>
      <c r="U43" s="5"/>
      <c r="V43" s="39"/>
    </row>
    <row r="44" spans="1:22" x14ac:dyDescent="0.25">
      <c r="A44" s="20">
        <v>37287</v>
      </c>
      <c r="B44" s="24">
        <f t="shared" si="4"/>
        <v>28</v>
      </c>
      <c r="C44" s="96" t="s">
        <v>340</v>
      </c>
      <c r="D44" s="27">
        <v>1.737835</v>
      </c>
      <c r="E44" s="46">
        <f t="shared" si="5"/>
        <v>1767051.0493267095</v>
      </c>
      <c r="F44" s="10"/>
      <c r="I44" s="39"/>
      <c r="J44" s="20">
        <f t="shared" si="2"/>
        <v>37287</v>
      </c>
      <c r="K44" s="27">
        <f>'BOGIX (Gross)'!K44</f>
        <v>-1.0399480000000001</v>
      </c>
      <c r="L44" s="46">
        <f t="shared" si="6"/>
        <v>1174573.4052235009</v>
      </c>
      <c r="M44" s="10"/>
      <c r="O44" s="39"/>
      <c r="P44" s="20">
        <f t="shared" si="3"/>
        <v>37287</v>
      </c>
      <c r="Q44" s="27">
        <f>'BOGIX (Gross)'!Q44</f>
        <v>0.87265190000000004</v>
      </c>
      <c r="R44" s="46">
        <f t="shared" si="7"/>
        <v>1364189.0371499376</v>
      </c>
      <c r="S44" s="10"/>
      <c r="V44" s="39"/>
    </row>
    <row r="45" spans="1:22" x14ac:dyDescent="0.25">
      <c r="A45" s="20">
        <v>37315</v>
      </c>
      <c r="B45" s="24">
        <f t="shared" si="4"/>
        <v>29</v>
      </c>
      <c r="C45" s="96" t="s">
        <v>340</v>
      </c>
      <c r="D45" s="27">
        <v>-2.1961930000000001</v>
      </c>
      <c r="E45" s="46">
        <f t="shared" si="5"/>
        <v>1728243.1978749698</v>
      </c>
      <c r="F45" s="8"/>
      <c r="I45" s="39"/>
      <c r="J45" s="20">
        <f t="shared" si="2"/>
        <v>37315</v>
      </c>
      <c r="K45" s="27">
        <f>'BOGIX (Gross)'!K45</f>
        <v>-2.7418740000000001</v>
      </c>
      <c r="L45" s="46">
        <f t="shared" si="6"/>
        <v>1142368.082414763</v>
      </c>
      <c r="M45" s="8"/>
      <c r="O45" s="39"/>
      <c r="P45" s="20">
        <f t="shared" si="3"/>
        <v>37315</v>
      </c>
      <c r="Q45" s="27">
        <f>'BOGIX (Gross)'!Q45</f>
        <v>-1.7188049999999999</v>
      </c>
      <c r="R45" s="46">
        <f t="shared" si="7"/>
        <v>1340741.2877699526</v>
      </c>
      <c r="S45" s="8"/>
      <c r="V45" s="39"/>
    </row>
    <row r="46" spans="1:22" x14ac:dyDescent="0.25">
      <c r="A46" s="20">
        <v>37346</v>
      </c>
      <c r="B46" s="24">
        <f t="shared" si="4"/>
        <v>30</v>
      </c>
      <c r="C46" s="96" t="s">
        <v>340</v>
      </c>
      <c r="D46" s="27">
        <v>7.1357280000000003</v>
      </c>
      <c r="E46" s="46">
        <f t="shared" si="5"/>
        <v>1851565.9316538295</v>
      </c>
      <c r="F46" s="8"/>
      <c r="G46" s="5">
        <f>(E46/E43-1)*100</f>
        <v>6.6037731722543569</v>
      </c>
      <c r="H46" s="5"/>
      <c r="I46" s="39"/>
      <c r="J46" s="20">
        <f t="shared" si="2"/>
        <v>37346</v>
      </c>
      <c r="K46" s="27">
        <f>'BOGIX (Gross)'!K46</f>
        <v>8.0357520000000005</v>
      </c>
      <c r="L46" s="46">
        <f t="shared" si="6"/>
        <v>1234165.948444769</v>
      </c>
      <c r="M46" s="8"/>
      <c r="N46" s="5">
        <f>(L46/L43-1)*100</f>
        <v>3.9808375462782042</v>
      </c>
      <c r="O46" s="39"/>
      <c r="P46" s="20">
        <f t="shared" si="3"/>
        <v>37346</v>
      </c>
      <c r="Q46" s="27">
        <f>'BOGIX (Gross)'!Q46</f>
        <v>7.8985940000000001</v>
      </c>
      <c r="R46" s="46">
        <f t="shared" si="7"/>
        <v>1446640.9986812728</v>
      </c>
      <c r="S46" s="8"/>
      <c r="T46" s="5">
        <f>(R46/R43-1)*100</f>
        <v>6.9694227928366326</v>
      </c>
      <c r="U46" s="5"/>
      <c r="V46" s="39"/>
    </row>
    <row r="47" spans="1:22" x14ac:dyDescent="0.25">
      <c r="A47" s="20">
        <v>37376</v>
      </c>
      <c r="B47" s="24">
        <f t="shared" si="4"/>
        <v>31</v>
      </c>
      <c r="C47" s="96" t="s">
        <v>340</v>
      </c>
      <c r="D47" s="27">
        <v>2.0959479999999999</v>
      </c>
      <c r="E47" s="46">
        <f t="shared" si="5"/>
        <v>1890373.7907670094</v>
      </c>
      <c r="F47" s="8"/>
      <c r="I47" s="39"/>
      <c r="J47" s="20">
        <f t="shared" si="2"/>
        <v>37376</v>
      </c>
      <c r="K47" s="27">
        <f>'BOGIX (Gross)'!K47</f>
        <v>0.91124190000000005</v>
      </c>
      <c r="L47" s="46">
        <f t="shared" si="6"/>
        <v>1245412.18568253</v>
      </c>
      <c r="M47" s="8"/>
      <c r="O47" s="39"/>
      <c r="P47" s="20">
        <f t="shared" si="3"/>
        <v>37376</v>
      </c>
      <c r="Q47" s="27">
        <f>'BOGIX (Gross)'!Q47</f>
        <v>2.8260329999999998</v>
      </c>
      <c r="R47" s="46">
        <f t="shared" si="7"/>
        <v>1487523.5506955353</v>
      </c>
      <c r="S47" s="8"/>
      <c r="V47" s="39"/>
    </row>
    <row r="48" spans="1:22" x14ac:dyDescent="0.25">
      <c r="A48" s="20">
        <v>37407</v>
      </c>
      <c r="B48" s="24">
        <f t="shared" si="4"/>
        <v>32</v>
      </c>
      <c r="C48" s="96" t="s">
        <v>340</v>
      </c>
      <c r="D48" s="27">
        <v>-4.0145980000000003</v>
      </c>
      <c r="E48" s="46">
        <f t="shared" si="5"/>
        <v>1814482.8823703527</v>
      </c>
      <c r="F48" s="8"/>
      <c r="I48" s="39"/>
      <c r="J48" s="20">
        <f t="shared" si="2"/>
        <v>37407</v>
      </c>
      <c r="K48" s="27">
        <f>'BOGIX (Gross)'!K48</f>
        <v>-4.4368819999999998</v>
      </c>
      <c r="L48" s="46">
        <f t="shared" si="6"/>
        <v>1190154.7165901754</v>
      </c>
      <c r="M48" s="8"/>
      <c r="O48" s="39"/>
      <c r="P48" s="20">
        <f t="shared" si="3"/>
        <v>37407</v>
      </c>
      <c r="Q48" s="27">
        <f>'BOGIX (Gross)'!Q48</f>
        <v>-4.1378909999999998</v>
      </c>
      <c r="R48" s="46">
        <f t="shared" si="7"/>
        <v>1425971.4475684243</v>
      </c>
      <c r="S48" s="8"/>
      <c r="V48" s="39"/>
    </row>
    <row r="49" spans="1:22" x14ac:dyDescent="0.25">
      <c r="A49" s="20">
        <v>37437</v>
      </c>
      <c r="B49" s="24">
        <f t="shared" si="4"/>
        <v>33</v>
      </c>
      <c r="C49" s="96" t="s">
        <v>340</v>
      </c>
      <c r="D49" s="27">
        <v>-3.3269959999999998</v>
      </c>
      <c r="E49" s="46">
        <f t="shared" si="5"/>
        <v>1754115.1094532064</v>
      </c>
      <c r="F49" s="8"/>
      <c r="G49" s="5">
        <f>(E49/E46-1)*100</f>
        <v>-5.2631570139973105</v>
      </c>
      <c r="H49" s="5"/>
      <c r="I49" s="39"/>
      <c r="J49" s="20">
        <f t="shared" si="2"/>
        <v>37437</v>
      </c>
      <c r="K49" s="27">
        <f>'BOGIX (Gross)'!K49</f>
        <v>-4.9623290000000004</v>
      </c>
      <c r="L49" s="46">
        <f t="shared" si="6"/>
        <v>1131095.3239439533</v>
      </c>
      <c r="M49" s="8"/>
      <c r="N49" s="5">
        <f>(L49/L46-1)*100</f>
        <v>-8.3514396609872357</v>
      </c>
      <c r="O49" s="39"/>
      <c r="P49" s="20">
        <f t="shared" si="3"/>
        <v>37437</v>
      </c>
      <c r="Q49" s="27">
        <f>'BOGIX (Gross)'!Q49</f>
        <v>-5.1724259999999997</v>
      </c>
      <c r="R49" s="46">
        <f t="shared" si="7"/>
        <v>1352214.1296618187</v>
      </c>
      <c r="S49" s="8"/>
      <c r="T49" s="5">
        <f>(R49/R46-1)*100</f>
        <v>-6.5273187408300792</v>
      </c>
      <c r="U49" s="5"/>
      <c r="V49" s="39"/>
    </row>
    <row r="50" spans="1:22" x14ac:dyDescent="0.25">
      <c r="A50" s="20">
        <v>37468</v>
      </c>
      <c r="B50" s="24">
        <f t="shared" si="4"/>
        <v>34</v>
      </c>
      <c r="C50" s="96" t="s">
        <v>340</v>
      </c>
      <c r="D50" s="27">
        <v>-13.47099</v>
      </c>
      <c r="E50" s="46">
        <f t="shared" si="5"/>
        <v>1517818.4384702758</v>
      </c>
      <c r="F50" s="8"/>
      <c r="I50" s="39"/>
      <c r="J50" s="20">
        <f t="shared" si="2"/>
        <v>37468</v>
      </c>
      <c r="K50" s="27">
        <f>'BOGIX (Gross)'!K50</f>
        <v>-15.103759999999999</v>
      </c>
      <c r="L50" s="46">
        <f t="shared" si="6"/>
        <v>960257.40084423602</v>
      </c>
      <c r="M50" s="8"/>
      <c r="O50" s="39"/>
      <c r="P50" s="20">
        <f t="shared" si="3"/>
        <v>37468</v>
      </c>
      <c r="Q50" s="27">
        <f>'BOGIX (Gross)'!Q50</f>
        <v>-14.12593</v>
      </c>
      <c r="R50" s="46">
        <f t="shared" si="7"/>
        <v>1161201.3082556811</v>
      </c>
      <c r="S50" s="8"/>
      <c r="V50" s="39"/>
    </row>
    <row r="51" spans="1:22" x14ac:dyDescent="0.25">
      <c r="A51" s="20">
        <v>37499</v>
      </c>
      <c r="B51" s="24">
        <f t="shared" si="4"/>
        <v>35</v>
      </c>
      <c r="C51" s="96" t="s">
        <v>340</v>
      </c>
      <c r="D51" s="27">
        <v>1.306818</v>
      </c>
      <c r="E51" s="46">
        <f t="shared" si="5"/>
        <v>1537653.5630315244</v>
      </c>
      <c r="F51" s="8"/>
      <c r="I51" s="39"/>
      <c r="J51" s="20">
        <f t="shared" si="2"/>
        <v>37499</v>
      </c>
      <c r="K51" s="27">
        <f>'BOGIX (Gross)'!K51</f>
        <v>-0.25479550000000001</v>
      </c>
      <c r="L51" s="46">
        <f t="shared" si="6"/>
        <v>957810.70819846797</v>
      </c>
      <c r="M51" s="8"/>
      <c r="O51" s="39"/>
      <c r="P51" s="20">
        <f t="shared" si="3"/>
        <v>37499</v>
      </c>
      <c r="Q51" s="27">
        <f>'BOGIX (Gross)'!Q51</f>
        <v>0.9544106</v>
      </c>
      <c r="R51" s="46">
        <f t="shared" si="7"/>
        <v>1172283.936629012</v>
      </c>
      <c r="S51" s="8"/>
      <c r="V51" s="39"/>
    </row>
    <row r="52" spans="1:22" x14ac:dyDescent="0.25">
      <c r="A52" s="20">
        <v>37529</v>
      </c>
      <c r="B52" s="24">
        <f t="shared" si="4"/>
        <v>36</v>
      </c>
      <c r="C52" s="96" t="s">
        <v>340</v>
      </c>
      <c r="D52" s="27">
        <v>-7.5715089999999998</v>
      </c>
      <c r="E52" s="46">
        <f t="shared" si="5"/>
        <v>1421229.9851177719</v>
      </c>
      <c r="F52" s="8"/>
      <c r="G52" s="5">
        <f>(E52/E49-1)*100</f>
        <v>-18.977381959796336</v>
      </c>
      <c r="H52" s="5"/>
      <c r="I52" s="39"/>
      <c r="J52" s="20">
        <f t="shared" si="2"/>
        <v>37529</v>
      </c>
      <c r="K52" s="27">
        <f>'BOGIX (Gross)'!K52</f>
        <v>-7.1821339999999996</v>
      </c>
      <c r="L52" s="46">
        <f t="shared" si="6"/>
        <v>889019.45966930501</v>
      </c>
      <c r="M52" s="8"/>
      <c r="N52" s="5">
        <f>(L52/L49-1)*100</f>
        <v>-21.401897713675222</v>
      </c>
      <c r="O52" s="39"/>
      <c r="P52" s="20">
        <f t="shared" si="3"/>
        <v>37529</v>
      </c>
      <c r="Q52" s="27">
        <f>'BOGIX (Gross)'!Q52</f>
        <v>-6.1216650000000001</v>
      </c>
      <c r="R52" s="46">
        <f t="shared" si="7"/>
        <v>1100520.6411797716</v>
      </c>
      <c r="S52" s="8"/>
      <c r="T52" s="5">
        <f>(R52/R49-1)*100</f>
        <v>-18.613434289803955</v>
      </c>
      <c r="U52" s="5"/>
      <c r="V52" s="39"/>
    </row>
    <row r="53" spans="1:22" x14ac:dyDescent="0.25">
      <c r="A53" s="20">
        <v>37560</v>
      </c>
      <c r="B53" s="24">
        <f t="shared" si="4"/>
        <v>37</v>
      </c>
      <c r="C53" s="96" t="s">
        <v>340</v>
      </c>
      <c r="D53" s="27">
        <v>1.0315529999999999</v>
      </c>
      <c r="E53" s="46">
        <f t="shared" si="5"/>
        <v>1435890.7256661537</v>
      </c>
      <c r="F53" s="8"/>
      <c r="I53" s="39"/>
      <c r="J53" s="20">
        <f t="shared" si="2"/>
        <v>37560</v>
      </c>
      <c r="K53" s="27">
        <f>'BOGIX (Gross)'!K53</f>
        <v>3.2057199999999999</v>
      </c>
      <c r="L53" s="46">
        <f t="shared" si="6"/>
        <v>917518.93429181585</v>
      </c>
      <c r="M53" s="8"/>
      <c r="O53" s="39"/>
      <c r="P53" s="20">
        <f t="shared" si="3"/>
        <v>37560</v>
      </c>
      <c r="Q53" s="27">
        <f>'BOGIX (Gross)'!Q53</f>
        <v>3.1981540000000002</v>
      </c>
      <c r="R53" s="46">
        <f t="shared" si="7"/>
        <v>1135716.9860864882</v>
      </c>
      <c r="S53" s="8"/>
      <c r="V53" s="39"/>
    </row>
    <row r="54" spans="1:22" x14ac:dyDescent="0.25">
      <c r="A54" s="20">
        <v>37590</v>
      </c>
      <c r="B54" s="24">
        <f t="shared" si="4"/>
        <v>38</v>
      </c>
      <c r="C54" s="96" t="s">
        <v>340</v>
      </c>
      <c r="D54" s="27">
        <v>3.7837839999999998</v>
      </c>
      <c r="E54" s="46">
        <f t="shared" si="5"/>
        <v>1490221.7292013934</v>
      </c>
      <c r="F54" s="8"/>
      <c r="H54" s="49"/>
      <c r="I54" s="39"/>
      <c r="J54" s="20">
        <f t="shared" si="2"/>
        <v>37590</v>
      </c>
      <c r="K54" s="27">
        <f>'BOGIX (Gross)'!K54</f>
        <v>8.9203779999999995</v>
      </c>
      <c r="L54" s="46">
        <f t="shared" si="6"/>
        <v>999365.09145221743</v>
      </c>
      <c r="M54" s="8"/>
      <c r="O54" s="39"/>
      <c r="P54" s="20">
        <f t="shared" si="3"/>
        <v>37590</v>
      </c>
      <c r="Q54" s="27">
        <f>'BOGIX (Gross)'!Q54</f>
        <v>5.2082369999999996</v>
      </c>
      <c r="R54" s="46">
        <f t="shared" si="7"/>
        <v>1194867.8183711295</v>
      </c>
      <c r="S54" s="8"/>
      <c r="U54" s="49"/>
      <c r="V54" s="39"/>
    </row>
    <row r="55" spans="1:22" x14ac:dyDescent="0.25">
      <c r="A55" s="20">
        <v>37621</v>
      </c>
      <c r="B55" s="24">
        <f t="shared" si="4"/>
        <v>39</v>
      </c>
      <c r="C55" s="96" t="s">
        <v>340</v>
      </c>
      <c r="D55" s="27">
        <v>-3.9351850000000002</v>
      </c>
      <c r="E55" s="46">
        <f t="shared" si="5"/>
        <v>1431578.7472471197</v>
      </c>
      <c r="F55" s="11">
        <f>(E55-E43)/E43*100</f>
        <v>-17.576958270430943</v>
      </c>
      <c r="G55" s="5">
        <f>(E55/E52-1)*100</f>
        <v>0.72815534696801798</v>
      </c>
      <c r="H55" s="49"/>
      <c r="I55" s="39"/>
      <c r="J55" s="20">
        <f t="shared" si="2"/>
        <v>37621</v>
      </c>
      <c r="K55" s="27">
        <f>'BOGIX (Gross)'!K55</f>
        <v>-5.570659</v>
      </c>
      <c r="L55" s="46">
        <f t="shared" si="6"/>
        <v>943693.87004237622</v>
      </c>
      <c r="M55" s="11">
        <f>(L55-L43)/L43*100</f>
        <v>-20.491989656700362</v>
      </c>
      <c r="N55" s="5">
        <f>(L55/L52-1)*100</f>
        <v>6.1499677851156287</v>
      </c>
      <c r="O55" s="39"/>
      <c r="P55" s="20">
        <f t="shared" si="3"/>
        <v>37621</v>
      </c>
      <c r="Q55" s="27">
        <f>'BOGIX (Gross)'!Q55</f>
        <v>-3.3705240000000001</v>
      </c>
      <c r="R55" s="46">
        <f t="shared" si="7"/>
        <v>1154594.5117846541</v>
      </c>
      <c r="S55" s="11">
        <f>(R55-R43)/R43*100</f>
        <v>-14.625460913960559</v>
      </c>
      <c r="T55" s="5">
        <f>(R55/R52-1)*100</f>
        <v>4.913480818216609</v>
      </c>
      <c r="U55" s="49"/>
      <c r="V55" s="39"/>
    </row>
    <row r="56" spans="1:22" x14ac:dyDescent="0.25">
      <c r="A56" s="20">
        <v>37652</v>
      </c>
      <c r="B56" s="24">
        <f t="shared" si="4"/>
        <v>40</v>
      </c>
      <c r="C56" s="96" t="s">
        <v>340</v>
      </c>
      <c r="D56" s="27">
        <v>-0.72289159999999997</v>
      </c>
      <c r="E56" s="46">
        <f t="shared" si="5"/>
        <v>1421229.9847358849</v>
      </c>
      <c r="F56" s="10"/>
      <c r="H56" s="49"/>
      <c r="I56" s="39"/>
      <c r="J56" s="20">
        <f t="shared" si="2"/>
        <v>37652</v>
      </c>
      <c r="K56" s="27">
        <f>'BOGIX (Gross)'!K56</f>
        <v>-2.7676249999999998</v>
      </c>
      <c r="L56" s="46">
        <f t="shared" si="6"/>
        <v>917575.96257161594</v>
      </c>
      <c r="M56" s="10"/>
      <c r="O56" s="39"/>
      <c r="P56" s="20">
        <f t="shared" si="3"/>
        <v>37652</v>
      </c>
      <c r="Q56" s="27">
        <f>'BOGIX (Gross)'!Q56</f>
        <v>-3.4386700000000001</v>
      </c>
      <c r="R56" s="46">
        <f t="shared" si="7"/>
        <v>1114891.8166862687</v>
      </c>
      <c r="S56" s="10"/>
      <c r="U56" s="49"/>
      <c r="V56" s="39"/>
    </row>
    <row r="57" spans="1:22" x14ac:dyDescent="0.25">
      <c r="A57" s="20">
        <v>37680</v>
      </c>
      <c r="B57" s="24">
        <f t="shared" si="4"/>
        <v>41</v>
      </c>
      <c r="C57" s="96" t="s">
        <v>340</v>
      </c>
      <c r="D57" s="27">
        <v>-2.7305820000000001</v>
      </c>
      <c r="E57" s="46">
        <f t="shared" si="5"/>
        <v>1382422.1345940842</v>
      </c>
      <c r="F57" s="8"/>
      <c r="H57" s="49"/>
      <c r="I57" s="39"/>
      <c r="J57" s="20">
        <f t="shared" si="2"/>
        <v>37680</v>
      </c>
      <c r="K57" s="27">
        <f>'BOGIX (Gross)'!K57</f>
        <v>-3.022116</v>
      </c>
      <c r="L57" s="46">
        <f t="shared" si="6"/>
        <v>889845.75259458506</v>
      </c>
      <c r="M57" s="8"/>
      <c r="O57" s="39"/>
      <c r="P57" s="20">
        <f t="shared" si="3"/>
        <v>37680</v>
      </c>
      <c r="Q57" s="27">
        <f>'BOGIX (Gross)'!Q57</f>
        <v>-3.2017280000000001</v>
      </c>
      <c r="R57" s="46">
        <f t="shared" si="7"/>
        <v>1079196.0132217158</v>
      </c>
      <c r="S57" s="8"/>
      <c r="U57" s="49"/>
      <c r="V57" s="39"/>
    </row>
    <row r="58" spans="1:22" x14ac:dyDescent="0.25">
      <c r="A58" s="20">
        <v>37711</v>
      </c>
      <c r="B58" s="24">
        <f t="shared" si="4"/>
        <v>42</v>
      </c>
      <c r="C58" s="96" t="s">
        <v>340</v>
      </c>
      <c r="D58" s="27">
        <v>0.24953210000000001</v>
      </c>
      <c r="E58" s="46">
        <f t="shared" si="5"/>
        <v>1385871.7215774017</v>
      </c>
      <c r="F58" s="8"/>
      <c r="G58" s="5">
        <f>(E58/E55-1)*100</f>
        <v>-3.1927706217776075</v>
      </c>
      <c r="H58" s="49"/>
      <c r="I58" s="39"/>
      <c r="J58" s="20">
        <f t="shared" si="2"/>
        <v>37711</v>
      </c>
      <c r="K58" s="27">
        <f>'BOGIX (Gross)'!K58</f>
        <v>1.287946</v>
      </c>
      <c r="L58" s="46">
        <f t="shared" si="6"/>
        <v>901306.48537129688</v>
      </c>
      <c r="M58" s="8"/>
      <c r="N58" s="5">
        <f>(L58/L55-1)*100</f>
        <v>-4.4916456508481861</v>
      </c>
      <c r="O58" s="39"/>
      <c r="P58" s="20">
        <f t="shared" si="3"/>
        <v>37711</v>
      </c>
      <c r="Q58" s="27">
        <f>'BOGIX (Gross)'!Q58</f>
        <v>0.78723359999999998</v>
      </c>
      <c r="R58" s="46">
        <f t="shared" si="7"/>
        <v>1087691.8068476575</v>
      </c>
      <c r="S58" s="8"/>
      <c r="T58" s="5">
        <f>(R58/R55-1)*100</f>
        <v>-5.7944762645359527</v>
      </c>
      <c r="U58" s="49"/>
      <c r="V58" s="39"/>
    </row>
    <row r="59" spans="1:22" x14ac:dyDescent="0.25">
      <c r="A59" s="20">
        <v>37741</v>
      </c>
      <c r="B59" s="24">
        <f t="shared" si="4"/>
        <v>43</v>
      </c>
      <c r="C59" s="96" t="s">
        <v>340</v>
      </c>
      <c r="D59" s="27">
        <v>9.2097069999999999</v>
      </c>
      <c r="E59" s="46">
        <f t="shared" si="5"/>
        <v>1513506.4465305363</v>
      </c>
      <c r="F59" s="8"/>
      <c r="H59" s="49"/>
      <c r="I59" s="39"/>
      <c r="J59" s="20">
        <f t="shared" si="2"/>
        <v>37741</v>
      </c>
      <c r="K59" s="27">
        <f>'BOGIX (Gross)'!K59</f>
        <v>9.4817040000000006</v>
      </c>
      <c r="L59" s="46">
        <f t="shared" si="6"/>
        <v>986765.69844700652</v>
      </c>
      <c r="M59" s="8"/>
      <c r="O59" s="39"/>
      <c r="P59" s="20">
        <f t="shared" si="3"/>
        <v>37741</v>
      </c>
      <c r="Q59" s="27">
        <f>'BOGIX (Gross)'!Q59</f>
        <v>8.1183029999999992</v>
      </c>
      <c r="R59" s="46">
        <f t="shared" si="7"/>
        <v>1175993.923433725</v>
      </c>
      <c r="S59" s="8"/>
      <c r="U59" s="49"/>
      <c r="V59" s="39"/>
    </row>
    <row r="60" spans="1:22" x14ac:dyDescent="0.25">
      <c r="A60" s="20">
        <v>37772</v>
      </c>
      <c r="B60" s="24">
        <f t="shared" si="4"/>
        <v>44</v>
      </c>
      <c r="C60" s="96" t="s">
        <v>340</v>
      </c>
      <c r="D60" s="27">
        <v>10.31339</v>
      </c>
      <c r="E60" s="46">
        <f t="shared" si="5"/>
        <v>1669600.269036372</v>
      </c>
      <c r="F60" s="8"/>
      <c r="H60" s="49"/>
      <c r="I60" s="39"/>
      <c r="J60" s="20">
        <f t="shared" si="2"/>
        <v>37772</v>
      </c>
      <c r="K60" s="27">
        <f>'BOGIX (Gross)'!K60</f>
        <v>10.73142</v>
      </c>
      <c r="L60" s="46">
        <f t="shared" si="6"/>
        <v>1092659.6699632884</v>
      </c>
      <c r="M60" s="8"/>
      <c r="O60" s="39"/>
      <c r="P60" s="20">
        <f t="shared" si="3"/>
        <v>37772</v>
      </c>
      <c r="Q60" s="27">
        <f>'BOGIX (Gross)'!Q60</f>
        <v>8.0610320000000009</v>
      </c>
      <c r="R60" s="46">
        <f t="shared" si="7"/>
        <v>1270791.169919773</v>
      </c>
      <c r="S60" s="8"/>
      <c r="U60" s="49"/>
      <c r="V60" s="39"/>
    </row>
    <row r="61" spans="1:22" x14ac:dyDescent="0.25">
      <c r="A61" s="20">
        <v>37802</v>
      </c>
      <c r="B61" s="24">
        <f t="shared" si="4"/>
        <v>45</v>
      </c>
      <c r="C61" s="96" t="s">
        <v>340</v>
      </c>
      <c r="D61" s="27">
        <v>3.2541319999999998</v>
      </c>
      <c r="E61" s="46">
        <f t="shared" si="5"/>
        <v>1723931.2656631707</v>
      </c>
      <c r="F61" s="8"/>
      <c r="G61" s="5">
        <f>(E61/E58-1)*100</f>
        <v>24.39327816725989</v>
      </c>
      <c r="H61" s="49"/>
      <c r="I61" s="39"/>
      <c r="J61" s="20">
        <f t="shared" si="2"/>
        <v>37802</v>
      </c>
      <c r="K61" s="27">
        <f>'BOGIX (Gross)'!K61</f>
        <v>1.8092509999999999</v>
      </c>
      <c r="L61" s="46">
        <f t="shared" si="6"/>
        <v>1112428.6259686959</v>
      </c>
      <c r="M61" s="8"/>
      <c r="N61" s="5">
        <f>(L61/L58-1)*100</f>
        <v>23.424012145039242</v>
      </c>
      <c r="O61" s="39"/>
      <c r="P61" s="20">
        <f t="shared" si="3"/>
        <v>37802</v>
      </c>
      <c r="Q61" s="27">
        <f>'BOGIX (Gross)'!Q61</f>
        <v>2.6015109999999999</v>
      </c>
      <c r="R61" s="46">
        <f t="shared" si="7"/>
        <v>1303850.9419922647</v>
      </c>
      <c r="S61" s="8"/>
      <c r="T61" s="5">
        <f>(R61/R58-1)*100</f>
        <v>19.873196964779783</v>
      </c>
      <c r="U61" s="49"/>
      <c r="V61" s="39"/>
    </row>
    <row r="62" spans="1:22" x14ac:dyDescent="0.25">
      <c r="A62" s="20">
        <v>37833</v>
      </c>
      <c r="B62" s="24">
        <f t="shared" si="4"/>
        <v>46</v>
      </c>
      <c r="C62" s="96" t="s">
        <v>340</v>
      </c>
      <c r="D62" s="27">
        <v>8.3041520000000002</v>
      </c>
      <c r="E62" s="46">
        <f t="shared" si="5"/>
        <v>1867089.1383393642</v>
      </c>
      <c r="F62" s="8"/>
      <c r="H62" s="49"/>
      <c r="I62" s="39"/>
      <c r="J62" s="20">
        <f t="shared" si="2"/>
        <v>37833</v>
      </c>
      <c r="K62" s="27">
        <f>'BOGIX (Gross)'!K62</f>
        <v>6.2560209999999996</v>
      </c>
      <c r="L62" s="46">
        <f t="shared" si="6"/>
        <v>1182022.394419309</v>
      </c>
      <c r="M62" s="8"/>
      <c r="O62" s="39"/>
      <c r="P62" s="20">
        <f t="shared" si="3"/>
        <v>37833</v>
      </c>
      <c r="Q62" s="27">
        <f>'BOGIX (Gross)'!Q62</f>
        <v>5.1982850000000003</v>
      </c>
      <c r="R62" s="46">
        <f t="shared" si="7"/>
        <v>1371628.8299322072</v>
      </c>
      <c r="S62" s="8"/>
      <c r="U62" s="49"/>
      <c r="V62" s="39"/>
    </row>
    <row r="63" spans="1:22" x14ac:dyDescent="0.25">
      <c r="A63" s="20">
        <v>37864</v>
      </c>
      <c r="B63" s="24">
        <f t="shared" si="4"/>
        <v>47</v>
      </c>
      <c r="C63" s="96" t="s">
        <v>340</v>
      </c>
      <c r="D63" s="27">
        <v>4.8960739999999996</v>
      </c>
      <c r="E63" s="46">
        <f t="shared" si="5"/>
        <v>1958503.2041984219</v>
      </c>
      <c r="F63" s="8"/>
      <c r="H63" s="49"/>
      <c r="I63" s="39"/>
      <c r="J63" s="20">
        <f t="shared" si="2"/>
        <v>37864</v>
      </c>
      <c r="K63" s="27">
        <f>'BOGIX (Gross)'!K63</f>
        <v>4.5846939999999998</v>
      </c>
      <c r="L63" s="46">
        <f t="shared" si="6"/>
        <v>1236214.5042149073</v>
      </c>
      <c r="M63" s="8"/>
      <c r="O63" s="39"/>
      <c r="P63" s="20">
        <f t="shared" si="3"/>
        <v>37864</v>
      </c>
      <c r="Q63" s="27">
        <f>'BOGIX (Gross)'!Q63</f>
        <v>4.8674030000000004</v>
      </c>
      <c r="R63" s="46">
        <f t="shared" si="7"/>
        <v>1438391.5327491923</v>
      </c>
      <c r="S63" s="8"/>
      <c r="U63" s="49"/>
      <c r="V63" s="39"/>
    </row>
    <row r="64" spans="1:22" x14ac:dyDescent="0.25">
      <c r="A64" s="20">
        <v>37894</v>
      </c>
      <c r="B64" s="24">
        <f t="shared" si="4"/>
        <v>48</v>
      </c>
      <c r="C64" s="96" t="s">
        <v>340</v>
      </c>
      <c r="D64" s="27">
        <v>-0.96873620000000005</v>
      </c>
      <c r="E64" s="46">
        <f t="shared" si="5"/>
        <v>1939530.4746811918</v>
      </c>
      <c r="F64" s="8"/>
      <c r="G64" s="5">
        <f>(E64/E61-1)*100</f>
        <v>12.506253196532358</v>
      </c>
      <c r="H64" s="49"/>
      <c r="I64" s="39"/>
      <c r="J64" s="20">
        <f t="shared" si="2"/>
        <v>37894</v>
      </c>
      <c r="K64" s="27">
        <f>'BOGIX (Gross)'!K64</f>
        <v>-1.8475969999999999</v>
      </c>
      <c r="L64" s="46">
        <f t="shared" si="6"/>
        <v>1213374.2421214678</v>
      </c>
      <c r="M64" s="8"/>
      <c r="N64" s="5">
        <f>(L64/L61-1)*100</f>
        <v>9.0743454273184643</v>
      </c>
      <c r="O64" s="39"/>
      <c r="P64" s="20">
        <f t="shared" si="3"/>
        <v>37894</v>
      </c>
      <c r="Q64" s="27">
        <f>'BOGIX (Gross)'!Q64</f>
        <v>-2.9404750000000002</v>
      </c>
      <c r="R64" s="46">
        <f t="shared" si="7"/>
        <v>1396095.9893265855</v>
      </c>
      <c r="S64" s="8"/>
      <c r="T64" s="5">
        <f>(R64/R61-1)*100</f>
        <v>7.0748154074553815</v>
      </c>
      <c r="U64" s="49"/>
      <c r="V64" s="39"/>
    </row>
    <row r="65" spans="1:22" x14ac:dyDescent="0.25">
      <c r="A65" s="20">
        <v>37925</v>
      </c>
      <c r="B65" s="24">
        <f t="shared" si="4"/>
        <v>49</v>
      </c>
      <c r="C65" s="96" t="s">
        <v>340</v>
      </c>
      <c r="D65" s="27">
        <v>10.3157</v>
      </c>
      <c r="E65" s="46">
        <f t="shared" si="5"/>
        <v>2139606.6198578794</v>
      </c>
      <c r="F65" s="8"/>
      <c r="H65" s="49"/>
      <c r="I65" s="39"/>
      <c r="J65" s="20">
        <f t="shared" si="2"/>
        <v>37925</v>
      </c>
      <c r="K65" s="27">
        <f>'BOGIX (Gross)'!K65</f>
        <v>8.3956680000000006</v>
      </c>
      <c r="L65" s="46">
        <f t="shared" si="6"/>
        <v>1315245.1150875024</v>
      </c>
      <c r="M65" s="8"/>
      <c r="O65" s="39"/>
      <c r="P65" s="20">
        <f t="shared" si="3"/>
        <v>37925</v>
      </c>
      <c r="Q65" s="27">
        <f>'BOGIX (Gross)'!Q65</f>
        <v>8.6677610000000005</v>
      </c>
      <c r="R65" s="46">
        <f t="shared" si="7"/>
        <v>1517106.2530119994</v>
      </c>
      <c r="S65" s="8"/>
      <c r="U65" s="49"/>
      <c r="V65" s="39"/>
    </row>
    <row r="66" spans="1:22" x14ac:dyDescent="0.25">
      <c r="A66" s="20">
        <v>37955</v>
      </c>
      <c r="B66" s="24">
        <f t="shared" si="4"/>
        <v>50</v>
      </c>
      <c r="C66" s="96" t="s">
        <v>340</v>
      </c>
      <c r="D66" s="27">
        <v>4.9979849999999999</v>
      </c>
      <c r="E66" s="46">
        <f t="shared" si="5"/>
        <v>2246543.8377773832</v>
      </c>
      <c r="F66" s="8"/>
      <c r="H66" s="49"/>
      <c r="I66" s="39"/>
      <c r="J66" s="20">
        <f t="shared" si="2"/>
        <v>37955</v>
      </c>
      <c r="K66" s="27">
        <f>'BOGIX (Gross)'!K66</f>
        <v>3.536886</v>
      </c>
      <c r="L66" s="46">
        <f t="shared" si="6"/>
        <v>1361763.8354287161</v>
      </c>
      <c r="M66" s="8"/>
      <c r="O66" s="39"/>
      <c r="P66" s="20">
        <f t="shared" si="3"/>
        <v>37955</v>
      </c>
      <c r="Q66" s="27">
        <f>'BOGIX (Gross)'!Q66</f>
        <v>3.785447</v>
      </c>
      <c r="R66" s="46">
        <f t="shared" si="7"/>
        <v>1574535.5061534545</v>
      </c>
      <c r="S66" s="8"/>
      <c r="U66" s="49"/>
      <c r="V66" s="39"/>
    </row>
    <row r="67" spans="1:22" x14ac:dyDescent="0.25">
      <c r="A67" s="20">
        <v>37986</v>
      </c>
      <c r="B67" s="24">
        <f t="shared" si="4"/>
        <v>51</v>
      </c>
      <c r="C67" s="96" t="s">
        <v>340</v>
      </c>
      <c r="D67" s="27">
        <v>1.1900189999999999</v>
      </c>
      <c r="E67" s="46">
        <f t="shared" si="5"/>
        <v>2273278.1362902634</v>
      </c>
      <c r="F67" s="11">
        <f>(E67-E55)/E55*100</f>
        <v>58.795186130117173</v>
      </c>
      <c r="G67" s="5">
        <f>(E67/E64-1)*100</f>
        <v>17.207652365654667</v>
      </c>
      <c r="H67" s="49"/>
      <c r="I67" s="39"/>
      <c r="J67" s="20">
        <f t="shared" si="2"/>
        <v>37986</v>
      </c>
      <c r="K67" s="27">
        <f>'BOGIX (Gross)'!K67</f>
        <v>2.0575030000000001</v>
      </c>
      <c r="L67" s="46">
        <f t="shared" si="6"/>
        <v>1389782.1671955769</v>
      </c>
      <c r="M67" s="11">
        <f>(L67-L55)/L55*100</f>
        <v>47.270445566544723</v>
      </c>
      <c r="N67" s="5">
        <f>(L67/L64-1)*100</f>
        <v>14.538624519148913</v>
      </c>
      <c r="O67" s="39"/>
      <c r="P67" s="20">
        <f t="shared" si="3"/>
        <v>37986</v>
      </c>
      <c r="Q67" s="27">
        <f>'BOGIX (Gross)'!Q67</f>
        <v>1.7675959999999999</v>
      </c>
      <c r="R67" s="46">
        <f t="shared" si="7"/>
        <v>1602366.9327788027</v>
      </c>
      <c r="S67" s="11">
        <f>(R67-R55)/R55*100</f>
        <v>38.781790180348921</v>
      </c>
      <c r="T67" s="5">
        <f>(R67/R64-1)*100</f>
        <v>14.774839626300551</v>
      </c>
      <c r="U67" s="49"/>
      <c r="V67" s="39"/>
    </row>
    <row r="68" spans="1:22" x14ac:dyDescent="0.25">
      <c r="A68" s="20">
        <v>38017</v>
      </c>
      <c r="B68" s="24">
        <f t="shared" si="4"/>
        <v>52</v>
      </c>
      <c r="C68" s="96" t="s">
        <v>340</v>
      </c>
      <c r="D68" s="27">
        <v>6.5629739999999996</v>
      </c>
      <c r="E68" s="46">
        <f t="shared" si="5"/>
        <v>2422472.789322678</v>
      </c>
      <c r="F68" s="10"/>
      <c r="H68" s="49"/>
      <c r="I68" s="39"/>
      <c r="J68" s="20">
        <f t="shared" si="2"/>
        <v>38017</v>
      </c>
      <c r="K68" s="27">
        <f>'BOGIX (Gross)'!K68</f>
        <v>4.340293</v>
      </c>
      <c r="L68" s="46">
        <f t="shared" si="6"/>
        <v>1450102.7853136149</v>
      </c>
      <c r="M68" s="10"/>
      <c r="O68" s="39"/>
      <c r="P68" s="20">
        <f t="shared" si="3"/>
        <v>38017</v>
      </c>
      <c r="Q68" s="27">
        <f>'BOGIX (Gross)'!Q68</f>
        <v>2.8703379999999998</v>
      </c>
      <c r="R68" s="46">
        <f t="shared" si="7"/>
        <v>1648360.2797497872</v>
      </c>
      <c r="S68" s="10"/>
      <c r="U68" s="49"/>
      <c r="V68" s="39"/>
    </row>
    <row r="69" spans="1:22" x14ac:dyDescent="0.25">
      <c r="A69" s="20">
        <v>38046</v>
      </c>
      <c r="B69" s="24">
        <f t="shared" si="4"/>
        <v>53</v>
      </c>
      <c r="C69" s="96" t="s">
        <v>340</v>
      </c>
      <c r="D69" s="27">
        <v>0</v>
      </c>
      <c r="E69" s="46">
        <f t="shared" si="5"/>
        <v>2422472.789322678</v>
      </c>
      <c r="F69" s="8"/>
      <c r="H69" s="49"/>
      <c r="I69" s="39"/>
      <c r="J69" s="20">
        <f t="shared" si="2"/>
        <v>38046</v>
      </c>
      <c r="K69" s="27">
        <f>'BOGIX (Gross)'!K69</f>
        <v>0.90041139999999997</v>
      </c>
      <c r="L69" s="46">
        <f t="shared" si="6"/>
        <v>1463159.6761042962</v>
      </c>
      <c r="M69" s="8"/>
      <c r="O69" s="39"/>
      <c r="P69" s="20">
        <f t="shared" si="3"/>
        <v>38046</v>
      </c>
      <c r="Q69" s="27">
        <f>'BOGIX (Gross)'!Q69</f>
        <v>1.9239569999999999</v>
      </c>
      <c r="R69" s="46">
        <f t="shared" si="7"/>
        <v>1680074.0227372528</v>
      </c>
      <c r="S69" s="8"/>
      <c r="U69" s="49"/>
      <c r="V69" s="39"/>
    </row>
    <row r="70" spans="1:22" x14ac:dyDescent="0.25">
      <c r="A70" s="20">
        <v>38077</v>
      </c>
      <c r="B70" s="24">
        <f t="shared" si="4"/>
        <v>54</v>
      </c>
      <c r="C70" s="96" t="s">
        <v>340</v>
      </c>
      <c r="D70" s="27">
        <v>-0.96119619999999995</v>
      </c>
      <c r="E70" s="46">
        <f t="shared" si="5"/>
        <v>2399188.0729256743</v>
      </c>
      <c r="F70" s="8"/>
      <c r="G70" s="5">
        <f>(E70/E67-1)*100</f>
        <v>5.5386947433050171</v>
      </c>
      <c r="H70" s="49"/>
      <c r="I70" s="39"/>
      <c r="J70" s="20">
        <f t="shared" si="2"/>
        <v>38077</v>
      </c>
      <c r="K70" s="27">
        <f>'BOGIX (Gross)'!K70</f>
        <v>0.91998959999999996</v>
      </c>
      <c r="L70" s="46">
        <f t="shared" si="6"/>
        <v>1476620.5929558494</v>
      </c>
      <c r="M70" s="8"/>
      <c r="N70" s="5">
        <f>(L70/L67-1)*100</f>
        <v>6.2483479648830498</v>
      </c>
      <c r="O70" s="39"/>
      <c r="P70" s="20">
        <f t="shared" si="3"/>
        <v>38077</v>
      </c>
      <c r="Q70" s="27">
        <f>'BOGIX (Gross)'!Q70</f>
        <v>1.305005</v>
      </c>
      <c r="R70" s="46">
        <f t="shared" si="7"/>
        <v>1701999.0727376752</v>
      </c>
      <c r="S70" s="8"/>
      <c r="T70" s="5">
        <f>(R70/R67-1)*100</f>
        <v>6.2178105351994306</v>
      </c>
      <c r="U70" s="49"/>
      <c r="V70" s="39"/>
    </row>
    <row r="71" spans="1:22" x14ac:dyDescent="0.25">
      <c r="A71" s="20">
        <v>38107</v>
      </c>
      <c r="B71" s="24">
        <f t="shared" si="4"/>
        <v>55</v>
      </c>
      <c r="C71" s="96" t="s">
        <v>340</v>
      </c>
      <c r="D71" s="27">
        <v>-6.0747660000000003</v>
      </c>
      <c r="E71" s="46">
        <f t="shared" si="5"/>
        <v>2253443.0115955304</v>
      </c>
      <c r="F71" s="8"/>
      <c r="H71" s="49"/>
      <c r="I71" s="39"/>
      <c r="J71" s="20">
        <f t="shared" si="2"/>
        <v>38107</v>
      </c>
      <c r="K71" s="27">
        <f>'BOGIX (Gross)'!K71</f>
        <v>-5.0994429999999999</v>
      </c>
      <c r="L71" s="46">
        <f t="shared" si="6"/>
        <v>1401321.1674918039</v>
      </c>
      <c r="M71" s="8"/>
      <c r="O71" s="39"/>
      <c r="P71" s="20">
        <f t="shared" si="3"/>
        <v>38107</v>
      </c>
      <c r="Q71" s="27">
        <f>'BOGIX (Gross)'!Q71</f>
        <v>-3.3170500000000001</v>
      </c>
      <c r="R71" s="46">
        <f t="shared" si="7"/>
        <v>1645542.9124954301</v>
      </c>
      <c r="S71" s="8"/>
      <c r="U71" s="49"/>
      <c r="V71" s="39"/>
    </row>
    <row r="72" spans="1:22" x14ac:dyDescent="0.25">
      <c r="A72" s="20">
        <v>38138</v>
      </c>
      <c r="B72" s="24">
        <f t="shared" si="4"/>
        <v>56</v>
      </c>
      <c r="C72" s="96" t="s">
        <v>340</v>
      </c>
      <c r="D72" s="27">
        <v>0.76540370000000002</v>
      </c>
      <c r="E72" s="46">
        <f t="shared" si="5"/>
        <v>2270690.9477836741</v>
      </c>
      <c r="F72" s="8"/>
      <c r="H72" s="49"/>
      <c r="I72" s="39"/>
      <c r="J72" s="20">
        <f t="shared" si="2"/>
        <v>38138</v>
      </c>
      <c r="K72" s="27">
        <f>'BOGIX (Gross)'!K72</f>
        <v>1.5907389999999999</v>
      </c>
      <c r="L72" s="46">
        <f t="shared" si="6"/>
        <v>1423612.5298183514</v>
      </c>
      <c r="M72" s="8"/>
      <c r="O72" s="39"/>
      <c r="P72" s="20">
        <f t="shared" si="3"/>
        <v>38138</v>
      </c>
      <c r="Q72" s="27">
        <f>'BOGIX (Gross)'!Q72</f>
        <v>1.530732</v>
      </c>
      <c r="R72" s="46">
        <f t="shared" si="7"/>
        <v>1670731.7644307297</v>
      </c>
      <c r="S72" s="8"/>
      <c r="U72" s="49"/>
      <c r="V72" s="39"/>
    </row>
    <row r="73" spans="1:22" x14ac:dyDescent="0.25">
      <c r="A73" s="20">
        <v>38168</v>
      </c>
      <c r="B73" s="24">
        <f t="shared" si="4"/>
        <v>57</v>
      </c>
      <c r="C73" s="96" t="s">
        <v>340</v>
      </c>
      <c r="D73" s="27">
        <v>4.405621</v>
      </c>
      <c r="E73" s="46">
        <f t="shared" si="5"/>
        <v>2370728.9850243307</v>
      </c>
      <c r="F73" s="8"/>
      <c r="G73" s="5">
        <f>(E73/E70-1)*100</f>
        <v>-1.1861966230366949</v>
      </c>
      <c r="H73" s="49"/>
      <c r="I73" s="39"/>
      <c r="J73" s="20">
        <f t="shared" si="2"/>
        <v>38168</v>
      </c>
      <c r="K73" s="27">
        <f>'BOGIX (Gross)'!K73</f>
        <v>4.2137599999999997</v>
      </c>
      <c r="L73" s="46">
        <f t="shared" si="6"/>
        <v>1483600.1451548252</v>
      </c>
      <c r="M73" s="8"/>
      <c r="N73" s="5">
        <f>(L73/L70-1)*100</f>
        <v>0.47267065299450017</v>
      </c>
      <c r="O73" s="39"/>
      <c r="P73" s="20">
        <f t="shared" si="3"/>
        <v>38168</v>
      </c>
      <c r="Q73" s="27">
        <f>'BOGIX (Gross)'!Q73</f>
        <v>5.5412049999999997</v>
      </c>
      <c r="R73" s="46">
        <f t="shared" si="7"/>
        <v>1763310.4364979535</v>
      </c>
      <c r="S73" s="8"/>
      <c r="T73" s="5">
        <f>(R73/R70-1)*100</f>
        <v>3.6023147569439473</v>
      </c>
      <c r="U73" s="49"/>
      <c r="V73" s="39"/>
    </row>
    <row r="74" spans="1:22" x14ac:dyDescent="0.25">
      <c r="A74" s="20">
        <v>38199</v>
      </c>
      <c r="B74" s="24">
        <f t="shared" si="4"/>
        <v>58</v>
      </c>
      <c r="C74" s="96" t="s">
        <v>340</v>
      </c>
      <c r="D74" s="27">
        <v>-6.0385590000000002</v>
      </c>
      <c r="E74" s="46">
        <f t="shared" si="5"/>
        <v>2227571.1165335355</v>
      </c>
      <c r="F74" s="8"/>
      <c r="H74" s="49"/>
      <c r="I74" s="39"/>
      <c r="J74" s="20">
        <f t="shared" si="2"/>
        <v>38199</v>
      </c>
      <c r="K74" s="27">
        <f>'BOGIX (Gross)'!K74</f>
        <v>-6.7329499999999998</v>
      </c>
      <c r="L74" s="46">
        <f t="shared" si="6"/>
        <v>1383710.0891816234</v>
      </c>
      <c r="M74" s="8"/>
      <c r="O74" s="39"/>
      <c r="P74" s="20">
        <f t="shared" si="3"/>
        <v>38199</v>
      </c>
      <c r="Q74" s="27">
        <f>'BOGIX (Gross)'!Q74</f>
        <v>-5.4830779999999999</v>
      </c>
      <c r="R74" s="46">
        <f t="shared" si="7"/>
        <v>1666626.7498826303</v>
      </c>
      <c r="S74" s="8"/>
      <c r="U74" s="49"/>
      <c r="V74" s="39"/>
    </row>
    <row r="75" spans="1:22" x14ac:dyDescent="0.25">
      <c r="A75" s="20">
        <v>38230</v>
      </c>
      <c r="B75" s="24">
        <f t="shared" si="4"/>
        <v>59</v>
      </c>
      <c r="C75" s="96" t="s">
        <v>340</v>
      </c>
      <c r="D75" s="27">
        <v>-3.252033</v>
      </c>
      <c r="E75" s="46">
        <f t="shared" si="5"/>
        <v>2155129.7687253966</v>
      </c>
      <c r="F75" s="8"/>
      <c r="H75" s="49"/>
      <c r="I75" s="39"/>
      <c r="J75" s="20">
        <f t="shared" si="2"/>
        <v>38230</v>
      </c>
      <c r="K75" s="27">
        <f>'BOGIX (Gross)'!K75</f>
        <v>-0.51783800000000002</v>
      </c>
      <c r="L75" s="46">
        <f t="shared" si="6"/>
        <v>1376544.7125300071</v>
      </c>
      <c r="M75" s="8"/>
      <c r="O75" s="39"/>
      <c r="P75" s="20">
        <f t="shared" si="3"/>
        <v>38230</v>
      </c>
      <c r="Q75" s="27">
        <f>'BOGIX (Gross)'!Q75</f>
        <v>-0.88193980000000005</v>
      </c>
      <c r="R75" s="46">
        <f t="shared" si="7"/>
        <v>1651928.1052579689</v>
      </c>
      <c r="S75" s="8"/>
      <c r="U75" s="49"/>
      <c r="V75" s="39"/>
    </row>
    <row r="76" spans="1:22" x14ac:dyDescent="0.25">
      <c r="A76" s="20">
        <v>38260</v>
      </c>
      <c r="B76" s="24">
        <f t="shared" si="4"/>
        <v>60</v>
      </c>
      <c r="C76" s="96" t="s">
        <v>340</v>
      </c>
      <c r="D76" s="27">
        <v>6.3225290000000003</v>
      </c>
      <c r="E76" s="46">
        <f t="shared" si="5"/>
        <v>2291388.4733406929</v>
      </c>
      <c r="F76" s="8"/>
      <c r="G76" s="5">
        <f>(E76/E73-1)*100</f>
        <v>-3.3466715168551153</v>
      </c>
      <c r="H76" s="49"/>
      <c r="I76" s="39"/>
      <c r="J76" s="20">
        <f t="shared" si="2"/>
        <v>38260</v>
      </c>
      <c r="K76" s="27">
        <f>'BOGIX (Gross)'!K76</f>
        <v>4.6952749999999996</v>
      </c>
      <c r="L76" s="46">
        <f t="shared" si="6"/>
        <v>1441177.2722812505</v>
      </c>
      <c r="M76" s="8"/>
      <c r="N76" s="5">
        <f>(L76/L73-1)*100</f>
        <v>-2.8594546186936132</v>
      </c>
      <c r="O76" s="39"/>
      <c r="P76" s="20">
        <f t="shared" si="3"/>
        <v>38260</v>
      </c>
      <c r="Q76" s="27">
        <f>'BOGIX (Gross)'!Q76</f>
        <v>5.2744660000000003</v>
      </c>
      <c r="R76" s="46">
        <f t="shared" si="7"/>
        <v>1739058.4915142446</v>
      </c>
      <c r="S76" s="8"/>
      <c r="T76" s="5">
        <f>(R76/R73-1)*100</f>
        <v>-1.3753644554996725</v>
      </c>
      <c r="U76" s="49"/>
      <c r="V76" s="39"/>
    </row>
    <row r="77" spans="1:22" x14ac:dyDescent="0.25">
      <c r="A77" s="20">
        <v>38291</v>
      </c>
      <c r="B77" s="24">
        <f t="shared" si="4"/>
        <v>61</v>
      </c>
      <c r="C77" s="96" t="s">
        <v>340</v>
      </c>
      <c r="D77" s="27">
        <v>-0.74876310000000001</v>
      </c>
      <c r="E77" s="46">
        <f t="shared" si="5"/>
        <v>2274231.4019746645</v>
      </c>
      <c r="F77" s="8"/>
      <c r="H77" s="49"/>
      <c r="I77" s="39"/>
      <c r="J77" s="20">
        <f t="shared" si="2"/>
        <v>38291</v>
      </c>
      <c r="K77" s="27">
        <f>'BOGIX (Gross)'!K77</f>
        <v>1.966472</v>
      </c>
      <c r="L77" s="46">
        <f t="shared" si="6"/>
        <v>1469517.619811025</v>
      </c>
      <c r="M77" s="8"/>
      <c r="O77" s="39"/>
      <c r="P77" s="20">
        <f t="shared" si="3"/>
        <v>38291</v>
      </c>
      <c r="Q77" s="27">
        <f>'BOGIX (Gross)'!Q77</f>
        <v>1.869219</v>
      </c>
      <c r="R77" s="46">
        <f t="shared" si="7"/>
        <v>1771565.3032587422</v>
      </c>
      <c r="S77" s="8"/>
      <c r="U77" s="49"/>
      <c r="V77" s="39"/>
    </row>
    <row r="78" spans="1:22" x14ac:dyDescent="0.25">
      <c r="A78" s="20">
        <v>38321</v>
      </c>
      <c r="B78" s="24">
        <f t="shared" si="4"/>
        <v>62</v>
      </c>
      <c r="C78" s="96" t="s">
        <v>340</v>
      </c>
      <c r="D78" s="27">
        <v>7.7148849999999998</v>
      </c>
      <c r="E78" s="46">
        <f t="shared" si="5"/>
        <v>2449685.7392708976</v>
      </c>
      <c r="F78" s="8"/>
      <c r="H78" s="49"/>
      <c r="I78" s="39"/>
      <c r="J78" s="20">
        <f t="shared" si="2"/>
        <v>38321</v>
      </c>
      <c r="K78" s="27">
        <f>'BOGIX (Gross)'!K78</f>
        <v>8.6520689999999991</v>
      </c>
      <c r="L78" s="46">
        <f t="shared" si="6"/>
        <v>1596661.2982442325</v>
      </c>
      <c r="M78" s="8"/>
      <c r="O78" s="39"/>
      <c r="P78" s="20">
        <f t="shared" si="3"/>
        <v>38321</v>
      </c>
      <c r="Q78" s="27">
        <f>'BOGIX (Gross)'!Q78</f>
        <v>8.5468080000000004</v>
      </c>
      <c r="R78" s="46">
        <f t="shared" si="7"/>
        <v>1922977.5883228846</v>
      </c>
      <c r="S78" s="8"/>
      <c r="U78" s="49"/>
      <c r="V78" s="39"/>
    </row>
    <row r="79" spans="1:22" x14ac:dyDescent="0.25">
      <c r="A79" s="20">
        <v>38352</v>
      </c>
      <c r="B79" s="24">
        <f t="shared" si="4"/>
        <v>63</v>
      </c>
      <c r="C79" s="96" t="s">
        <v>340</v>
      </c>
      <c r="D79" s="27">
        <v>2.8804979999999998</v>
      </c>
      <c r="E79" s="46">
        <f t="shared" si="5"/>
        <v>2520248.8879968808</v>
      </c>
      <c r="F79" s="11">
        <f>(E79-E67)/E67*100</f>
        <v>10.864079839770339</v>
      </c>
      <c r="G79" s="5">
        <f>(E79/E76-1)*100</f>
        <v>9.9878487353357581</v>
      </c>
      <c r="H79" s="49"/>
      <c r="I79" s="39"/>
      <c r="J79" s="20">
        <f t="shared" si="2"/>
        <v>38352</v>
      </c>
      <c r="K79" s="27">
        <f>'BOGIX (Gross)'!K79</f>
        <v>2.9504090000000001</v>
      </c>
      <c r="L79" s="46">
        <f t="shared" si="6"/>
        <v>1643769.3368871473</v>
      </c>
      <c r="M79" s="11">
        <f>(L79-L67)/L67*100</f>
        <v>18.275322254572291</v>
      </c>
      <c r="N79" s="5">
        <f>(L79/L76-1)*100</f>
        <v>14.05740074468509</v>
      </c>
      <c r="O79" s="39"/>
      <c r="P79" s="20">
        <f t="shared" si="3"/>
        <v>38352</v>
      </c>
      <c r="Q79" s="27">
        <f>'BOGIX (Gross)'!Q79</f>
        <v>2.1990980000000002</v>
      </c>
      <c r="R79" s="46">
        <f t="shared" si="7"/>
        <v>1965265.7500081414</v>
      </c>
      <c r="S79" s="11">
        <f>(R79-R67)/R67*100</f>
        <v>22.647672627642443</v>
      </c>
      <c r="T79" s="5">
        <f>(R79/R76-1)*100</f>
        <v>13.007455447742423</v>
      </c>
      <c r="U79" s="49"/>
      <c r="V79" s="39"/>
    </row>
    <row r="80" spans="1:22" x14ac:dyDescent="0.25">
      <c r="A80" s="20">
        <v>38383</v>
      </c>
      <c r="B80" s="24">
        <f t="shared" si="4"/>
        <v>64</v>
      </c>
      <c r="C80" s="96" t="s">
        <v>340</v>
      </c>
      <c r="D80" s="27">
        <v>-3.4052210000000001</v>
      </c>
      <c r="E80" s="46">
        <f t="shared" si="5"/>
        <v>2434428.8436105447</v>
      </c>
      <c r="F80" s="10"/>
      <c r="H80" s="49"/>
      <c r="I80" s="39"/>
      <c r="J80" s="20">
        <f t="shared" si="2"/>
        <v>38383</v>
      </c>
      <c r="K80" s="27">
        <f>'BOGIX (Gross)'!K80</f>
        <v>-4.1749036766697643</v>
      </c>
      <c r="L80" s="46">
        <f t="shared" si="6"/>
        <v>1575143.5504054755</v>
      </c>
      <c r="M80" s="10"/>
      <c r="O80" s="39"/>
      <c r="P80" s="20">
        <f t="shared" si="3"/>
        <v>38383</v>
      </c>
      <c r="Q80" s="27">
        <f>'BOGIX (Gross)'!Q80</f>
        <v>-2.2689680000000001</v>
      </c>
      <c r="R80" s="46">
        <f t="shared" si="7"/>
        <v>1920674.4990254967</v>
      </c>
      <c r="S80" s="10"/>
      <c r="U80" s="49"/>
      <c r="V80" s="39"/>
    </row>
    <row r="81" spans="1:22" x14ac:dyDescent="0.25">
      <c r="A81" s="20">
        <v>38411</v>
      </c>
      <c r="B81" s="24">
        <f t="shared" si="4"/>
        <v>65</v>
      </c>
      <c r="C81" s="96" t="s">
        <v>340</v>
      </c>
      <c r="D81" s="27">
        <v>3.9561299999999999</v>
      </c>
      <c r="E81" s="46">
        <f t="shared" si="5"/>
        <v>2530738.0134212747</v>
      </c>
      <c r="F81" s="8"/>
      <c r="H81" s="49"/>
      <c r="I81" s="39"/>
      <c r="J81" s="20">
        <f t="shared" si="2"/>
        <v>38411</v>
      </c>
      <c r="K81" s="27">
        <f>'BOGIX (Gross)'!K81</f>
        <v>1.6915377945368402</v>
      </c>
      <c r="L81" s="46">
        <f t="shared" si="6"/>
        <v>1601787.6988787935</v>
      </c>
      <c r="M81" s="8"/>
      <c r="O81" s="39"/>
      <c r="P81" s="20">
        <f t="shared" si="3"/>
        <v>38411</v>
      </c>
      <c r="Q81" s="27">
        <f>'BOGIX (Gross)'!Q81</f>
        <v>2.8670010000000001</v>
      </c>
      <c r="R81" s="46">
        <f t="shared" si="7"/>
        <v>1975740.2561193027</v>
      </c>
      <c r="S81" s="8"/>
      <c r="U81" s="49"/>
      <c r="V81" s="39"/>
    </row>
    <row r="82" spans="1:22" x14ac:dyDescent="0.25">
      <c r="A82" s="20">
        <v>38442</v>
      </c>
      <c r="B82" s="24">
        <f t="shared" ref="B82:B145" si="8">IF(A82&gt;A81,1+B81,"-")</f>
        <v>66</v>
      </c>
      <c r="C82" s="96" t="s">
        <v>340</v>
      </c>
      <c r="D82" s="27">
        <v>-3.0519970000000001</v>
      </c>
      <c r="E82" s="46">
        <f t="shared" ref="E82:E145" si="9">E81*D82/100+E81</f>
        <v>2453499.9651737977</v>
      </c>
      <c r="F82" s="8"/>
      <c r="G82" s="5">
        <f>(E82/E79-1)*100</f>
        <v>-2.6485051988708874</v>
      </c>
      <c r="H82" s="49"/>
      <c r="I82" s="39"/>
      <c r="J82" s="20">
        <f t="shared" si="2"/>
        <v>38442</v>
      </c>
      <c r="K82" s="27">
        <f>'BOGIX (Gross)'!K82</f>
        <v>-2.8691520870784362</v>
      </c>
      <c r="L82" s="46">
        <f t="shared" ref="L82:L145" si="10">L81*K82/100+L81</f>
        <v>1555829.9736858469</v>
      </c>
      <c r="M82" s="8"/>
      <c r="N82" s="5">
        <f>(L82/L79-1)*100</f>
        <v>-5.349860301435827</v>
      </c>
      <c r="O82" s="39"/>
      <c r="P82" s="20">
        <f t="shared" si="3"/>
        <v>38442</v>
      </c>
      <c r="Q82" s="27">
        <f>'BOGIX (Gross)'!Q82</f>
        <v>-2.5875780000000002</v>
      </c>
      <c r="R82" s="46">
        <f t="shared" ref="R82:R145" si="11">R81*Q82/100+R81</f>
        <v>1924616.4359148159</v>
      </c>
      <c r="S82" s="8"/>
      <c r="T82" s="5">
        <f>(R82/R79-1)*100</f>
        <v>-2.068387651550796</v>
      </c>
      <c r="U82" s="49"/>
      <c r="V82" s="39"/>
    </row>
    <row r="83" spans="1:22" x14ac:dyDescent="0.25">
      <c r="A83" s="20">
        <v>38472</v>
      </c>
      <c r="B83" s="24">
        <f t="shared" si="8"/>
        <v>67</v>
      </c>
      <c r="C83" s="96" t="s">
        <v>340</v>
      </c>
      <c r="D83" s="27">
        <v>-4.7026820000000003</v>
      </c>
      <c r="E83" s="46">
        <f t="shared" si="9"/>
        <v>2338119.6639415631</v>
      </c>
      <c r="F83" s="8"/>
      <c r="H83" s="49"/>
      <c r="I83" s="39"/>
      <c r="J83" s="20">
        <f t="shared" si="2"/>
        <v>38472</v>
      </c>
      <c r="K83" s="27">
        <f>'BOGIX (Gross)'!K83</f>
        <v>-5.7274516200795542</v>
      </c>
      <c r="L83" s="46">
        <f t="shared" si="10"/>
        <v>1466720.5646522935</v>
      </c>
      <c r="M83" s="8"/>
      <c r="O83" s="39"/>
      <c r="P83" s="20">
        <f t="shared" si="3"/>
        <v>38472</v>
      </c>
      <c r="Q83" s="27">
        <f>'BOGIX (Gross)'!Q83</f>
        <v>-5.5852539999999999</v>
      </c>
      <c r="R83" s="46">
        <f t="shared" si="11"/>
        <v>1817121.7194432262</v>
      </c>
      <c r="S83" s="8"/>
      <c r="U83" s="49"/>
      <c r="V83" s="39"/>
    </row>
    <row r="84" spans="1:22" x14ac:dyDescent="0.25">
      <c r="A84" s="20">
        <v>38503</v>
      </c>
      <c r="B84" s="24">
        <f t="shared" si="8"/>
        <v>68</v>
      </c>
      <c r="C84" s="96" t="s">
        <v>340</v>
      </c>
      <c r="D84" s="27">
        <v>6.1990210000000001</v>
      </c>
      <c r="E84" s="46">
        <f t="shared" si="9"/>
        <v>2483060.1929144301</v>
      </c>
      <c r="F84" s="8"/>
      <c r="H84" s="49"/>
      <c r="I84" s="39"/>
      <c r="J84" s="20">
        <f t="shared" ref="J84:J147" si="12">$A84</f>
        <v>38503</v>
      </c>
      <c r="K84" s="27">
        <f>'BOGIX (Gross)'!K84</f>
        <v>6.544957063145656</v>
      </c>
      <c r="L84" s="46">
        <f t="shared" si="10"/>
        <v>1562716.7958451137</v>
      </c>
      <c r="M84" s="8"/>
      <c r="O84" s="39"/>
      <c r="P84" s="20">
        <f t="shared" ref="P84:P147" si="13">$A84</f>
        <v>38503</v>
      </c>
      <c r="Q84" s="27">
        <f>'BOGIX (Gross)'!Q84</f>
        <v>6.6236379999999997</v>
      </c>
      <c r="R84" s="46">
        <f t="shared" si="11"/>
        <v>1937481.2841585211</v>
      </c>
      <c r="S84" s="8"/>
      <c r="U84" s="49"/>
      <c r="V84" s="39"/>
    </row>
    <row r="85" spans="1:22" x14ac:dyDescent="0.25">
      <c r="A85" s="20">
        <v>38533</v>
      </c>
      <c r="B85" s="24">
        <f t="shared" si="8"/>
        <v>69</v>
      </c>
      <c r="C85" s="96" t="s">
        <v>340</v>
      </c>
      <c r="D85" s="27">
        <v>3.225806</v>
      </c>
      <c r="E85" s="46">
        <f t="shared" si="9"/>
        <v>2563158.8976010755</v>
      </c>
      <c r="F85" s="8"/>
      <c r="G85" s="5">
        <f>(E85/E82-1)*100</f>
        <v>4.4694898709529696</v>
      </c>
      <c r="H85" s="49"/>
      <c r="I85" s="39"/>
      <c r="J85" s="20">
        <f t="shared" si="12"/>
        <v>38533</v>
      </c>
      <c r="K85" s="27">
        <f>'BOGIX (Gross)'!K85</f>
        <v>3.856145917194314</v>
      </c>
      <c r="L85" s="46">
        <f t="shared" si="10"/>
        <v>1622977.435765405</v>
      </c>
      <c r="M85" s="8"/>
      <c r="N85" s="5">
        <f>(L85/L82-1)*100</f>
        <v>4.3158611940405045</v>
      </c>
      <c r="O85" s="39"/>
      <c r="P85" s="20">
        <f t="shared" si="13"/>
        <v>38533</v>
      </c>
      <c r="Q85" s="27">
        <f>'BOGIX (Gross)'!Q85</f>
        <v>3.2503570000000002</v>
      </c>
      <c r="R85" s="46">
        <f t="shared" si="11"/>
        <v>2000456.3427018574</v>
      </c>
      <c r="S85" s="8"/>
      <c r="T85" s="5">
        <f>(R85/R82-1)*100</f>
        <v>3.9405205822734768</v>
      </c>
      <c r="U85" s="49"/>
      <c r="V85" s="39"/>
    </row>
    <row r="86" spans="1:22" x14ac:dyDescent="0.25">
      <c r="A86" s="20">
        <v>38564</v>
      </c>
      <c r="B86" s="24">
        <f t="shared" si="8"/>
        <v>70</v>
      </c>
      <c r="C86" s="96" t="s">
        <v>340</v>
      </c>
      <c r="D86" s="27">
        <v>7.0684519999999997</v>
      </c>
      <c r="E86" s="46">
        <f t="shared" si="9"/>
        <v>2744334.5539617366</v>
      </c>
      <c r="F86" s="8"/>
      <c r="H86" s="49"/>
      <c r="I86" s="39"/>
      <c r="J86" s="20">
        <f t="shared" si="12"/>
        <v>38564</v>
      </c>
      <c r="K86" s="27">
        <f>'BOGIX (Gross)'!K86</f>
        <v>6.3348181372920145</v>
      </c>
      <c r="L86" s="46">
        <f t="shared" si="10"/>
        <v>1725790.1047304287</v>
      </c>
      <c r="M86" s="8"/>
      <c r="O86" s="39"/>
      <c r="P86" s="20">
        <f t="shared" si="13"/>
        <v>38564</v>
      </c>
      <c r="Q86" s="27">
        <f>'BOGIX (Gross)'!Q86</f>
        <v>6.0165749999999996</v>
      </c>
      <c r="R86" s="46">
        <f t="shared" si="11"/>
        <v>2120815.2989027719</v>
      </c>
      <c r="S86" s="8"/>
      <c r="U86" s="49"/>
      <c r="V86" s="39"/>
    </row>
    <row r="87" spans="1:22" x14ac:dyDescent="0.25">
      <c r="A87" s="20">
        <v>38595</v>
      </c>
      <c r="B87" s="24">
        <f t="shared" si="8"/>
        <v>71</v>
      </c>
      <c r="C87" s="96" t="s">
        <v>340</v>
      </c>
      <c r="D87" s="27">
        <v>0</v>
      </c>
      <c r="E87" s="46">
        <f t="shared" si="9"/>
        <v>2744334.5539617366</v>
      </c>
      <c r="F87" s="8"/>
      <c r="H87" s="49"/>
      <c r="I87" s="39"/>
      <c r="J87" s="20">
        <f t="shared" si="12"/>
        <v>38595</v>
      </c>
      <c r="K87" s="27">
        <f>'BOGIX (Gross)'!K87</f>
        <v>-1.8581215654396157</v>
      </c>
      <c r="L87" s="46">
        <f t="shared" si="10"/>
        <v>1693722.8266202097</v>
      </c>
      <c r="M87" s="8"/>
      <c r="O87" s="39"/>
      <c r="P87" s="20">
        <f t="shared" si="13"/>
        <v>38595</v>
      </c>
      <c r="Q87" s="27">
        <f>'BOGIX (Gross)'!Q87</f>
        <v>-1.475339</v>
      </c>
      <c r="R87" s="46">
        <f t="shared" si="11"/>
        <v>2089526.0836800928</v>
      </c>
      <c r="S87" s="8"/>
      <c r="U87" s="49"/>
      <c r="V87" s="39"/>
    </row>
    <row r="88" spans="1:22" x14ac:dyDescent="0.25">
      <c r="A88" s="20">
        <v>38625</v>
      </c>
      <c r="B88" s="24">
        <f t="shared" si="8"/>
        <v>72</v>
      </c>
      <c r="C88" s="96" t="s">
        <v>340</v>
      </c>
      <c r="D88" s="27">
        <v>2.3280059999999998</v>
      </c>
      <c r="E88" s="46">
        <f t="shared" si="9"/>
        <v>2808222.827038039</v>
      </c>
      <c r="F88" s="8"/>
      <c r="G88" s="5">
        <f>(E88/E85-1)*100</f>
        <v>9.5610119866671219</v>
      </c>
      <c r="H88" s="49"/>
      <c r="I88" s="39"/>
      <c r="J88" s="20">
        <f t="shared" si="12"/>
        <v>38625</v>
      </c>
      <c r="K88" s="27">
        <f>'BOGIX (Gross)'!K88</f>
        <v>0.31673435780602038</v>
      </c>
      <c r="L88" s="46">
        <f t="shared" si="10"/>
        <v>1699087.4287381193</v>
      </c>
      <c r="M88" s="8"/>
      <c r="N88" s="5">
        <f>(L88/L85-1)*100</f>
        <v>4.6895287202080249</v>
      </c>
      <c r="O88" s="39"/>
      <c r="P88" s="20">
        <f t="shared" si="13"/>
        <v>38625</v>
      </c>
      <c r="Q88" s="27">
        <f>'BOGIX (Gross)'!Q88</f>
        <v>0.88009510000000002</v>
      </c>
      <c r="R88" s="46">
        <f t="shared" si="11"/>
        <v>2107915.9003557833</v>
      </c>
      <c r="S88" s="8"/>
      <c r="T88" s="5">
        <f>(R88/R85-1)*100</f>
        <v>5.3717522027393327</v>
      </c>
      <c r="U88" s="49"/>
      <c r="V88" s="39"/>
    </row>
    <row r="89" spans="1:22" x14ac:dyDescent="0.25">
      <c r="A89" s="20">
        <v>38656</v>
      </c>
      <c r="B89" s="24">
        <f t="shared" si="8"/>
        <v>73</v>
      </c>
      <c r="C89" s="96" t="s">
        <v>340</v>
      </c>
      <c r="D89" s="27">
        <v>-0.87485990000000002</v>
      </c>
      <c r="E89" s="46">
        <f t="shared" si="9"/>
        <v>2783654.8116216366</v>
      </c>
      <c r="F89" s="8"/>
      <c r="H89" s="49"/>
      <c r="I89" s="39"/>
      <c r="J89" s="20">
        <f t="shared" si="12"/>
        <v>38656</v>
      </c>
      <c r="K89" s="27">
        <f>'BOGIX (Gross)'!K89</f>
        <v>-3.1057180650660752</v>
      </c>
      <c r="L89" s="46">
        <f t="shared" si="10"/>
        <v>1646318.5635225328</v>
      </c>
      <c r="M89" s="8"/>
      <c r="O89" s="39"/>
      <c r="P89" s="20">
        <f t="shared" si="13"/>
        <v>38656</v>
      </c>
      <c r="Q89" s="27">
        <f>'BOGIX (Gross)'!Q89</f>
        <v>-3.1284939999999999</v>
      </c>
      <c r="R89" s="46">
        <f t="shared" si="11"/>
        <v>2041969.8778881067</v>
      </c>
      <c r="S89" s="8"/>
      <c r="U89" s="49"/>
      <c r="V89" s="39"/>
    </row>
    <row r="90" spans="1:22" x14ac:dyDescent="0.25">
      <c r="A90" s="20">
        <v>38686</v>
      </c>
      <c r="B90" s="24">
        <f t="shared" si="8"/>
        <v>74</v>
      </c>
      <c r="C90" s="96" t="s">
        <v>340</v>
      </c>
      <c r="D90" s="27">
        <v>6.3549160000000002</v>
      </c>
      <c r="E90" s="46">
        <f t="shared" si="9"/>
        <v>2960553.7366301501</v>
      </c>
      <c r="F90" s="8"/>
      <c r="H90" s="49"/>
      <c r="I90" s="39"/>
      <c r="J90" s="20">
        <f t="shared" si="12"/>
        <v>38686</v>
      </c>
      <c r="K90" s="27">
        <f>'BOGIX (Gross)'!K90</f>
        <v>4.8421218770686698</v>
      </c>
      <c r="L90" s="46">
        <f t="shared" si="10"/>
        <v>1726035.3148531001</v>
      </c>
      <c r="M90" s="8"/>
      <c r="O90" s="39"/>
      <c r="P90" s="20">
        <f t="shared" si="13"/>
        <v>38686</v>
      </c>
      <c r="Q90" s="27">
        <f>'BOGIX (Gross)'!Q90</f>
        <v>4.5914070000000002</v>
      </c>
      <c r="R90" s="46">
        <f t="shared" si="11"/>
        <v>2135725.0257993527</v>
      </c>
      <c r="S90" s="8"/>
      <c r="U90" s="49"/>
      <c r="V90" s="39"/>
    </row>
    <row r="91" spans="1:22" x14ac:dyDescent="0.25">
      <c r="A91" s="20">
        <v>38717</v>
      </c>
      <c r="B91" s="24">
        <f t="shared" si="8"/>
        <v>75</v>
      </c>
      <c r="C91" s="96" t="s">
        <v>340</v>
      </c>
      <c r="D91" s="27">
        <v>-7.5159710000000005E-2</v>
      </c>
      <c r="E91" s="46">
        <f t="shared" si="9"/>
        <v>2958328.5930273049</v>
      </c>
      <c r="F91" s="11">
        <f>(E91-E79)/E79*100</f>
        <v>17.38239850503869</v>
      </c>
      <c r="G91" s="5">
        <f>(E91/E88-1)*100</f>
        <v>5.3452227702168953</v>
      </c>
      <c r="H91" s="49"/>
      <c r="I91" s="39"/>
      <c r="J91" s="20">
        <f t="shared" si="12"/>
        <v>38717</v>
      </c>
      <c r="K91" s="27">
        <f>'BOGIX (Gross)'!K91</f>
        <v>-0.469444729858433</v>
      </c>
      <c r="L91" s="46">
        <f t="shared" si="10"/>
        <v>1717932.5330320268</v>
      </c>
      <c r="M91" s="11">
        <f>(L91-L79)/L79*100</f>
        <v>4.5117763472413062</v>
      </c>
      <c r="N91" s="5">
        <f>(L91/L88-1)*100</f>
        <v>1.1091309355342194</v>
      </c>
      <c r="O91" s="39"/>
      <c r="P91" s="20">
        <f t="shared" si="13"/>
        <v>38717</v>
      </c>
      <c r="Q91" s="27">
        <f>'BOGIX (Gross)'!Q91</f>
        <v>-0.92092379999999996</v>
      </c>
      <c r="R91" s="46">
        <f t="shared" si="11"/>
        <v>2116056.6257342105</v>
      </c>
      <c r="S91" s="11">
        <f>(R91-R79)/R79*100</f>
        <v>7.672798232271866</v>
      </c>
      <c r="T91" s="5">
        <f>(R91/R88-1)*100</f>
        <v>0.38619782587403506</v>
      </c>
      <c r="U91" s="49"/>
      <c r="V91" s="39"/>
    </row>
    <row r="92" spans="1:22" x14ac:dyDescent="0.25">
      <c r="A92" s="20">
        <v>38748</v>
      </c>
      <c r="B92" s="24">
        <f t="shared" si="8"/>
        <v>76</v>
      </c>
      <c r="C92" s="96" t="s">
        <v>340</v>
      </c>
      <c r="D92" s="27">
        <v>10.342230000000001</v>
      </c>
      <c r="E92" s="46">
        <f t="shared" si="9"/>
        <v>3264285.7402739525</v>
      </c>
      <c r="F92" s="10"/>
      <c r="H92" s="49"/>
      <c r="I92" s="39"/>
      <c r="J92" s="20">
        <f t="shared" si="12"/>
        <v>38748</v>
      </c>
      <c r="K92" s="27">
        <f>'BOGIX (Gross)'!K92</f>
        <v>8.9676280956516372</v>
      </c>
      <c r="L92" s="46">
        <f t="shared" si="10"/>
        <v>1871990.3335285466</v>
      </c>
      <c r="M92" s="10"/>
      <c r="O92" s="39"/>
      <c r="P92" s="20">
        <f t="shared" si="13"/>
        <v>38748</v>
      </c>
      <c r="Q92" s="27">
        <f>'BOGIX (Gross)'!Q92</f>
        <v>8.3727060000000009</v>
      </c>
      <c r="R92" s="46">
        <f t="shared" si="11"/>
        <v>2293227.8258004561</v>
      </c>
      <c r="S92" s="10"/>
      <c r="U92" s="49"/>
      <c r="V92" s="39"/>
    </row>
    <row r="93" spans="1:22" x14ac:dyDescent="0.25">
      <c r="A93" s="20">
        <v>38776</v>
      </c>
      <c r="B93" s="24">
        <f t="shared" si="8"/>
        <v>77</v>
      </c>
      <c r="C93" s="96" t="s">
        <v>340</v>
      </c>
      <c r="D93" s="27">
        <v>0.37491479999999999</v>
      </c>
      <c r="E93" s="46">
        <f t="shared" si="9"/>
        <v>3276524.0306285289</v>
      </c>
      <c r="F93" s="8"/>
      <c r="H93" s="49"/>
      <c r="I93" s="39"/>
      <c r="J93" s="20">
        <f t="shared" si="12"/>
        <v>38776</v>
      </c>
      <c r="K93" s="27">
        <f>'BOGIX (Gross)'!K93</f>
        <v>-0.27856722302398085</v>
      </c>
      <c r="L93" s="46">
        <f t="shared" si="10"/>
        <v>1866775.5820411588</v>
      </c>
      <c r="M93" s="8"/>
      <c r="O93" s="39"/>
      <c r="P93" s="20">
        <f t="shared" si="13"/>
        <v>38776</v>
      </c>
      <c r="Q93" s="27">
        <f>'BOGIX (Gross)'!Q93</f>
        <v>-0.75098960000000003</v>
      </c>
      <c r="R93" s="46">
        <f t="shared" si="11"/>
        <v>2276005.9233243885</v>
      </c>
      <c r="S93" s="8"/>
      <c r="U93" s="49"/>
      <c r="V93" s="39"/>
    </row>
    <row r="94" spans="1:22" x14ac:dyDescent="0.25">
      <c r="A94" s="20">
        <v>38807</v>
      </c>
      <c r="B94" s="24">
        <f t="shared" si="8"/>
        <v>78</v>
      </c>
      <c r="C94" s="96" t="s">
        <v>340</v>
      </c>
      <c r="D94" s="27">
        <v>4.4142609999999998</v>
      </c>
      <c r="E94" s="46">
        <f t="shared" si="9"/>
        <v>3421158.353068192</v>
      </c>
      <c r="F94" s="8"/>
      <c r="G94" s="5">
        <f>(E94/E91-1)*100</f>
        <v>15.644974704019132</v>
      </c>
      <c r="H94" s="49"/>
      <c r="I94" s="39"/>
      <c r="J94" s="20">
        <f t="shared" si="12"/>
        <v>38807</v>
      </c>
      <c r="K94" s="27">
        <f>'BOGIX (Gross)'!K94</f>
        <v>4.8531852212221951</v>
      </c>
      <c r="L94" s="46">
        <f t="shared" si="10"/>
        <v>1957373.6587021649</v>
      </c>
      <c r="M94" s="8"/>
      <c r="N94" s="5">
        <f>(L94/L91-1)*100</f>
        <v>13.937749071410966</v>
      </c>
      <c r="O94" s="39"/>
      <c r="P94" s="20">
        <f t="shared" si="13"/>
        <v>38807</v>
      </c>
      <c r="Q94" s="27">
        <f>'BOGIX (Gross)'!Q94</f>
        <v>4.9080029999999999</v>
      </c>
      <c r="R94" s="46">
        <f t="shared" si="11"/>
        <v>2387712.362321327</v>
      </c>
      <c r="S94" s="8"/>
      <c r="T94" s="5">
        <f>(R94/R91-1)*100</f>
        <v>12.837829256712819</v>
      </c>
      <c r="U94" s="49"/>
      <c r="V94" s="39"/>
    </row>
    <row r="95" spans="1:22" x14ac:dyDescent="0.25">
      <c r="A95" s="20">
        <v>38837</v>
      </c>
      <c r="B95" s="24">
        <f t="shared" si="8"/>
        <v>79</v>
      </c>
      <c r="C95" s="96" t="s">
        <v>340</v>
      </c>
      <c r="D95" s="27">
        <v>3.0894309999999998</v>
      </c>
      <c r="E95" s="46">
        <f t="shared" si="9"/>
        <v>3526852.6797869704</v>
      </c>
      <c r="F95" s="8"/>
      <c r="H95" s="49"/>
      <c r="I95" s="39"/>
      <c r="J95" s="20">
        <f t="shared" si="12"/>
        <v>38837</v>
      </c>
      <c r="K95" s="27">
        <f>'BOGIX (Gross)'!K95</f>
        <v>-2.0389419875890716E-2</v>
      </c>
      <c r="L95" s="46">
        <f t="shared" si="10"/>
        <v>1956974.5615683519</v>
      </c>
      <c r="M95" s="8"/>
      <c r="O95" s="39"/>
      <c r="P95" s="20">
        <f t="shared" si="13"/>
        <v>38837</v>
      </c>
      <c r="Q95" s="27">
        <f>'BOGIX (Gross)'!Q95</f>
        <v>-9.3033279999999996E-3</v>
      </c>
      <c r="R95" s="46">
        <f t="shared" si="11"/>
        <v>2387490.2256085635</v>
      </c>
      <c r="S95" s="8"/>
      <c r="U95" s="49"/>
      <c r="V95" s="39"/>
    </row>
    <row r="96" spans="1:22" x14ac:dyDescent="0.25">
      <c r="A96" s="20">
        <v>38868</v>
      </c>
      <c r="B96" s="24">
        <f t="shared" si="8"/>
        <v>80</v>
      </c>
      <c r="C96" s="96" t="s">
        <v>340</v>
      </c>
      <c r="D96" s="27">
        <v>-8.0441640000000003</v>
      </c>
      <c r="E96" s="46">
        <f t="shared" si="9"/>
        <v>3243146.8661865117</v>
      </c>
      <c r="F96" s="8"/>
      <c r="H96" s="49"/>
      <c r="I96" s="39"/>
      <c r="J96" s="20">
        <f t="shared" si="12"/>
        <v>38868</v>
      </c>
      <c r="K96" s="27">
        <f>'BOGIX (Gross)'!K96</f>
        <v>-5.616961166089844</v>
      </c>
      <c r="L96" s="46">
        <f t="shared" si="10"/>
        <v>1847052.0604148007</v>
      </c>
      <c r="M96" s="8"/>
      <c r="O96" s="39"/>
      <c r="P96" s="20">
        <f t="shared" si="13"/>
        <v>38868</v>
      </c>
      <c r="Q96" s="27">
        <f>'BOGIX (Gross)'!Q96</f>
        <v>-4.5663669999999996</v>
      </c>
      <c r="R96" s="46">
        <f t="shared" si="11"/>
        <v>2278468.6598181487</v>
      </c>
      <c r="S96" s="8"/>
      <c r="U96" s="49"/>
      <c r="V96" s="39"/>
    </row>
    <row r="97" spans="1:22" x14ac:dyDescent="0.25">
      <c r="A97" s="20">
        <v>38898</v>
      </c>
      <c r="B97" s="24">
        <f t="shared" si="8"/>
        <v>81</v>
      </c>
      <c r="C97" s="96" t="s">
        <v>340</v>
      </c>
      <c r="D97" s="27">
        <v>-1.0977699999999999</v>
      </c>
      <c r="E97" s="46">
        <f t="shared" si="9"/>
        <v>3207544.5728335762</v>
      </c>
      <c r="F97" s="8"/>
      <c r="G97" s="5">
        <f>(E97/E94-1)*100</f>
        <v>-6.243902157964742</v>
      </c>
      <c r="H97" s="49"/>
      <c r="I97" s="39"/>
      <c r="J97" s="20">
        <f t="shared" si="12"/>
        <v>38898</v>
      </c>
      <c r="K97" s="27">
        <f>'BOGIX (Gross)'!K97</f>
        <v>0.63946256680731062</v>
      </c>
      <c r="L97" s="46">
        <f t="shared" si="10"/>
        <v>1858863.2669305964</v>
      </c>
      <c r="M97" s="8"/>
      <c r="N97" s="5">
        <f>(L97/L94-1)*100</f>
        <v>-5.0327841765728909</v>
      </c>
      <c r="O97" s="39"/>
      <c r="P97" s="20">
        <f t="shared" si="13"/>
        <v>38898</v>
      </c>
      <c r="Q97" s="27">
        <f>'BOGIX (Gross)'!Q97</f>
        <v>1.920318E-2</v>
      </c>
      <c r="R97" s="46">
        <f t="shared" si="11"/>
        <v>2278906.1982561373</v>
      </c>
      <c r="S97" s="8"/>
      <c r="T97" s="5">
        <f>(R97/R94-1)*100</f>
        <v>-4.5569209165298492</v>
      </c>
      <c r="U97" s="49"/>
      <c r="V97" s="39"/>
    </row>
    <row r="98" spans="1:22" x14ac:dyDescent="0.25">
      <c r="A98" s="20">
        <v>38929</v>
      </c>
      <c r="B98" s="24">
        <f t="shared" si="8"/>
        <v>82</v>
      </c>
      <c r="C98" s="96" t="s">
        <v>340</v>
      </c>
      <c r="D98" s="27">
        <v>-5.4804019999999998</v>
      </c>
      <c r="E98" s="46">
        <f t="shared" si="9"/>
        <v>3031758.2359131137</v>
      </c>
      <c r="F98" s="8"/>
      <c r="H98" s="49"/>
      <c r="I98" s="39"/>
      <c r="J98" s="20">
        <f t="shared" si="12"/>
        <v>38929</v>
      </c>
      <c r="K98" s="27">
        <f>'BOGIX (Gross)'!K98</f>
        <v>-3.2571905354134869</v>
      </c>
      <c r="L98" s="46">
        <f t="shared" si="10"/>
        <v>1798316.548533855</v>
      </c>
      <c r="M98" s="8"/>
      <c r="O98" s="39"/>
      <c r="P98" s="20">
        <f t="shared" si="13"/>
        <v>38929</v>
      </c>
      <c r="Q98" s="27">
        <f>'BOGIX (Gross)'!Q98</f>
        <v>-3.4420950000000001</v>
      </c>
      <c r="R98" s="46">
        <f t="shared" si="11"/>
        <v>2200464.0819512727</v>
      </c>
      <c r="S98" s="8"/>
      <c r="U98" s="49"/>
      <c r="V98" s="39"/>
    </row>
    <row r="99" spans="1:22" x14ac:dyDescent="0.25">
      <c r="A99" s="20">
        <v>38960</v>
      </c>
      <c r="B99" s="24">
        <f t="shared" si="8"/>
        <v>83</v>
      </c>
      <c r="C99" s="96" t="s">
        <v>340</v>
      </c>
      <c r="D99" s="27">
        <v>1.798165</v>
      </c>
      <c r="E99" s="46">
        <f t="shared" si="9"/>
        <v>3086274.2513959208</v>
      </c>
      <c r="F99" s="8"/>
      <c r="H99" s="49"/>
      <c r="I99" s="39"/>
      <c r="J99" s="20">
        <f t="shared" si="12"/>
        <v>38960</v>
      </c>
      <c r="K99" s="27">
        <f>'BOGIX (Gross)'!K99</f>
        <v>2.9576490313718335</v>
      </c>
      <c r="L99" s="46">
        <f t="shared" si="10"/>
        <v>1851504.4405125659</v>
      </c>
      <c r="M99" s="8"/>
      <c r="O99" s="39"/>
      <c r="P99" s="20">
        <f t="shared" si="13"/>
        <v>38960</v>
      </c>
      <c r="Q99" s="27">
        <f>'BOGIX (Gross)'!Q99</f>
        <v>1.720628</v>
      </c>
      <c r="R99" s="46">
        <f t="shared" si="11"/>
        <v>2238325.8830752694</v>
      </c>
      <c r="S99" s="8"/>
      <c r="U99" s="49"/>
      <c r="V99" s="39"/>
    </row>
    <row r="100" spans="1:22" x14ac:dyDescent="0.25">
      <c r="A100" s="20">
        <v>38990</v>
      </c>
      <c r="B100" s="24">
        <f t="shared" si="8"/>
        <v>84</v>
      </c>
      <c r="C100" s="96" t="s">
        <v>340</v>
      </c>
      <c r="D100" s="27">
        <v>1.514059</v>
      </c>
      <c r="E100" s="46">
        <f t="shared" si="9"/>
        <v>3133002.2644638633</v>
      </c>
      <c r="F100" s="8"/>
      <c r="G100" s="5">
        <f>(E100/E97-1)*100</f>
        <v>-2.323967966058893</v>
      </c>
      <c r="H100" s="49"/>
      <c r="I100" s="39"/>
      <c r="J100" s="20">
        <f t="shared" si="12"/>
        <v>38990</v>
      </c>
      <c r="K100" s="27">
        <f>'BOGIX (Gross)'!K100</f>
        <v>0.84129666372631351</v>
      </c>
      <c r="L100" s="46">
        <f t="shared" si="10"/>
        <v>1867081.0855993426</v>
      </c>
      <c r="M100" s="8"/>
      <c r="N100" s="5">
        <f>(L100/L97-1)*100</f>
        <v>0.44208838890638091</v>
      </c>
      <c r="O100" s="39"/>
      <c r="P100" s="20">
        <f t="shared" si="13"/>
        <v>38990</v>
      </c>
      <c r="Q100" s="27">
        <f>'BOGIX (Gross)'!Q100</f>
        <v>0.90909220000000002</v>
      </c>
      <c r="R100" s="46">
        <f t="shared" si="11"/>
        <v>2258674.3290888877</v>
      </c>
      <c r="S100" s="8"/>
      <c r="T100" s="5">
        <f>(R100/R97-1)*100</f>
        <v>-0.88778858834696051</v>
      </c>
      <c r="U100" s="49"/>
      <c r="V100" s="39"/>
    </row>
    <row r="101" spans="1:22" x14ac:dyDescent="0.25">
      <c r="A101" s="20">
        <v>39021</v>
      </c>
      <c r="B101" s="24">
        <f t="shared" si="8"/>
        <v>85</v>
      </c>
      <c r="C101" s="96" t="s">
        <v>340</v>
      </c>
      <c r="D101" s="27">
        <v>4.9321960000000002</v>
      </c>
      <c r="E101" s="46">
        <f t="shared" si="9"/>
        <v>3287528.0768316593</v>
      </c>
      <c r="F101" s="8"/>
      <c r="H101" s="49"/>
      <c r="I101" s="39"/>
      <c r="J101" s="20">
        <f t="shared" si="12"/>
        <v>39021</v>
      </c>
      <c r="K101" s="27">
        <f>'BOGIX (Gross)'!K101</f>
        <v>5.7571593934936693</v>
      </c>
      <c r="L101" s="46">
        <f t="shared" si="10"/>
        <v>1974571.9197030687</v>
      </c>
      <c r="M101" s="8"/>
      <c r="O101" s="39"/>
      <c r="P101" s="20">
        <f t="shared" si="13"/>
        <v>39021</v>
      </c>
      <c r="Q101" s="27">
        <f>'BOGIX (Gross)'!Q101</f>
        <v>4.9513230000000004</v>
      </c>
      <c r="R101" s="46">
        <f t="shared" si="11"/>
        <v>2370508.5906401617</v>
      </c>
      <c r="S101" s="8"/>
      <c r="U101" s="49"/>
      <c r="V101" s="39"/>
    </row>
    <row r="102" spans="1:22" x14ac:dyDescent="0.25">
      <c r="A102" s="20">
        <v>39051</v>
      </c>
      <c r="B102" s="24">
        <f t="shared" si="8"/>
        <v>86</v>
      </c>
      <c r="C102" s="96" t="s">
        <v>340</v>
      </c>
      <c r="D102" s="27">
        <v>2.1876310000000001</v>
      </c>
      <c r="E102" s="46">
        <f t="shared" si="9"/>
        <v>3359447.0601741327</v>
      </c>
      <c r="F102" s="8"/>
      <c r="H102" s="49"/>
      <c r="I102" s="39"/>
      <c r="J102" s="20">
        <f t="shared" si="12"/>
        <v>39051</v>
      </c>
      <c r="K102" s="27">
        <f>'BOGIX (Gross)'!K102</f>
        <v>2.612206642588784</v>
      </c>
      <c r="L102" s="46">
        <f t="shared" si="10"/>
        <v>2026151.8185522452</v>
      </c>
      <c r="M102" s="8"/>
      <c r="O102" s="39"/>
      <c r="P102" s="20">
        <f t="shared" si="13"/>
        <v>39051</v>
      </c>
      <c r="Q102" s="27">
        <f>'BOGIX (Gross)'!Q102</f>
        <v>2.7705899999999999</v>
      </c>
      <c r="R102" s="46">
        <f t="shared" si="11"/>
        <v>2436185.6646015788</v>
      </c>
      <c r="S102" s="8"/>
      <c r="U102" s="49"/>
      <c r="V102" s="39"/>
    </row>
    <row r="103" spans="1:22" x14ac:dyDescent="0.25">
      <c r="A103" s="20">
        <v>39082</v>
      </c>
      <c r="B103" s="24">
        <f t="shared" si="8"/>
        <v>87</v>
      </c>
      <c r="C103" s="96" t="s">
        <v>340</v>
      </c>
      <c r="D103" s="27">
        <v>1.687937</v>
      </c>
      <c r="E103" s="46">
        <f t="shared" si="9"/>
        <v>3416152.4100982239</v>
      </c>
      <c r="F103" s="11">
        <f>(E103-E91)/E91*100</f>
        <v>15.475759459243191</v>
      </c>
      <c r="G103" s="5">
        <f>(E103/E100-1)*100</f>
        <v>9.0376616974075183</v>
      </c>
      <c r="H103" s="49"/>
      <c r="I103" s="39"/>
      <c r="J103" s="20">
        <f t="shared" si="12"/>
        <v>39082</v>
      </c>
      <c r="K103" s="27">
        <f>'BOGIX (Gross)'!K103</f>
        <v>0.32945035951302504</v>
      </c>
      <c r="L103" s="46">
        <f t="shared" si="10"/>
        <v>2032826.9830027453</v>
      </c>
      <c r="M103" s="11">
        <f>(L103-L91)/L91*100</f>
        <v>18.329849625407146</v>
      </c>
      <c r="N103" s="5">
        <f>(L103/L100-1)*100</f>
        <v>8.8772736589636239</v>
      </c>
      <c r="O103" s="39"/>
      <c r="P103" s="20">
        <f t="shared" si="13"/>
        <v>39082</v>
      </c>
      <c r="Q103" s="27">
        <f>'BOGIX (Gross)'!Q103</f>
        <v>-1.624252E-2</v>
      </c>
      <c r="R103" s="46">
        <f t="shared" si="11"/>
        <v>2435789.9666577689</v>
      </c>
      <c r="S103" s="11">
        <f>(R103-R91)/R91*100</f>
        <v>15.10986695890618</v>
      </c>
      <c r="T103" s="5">
        <f>(R103/R100-1)*100</f>
        <v>7.8415748250137085</v>
      </c>
      <c r="U103" s="49"/>
      <c r="V103" s="39"/>
    </row>
    <row r="104" spans="1:22" x14ac:dyDescent="0.25">
      <c r="A104" s="20">
        <v>39113</v>
      </c>
      <c r="B104" s="24">
        <f t="shared" si="8"/>
        <v>88</v>
      </c>
      <c r="C104" s="96" t="s">
        <v>340</v>
      </c>
      <c r="D104" s="27">
        <v>1.983806</v>
      </c>
      <c r="E104" s="46">
        <f t="shared" si="9"/>
        <v>3483922.2465788973</v>
      </c>
      <c r="F104" s="10"/>
      <c r="H104" s="49"/>
      <c r="I104" s="39"/>
      <c r="J104" s="20">
        <f t="shared" si="12"/>
        <v>39113</v>
      </c>
      <c r="K104" s="27">
        <f>'BOGIX (Gross)'!K104</f>
        <v>1.6727064058796588</v>
      </c>
      <c r="L104" s="46">
        <f t="shared" si="10"/>
        <v>2066830.2101678825</v>
      </c>
      <c r="M104" s="10"/>
      <c r="O104" s="39"/>
      <c r="P104" s="20">
        <f t="shared" si="13"/>
        <v>39113</v>
      </c>
      <c r="Q104" s="27">
        <f>'BOGIX (Gross)'!Q104</f>
        <v>2.0558480000000001</v>
      </c>
      <c r="R104" s="46">
        <f t="shared" si="11"/>
        <v>2485866.1059715035</v>
      </c>
      <c r="S104" s="10"/>
      <c r="U104" s="49"/>
      <c r="V104" s="39"/>
    </row>
    <row r="105" spans="1:22" x14ac:dyDescent="0.25">
      <c r="A105" s="20">
        <v>39141</v>
      </c>
      <c r="B105" s="24">
        <f t="shared" si="8"/>
        <v>89</v>
      </c>
      <c r="C105" s="96" t="s">
        <v>340</v>
      </c>
      <c r="D105" s="27">
        <v>-1.0718540000000001</v>
      </c>
      <c r="E105" s="46">
        <f t="shared" si="9"/>
        <v>3446579.6866220515</v>
      </c>
      <c r="F105" s="8"/>
      <c r="H105" s="49"/>
      <c r="I105" s="39"/>
      <c r="J105" s="20">
        <f t="shared" si="12"/>
        <v>39141</v>
      </c>
      <c r="K105" s="27">
        <f>'BOGIX (Gross)'!K105</f>
        <v>-0.79595440194727496</v>
      </c>
      <c r="L105" s="46">
        <f t="shared" si="10"/>
        <v>2050379.1841292751</v>
      </c>
      <c r="M105" s="8"/>
      <c r="O105" s="39"/>
      <c r="P105" s="20">
        <f t="shared" si="13"/>
        <v>39141</v>
      </c>
      <c r="Q105" s="27">
        <f>'BOGIX (Gross)'!Q105</f>
        <v>-0.54488460000000005</v>
      </c>
      <c r="R105" s="46">
        <f t="shared" si="11"/>
        <v>2472321.0043834453</v>
      </c>
      <c r="S105" s="8"/>
      <c r="U105" s="49"/>
      <c r="V105" s="39"/>
    </row>
    <row r="106" spans="1:22" x14ac:dyDescent="0.25">
      <c r="A106" s="20">
        <v>39172</v>
      </c>
      <c r="B106" s="24">
        <f t="shared" si="8"/>
        <v>90</v>
      </c>
      <c r="C106" s="96" t="s">
        <v>340</v>
      </c>
      <c r="D106" s="27">
        <v>1.324238</v>
      </c>
      <c r="E106" s="46">
        <f t="shared" si="9"/>
        <v>3492220.6045325818</v>
      </c>
      <c r="F106" s="8"/>
      <c r="G106" s="5">
        <f>(E106/E103-1)*100</f>
        <v>2.2267213315629197</v>
      </c>
      <c r="H106" s="49"/>
      <c r="I106" s="39"/>
      <c r="J106" s="20">
        <f t="shared" si="12"/>
        <v>39172</v>
      </c>
      <c r="K106" s="27">
        <f>'BOGIX (Gross)'!K106</f>
        <v>1.0712640086027962</v>
      </c>
      <c r="L106" s="46">
        <f t="shared" si="10"/>
        <v>2072344.1583687358</v>
      </c>
      <c r="M106" s="8"/>
      <c r="N106" s="5">
        <f>(L106/L103-1)*100</f>
        <v>1.94395173305002</v>
      </c>
      <c r="O106" s="39"/>
      <c r="P106" s="20">
        <f t="shared" si="13"/>
        <v>39172</v>
      </c>
      <c r="Q106" s="27">
        <f>'BOGIX (Gross)'!Q106</f>
        <v>1.6771879999999999</v>
      </c>
      <c r="R106" s="46">
        <f t="shared" si="11"/>
        <v>2513786.4755904437</v>
      </c>
      <c r="S106" s="8"/>
      <c r="T106" s="5">
        <f>(R106/R103-1)*100</f>
        <v>3.2021032190922671</v>
      </c>
      <c r="U106" s="49"/>
      <c r="V106" s="39"/>
    </row>
    <row r="107" spans="1:22" x14ac:dyDescent="0.25">
      <c r="A107" s="20">
        <v>39202</v>
      </c>
      <c r="B107" s="24">
        <f t="shared" si="8"/>
        <v>91</v>
      </c>
      <c r="C107" s="96" t="s">
        <v>340</v>
      </c>
      <c r="D107" s="27">
        <v>2.3366340000000001</v>
      </c>
      <c r="E107" s="46">
        <f t="shared" si="9"/>
        <v>3573821.0185330957</v>
      </c>
      <c r="F107" s="8"/>
      <c r="H107" s="49"/>
      <c r="I107" s="39"/>
      <c r="J107" s="20">
        <f t="shared" si="12"/>
        <v>39202</v>
      </c>
      <c r="K107" s="27">
        <f>'BOGIX (Gross)'!K107</f>
        <v>1.8031780488134448</v>
      </c>
      <c r="L107" s="46">
        <f t="shared" si="10"/>
        <v>2109712.2133283084</v>
      </c>
      <c r="M107" s="8"/>
      <c r="O107" s="39"/>
      <c r="P107" s="20">
        <f t="shared" si="13"/>
        <v>39202</v>
      </c>
      <c r="Q107" s="27">
        <f>'BOGIX (Gross)'!Q107</f>
        <v>2.2279360000000001</v>
      </c>
      <c r="R107" s="46">
        <f t="shared" si="11"/>
        <v>2569792.0294432542</v>
      </c>
      <c r="S107" s="8"/>
      <c r="U107" s="49"/>
      <c r="V107" s="39"/>
    </row>
    <row r="108" spans="1:22" x14ac:dyDescent="0.25">
      <c r="A108" s="20">
        <v>39233</v>
      </c>
      <c r="B108" s="24">
        <f t="shared" si="8"/>
        <v>92</v>
      </c>
      <c r="C108" s="96" t="s">
        <v>340</v>
      </c>
      <c r="D108" s="27">
        <v>3.79257</v>
      </c>
      <c r="E108" s="46">
        <f t="shared" si="9"/>
        <v>3709360.6823356762</v>
      </c>
      <c r="F108" s="8"/>
      <c r="H108" s="49"/>
      <c r="I108" s="39"/>
      <c r="J108" s="20">
        <f t="shared" si="12"/>
        <v>39233</v>
      </c>
      <c r="K108" s="27">
        <f>'BOGIX (Gross)'!K108</f>
        <v>4.0958469830874584</v>
      </c>
      <c r="L108" s="46">
        <f t="shared" si="10"/>
        <v>2196122.7973697437</v>
      </c>
      <c r="M108" s="8"/>
      <c r="O108" s="39"/>
      <c r="P108" s="20">
        <f t="shared" si="13"/>
        <v>39233</v>
      </c>
      <c r="Q108" s="27">
        <f>'BOGIX (Gross)'!Q108</f>
        <v>4.6043289999999999</v>
      </c>
      <c r="R108" s="46">
        <f t="shared" si="11"/>
        <v>2688113.7090945984</v>
      </c>
      <c r="S108" s="8"/>
      <c r="U108" s="49"/>
      <c r="V108" s="39"/>
    </row>
    <row r="109" spans="1:22" x14ac:dyDescent="0.25">
      <c r="A109" s="20">
        <v>39263</v>
      </c>
      <c r="B109" s="24">
        <f t="shared" si="8"/>
        <v>93</v>
      </c>
      <c r="C109" s="96" t="s">
        <v>340</v>
      </c>
      <c r="D109" s="27">
        <v>0.59656969999999998</v>
      </c>
      <c r="E109" s="46">
        <f t="shared" si="9"/>
        <v>3731489.6042302041</v>
      </c>
      <c r="F109" s="8"/>
      <c r="G109" s="5">
        <f>(E109/E106-1)*100</f>
        <v>6.8514858250098287</v>
      </c>
      <c r="H109" s="49"/>
      <c r="I109" s="39"/>
      <c r="J109" s="20">
        <f t="shared" si="12"/>
        <v>39263</v>
      </c>
      <c r="K109" s="27">
        <f>'BOGIX (Gross)'!K109</f>
        <v>-1.4472308009532144</v>
      </c>
      <c r="L109" s="46">
        <f t="shared" si="10"/>
        <v>2164339.8318194533</v>
      </c>
      <c r="M109" s="8"/>
      <c r="N109" s="5">
        <f>(L109/L106-1)*100</f>
        <v>4.439208279146678</v>
      </c>
      <c r="O109" s="39"/>
      <c r="P109" s="20">
        <f t="shared" si="13"/>
        <v>39263</v>
      </c>
      <c r="Q109" s="27">
        <f>'BOGIX (Gross)'!Q109</f>
        <v>-1.6413930000000001</v>
      </c>
      <c r="R109" s="46">
        <f t="shared" si="11"/>
        <v>2643991.1988414791</v>
      </c>
      <c r="S109" s="8"/>
      <c r="T109" s="5">
        <f>(R109/R106-1)*100</f>
        <v>5.1796254182826962</v>
      </c>
      <c r="U109" s="49"/>
      <c r="V109" s="39"/>
    </row>
    <row r="110" spans="1:22" x14ac:dyDescent="0.25">
      <c r="A110" s="20">
        <v>39294</v>
      </c>
      <c r="B110" s="24">
        <f t="shared" si="8"/>
        <v>94</v>
      </c>
      <c r="C110" s="96" t="s">
        <v>340</v>
      </c>
      <c r="D110" s="27">
        <v>-6.8198670000000003</v>
      </c>
      <c r="E110" s="46">
        <f t="shared" si="9"/>
        <v>3477006.9761028779</v>
      </c>
      <c r="F110" s="8"/>
      <c r="H110" s="49"/>
      <c r="I110" s="39"/>
      <c r="J110" s="20">
        <f t="shared" si="12"/>
        <v>39294</v>
      </c>
      <c r="K110" s="27">
        <f>'BOGIX (Gross)'!K110</f>
        <v>-6.8491486921646274</v>
      </c>
      <c r="L110" s="46">
        <f t="shared" si="10"/>
        <v>2016100.978534393</v>
      </c>
      <c r="M110" s="8"/>
      <c r="O110" s="39"/>
      <c r="P110" s="20">
        <f t="shared" si="13"/>
        <v>39294</v>
      </c>
      <c r="Q110" s="27">
        <f>'BOGIX (Gross)'!Q110</f>
        <v>-5.0544840000000004</v>
      </c>
      <c r="R110" s="46">
        <f t="shared" si="11"/>
        <v>2510351.0867346283</v>
      </c>
      <c r="S110" s="8"/>
      <c r="U110" s="49"/>
      <c r="V110" s="39"/>
    </row>
    <row r="111" spans="1:22" x14ac:dyDescent="0.25">
      <c r="A111" s="20">
        <v>39325</v>
      </c>
      <c r="B111" s="24">
        <f t="shared" si="8"/>
        <v>95</v>
      </c>
      <c r="C111" s="96" t="s">
        <v>340</v>
      </c>
      <c r="D111" s="27">
        <v>-2.1081940000000001</v>
      </c>
      <c r="E111" s="46">
        <f t="shared" si="9"/>
        <v>3403704.9236530955</v>
      </c>
      <c r="F111" s="8"/>
      <c r="H111" s="49"/>
      <c r="I111" s="39"/>
      <c r="J111" s="20">
        <f t="shared" si="12"/>
        <v>39325</v>
      </c>
      <c r="K111" s="27">
        <f>'BOGIX (Gross)'!K111</f>
        <v>2.2606153019913986</v>
      </c>
      <c r="L111" s="46">
        <f t="shared" si="10"/>
        <v>2061677.2657587398</v>
      </c>
      <c r="M111" s="8"/>
      <c r="O111" s="39"/>
      <c r="P111" s="20">
        <f t="shared" si="13"/>
        <v>39325</v>
      </c>
      <c r="Q111" s="27">
        <f>'BOGIX (Gross)'!Q111</f>
        <v>1.875003</v>
      </c>
      <c r="R111" s="46">
        <f t="shared" si="11"/>
        <v>2557420.2449214351</v>
      </c>
      <c r="S111" s="8"/>
      <c r="U111" s="49"/>
      <c r="V111" s="39"/>
    </row>
    <row r="112" spans="1:22" x14ac:dyDescent="0.25">
      <c r="A112" s="20">
        <v>39355</v>
      </c>
      <c r="B112" s="24">
        <f t="shared" si="8"/>
        <v>96</v>
      </c>
      <c r="C112" s="96" t="s">
        <v>340</v>
      </c>
      <c r="D112" s="27">
        <v>3.1694429999999998</v>
      </c>
      <c r="E112" s="46">
        <f t="shared" si="9"/>
        <v>3511583.4110964737</v>
      </c>
      <c r="F112" s="8"/>
      <c r="G112" s="5">
        <f>(E112/E109-1)*100</f>
        <v>-5.893254878277931</v>
      </c>
      <c r="H112" s="49"/>
      <c r="I112" s="39"/>
      <c r="J112" s="20">
        <f t="shared" si="12"/>
        <v>39355</v>
      </c>
      <c r="K112" s="27">
        <f>'BOGIX (Gross)'!K112</f>
        <v>1.7155100472567253</v>
      </c>
      <c r="L112" s="46">
        <f t="shared" si="10"/>
        <v>2097045.5463948387</v>
      </c>
      <c r="M112" s="8"/>
      <c r="N112" s="5">
        <f>(L112/L109-1)*100</f>
        <v>-3.1092291716520171</v>
      </c>
      <c r="O112" s="39"/>
      <c r="P112" s="20">
        <f t="shared" si="13"/>
        <v>39355</v>
      </c>
      <c r="Q112" s="27">
        <f>'BOGIX (Gross)'!Q112</f>
        <v>1.4875849999999999</v>
      </c>
      <c r="R112" s="46">
        <f t="shared" si="11"/>
        <v>2595464.0448718495</v>
      </c>
      <c r="S112" s="8"/>
      <c r="T112" s="5">
        <f>(R112/R109-1)*100</f>
        <v>-1.8353750190580387</v>
      </c>
      <c r="U112" s="49"/>
      <c r="V112" s="39"/>
    </row>
    <row r="113" spans="1:22" x14ac:dyDescent="0.25">
      <c r="A113" s="20">
        <v>39386</v>
      </c>
      <c r="B113" s="24">
        <f t="shared" si="8"/>
        <v>97</v>
      </c>
      <c r="C113" s="96" t="s">
        <v>340</v>
      </c>
      <c r="D113" s="27">
        <v>1.8905080000000001</v>
      </c>
      <c r="E113" s="46">
        <f t="shared" si="9"/>
        <v>3577970.1764099253</v>
      </c>
      <c r="F113" s="8"/>
      <c r="H113" s="49"/>
      <c r="I113" s="39"/>
      <c r="J113" s="20">
        <f t="shared" si="12"/>
        <v>39386</v>
      </c>
      <c r="K113" s="27">
        <f>'BOGIX (Gross)'!K113</f>
        <v>2.8691339798555933</v>
      </c>
      <c r="L113" s="46">
        <f t="shared" si="10"/>
        <v>2157212.5927395015</v>
      </c>
      <c r="M113" s="8"/>
      <c r="O113" s="39"/>
      <c r="P113" s="20">
        <f t="shared" si="13"/>
        <v>39386</v>
      </c>
      <c r="Q113" s="27">
        <f>'BOGIX (Gross)'!Q113</f>
        <v>1.860139</v>
      </c>
      <c r="R113" s="46">
        <f t="shared" si="11"/>
        <v>2643743.2838014881</v>
      </c>
      <c r="S113" s="8"/>
      <c r="U113" s="49"/>
      <c r="V113" s="39"/>
    </row>
    <row r="114" spans="1:22" x14ac:dyDescent="0.25">
      <c r="A114" s="20">
        <v>39416</v>
      </c>
      <c r="B114" s="24">
        <f t="shared" si="8"/>
        <v>98</v>
      </c>
      <c r="C114" s="96" t="s">
        <v>340</v>
      </c>
      <c r="D114" s="27">
        <v>-10.1227</v>
      </c>
      <c r="E114" s="46">
        <f t="shared" si="9"/>
        <v>3215782.9893624778</v>
      </c>
      <c r="F114" s="8"/>
      <c r="H114" s="49"/>
      <c r="I114" s="39"/>
      <c r="J114" s="20">
        <f t="shared" si="12"/>
        <v>39416</v>
      </c>
      <c r="K114" s="27">
        <f>'BOGIX (Gross)'!K114</f>
        <v>-7.1842178476465648</v>
      </c>
      <c r="L114" s="46">
        <f t="shared" si="10"/>
        <v>2002233.7406402309</v>
      </c>
      <c r="M114" s="8"/>
      <c r="O114" s="39"/>
      <c r="P114" s="20">
        <f t="shared" si="13"/>
        <v>39416</v>
      </c>
      <c r="Q114" s="27">
        <f>'BOGIX (Gross)'!Q114</f>
        <v>-7.4220600000000001</v>
      </c>
      <c r="R114" s="46">
        <f t="shared" si="11"/>
        <v>2447523.0710317716</v>
      </c>
      <c r="S114" s="8"/>
      <c r="U114" s="49"/>
      <c r="V114" s="39"/>
    </row>
    <row r="115" spans="1:22" x14ac:dyDescent="0.25">
      <c r="A115" s="20">
        <v>39447</v>
      </c>
      <c r="B115" s="24">
        <f t="shared" si="8"/>
        <v>99</v>
      </c>
      <c r="C115" s="96" t="s">
        <v>340</v>
      </c>
      <c r="D115" s="27">
        <v>0.39370080000000002</v>
      </c>
      <c r="E115" s="46">
        <f t="shared" si="9"/>
        <v>3228443.5527178617</v>
      </c>
      <c r="F115" s="11">
        <f>(E115-E103)/E103*100</f>
        <v>-5.4947448136532371</v>
      </c>
      <c r="G115" s="5">
        <f>(E115/E112-1)*100</f>
        <v>-8.0630252860832137</v>
      </c>
      <c r="H115" s="49"/>
      <c r="I115" s="39"/>
      <c r="J115" s="20">
        <f t="shared" si="12"/>
        <v>39447</v>
      </c>
      <c r="K115" s="27">
        <f>'BOGIX (Gross)'!K115</f>
        <v>-7.9516184775396917E-2</v>
      </c>
      <c r="L115" s="46">
        <f t="shared" si="10"/>
        <v>2000641.6407593882</v>
      </c>
      <c r="M115" s="11">
        <f>(L115-L103)/L103*100</f>
        <v>-1.5832799600000995</v>
      </c>
      <c r="N115" s="5">
        <f>(L115/L112-1)*100</f>
        <v>-4.597129795353494</v>
      </c>
      <c r="O115" s="39"/>
      <c r="P115" s="20">
        <f t="shared" si="13"/>
        <v>39447</v>
      </c>
      <c r="Q115" s="27">
        <f>'BOGIX (Gross)'!Q115</f>
        <v>-0.79270870000000004</v>
      </c>
      <c r="R115" s="46">
        <f t="shared" si="11"/>
        <v>2428121.3427131954</v>
      </c>
      <c r="S115" s="11">
        <f>(R115-R103)/R103*100</f>
        <v>-0.31483108353122713</v>
      </c>
      <c r="T115" s="5">
        <f>(R115/R112-1)*100</f>
        <v>-6.4475060823628745</v>
      </c>
      <c r="U115" s="49"/>
      <c r="V115" s="39"/>
    </row>
    <row r="116" spans="1:22" x14ac:dyDescent="0.25">
      <c r="A116" s="20">
        <v>39478</v>
      </c>
      <c r="B116" s="24">
        <f t="shared" si="8"/>
        <v>100</v>
      </c>
      <c r="C116" s="96" t="s">
        <v>340</v>
      </c>
      <c r="D116" s="27">
        <v>-9.2647060000000003</v>
      </c>
      <c r="E116" s="46">
        <f t="shared" si="9"/>
        <v>2929337.7491825968</v>
      </c>
      <c r="F116" s="10"/>
      <c r="H116" s="49"/>
      <c r="I116" s="39"/>
      <c r="J116" s="20">
        <f t="shared" si="12"/>
        <v>39478</v>
      </c>
      <c r="K116" s="27">
        <f>'BOGIX (Gross)'!K116</f>
        <v>-6.8218300174593134</v>
      </c>
      <c r="L116" s="46">
        <f t="shared" si="10"/>
        <v>1864161.2687682738</v>
      </c>
      <c r="M116" s="10"/>
      <c r="O116" s="39"/>
      <c r="P116" s="20">
        <f t="shared" si="13"/>
        <v>39478</v>
      </c>
      <c r="Q116" s="27">
        <f>'BOGIX (Gross)'!Q116</f>
        <v>-4.8926749999999997</v>
      </c>
      <c r="R116" s="46">
        <f t="shared" si="11"/>
        <v>2309321.2568086027</v>
      </c>
      <c r="S116" s="10"/>
      <c r="U116" s="49"/>
      <c r="V116" s="39"/>
    </row>
    <row r="117" spans="1:22" x14ac:dyDescent="0.25">
      <c r="A117" s="20">
        <v>39507</v>
      </c>
      <c r="B117" s="24">
        <f t="shared" si="8"/>
        <v>101</v>
      </c>
      <c r="C117" s="96" t="s">
        <v>340</v>
      </c>
      <c r="D117" s="27">
        <v>-2.7012429999999998</v>
      </c>
      <c r="E117" s="46">
        <f t="shared" si="9"/>
        <v>2850209.2182864444</v>
      </c>
      <c r="F117" s="8"/>
      <c r="H117" s="49"/>
      <c r="I117" s="39"/>
      <c r="J117" s="20">
        <f t="shared" si="12"/>
        <v>39507</v>
      </c>
      <c r="K117" s="27">
        <f>'BOGIX (Gross)'!K117</f>
        <v>-3.7078602875970117</v>
      </c>
      <c r="L117" s="46">
        <f t="shared" si="10"/>
        <v>1795040.7733868503</v>
      </c>
      <c r="M117" s="8"/>
      <c r="O117" s="39"/>
      <c r="P117" s="20">
        <f t="shared" si="13"/>
        <v>39507</v>
      </c>
      <c r="Q117" s="27">
        <f>'BOGIX (Gross)'!Q117</f>
        <v>-3.079914</v>
      </c>
      <c r="R117" s="46">
        <f t="shared" si="11"/>
        <v>2238196.1481151786</v>
      </c>
      <c r="S117" s="8"/>
      <c r="U117" s="49"/>
      <c r="V117" s="39"/>
    </row>
    <row r="118" spans="1:22" x14ac:dyDescent="0.25">
      <c r="A118" s="20">
        <v>39538</v>
      </c>
      <c r="B118" s="24">
        <f t="shared" si="8"/>
        <v>102</v>
      </c>
      <c r="C118" s="96" t="s">
        <v>340</v>
      </c>
      <c r="D118" s="27">
        <v>-3.997779</v>
      </c>
      <c r="E118" s="46">
        <f t="shared" si="9"/>
        <v>2736264.1527017248</v>
      </c>
      <c r="F118" s="8"/>
      <c r="G118" s="5">
        <f>(E118/E115-1)*100</f>
        <v>-15.245098511999577</v>
      </c>
      <c r="H118" s="49"/>
      <c r="I118" s="39"/>
      <c r="J118" s="20">
        <f t="shared" si="12"/>
        <v>39538</v>
      </c>
      <c r="K118" s="27">
        <f>'BOGIX (Gross)'!K118</f>
        <v>0.41544824942129316</v>
      </c>
      <c r="L118" s="46">
        <f t="shared" si="10"/>
        <v>1802498.2388562844</v>
      </c>
      <c r="M118" s="8"/>
      <c r="N118" s="5">
        <f>(L118/L115-1)*100</f>
        <v>-9.9039926924591075</v>
      </c>
      <c r="O118" s="39"/>
      <c r="P118" s="20">
        <f t="shared" si="13"/>
        <v>39538</v>
      </c>
      <c r="Q118" s="27">
        <f>'BOGIX (Gross)'!Q118</f>
        <v>0.38592739999999998</v>
      </c>
      <c r="R118" s="46">
        <f t="shared" si="11"/>
        <v>2246833.9603164997</v>
      </c>
      <c r="S118" s="8"/>
      <c r="T118" s="5">
        <f>(R118/R115-1)*100</f>
        <v>-7.4661582684382726</v>
      </c>
      <c r="U118" s="49"/>
      <c r="V118" s="39"/>
    </row>
    <row r="119" spans="1:22" x14ac:dyDescent="0.25">
      <c r="A119" s="20">
        <v>39568</v>
      </c>
      <c r="B119" s="24">
        <f t="shared" si="8"/>
        <v>103</v>
      </c>
      <c r="C119" s="96" t="s">
        <v>340</v>
      </c>
      <c r="D119" s="27">
        <v>2.082128</v>
      </c>
      <c r="E119" s="46">
        <f t="shared" si="9"/>
        <v>2793236.6747790901</v>
      </c>
      <c r="F119" s="8"/>
      <c r="H119" s="49"/>
      <c r="I119" s="39"/>
      <c r="J119" s="20">
        <f t="shared" si="12"/>
        <v>39568</v>
      </c>
      <c r="K119" s="27">
        <f>'BOGIX (Gross)'!K119</f>
        <v>4.1862234443964139</v>
      </c>
      <c r="L119" s="46">
        <f t="shared" si="10"/>
        <v>1877954.8427161188</v>
      </c>
      <c r="M119" s="8"/>
      <c r="O119" s="39"/>
      <c r="P119" s="20">
        <f t="shared" si="13"/>
        <v>39568</v>
      </c>
      <c r="Q119" s="27">
        <f>'BOGIX (Gross)'!Q119</f>
        <v>4.0139199999999997</v>
      </c>
      <c r="R119" s="46">
        <f t="shared" si="11"/>
        <v>2337020.0780164357</v>
      </c>
      <c r="S119" s="8"/>
      <c r="U119" s="49"/>
      <c r="V119" s="39"/>
    </row>
    <row r="120" spans="1:22" x14ac:dyDescent="0.25">
      <c r="A120" s="20">
        <v>39599</v>
      </c>
      <c r="B120" s="24">
        <f t="shared" si="8"/>
        <v>104</v>
      </c>
      <c r="C120" s="96" t="s">
        <v>340</v>
      </c>
      <c r="D120" s="27">
        <v>3.3427760000000002</v>
      </c>
      <c r="E120" s="46">
        <f t="shared" si="9"/>
        <v>2886608.3199668038</v>
      </c>
      <c r="F120" s="8"/>
      <c r="H120" s="49"/>
      <c r="I120" s="39"/>
      <c r="J120" s="20">
        <f t="shared" si="12"/>
        <v>39599</v>
      </c>
      <c r="K120" s="27">
        <f>'BOGIX (Gross)'!K120</f>
        <v>4.5934680742395937</v>
      </c>
      <c r="L120" s="46">
        <f t="shared" si="10"/>
        <v>1964218.09886492</v>
      </c>
      <c r="M120" s="8"/>
      <c r="O120" s="39"/>
      <c r="P120" s="20">
        <f t="shared" si="13"/>
        <v>39599</v>
      </c>
      <c r="Q120" s="27">
        <f>'BOGIX (Gross)'!Q120</f>
        <v>4.4175110000000002</v>
      </c>
      <c r="R120" s="46">
        <f t="shared" si="11"/>
        <v>2440258.1970350202</v>
      </c>
      <c r="S120" s="8"/>
      <c r="U120" s="49"/>
      <c r="V120" s="39"/>
    </row>
    <row r="121" spans="1:22" x14ac:dyDescent="0.25">
      <c r="A121" s="20">
        <v>39629</v>
      </c>
      <c r="B121" s="24">
        <f t="shared" si="8"/>
        <v>105</v>
      </c>
      <c r="C121" s="96" t="s">
        <v>340</v>
      </c>
      <c r="D121" s="27">
        <v>-9.2653510000000008</v>
      </c>
      <c r="E121" s="46">
        <f t="shared" si="9"/>
        <v>2619153.9271266763</v>
      </c>
      <c r="F121" s="8"/>
      <c r="G121" s="5">
        <f>(E121/E118-1)*100</f>
        <v>-4.2799312873143647</v>
      </c>
      <c r="H121" s="49"/>
      <c r="I121" s="39"/>
      <c r="J121" s="20">
        <f t="shared" si="12"/>
        <v>39629</v>
      </c>
      <c r="K121" s="27">
        <f>'BOGIX (Gross)'!K121</f>
        <v>-7.6986079089839636</v>
      </c>
      <c r="L121" s="46">
        <f t="shared" si="10"/>
        <v>1813000.6489560108</v>
      </c>
      <c r="M121" s="8"/>
      <c r="N121" s="5">
        <f>(L121/L118-1)*100</f>
        <v>0.58265854985746213</v>
      </c>
      <c r="O121" s="39"/>
      <c r="P121" s="20">
        <f t="shared" si="13"/>
        <v>39629</v>
      </c>
      <c r="Q121" s="27">
        <f>'BOGIX (Gross)'!Q121</f>
        <v>-7.5552359999999998</v>
      </c>
      <c r="R121" s="46">
        <f t="shared" si="11"/>
        <v>2255890.9312396795</v>
      </c>
      <c r="S121" s="8"/>
      <c r="T121" s="5">
        <f>(R121/R118-1)*100</f>
        <v>0.40309925357830956</v>
      </c>
      <c r="U121" s="49"/>
      <c r="V121" s="39"/>
    </row>
    <row r="122" spans="1:22" x14ac:dyDescent="0.25">
      <c r="A122" s="20">
        <v>39660</v>
      </c>
      <c r="B122" s="24">
        <f t="shared" si="8"/>
        <v>106</v>
      </c>
      <c r="C122" s="96" t="s">
        <v>340</v>
      </c>
      <c r="D122" s="27">
        <v>3.8670689999999999</v>
      </c>
      <c r="E122" s="46">
        <f t="shared" si="9"/>
        <v>2720438.4167048745</v>
      </c>
      <c r="F122" s="8"/>
      <c r="H122" s="49"/>
      <c r="I122" s="39"/>
      <c r="J122" s="20">
        <f t="shared" si="12"/>
        <v>39660</v>
      </c>
      <c r="K122" s="27">
        <f>'BOGIX (Gross)'!K122</f>
        <v>3.6993092320346128</v>
      </c>
      <c r="L122" s="46">
        <f t="shared" si="10"/>
        <v>1880069.149339688</v>
      </c>
      <c r="M122" s="8"/>
      <c r="O122" s="39"/>
      <c r="P122" s="20">
        <f t="shared" si="13"/>
        <v>39660</v>
      </c>
      <c r="Q122" s="27">
        <f>'BOGIX (Gross)'!Q122</f>
        <v>2.0618430000000001</v>
      </c>
      <c r="R122" s="46">
        <f t="shared" si="11"/>
        <v>2302403.8604930798</v>
      </c>
      <c r="S122" s="8"/>
      <c r="U122" s="49"/>
      <c r="V122" s="39"/>
    </row>
    <row r="123" spans="1:22" x14ac:dyDescent="0.25">
      <c r="A123" s="20">
        <v>39691</v>
      </c>
      <c r="B123" s="24">
        <f t="shared" si="8"/>
        <v>107</v>
      </c>
      <c r="C123" s="96" t="s">
        <v>340</v>
      </c>
      <c r="D123" s="27">
        <v>0.93077370000000004</v>
      </c>
      <c r="E123" s="46">
        <f t="shared" si="9"/>
        <v>2745759.5420122598</v>
      </c>
      <c r="F123" s="8"/>
      <c r="H123" s="49"/>
      <c r="I123" s="39"/>
      <c r="J123" s="20">
        <f t="shared" si="12"/>
        <v>39691</v>
      </c>
      <c r="K123" s="27">
        <f>'BOGIX (Gross)'!K123</f>
        <v>3.6106699836766079</v>
      </c>
      <c r="L123" s="46">
        <f t="shared" si="10"/>
        <v>1947952.2417872602</v>
      </c>
      <c r="M123" s="8"/>
      <c r="O123" s="39"/>
      <c r="P123" s="20">
        <f t="shared" si="13"/>
        <v>39691</v>
      </c>
      <c r="Q123" s="27">
        <f>'BOGIX (Gross)'!Q123</f>
        <v>4.1779060000000001</v>
      </c>
      <c r="R123" s="46">
        <f t="shared" si="11"/>
        <v>2398596.1295248517</v>
      </c>
      <c r="S123" s="8"/>
      <c r="U123" s="49"/>
      <c r="V123" s="39"/>
    </row>
    <row r="124" spans="1:22" x14ac:dyDescent="0.25">
      <c r="A124" s="20">
        <v>39721</v>
      </c>
      <c r="B124" s="24">
        <f t="shared" si="8"/>
        <v>108</v>
      </c>
      <c r="C124" s="96" t="s">
        <v>340</v>
      </c>
      <c r="D124" s="27">
        <v>-14.63977</v>
      </c>
      <c r="E124" s="46">
        <f t="shared" si="9"/>
        <v>2343786.6603086116</v>
      </c>
      <c r="F124" s="8"/>
      <c r="G124" s="5">
        <f>(E124/E121-1)*100</f>
        <v>-10.513596164245087</v>
      </c>
      <c r="H124" s="49"/>
      <c r="I124" s="39"/>
      <c r="J124" s="20">
        <f t="shared" si="12"/>
        <v>39721</v>
      </c>
      <c r="K124" s="27">
        <f>'BOGIX (Gross)'!K124</f>
        <v>-7.9685893301630051</v>
      </c>
      <c r="L124" s="46">
        <f t="shared" si="10"/>
        <v>1792727.9272915295</v>
      </c>
      <c r="M124" s="8"/>
      <c r="N124" s="5">
        <f>(L124/L121-1)*100</f>
        <v>-1.1181861228872214</v>
      </c>
      <c r="O124" s="39"/>
      <c r="P124" s="20">
        <f t="shared" si="13"/>
        <v>39721</v>
      </c>
      <c r="Q124" s="27">
        <f>'BOGIX (Gross)'!Q124</f>
        <v>-6.756767</v>
      </c>
      <c r="R124" s="46">
        <f t="shared" si="11"/>
        <v>2236528.5777818393</v>
      </c>
      <c r="S124" s="8"/>
      <c r="T124" s="5">
        <f>(R124/R121-1)*100</f>
        <v>-0.85830184383958175</v>
      </c>
      <c r="U124" s="49"/>
      <c r="V124" s="39"/>
    </row>
    <row r="125" spans="1:22" x14ac:dyDescent="0.25">
      <c r="A125" s="20">
        <v>39752</v>
      </c>
      <c r="B125" s="24">
        <f t="shared" si="8"/>
        <v>109</v>
      </c>
      <c r="C125" s="96" t="s">
        <v>340</v>
      </c>
      <c r="D125" s="27">
        <v>-22.282240000000002</v>
      </c>
      <c r="E125" s="46">
        <f t="shared" si="9"/>
        <v>1821538.491570662</v>
      </c>
      <c r="F125" s="8"/>
      <c r="H125" s="49"/>
      <c r="I125" s="39"/>
      <c r="J125" s="20">
        <f t="shared" si="12"/>
        <v>39752</v>
      </c>
      <c r="K125" s="27">
        <f>'BOGIX (Gross)'!K125</f>
        <v>-20.8092308224881</v>
      </c>
      <c r="L125" s="46">
        <f t="shared" si="10"/>
        <v>1419675.0348822284</v>
      </c>
      <c r="M125" s="8"/>
      <c r="O125" s="39"/>
      <c r="P125" s="20">
        <f t="shared" si="13"/>
        <v>39752</v>
      </c>
      <c r="Q125" s="27">
        <f>'BOGIX (Gross)'!Q125</f>
        <v>-20.145499999999998</v>
      </c>
      <c r="R125" s="46">
        <f t="shared" si="11"/>
        <v>1785968.7131447988</v>
      </c>
      <c r="S125" s="8"/>
      <c r="U125" s="49"/>
      <c r="V125" s="39"/>
    </row>
    <row r="126" spans="1:22" x14ac:dyDescent="0.25">
      <c r="A126" s="20">
        <v>39782</v>
      </c>
      <c r="B126" s="24">
        <f t="shared" si="8"/>
        <v>110</v>
      </c>
      <c r="C126" s="96" t="s">
        <v>340</v>
      </c>
      <c r="D126" s="27">
        <v>-13.814069999999999</v>
      </c>
      <c r="E126" s="46">
        <f t="shared" si="9"/>
        <v>1569909.8892681466</v>
      </c>
      <c r="F126" s="8"/>
      <c r="H126" s="49"/>
      <c r="I126" s="39"/>
      <c r="J126" s="20">
        <f t="shared" si="12"/>
        <v>39782</v>
      </c>
      <c r="K126" s="27">
        <f>'BOGIX (Gross)'!K126</f>
        <v>-11.830901621443356</v>
      </c>
      <c r="L126" s="46">
        <f t="shared" si="10"/>
        <v>1251714.6781611203</v>
      </c>
      <c r="M126" s="8"/>
      <c r="O126" s="39"/>
      <c r="P126" s="20">
        <f t="shared" si="13"/>
        <v>39782</v>
      </c>
      <c r="Q126" s="27">
        <f>'BOGIX (Gross)'!Q126</f>
        <v>-11.6821</v>
      </c>
      <c r="R126" s="46">
        <f t="shared" si="11"/>
        <v>1577330.0621065102</v>
      </c>
      <c r="S126" s="8"/>
      <c r="U126" s="49"/>
      <c r="V126" s="39"/>
    </row>
    <row r="127" spans="1:22" x14ac:dyDescent="0.25">
      <c r="A127" s="20">
        <v>39813</v>
      </c>
      <c r="B127" s="24">
        <f t="shared" si="8"/>
        <v>111</v>
      </c>
      <c r="C127" s="96" t="s">
        <v>340</v>
      </c>
      <c r="D127" s="27">
        <v>6.5524190000000004</v>
      </c>
      <c r="E127" s="46">
        <f t="shared" si="9"/>
        <v>1672776.9631354315</v>
      </c>
      <c r="F127" s="11">
        <f>(E127-E115)/E115*100</f>
        <v>-48.186271935056567</v>
      </c>
      <c r="G127" s="5">
        <f>(E127/E124-1)*100</f>
        <v>-28.629299267571852</v>
      </c>
      <c r="H127" s="49"/>
      <c r="I127" s="39"/>
      <c r="J127" s="20">
        <f t="shared" si="12"/>
        <v>39813</v>
      </c>
      <c r="K127" s="27">
        <f>'BOGIX (Gross)'!K127</f>
        <v>5.7889676002185517</v>
      </c>
      <c r="L127" s="46">
        <f t="shared" si="10"/>
        <v>1324176.0353270473</v>
      </c>
      <c r="M127" s="11">
        <f>(L127-L115)/L115*100</f>
        <v>-33.812432554166634</v>
      </c>
      <c r="N127" s="5">
        <f>(L127/L124-1)*100</f>
        <v>-26.136252179234742</v>
      </c>
      <c r="O127" s="39"/>
      <c r="P127" s="20">
        <f t="shared" si="13"/>
        <v>39813</v>
      </c>
      <c r="Q127" s="27">
        <f>'BOGIX (Gross)'!Q127</f>
        <v>6.0987090000000004</v>
      </c>
      <c r="R127" s="46">
        <f t="shared" si="11"/>
        <v>1673526.8325639055</v>
      </c>
      <c r="S127" s="11">
        <f>(R127-R115)/R115*100</f>
        <v>-31.077298192441322</v>
      </c>
      <c r="T127" s="5">
        <f>(R127/R124-1)*100</f>
        <v>-25.173018168017858</v>
      </c>
      <c r="U127" s="49"/>
      <c r="V127" s="39"/>
    </row>
    <row r="128" spans="1:22" x14ac:dyDescent="0.25">
      <c r="A128" s="20">
        <v>39844</v>
      </c>
      <c r="B128" s="24">
        <f t="shared" si="8"/>
        <v>112</v>
      </c>
      <c r="C128" s="96" t="s">
        <v>340</v>
      </c>
      <c r="D128" s="27">
        <v>-7.3793749999999996</v>
      </c>
      <c r="E128" s="46">
        <f t="shared" si="9"/>
        <v>1549336.4781120564</v>
      </c>
      <c r="F128" s="10"/>
      <c r="H128" s="49"/>
      <c r="I128" s="39"/>
      <c r="J128" s="20">
        <f t="shared" si="12"/>
        <v>39844</v>
      </c>
      <c r="K128" s="27">
        <f>'BOGIX (Gross)'!K128</f>
        <v>-11.123966557972201</v>
      </c>
      <c r="L128" s="46">
        <f t="shared" si="10"/>
        <v>1176875.1359885845</v>
      </c>
      <c r="M128" s="10"/>
      <c r="O128" s="39"/>
      <c r="P128" s="20">
        <f t="shared" si="13"/>
        <v>39844</v>
      </c>
      <c r="Q128" s="27">
        <f>'BOGIX (Gross)'!Q128</f>
        <v>-12.70018</v>
      </c>
      <c r="R128" s="46">
        <f t="shared" si="11"/>
        <v>1460985.9124799909</v>
      </c>
      <c r="S128" s="10"/>
      <c r="U128" s="49"/>
      <c r="V128" s="39"/>
    </row>
    <row r="129" spans="1:22" x14ac:dyDescent="0.25">
      <c r="A129" s="20">
        <v>39872</v>
      </c>
      <c r="B129" s="24">
        <f t="shared" si="8"/>
        <v>113</v>
      </c>
      <c r="C129" s="96" t="s">
        <v>340</v>
      </c>
      <c r="D129" s="27">
        <v>-11.644539999999999</v>
      </c>
      <c r="E129" s="46">
        <f t="shared" si="9"/>
        <v>1368923.3721837066</v>
      </c>
      <c r="F129" s="8"/>
      <c r="H129" s="49"/>
      <c r="I129" s="39"/>
      <c r="J129" s="20">
        <f t="shared" si="12"/>
        <v>39872</v>
      </c>
      <c r="K129" s="27">
        <f>'BOGIX (Gross)'!K129</f>
        <v>-12.158807443659486</v>
      </c>
      <c r="L129" s="46">
        <f t="shared" si="10"/>
        <v>1033781.1543514268</v>
      </c>
      <c r="M129" s="8"/>
      <c r="O129" s="39"/>
      <c r="P129" s="20">
        <f t="shared" si="13"/>
        <v>39872</v>
      </c>
      <c r="Q129" s="27">
        <f>'BOGIX (Gross)'!Q129</f>
        <v>-11.985279999999999</v>
      </c>
      <c r="R129" s="46">
        <f t="shared" si="11"/>
        <v>1285882.660108709</v>
      </c>
      <c r="S129" s="8"/>
      <c r="U129" s="49"/>
      <c r="V129" s="39"/>
    </row>
    <row r="130" spans="1:22" x14ac:dyDescent="0.25">
      <c r="A130" s="20">
        <v>39903</v>
      </c>
      <c r="B130" s="24">
        <f t="shared" si="8"/>
        <v>114</v>
      </c>
      <c r="C130" s="96" t="s">
        <v>340</v>
      </c>
      <c r="D130" s="27">
        <v>7.3988440000000004</v>
      </c>
      <c r="E130" s="46">
        <f t="shared" si="9"/>
        <v>1470207.8769711184</v>
      </c>
      <c r="F130" s="8"/>
      <c r="G130" s="5">
        <f>(E130/E127-1)*100</f>
        <v>-12.109748677111154</v>
      </c>
      <c r="H130" s="49"/>
      <c r="I130" s="39"/>
      <c r="J130" s="20">
        <f t="shared" si="12"/>
        <v>39903</v>
      </c>
      <c r="K130" s="27">
        <f>'BOGIX (Gross)'!K130</f>
        <v>8.918497340315211</v>
      </c>
      <c r="L130" s="46">
        <f t="shared" si="10"/>
        <v>1125978.8991069386</v>
      </c>
      <c r="M130" s="8"/>
      <c r="N130" s="5">
        <f>(L130/L127-1)*100</f>
        <v>-14.967582174310955</v>
      </c>
      <c r="O130" s="39"/>
      <c r="P130" s="20">
        <f t="shared" si="13"/>
        <v>39903</v>
      </c>
      <c r="Q130" s="27">
        <f>'BOGIX (Gross)'!Q130</f>
        <v>8.2083130000000004</v>
      </c>
      <c r="R130" s="46">
        <f t="shared" si="11"/>
        <v>1391431.933663158</v>
      </c>
      <c r="S130" s="8"/>
      <c r="T130" s="5">
        <f>(R130/R127-1)*100</f>
        <v>-16.856311677331615</v>
      </c>
      <c r="U130" s="49"/>
      <c r="V130" s="39"/>
    </row>
    <row r="131" spans="1:22" x14ac:dyDescent="0.25">
      <c r="A131" s="20">
        <v>39933</v>
      </c>
      <c r="B131" s="24">
        <f t="shared" si="8"/>
        <v>115</v>
      </c>
      <c r="C131" s="96" t="s">
        <v>340</v>
      </c>
      <c r="D131" s="27">
        <v>15.82347</v>
      </c>
      <c r="E131" s="46">
        <f t="shared" si="9"/>
        <v>1702845.7793212803</v>
      </c>
      <c r="F131" s="8"/>
      <c r="H131" s="49"/>
      <c r="I131" s="39"/>
      <c r="J131" s="20">
        <f t="shared" si="12"/>
        <v>39933</v>
      </c>
      <c r="K131" s="27">
        <f>'BOGIX (Gross)'!K131</f>
        <v>15.456920978795816</v>
      </c>
      <c r="L131" s="46">
        <f t="shared" si="10"/>
        <v>1300020.5677798132</v>
      </c>
      <c r="M131" s="8"/>
      <c r="O131" s="39"/>
      <c r="P131" s="20">
        <f t="shared" si="13"/>
        <v>39933</v>
      </c>
      <c r="Q131" s="27">
        <f>'BOGIX (Gross)'!Q131</f>
        <v>17.4543</v>
      </c>
      <c r="R131" s="46">
        <f t="shared" si="11"/>
        <v>1634296.6376605267</v>
      </c>
      <c r="S131" s="8"/>
      <c r="U131" s="49"/>
      <c r="V131" s="39"/>
    </row>
    <row r="132" spans="1:22" x14ac:dyDescent="0.25">
      <c r="A132" s="20">
        <v>39964</v>
      </c>
      <c r="B132" s="24">
        <f t="shared" si="8"/>
        <v>116</v>
      </c>
      <c r="C132" s="96" t="s">
        <v>340</v>
      </c>
      <c r="D132" s="27">
        <v>9.0148700000000002</v>
      </c>
      <c r="E132" s="46">
        <f t="shared" si="9"/>
        <v>1856355.1126275805</v>
      </c>
      <c r="F132" s="8"/>
      <c r="H132" s="49"/>
      <c r="I132" s="39"/>
      <c r="J132" s="20">
        <f t="shared" si="12"/>
        <v>39964</v>
      </c>
      <c r="K132" s="27">
        <f>'BOGIX (Gross)'!K132</f>
        <v>3.0139448922449068</v>
      </c>
      <c r="L132" s="46">
        <f t="shared" si="10"/>
        <v>1339202.4712805462</v>
      </c>
      <c r="M132" s="8"/>
      <c r="O132" s="39"/>
      <c r="P132" s="20">
        <f t="shared" si="13"/>
        <v>39964</v>
      </c>
      <c r="Q132" s="27">
        <f>'BOGIX (Gross)'!Q132</f>
        <v>1.6133249999999999</v>
      </c>
      <c r="R132" s="46">
        <f t="shared" si="11"/>
        <v>1660663.1538900633</v>
      </c>
      <c r="S132" s="8"/>
      <c r="U132" s="49"/>
      <c r="V132" s="39"/>
    </row>
    <row r="133" spans="1:22" x14ac:dyDescent="0.25">
      <c r="A133" s="20">
        <v>39994</v>
      </c>
      <c r="B133" s="24">
        <f t="shared" si="8"/>
        <v>117</v>
      </c>
      <c r="C133" s="96" t="s">
        <v>340</v>
      </c>
      <c r="D133" s="27">
        <v>5.6265980000000004</v>
      </c>
      <c r="E133" s="46">
        <f t="shared" si="9"/>
        <v>1960804.7522675816</v>
      </c>
      <c r="F133" s="8"/>
      <c r="G133" s="5">
        <f>(E133/E130-1)*100</f>
        <v>33.369218256888765</v>
      </c>
      <c r="H133" s="49"/>
      <c r="I133" s="39"/>
      <c r="J133" s="20">
        <f t="shared" si="12"/>
        <v>39994</v>
      </c>
      <c r="K133" s="27">
        <f>'BOGIX (Gross)'!K133</f>
        <v>1.4668473068240331</v>
      </c>
      <c r="L133" s="46">
        <f t="shared" si="10"/>
        <v>1358846.5266634456</v>
      </c>
      <c r="M133" s="8"/>
      <c r="N133" s="5">
        <f>(L133/L130-1)*100</f>
        <v>20.681349156827377</v>
      </c>
      <c r="O133" s="39"/>
      <c r="P133" s="20">
        <f t="shared" si="13"/>
        <v>39994</v>
      </c>
      <c r="Q133" s="27">
        <f>'BOGIX (Gross)'!Q133</f>
        <v>1.4305019999999999</v>
      </c>
      <c r="R133" s="46">
        <f t="shared" si="11"/>
        <v>1684418.9735197236</v>
      </c>
      <c r="S133" s="8"/>
      <c r="T133" s="5">
        <f>(R133/R130-1)*100</f>
        <v>21.056512558629613</v>
      </c>
      <c r="U133" s="49"/>
      <c r="V133" s="39"/>
    </row>
    <row r="134" spans="1:22" x14ac:dyDescent="0.25">
      <c r="A134" s="20">
        <v>40025</v>
      </c>
      <c r="B134" s="24">
        <f t="shared" si="8"/>
        <v>118</v>
      </c>
      <c r="C134" s="96" t="s">
        <v>340</v>
      </c>
      <c r="D134" s="27">
        <v>9.6045200000000008</v>
      </c>
      <c r="E134" s="46">
        <f t="shared" si="9"/>
        <v>2149130.6368600721</v>
      </c>
      <c r="F134" s="8"/>
      <c r="H134" s="49"/>
      <c r="I134" s="39"/>
      <c r="J134" s="20">
        <f t="shared" si="12"/>
        <v>40025</v>
      </c>
      <c r="K134" s="27">
        <f>'BOGIX (Gross)'!K134</f>
        <v>9.6305396038464401</v>
      </c>
      <c r="L134" s="46">
        <f t="shared" si="10"/>
        <v>1489710.7795692605</v>
      </c>
      <c r="M134" s="8"/>
      <c r="O134" s="39"/>
      <c r="P134" s="20">
        <f t="shared" si="13"/>
        <v>40025</v>
      </c>
      <c r="Q134" s="27">
        <f>'BOGIX (Gross)'!Q134</f>
        <v>10.327809999999999</v>
      </c>
      <c r="R134" s="46">
        <f t="shared" si="11"/>
        <v>1858382.564708791</v>
      </c>
      <c r="S134" s="8"/>
      <c r="U134" s="49"/>
      <c r="V134" s="39"/>
    </row>
    <row r="135" spans="1:22" x14ac:dyDescent="0.25">
      <c r="A135" s="20">
        <v>40056</v>
      </c>
      <c r="B135" s="24">
        <f t="shared" si="8"/>
        <v>119</v>
      </c>
      <c r="C135" s="96" t="s">
        <v>340</v>
      </c>
      <c r="D135" s="27">
        <v>3.3873340000000001</v>
      </c>
      <c r="E135" s="46">
        <f t="shared" si="9"/>
        <v>2221928.8696268499</v>
      </c>
      <c r="F135" s="8"/>
      <c r="H135" s="49"/>
      <c r="I135" s="39"/>
      <c r="J135" s="20">
        <f t="shared" si="12"/>
        <v>40056</v>
      </c>
      <c r="K135" s="27">
        <f>'BOGIX (Gross)'!K135</f>
        <v>2.8673349550857035</v>
      </c>
      <c r="L135" s="46">
        <f t="shared" si="10"/>
        <v>1532425.7774815296</v>
      </c>
      <c r="M135" s="8"/>
      <c r="O135" s="39"/>
      <c r="P135" s="20">
        <f t="shared" si="13"/>
        <v>40056</v>
      </c>
      <c r="Q135" s="27">
        <f>'BOGIX (Gross)'!Q135</f>
        <v>2.2857560000000001</v>
      </c>
      <c r="R135" s="46">
        <f t="shared" si="11"/>
        <v>1900860.6556845761</v>
      </c>
      <c r="S135" s="8"/>
      <c r="U135" s="49"/>
      <c r="V135" s="39"/>
    </row>
    <row r="136" spans="1:22" x14ac:dyDescent="0.25">
      <c r="A136" s="20">
        <v>40086</v>
      </c>
      <c r="B136" s="24">
        <f t="shared" si="8"/>
        <v>120</v>
      </c>
      <c r="C136" s="96" t="s">
        <v>340</v>
      </c>
      <c r="D136" s="27">
        <v>5.6980060000000003</v>
      </c>
      <c r="E136" s="46">
        <f t="shared" si="9"/>
        <v>2348534.5099339201</v>
      </c>
      <c r="F136" s="8"/>
      <c r="G136" s="5">
        <f>(E136/E133-1)*100</f>
        <v>19.774011523480173</v>
      </c>
      <c r="H136" s="49"/>
      <c r="I136" s="39"/>
      <c r="J136" s="20">
        <f t="shared" si="12"/>
        <v>40086</v>
      </c>
      <c r="K136" s="27">
        <f>'BOGIX (Gross)'!K136</f>
        <v>5.7588046993516215</v>
      </c>
      <c r="L136" s="46">
        <f t="shared" si="10"/>
        <v>1620675.1851692116</v>
      </c>
      <c r="M136" s="8"/>
      <c r="N136" s="5">
        <f>(L136/L133-1)*100</f>
        <v>19.26844962754317</v>
      </c>
      <c r="O136" s="39"/>
      <c r="P136" s="20">
        <f t="shared" si="13"/>
        <v>40086</v>
      </c>
      <c r="Q136" s="27">
        <f>'BOGIX (Gross)'!Q136</f>
        <v>5.1426069999999999</v>
      </c>
      <c r="R136" s="46">
        <f t="shared" si="11"/>
        <v>1998614.4488240571</v>
      </c>
      <c r="S136" s="8"/>
      <c r="T136" s="5">
        <f>(R136/R133-1)*100</f>
        <v>18.653047741904594</v>
      </c>
      <c r="U136" s="49"/>
      <c r="V136" s="39"/>
    </row>
    <row r="137" spans="1:22" x14ac:dyDescent="0.25">
      <c r="A137" s="20">
        <v>40117</v>
      </c>
      <c r="B137" s="24">
        <f t="shared" si="8"/>
        <v>121</v>
      </c>
      <c r="C137" s="96" t="s">
        <v>340</v>
      </c>
      <c r="D137" s="27">
        <v>-7.4797840000000004</v>
      </c>
      <c r="E137" s="46">
        <f t="shared" si="9"/>
        <v>2172869.2014254043</v>
      </c>
      <c r="F137" s="8"/>
      <c r="H137" s="49"/>
      <c r="I137" s="39"/>
      <c r="J137" s="20">
        <f t="shared" si="12"/>
        <v>40117</v>
      </c>
      <c r="K137" s="27">
        <f>'BOGIX (Gross)'!K137</f>
        <v>-6.7946386446026237</v>
      </c>
      <c r="L137" s="46">
        <f t="shared" si="10"/>
        <v>1510556.1627342191</v>
      </c>
      <c r="M137" s="8"/>
      <c r="O137" s="39"/>
      <c r="P137" s="20">
        <f t="shared" si="13"/>
        <v>40117</v>
      </c>
      <c r="Q137" s="27">
        <f>'BOGIX (Gross)'!Q137</f>
        <v>-5.6938979999999999</v>
      </c>
      <c r="R137" s="46">
        <f t="shared" si="11"/>
        <v>1884815.380694753</v>
      </c>
      <c r="S137" s="8"/>
      <c r="U137" s="49"/>
      <c r="V137" s="39"/>
    </row>
    <row r="138" spans="1:22" x14ac:dyDescent="0.25">
      <c r="A138" s="20">
        <v>40147</v>
      </c>
      <c r="B138" s="24">
        <f t="shared" si="8"/>
        <v>122</v>
      </c>
      <c r="C138" s="96" t="s">
        <v>340</v>
      </c>
      <c r="D138" s="27">
        <v>4.2243259999999996</v>
      </c>
      <c r="E138" s="46">
        <f t="shared" si="9"/>
        <v>2264658.2800472099</v>
      </c>
      <c r="F138" s="8"/>
      <c r="H138" s="49"/>
      <c r="I138" s="39"/>
      <c r="J138" s="20">
        <f t="shared" si="12"/>
        <v>40147</v>
      </c>
      <c r="K138" s="27">
        <f>'BOGIX (Gross)'!K138</f>
        <v>3.1147681981507231</v>
      </c>
      <c r="L138" s="46">
        <f t="shared" si="10"/>
        <v>1557606.4857062704</v>
      </c>
      <c r="M138" s="8"/>
      <c r="O138" s="39"/>
      <c r="P138" s="20">
        <f t="shared" si="13"/>
        <v>40147</v>
      </c>
      <c r="Q138" s="27">
        <f>'BOGIX (Gross)'!Q138</f>
        <v>2.607596</v>
      </c>
      <c r="R138" s="46">
        <f t="shared" si="11"/>
        <v>1933963.7511691342</v>
      </c>
      <c r="S138" s="8"/>
      <c r="U138" s="49"/>
      <c r="V138" s="39"/>
    </row>
    <row r="139" spans="1:22" x14ac:dyDescent="0.25">
      <c r="A139" s="20">
        <v>40178</v>
      </c>
      <c r="B139" s="24">
        <f t="shared" si="8"/>
        <v>123</v>
      </c>
      <c r="C139" s="96" t="s">
        <v>340</v>
      </c>
      <c r="D139" s="27">
        <v>7.7568140000000003</v>
      </c>
      <c r="E139" s="46">
        <f t="shared" si="9"/>
        <v>2440323.6105660712</v>
      </c>
      <c r="F139" s="11">
        <f>(E139-E127)/E127*100</f>
        <v>45.884577821538159</v>
      </c>
      <c r="G139" s="5">
        <f>(E139/E136-1)*100</f>
        <v>3.9083564769390566</v>
      </c>
      <c r="H139" s="49"/>
      <c r="I139" s="39"/>
      <c r="J139" s="20">
        <f t="shared" si="12"/>
        <v>40178</v>
      </c>
      <c r="K139" s="27">
        <f>'BOGIX (Gross)'!K139</f>
        <v>8.0437363445395054</v>
      </c>
      <c r="L139" s="46">
        <f t="shared" si="10"/>
        <v>1682896.2447019303</v>
      </c>
      <c r="M139" s="11">
        <f>(L139-L127)/L127*100</f>
        <v>27.090069583254888</v>
      </c>
      <c r="N139" s="5">
        <f>(L139/L136-1)*100</f>
        <v>3.839206035984466</v>
      </c>
      <c r="O139" s="39"/>
      <c r="P139" s="20">
        <f t="shared" si="13"/>
        <v>40178</v>
      </c>
      <c r="Q139" s="27">
        <f>'BOGIX (Gross)'!Q139</f>
        <v>8.6143289999999997</v>
      </c>
      <c r="R139" s="46">
        <f t="shared" si="11"/>
        <v>2100561.7514355849</v>
      </c>
      <c r="S139" s="11">
        <f>(R139-R127)/R127*100</f>
        <v>25.517064355487264</v>
      </c>
      <c r="T139" s="5">
        <f>(R139/R136-1)*100</f>
        <v>5.1008989088171308</v>
      </c>
      <c r="U139" s="49"/>
      <c r="V139" s="39"/>
    </row>
    <row r="140" spans="1:22" x14ac:dyDescent="0.25">
      <c r="A140" s="20">
        <v>40209</v>
      </c>
      <c r="B140" s="24">
        <f t="shared" si="8"/>
        <v>124</v>
      </c>
      <c r="C140" s="96" t="s">
        <v>340</v>
      </c>
      <c r="D140" s="27">
        <v>-3.5667960000000001</v>
      </c>
      <c r="E140" s="46">
        <f t="shared" si="9"/>
        <v>2353282.2456373451</v>
      </c>
      <c r="F140" s="10"/>
      <c r="H140" s="49"/>
      <c r="I140" s="39"/>
      <c r="J140" s="20">
        <f t="shared" si="12"/>
        <v>40209</v>
      </c>
      <c r="K140" s="27">
        <f>'BOGIX (Gross)'!K140</f>
        <v>-3.6854331161916072</v>
      </c>
      <c r="L140" s="46">
        <f t="shared" si="10"/>
        <v>1620874.2291885405</v>
      </c>
      <c r="M140" s="10"/>
      <c r="O140" s="39"/>
      <c r="P140" s="20">
        <f t="shared" si="13"/>
        <v>40209</v>
      </c>
      <c r="Q140" s="27">
        <f>'BOGIX (Gross)'!Q140</f>
        <v>-3.3831349999999998</v>
      </c>
      <c r="R140" s="46">
        <f t="shared" si="11"/>
        <v>2029496.9116261546</v>
      </c>
      <c r="S140" s="10"/>
      <c r="U140" s="49"/>
      <c r="V140" s="39"/>
    </row>
    <row r="141" spans="1:22" x14ac:dyDescent="0.25">
      <c r="A141" s="20">
        <v>40237</v>
      </c>
      <c r="B141" s="24">
        <f t="shared" si="8"/>
        <v>125</v>
      </c>
      <c r="C141" s="96" t="s">
        <v>340</v>
      </c>
      <c r="D141" s="27">
        <v>4.3712169999999997</v>
      </c>
      <c r="E141" s="46">
        <f t="shared" si="9"/>
        <v>2456149.3192166267</v>
      </c>
      <c r="F141" s="8"/>
      <c r="H141" s="49"/>
      <c r="I141" s="39"/>
      <c r="J141" s="20">
        <f t="shared" si="12"/>
        <v>40237</v>
      </c>
      <c r="K141" s="27">
        <f>'BOGIX (Gross)'!K141</f>
        <v>4.4992887225955993</v>
      </c>
      <c r="L141" s="46">
        <f t="shared" si="10"/>
        <v>1693802.0405898788</v>
      </c>
      <c r="M141" s="8"/>
      <c r="O141" s="39"/>
      <c r="P141" s="20">
        <f t="shared" si="13"/>
        <v>40237</v>
      </c>
      <c r="Q141" s="27">
        <f>'BOGIX (Gross)'!Q141</f>
        <v>4.2977350000000003</v>
      </c>
      <c r="R141" s="46">
        <f t="shared" si="11"/>
        <v>2116719.3107210309</v>
      </c>
      <c r="S141" s="8"/>
      <c r="U141" s="49"/>
      <c r="V141" s="39"/>
    </row>
    <row r="142" spans="1:22" x14ac:dyDescent="0.25">
      <c r="A142" s="20">
        <v>40268</v>
      </c>
      <c r="B142" s="24">
        <f t="shared" si="8"/>
        <v>126</v>
      </c>
      <c r="C142" s="96" t="s">
        <v>340</v>
      </c>
      <c r="D142" s="27">
        <v>6.1855669999999998</v>
      </c>
      <c r="E142" s="46">
        <f t="shared" si="9"/>
        <v>2608076.080976815</v>
      </c>
      <c r="F142" s="8"/>
      <c r="G142" s="5">
        <f>(E142/E139-1)*100</f>
        <v>6.8741895412728127</v>
      </c>
      <c r="H142" s="49"/>
      <c r="I142" s="39"/>
      <c r="J142" s="20">
        <f t="shared" si="12"/>
        <v>40268</v>
      </c>
      <c r="K142" s="27">
        <f>'BOGIX (Gross)'!K142</f>
        <v>8.1162864890256916</v>
      </c>
      <c r="L142" s="46">
        <f t="shared" si="10"/>
        <v>1831275.8667611165</v>
      </c>
      <c r="M142" s="8"/>
      <c r="N142" s="5">
        <f>(L142/L139-1)*100</f>
        <v>8.816920385098781</v>
      </c>
      <c r="O142" s="39"/>
      <c r="P142" s="20">
        <f t="shared" si="13"/>
        <v>40268</v>
      </c>
      <c r="Q142" s="27">
        <f>'BOGIX (Gross)'!Q142</f>
        <v>7.7712950000000003</v>
      </c>
      <c r="R142" s="46">
        <f t="shared" si="11"/>
        <v>2281215.8126791287</v>
      </c>
      <c r="S142" s="8"/>
      <c r="T142" s="5">
        <f>(R142/R139-1)*100</f>
        <v>8.6002737658190433</v>
      </c>
      <c r="U142" s="49"/>
      <c r="V142" s="39"/>
    </row>
    <row r="143" spans="1:22" x14ac:dyDescent="0.25">
      <c r="A143" s="20">
        <v>40298</v>
      </c>
      <c r="B143" s="24">
        <f t="shared" si="8"/>
        <v>127</v>
      </c>
      <c r="C143" s="96" t="s">
        <v>340</v>
      </c>
      <c r="D143" s="27">
        <v>5.7038840000000004</v>
      </c>
      <c r="E143" s="46">
        <f t="shared" si="9"/>
        <v>2756837.7152674785</v>
      </c>
      <c r="F143" s="8"/>
      <c r="H143" s="49"/>
      <c r="I143" s="39"/>
      <c r="J143" s="20">
        <f t="shared" si="12"/>
        <v>40298</v>
      </c>
      <c r="K143" s="27">
        <f>'BOGIX (Gross)'!K143</f>
        <v>5.6590634544510561</v>
      </c>
      <c r="L143" s="46">
        <f t="shared" si="10"/>
        <v>1934908.9300871766</v>
      </c>
      <c r="M143" s="8"/>
      <c r="O143" s="39"/>
      <c r="P143" s="20">
        <f t="shared" si="13"/>
        <v>40298</v>
      </c>
      <c r="Q143" s="27">
        <f>'BOGIX (Gross)'!Q143</f>
        <v>5.8484410000000002</v>
      </c>
      <c r="R143" s="46">
        <f t="shared" si="11"/>
        <v>2414631.3735663379</v>
      </c>
      <c r="S143" s="8"/>
      <c r="U143" s="49"/>
      <c r="V143" s="39"/>
    </row>
    <row r="144" spans="1:22" x14ac:dyDescent="0.25">
      <c r="A144" s="20">
        <v>40329</v>
      </c>
      <c r="B144" s="24">
        <f t="shared" si="8"/>
        <v>128</v>
      </c>
      <c r="C144" s="96" t="s">
        <v>340</v>
      </c>
      <c r="D144" s="27">
        <v>-7.233066</v>
      </c>
      <c r="E144" s="46">
        <f t="shared" si="9"/>
        <v>2557433.8238092898</v>
      </c>
      <c r="F144" s="8"/>
      <c r="H144" s="49"/>
      <c r="I144" s="39"/>
      <c r="J144" s="20">
        <f t="shared" si="12"/>
        <v>40329</v>
      </c>
      <c r="K144" s="27">
        <f>'BOGIX (Gross)'!K144</f>
        <v>-7.586770948217298</v>
      </c>
      <c r="L144" s="46">
        <f t="shared" si="10"/>
        <v>1788111.8215048607</v>
      </c>
      <c r="M144" s="8"/>
      <c r="O144" s="39"/>
      <c r="P144" s="20">
        <f t="shared" si="13"/>
        <v>40329</v>
      </c>
      <c r="Q144" s="27">
        <f>'BOGIX (Gross)'!Q144</f>
        <v>-7.2218090000000004</v>
      </c>
      <c r="R144" s="46">
        <f t="shared" si="11"/>
        <v>2240251.3077133005</v>
      </c>
      <c r="S144" s="8"/>
      <c r="U144" s="49"/>
      <c r="V144" s="39"/>
    </row>
    <row r="145" spans="1:22" x14ac:dyDescent="0.25">
      <c r="A145" s="20">
        <v>40359</v>
      </c>
      <c r="B145" s="24">
        <f t="shared" si="8"/>
        <v>129</v>
      </c>
      <c r="C145" s="96" t="s">
        <v>340</v>
      </c>
      <c r="D145" s="27">
        <v>-8.8490099999999998</v>
      </c>
      <c r="E145" s="46">
        <f t="shared" si="9"/>
        <v>2331126.2489970233</v>
      </c>
      <c r="F145" s="8"/>
      <c r="G145" s="5">
        <f>(E145/E142-1)*100</f>
        <v>-10.618932246641533</v>
      </c>
      <c r="H145" s="49"/>
      <c r="I145" s="39"/>
      <c r="J145" s="20">
        <f t="shared" si="12"/>
        <v>40359</v>
      </c>
      <c r="K145" s="27">
        <f>'BOGIX (Gross)'!K145</f>
        <v>-7.7509660367317474</v>
      </c>
      <c r="L145" s="46">
        <f t="shared" si="10"/>
        <v>1649515.8815212334</v>
      </c>
      <c r="M145" s="8"/>
      <c r="N145" s="5">
        <f>(L145/L142-1)*100</f>
        <v>-9.9253197477752302</v>
      </c>
      <c r="O145" s="39"/>
      <c r="P145" s="20">
        <f t="shared" si="13"/>
        <v>40359</v>
      </c>
      <c r="Q145" s="27">
        <f>'BOGIX (Gross)'!Q145</f>
        <v>-7.0672949999999997</v>
      </c>
      <c r="R145" s="46">
        <f t="shared" si="11"/>
        <v>2081926.1390558437</v>
      </c>
      <c r="S145" s="8"/>
      <c r="T145" s="5">
        <f>(R145/R142-1)*100</f>
        <v>-8.7361166144659173</v>
      </c>
      <c r="U145" s="49"/>
      <c r="V145" s="39"/>
    </row>
    <row r="146" spans="1:22" x14ac:dyDescent="0.25">
      <c r="A146" s="20">
        <v>40390</v>
      </c>
      <c r="B146" s="24">
        <f t="shared" ref="B146:B209" si="14">IF(A146&gt;A145,1+B145,"-")</f>
        <v>130</v>
      </c>
      <c r="C146" s="96" t="s">
        <v>340</v>
      </c>
      <c r="D146" s="27">
        <v>8.3503059999999998</v>
      </c>
      <c r="E146" s="46">
        <f t="shared" ref="E146:E209" si="15">E145*D146/100+E145</f>
        <v>2525782.4240345969</v>
      </c>
      <c r="F146" s="8"/>
      <c r="H146" s="49"/>
      <c r="I146" s="39"/>
      <c r="J146" s="20">
        <f t="shared" si="12"/>
        <v>40390</v>
      </c>
      <c r="K146" s="27">
        <f>'BOGIX (Gross)'!K146</f>
        <v>6.8677914548601589</v>
      </c>
      <c r="L146" s="46">
        <f t="shared" ref="L146:L209" si="16">L145*K146/100+L145</f>
        <v>1762801.19227891</v>
      </c>
      <c r="M146" s="8"/>
      <c r="O146" s="39"/>
      <c r="P146" s="20">
        <f t="shared" si="13"/>
        <v>40390</v>
      </c>
      <c r="Q146" s="27">
        <f>'BOGIX (Gross)'!Q146</f>
        <v>6.3436180000000002</v>
      </c>
      <c r="R146" s="46">
        <f t="shared" ref="R146:R209" si="17">R145*Q146/100+R145</f>
        <v>2213995.580359695</v>
      </c>
      <c r="S146" s="8"/>
      <c r="U146" s="49"/>
      <c r="V146" s="39"/>
    </row>
    <row r="147" spans="1:22" x14ac:dyDescent="0.25">
      <c r="A147" s="20">
        <v>40421</v>
      </c>
      <c r="B147" s="24">
        <f t="shared" si="14"/>
        <v>131</v>
      </c>
      <c r="C147" s="96" t="s">
        <v>340</v>
      </c>
      <c r="D147" s="27">
        <v>-7.205514</v>
      </c>
      <c r="E147" s="46">
        <f t="shared" si="15"/>
        <v>2343786.8178612445</v>
      </c>
      <c r="F147" s="8"/>
      <c r="H147" s="49"/>
      <c r="I147" s="39"/>
      <c r="J147" s="20">
        <f t="shared" si="12"/>
        <v>40421</v>
      </c>
      <c r="K147" s="27">
        <f>'BOGIX (Gross)'!K147</f>
        <v>-7.4044482187218534</v>
      </c>
      <c r="L147" s="46">
        <f t="shared" si="16"/>
        <v>1632275.4907976065</v>
      </c>
      <c r="M147" s="8"/>
      <c r="O147" s="39"/>
      <c r="P147" s="20">
        <f t="shared" si="13"/>
        <v>40421</v>
      </c>
      <c r="Q147" s="27">
        <f>'BOGIX (Gross)'!Q147</f>
        <v>-7.4664279999999996</v>
      </c>
      <c r="R147" s="46">
        <f t="shared" si="17"/>
        <v>2048689.1944289561</v>
      </c>
      <c r="S147" s="8"/>
      <c r="U147" s="49"/>
      <c r="V147" s="39"/>
    </row>
    <row r="148" spans="1:22" x14ac:dyDescent="0.25">
      <c r="A148" s="20">
        <v>40451</v>
      </c>
      <c r="B148" s="24">
        <f t="shared" si="14"/>
        <v>132</v>
      </c>
      <c r="C148" s="96" t="s">
        <v>340</v>
      </c>
      <c r="D148" s="27">
        <v>14.98987</v>
      </c>
      <c r="E148" s="46">
        <f t="shared" si="15"/>
        <v>2695117.4149357821</v>
      </c>
      <c r="F148" s="8"/>
      <c r="G148" s="5">
        <f>(E148/E145-1)*100</f>
        <v>15.614390944950651</v>
      </c>
      <c r="H148" s="49"/>
      <c r="I148" s="39"/>
      <c r="J148" s="20">
        <f t="shared" ref="J148:J215" si="18">$A148</f>
        <v>40451</v>
      </c>
      <c r="K148" s="27">
        <f>'BOGIX (Gross)'!K148</f>
        <v>12.459603595160253</v>
      </c>
      <c r="L148" s="46">
        <f t="shared" si="16"/>
        <v>1835650.5465319448</v>
      </c>
      <c r="M148" s="8"/>
      <c r="N148" s="5">
        <f>(L148/L145-1)*100</f>
        <v>11.284199630685121</v>
      </c>
      <c r="O148" s="39"/>
      <c r="P148" s="20">
        <f t="shared" ref="P148:P215" si="19">$A148</f>
        <v>40451</v>
      </c>
      <c r="Q148" s="27">
        <f>'BOGIX (Gross)'!Q148</f>
        <v>11.39917</v>
      </c>
      <c r="R148" s="46">
        <f t="shared" si="17"/>
        <v>2282222.7584735435</v>
      </c>
      <c r="S148" s="8"/>
      <c r="T148" s="5">
        <f>(R148/R145-1)*100</f>
        <v>9.6207360895393954</v>
      </c>
      <c r="U148" s="49"/>
      <c r="V148" s="39"/>
    </row>
    <row r="149" spans="1:22" x14ac:dyDescent="0.25">
      <c r="A149" s="20">
        <v>40482</v>
      </c>
      <c r="B149" s="24">
        <f t="shared" si="14"/>
        <v>133</v>
      </c>
      <c r="C149" s="96" t="s">
        <v>340</v>
      </c>
      <c r="D149" s="27">
        <v>4.2278330000000004</v>
      </c>
      <c r="E149" s="46">
        <f t="shared" si="15"/>
        <v>2809062.478393184</v>
      </c>
      <c r="F149" s="8"/>
      <c r="H149" s="49"/>
      <c r="I149" s="39"/>
      <c r="J149" s="20">
        <f t="shared" si="18"/>
        <v>40482</v>
      </c>
      <c r="K149" s="27">
        <f>'BOGIX (Gross)'!K149</f>
        <v>4.0917088096319905</v>
      </c>
      <c r="L149" s="46">
        <f t="shared" si="16"/>
        <v>1910760.0216584501</v>
      </c>
      <c r="M149" s="8"/>
      <c r="O149" s="39"/>
      <c r="P149" s="20">
        <f t="shared" si="19"/>
        <v>40482</v>
      </c>
      <c r="Q149" s="27">
        <f>'BOGIX (Gross)'!Q149</f>
        <v>4.2564260000000003</v>
      </c>
      <c r="R149" s="46">
        <f t="shared" si="17"/>
        <v>2379363.8813431286</v>
      </c>
      <c r="S149" s="8"/>
      <c r="U149" s="49"/>
      <c r="V149" s="39"/>
    </row>
    <row r="150" spans="1:22" x14ac:dyDescent="0.25">
      <c r="A150" s="20">
        <v>40512</v>
      </c>
      <c r="B150" s="24">
        <f t="shared" si="14"/>
        <v>134</v>
      </c>
      <c r="C150" s="96" t="s">
        <v>340</v>
      </c>
      <c r="D150" s="27">
        <v>3.9436619999999998</v>
      </c>
      <c r="E150" s="46">
        <f t="shared" si="15"/>
        <v>2919842.4079098343</v>
      </c>
      <c r="F150" s="8"/>
      <c r="H150" s="49"/>
      <c r="I150" s="39"/>
      <c r="J150" s="20">
        <f t="shared" si="18"/>
        <v>40512</v>
      </c>
      <c r="K150" s="27">
        <f>'BOGIX (Gross)'!K150</f>
        <v>3.4682958567506987</v>
      </c>
      <c r="L150" s="46">
        <f t="shared" si="16"/>
        <v>1977030.832322079</v>
      </c>
      <c r="M150" s="8"/>
      <c r="O150" s="39"/>
      <c r="P150" s="20">
        <f t="shared" si="19"/>
        <v>40512</v>
      </c>
      <c r="Q150" s="27">
        <f>'BOGIX (Gross)'!Q150</f>
        <v>3.5627770000000001</v>
      </c>
      <c r="R150" s="46">
        <f t="shared" si="17"/>
        <v>2464135.310453929</v>
      </c>
      <c r="S150" s="8"/>
      <c r="U150" s="49"/>
      <c r="V150" s="39"/>
    </row>
    <row r="151" spans="1:22" x14ac:dyDescent="0.25">
      <c r="A151" s="20">
        <v>40543</v>
      </c>
      <c r="B151" s="24">
        <f t="shared" si="14"/>
        <v>135</v>
      </c>
      <c r="C151" s="96" t="s">
        <v>340</v>
      </c>
      <c r="D151" s="27">
        <v>8.0216799999999999</v>
      </c>
      <c r="E151" s="46">
        <f t="shared" si="15"/>
        <v>3154062.8223766559</v>
      </c>
      <c r="F151" s="11">
        <f>(E151-E139)/E139*100</f>
        <v>29.247727994772859</v>
      </c>
      <c r="G151" s="49">
        <f>(E151/E148-1)*100</f>
        <v>17.028772286412952</v>
      </c>
      <c r="H151" s="49"/>
      <c r="I151" s="39"/>
      <c r="J151" s="20">
        <f t="shared" si="18"/>
        <v>40543</v>
      </c>
      <c r="K151" s="27">
        <f>'BOGIX (Gross)'!K151</f>
        <v>7.9476105565938058</v>
      </c>
      <c r="L151" s="46">
        <f t="shared" si="16"/>
        <v>2134157.5434588231</v>
      </c>
      <c r="M151" s="11">
        <f>(L151-L139)/L139*100</f>
        <v>26.814564485335744</v>
      </c>
      <c r="N151" s="49">
        <f>(L151/L148-1)*100</f>
        <v>16.261646177200852</v>
      </c>
      <c r="O151" s="39"/>
      <c r="P151" s="20">
        <f t="shared" si="19"/>
        <v>40543</v>
      </c>
      <c r="Q151" s="27">
        <f>'BOGIX (Gross)'!Q151</f>
        <v>7.6591649999999998</v>
      </c>
      <c r="R151" s="46">
        <f t="shared" si="17"/>
        <v>2652867.4997048578</v>
      </c>
      <c r="S151" s="11">
        <f>(R151-R139)/R139*100</f>
        <v>26.293240267362343</v>
      </c>
      <c r="T151" s="49">
        <f>(R151/R148-1)*100</f>
        <v>16.240515517390541</v>
      </c>
      <c r="U151" s="49"/>
      <c r="V151" s="39"/>
    </row>
    <row r="152" spans="1:22" x14ac:dyDescent="0.25">
      <c r="A152" s="20">
        <v>40574</v>
      </c>
      <c r="B152" s="24">
        <f t="shared" si="14"/>
        <v>136</v>
      </c>
      <c r="C152" s="96" t="s">
        <v>340</v>
      </c>
      <c r="D152" s="27">
        <v>1.7059709999999999</v>
      </c>
      <c r="E152" s="46">
        <f t="shared" si="15"/>
        <v>3207870.2194481832</v>
      </c>
      <c r="F152" s="10"/>
      <c r="H152" s="255"/>
      <c r="I152" s="39"/>
      <c r="J152" s="20">
        <f t="shared" si="18"/>
        <v>40574</v>
      </c>
      <c r="K152" s="27">
        <f>'BOGIX (Gross)'!K152</f>
        <v>-0.25769271869127441</v>
      </c>
      <c r="L152" s="46">
        <f t="shared" si="16"/>
        <v>2128657.9748639292</v>
      </c>
      <c r="M152" s="10"/>
      <c r="O152" s="39"/>
      <c r="P152" s="20">
        <f t="shared" si="19"/>
        <v>40574</v>
      </c>
      <c r="Q152" s="27">
        <f>'BOGIX (Gross)'!Q152</f>
        <v>0.15197459999999999</v>
      </c>
      <c r="R152" s="46">
        <f t="shared" si="17"/>
        <v>2656899.1844760641</v>
      </c>
      <c r="S152" s="10"/>
      <c r="U152" s="49"/>
      <c r="V152" s="39"/>
    </row>
    <row r="153" spans="1:22" x14ac:dyDescent="0.25">
      <c r="A153" s="21">
        <v>40602</v>
      </c>
      <c r="B153" s="24">
        <f t="shared" si="14"/>
        <v>137</v>
      </c>
      <c r="C153" s="96" t="s">
        <v>340</v>
      </c>
      <c r="D153" s="27">
        <v>4.8840649999999997</v>
      </c>
      <c r="E153" s="46">
        <f t="shared" si="15"/>
        <v>3364544.6860816749</v>
      </c>
      <c r="F153" s="8"/>
      <c r="H153" s="255"/>
      <c r="I153" s="39"/>
      <c r="J153" s="20">
        <f t="shared" si="18"/>
        <v>40602</v>
      </c>
      <c r="K153" s="27">
        <f>'BOGIX (Gross)'!K153</f>
        <v>5.4841566989274968</v>
      </c>
      <c r="L153" s="46">
        <f t="shared" si="16"/>
        <v>2245396.913789684</v>
      </c>
      <c r="M153" s="8"/>
      <c r="O153" s="39"/>
      <c r="P153" s="20">
        <f t="shared" si="19"/>
        <v>40602</v>
      </c>
      <c r="Q153" s="27">
        <f>'BOGIX (Gross)'!Q153</f>
        <v>4.4058149999999996</v>
      </c>
      <c r="R153" s="46">
        <f t="shared" si="17"/>
        <v>2773957.2472805884</v>
      </c>
      <c r="S153" s="8"/>
      <c r="U153" s="49"/>
      <c r="V153" s="39"/>
    </row>
    <row r="154" spans="1:22" x14ac:dyDescent="0.25">
      <c r="A154" s="21">
        <v>40633</v>
      </c>
      <c r="B154" s="24">
        <f t="shared" si="14"/>
        <v>138</v>
      </c>
      <c r="C154" s="96" t="s">
        <v>340</v>
      </c>
      <c r="D154" s="27">
        <v>3.2925680000000002</v>
      </c>
      <c r="E154" s="46">
        <f t="shared" si="15"/>
        <v>3475324.6077613006</v>
      </c>
      <c r="F154" s="8"/>
      <c r="G154" s="49">
        <f>(E154/E151-1)*100</f>
        <v>10.185649540821995</v>
      </c>
      <c r="H154" s="255"/>
      <c r="I154" s="39"/>
      <c r="J154" s="20">
        <f t="shared" si="18"/>
        <v>40633</v>
      </c>
      <c r="K154" s="27">
        <f>'BOGIX (Gross)'!K154</f>
        <v>2.5916016104468986</v>
      </c>
      <c r="L154" s="46">
        <f t="shared" si="16"/>
        <v>2303588.6563683823</v>
      </c>
      <c r="M154" s="8"/>
      <c r="N154" s="49">
        <f>(L154/L151-1)*100</f>
        <v>7.9390161906680357</v>
      </c>
      <c r="O154" s="39"/>
      <c r="P154" s="20">
        <f t="shared" si="19"/>
        <v>40633</v>
      </c>
      <c r="Q154" s="27">
        <f>'BOGIX (Gross)'!Q154</f>
        <v>3.0030060000000001</v>
      </c>
      <c r="R154" s="46">
        <f t="shared" si="17"/>
        <v>2857259.3498538593</v>
      </c>
      <c r="S154" s="8"/>
      <c r="T154" s="49">
        <f>(R154/R151-1)*100</f>
        <v>7.7045630877433879</v>
      </c>
      <c r="U154" s="49"/>
      <c r="V154" s="39"/>
    </row>
    <row r="155" spans="1:22" x14ac:dyDescent="0.25">
      <c r="A155" s="21">
        <v>40663</v>
      </c>
      <c r="B155" s="24">
        <f t="shared" si="14"/>
        <v>139</v>
      </c>
      <c r="C155" s="96" t="s">
        <v>340</v>
      </c>
      <c r="D155" s="27">
        <v>4.1438980000000001</v>
      </c>
      <c r="E155" s="46">
        <f t="shared" si="15"/>
        <v>3619338.5146758291</v>
      </c>
      <c r="F155" s="10"/>
      <c r="H155" s="255"/>
      <c r="I155" s="39"/>
      <c r="J155" s="20">
        <f t="shared" si="18"/>
        <v>40663</v>
      </c>
      <c r="K155" s="27">
        <f>'BOGIX (Gross)'!K155</f>
        <v>2.6406962247670149</v>
      </c>
      <c r="L155" s="46">
        <f t="shared" si="16"/>
        <v>2364419.4350512633</v>
      </c>
      <c r="M155" s="10"/>
      <c r="O155" s="39"/>
      <c r="P155" s="20">
        <f t="shared" si="19"/>
        <v>40663</v>
      </c>
      <c r="Q155" s="27">
        <f>'BOGIX (Gross)'!Q155</f>
        <v>2.5982229999999999</v>
      </c>
      <c r="R155" s="46">
        <f t="shared" si="17"/>
        <v>2931497.3194514127</v>
      </c>
      <c r="S155" s="10"/>
      <c r="U155" s="49"/>
      <c r="V155" s="39"/>
    </row>
    <row r="156" spans="1:22" x14ac:dyDescent="0.25">
      <c r="A156" s="21">
        <v>40694</v>
      </c>
      <c r="B156" s="24">
        <f t="shared" si="14"/>
        <v>140</v>
      </c>
      <c r="C156" s="96" t="s">
        <v>340</v>
      </c>
      <c r="D156" s="27">
        <v>-2.7547000000000001</v>
      </c>
      <c r="E156" s="46">
        <f t="shared" si="15"/>
        <v>3519636.5966120539</v>
      </c>
      <c r="F156" s="10"/>
      <c r="H156" s="255"/>
      <c r="I156" s="39"/>
      <c r="J156" s="20">
        <f t="shared" si="18"/>
        <v>40694</v>
      </c>
      <c r="K156" s="27">
        <f>'BOGIX (Gross)'!K156</f>
        <v>-1.8748918370617418</v>
      </c>
      <c r="L156" s="46">
        <f t="shared" si="16"/>
        <v>2320089.1280695857</v>
      </c>
      <c r="M156" s="10"/>
      <c r="O156" s="39"/>
      <c r="P156" s="20">
        <f t="shared" si="19"/>
        <v>40694</v>
      </c>
      <c r="Q156" s="27">
        <f>'BOGIX (Gross)'!Q156</f>
        <v>-0.90106629999999999</v>
      </c>
      <c r="R156" s="46">
        <f t="shared" si="17"/>
        <v>2905082.5850204327</v>
      </c>
      <c r="S156" s="10"/>
      <c r="U156" s="49"/>
      <c r="V156" s="39"/>
    </row>
    <row r="157" spans="1:22" x14ac:dyDescent="0.25">
      <c r="A157" s="21">
        <v>40724</v>
      </c>
      <c r="B157" s="24">
        <f t="shared" si="14"/>
        <v>141</v>
      </c>
      <c r="C157" s="96" t="s">
        <v>340</v>
      </c>
      <c r="D157" s="27">
        <v>-0.89928050000000004</v>
      </c>
      <c r="E157" s="46">
        <f t="shared" si="15"/>
        <v>3487985.1910278583</v>
      </c>
      <c r="F157" s="10"/>
      <c r="G157" s="49">
        <f>(E157/E154-1)*100</f>
        <v>0.36429930137413802</v>
      </c>
      <c r="H157" s="255"/>
      <c r="I157" s="39"/>
      <c r="J157" s="20">
        <f t="shared" si="18"/>
        <v>40724</v>
      </c>
      <c r="K157" s="27">
        <f>'BOGIX (Gross)'!K157</f>
        <v>-2.3055633693393269</v>
      </c>
      <c r="L157" s="46">
        <f t="shared" si="16"/>
        <v>2266598.0029967893</v>
      </c>
      <c r="M157" s="10"/>
      <c r="N157" s="49">
        <f>(L157/L154-1)*100</f>
        <v>-1.6057837960492871</v>
      </c>
      <c r="O157" s="39"/>
      <c r="P157" s="20">
        <f t="shared" si="19"/>
        <v>40724</v>
      </c>
      <c r="Q157" s="27">
        <f>'BOGIX (Gross)'!Q157</f>
        <v>-1.808999</v>
      </c>
      <c r="R157" s="46">
        <f t="shared" si="17"/>
        <v>2852529.6701082392</v>
      </c>
      <c r="S157" s="10"/>
      <c r="T157" s="49">
        <f>(R157/R154-1)*100</f>
        <v>-0.16553204194998949</v>
      </c>
      <c r="U157" s="49"/>
      <c r="V157" s="39"/>
    </row>
    <row r="158" spans="1:22" x14ac:dyDescent="0.25">
      <c r="A158" s="21">
        <v>40755</v>
      </c>
      <c r="B158" s="24">
        <f t="shared" si="14"/>
        <v>142</v>
      </c>
      <c r="C158" s="96" t="s">
        <v>340</v>
      </c>
      <c r="D158" s="27">
        <v>-2.1778580000000001</v>
      </c>
      <c r="E158" s="46">
        <f t="shared" si="15"/>
        <v>3412021.8265062426</v>
      </c>
      <c r="F158" s="10"/>
      <c r="H158" s="255"/>
      <c r="I158" s="39"/>
      <c r="J158" s="20">
        <f t="shared" si="18"/>
        <v>40755</v>
      </c>
      <c r="K158" s="27">
        <f>'BOGIX (Gross)'!K158</f>
        <v>-3.6145213933725984</v>
      </c>
      <c r="L158" s="46">
        <f t="shared" si="16"/>
        <v>2184671.3332767142</v>
      </c>
      <c r="M158" s="10"/>
      <c r="O158" s="39"/>
      <c r="P158" s="20">
        <f t="shared" si="19"/>
        <v>40755</v>
      </c>
      <c r="Q158" s="27">
        <f>'BOGIX (Gross)'!Q158</f>
        <v>-3.2078150000000001</v>
      </c>
      <c r="R158" s="46">
        <f t="shared" si="17"/>
        <v>2761025.7954710564</v>
      </c>
      <c r="S158" s="10"/>
      <c r="U158" s="49"/>
      <c r="V158" s="39"/>
    </row>
    <row r="159" spans="1:22" x14ac:dyDescent="0.25">
      <c r="A159" s="21">
        <v>40786</v>
      </c>
      <c r="B159" s="24">
        <f t="shared" si="14"/>
        <v>143</v>
      </c>
      <c r="C159" s="96" t="s">
        <v>340</v>
      </c>
      <c r="D159" s="27">
        <v>-10.111319999999999</v>
      </c>
      <c r="E159" s="46">
        <f t="shared" si="15"/>
        <v>3067021.3811583514</v>
      </c>
      <c r="F159" s="10"/>
      <c r="H159" s="255"/>
      <c r="I159" s="39"/>
      <c r="J159" s="20">
        <f t="shared" si="18"/>
        <v>40786</v>
      </c>
      <c r="K159" s="27">
        <f>'BOGIX (Gross)'!K159</f>
        <v>-8.700274667600933</v>
      </c>
      <c r="L159" s="46">
        <f t="shared" si="16"/>
        <v>1994598.9266973007</v>
      </c>
      <c r="M159" s="10"/>
      <c r="O159" s="39"/>
      <c r="P159" s="20">
        <f t="shared" si="19"/>
        <v>40786</v>
      </c>
      <c r="Q159" s="27">
        <f>'BOGIX (Gross)'!Q159</f>
        <v>-7.6731189999999998</v>
      </c>
      <c r="R159" s="46">
        <f t="shared" si="17"/>
        <v>2549169.0005638655</v>
      </c>
      <c r="S159" s="10"/>
      <c r="U159" s="49"/>
      <c r="V159" s="39"/>
    </row>
    <row r="160" spans="1:22" x14ac:dyDescent="0.25">
      <c r="A160" s="21">
        <v>40816</v>
      </c>
      <c r="B160" s="24">
        <f t="shared" si="14"/>
        <v>144</v>
      </c>
      <c r="C160" s="96" t="s">
        <v>340</v>
      </c>
      <c r="D160" s="27">
        <v>-13.62229</v>
      </c>
      <c r="E160" s="46">
        <f t="shared" si="15"/>
        <v>2649222.8342549554</v>
      </c>
      <c r="F160" s="10"/>
      <c r="G160" s="49">
        <f>(E160/E157-1)*100</f>
        <v>-24.047188013597388</v>
      </c>
      <c r="H160" s="255"/>
      <c r="I160" s="39"/>
      <c r="J160" s="20">
        <f t="shared" si="18"/>
        <v>40816</v>
      </c>
      <c r="K160" s="27">
        <f>'BOGIX (Gross)'!K160</f>
        <v>-11.210228059624475</v>
      </c>
      <c r="L160" s="46">
        <f t="shared" si="16"/>
        <v>1770999.8381397114</v>
      </c>
      <c r="M160" s="10"/>
      <c r="N160" s="49">
        <f>(L160/L157-1)*100</f>
        <v>-21.865287280842093</v>
      </c>
      <c r="O160" s="39"/>
      <c r="P160" s="20">
        <f t="shared" si="19"/>
        <v>40816</v>
      </c>
      <c r="Q160" s="27">
        <f>'BOGIX (Gross)'!Q160</f>
        <v>-10.28979</v>
      </c>
      <c r="R160" s="46">
        <f t="shared" si="17"/>
        <v>2286864.8636607449</v>
      </c>
      <c r="S160" s="10"/>
      <c r="T160" s="49">
        <f>(R160/R157-1)*100</f>
        <v>-19.8302865128842</v>
      </c>
      <c r="U160" s="49"/>
      <c r="V160" s="39"/>
    </row>
    <row r="161" spans="1:22" x14ac:dyDescent="0.25">
      <c r="A161" s="21">
        <v>40847</v>
      </c>
      <c r="B161" s="24">
        <f t="shared" si="14"/>
        <v>145</v>
      </c>
      <c r="C161" s="96" t="s">
        <v>340</v>
      </c>
      <c r="D161" s="27">
        <v>15.5914</v>
      </c>
      <c r="E161" s="46">
        <f t="shared" si="15"/>
        <v>3062273.7632349827</v>
      </c>
      <c r="F161" s="10"/>
      <c r="H161" s="255"/>
      <c r="I161" s="39"/>
      <c r="J161" s="20">
        <f t="shared" si="18"/>
        <v>40847</v>
      </c>
      <c r="K161" s="27">
        <f>'BOGIX (Gross)'!K161</f>
        <v>15.13580194155395</v>
      </c>
      <c r="L161" s="46">
        <f t="shared" si="16"/>
        <v>2039054.8660257792</v>
      </c>
      <c r="M161" s="10"/>
      <c r="O161" s="39"/>
      <c r="P161" s="20">
        <f t="shared" si="19"/>
        <v>40847</v>
      </c>
      <c r="Q161" s="27">
        <f>'BOGIX (Gross)'!Q161</f>
        <v>14.996969999999999</v>
      </c>
      <c r="R161" s="46">
        <f t="shared" si="17"/>
        <v>2629825.3012044877</v>
      </c>
      <c r="S161" s="10"/>
      <c r="U161" s="49"/>
      <c r="V161" s="39"/>
    </row>
    <row r="162" spans="1:22" x14ac:dyDescent="0.25">
      <c r="A162" s="21">
        <v>40877</v>
      </c>
      <c r="B162" s="24">
        <f t="shared" si="14"/>
        <v>146</v>
      </c>
      <c r="C162" s="96" t="s">
        <v>340</v>
      </c>
      <c r="D162" s="27">
        <v>-1.29199</v>
      </c>
      <c r="E162" s="46">
        <f t="shared" si="15"/>
        <v>3022709.4924413632</v>
      </c>
      <c r="F162" s="10"/>
      <c r="H162" s="255"/>
      <c r="I162" s="39"/>
      <c r="J162" s="20">
        <f t="shared" si="18"/>
        <v>40877</v>
      </c>
      <c r="K162" s="27">
        <f>'BOGIX (Gross)'!K162</f>
        <v>-0.36476645321503764</v>
      </c>
      <c r="L162" s="46">
        <f t="shared" si="16"/>
        <v>2031617.0779118682</v>
      </c>
      <c r="M162" s="10"/>
      <c r="O162" s="39"/>
      <c r="P162" s="20">
        <f t="shared" si="19"/>
        <v>40877</v>
      </c>
      <c r="Q162" s="27">
        <f>'BOGIX (Gross)'!Q162</f>
        <v>0.63028119999999999</v>
      </c>
      <c r="R162" s="46">
        <f t="shared" si="17"/>
        <v>2646400.595670823</v>
      </c>
      <c r="S162" s="10"/>
      <c r="U162" s="49"/>
      <c r="V162" s="39"/>
    </row>
    <row r="163" spans="1:22" x14ac:dyDescent="0.25">
      <c r="A163" s="21">
        <v>40908</v>
      </c>
      <c r="B163" s="24">
        <f t="shared" si="14"/>
        <v>147</v>
      </c>
      <c r="C163" s="96" t="s">
        <v>340</v>
      </c>
      <c r="D163" s="27">
        <v>-0.78534029999999999</v>
      </c>
      <c r="E163" s="46">
        <f t="shared" si="15"/>
        <v>2998970.9366452955</v>
      </c>
      <c r="F163" s="12">
        <f>(E163-E151)/E151*100</f>
        <v>-4.9172097851397663</v>
      </c>
      <c r="G163" s="49">
        <f>(E163/E160-1)*100</f>
        <v>13.201913325977355</v>
      </c>
      <c r="H163" s="255"/>
      <c r="I163" s="39"/>
      <c r="J163" s="20">
        <f t="shared" si="18"/>
        <v>40908</v>
      </c>
      <c r="K163" s="27">
        <f>'BOGIX (Gross)'!K163</f>
        <v>0.66069199871902062</v>
      </c>
      <c r="L163" s="46">
        <f t="shared" si="16"/>
        <v>2045039.809390241</v>
      </c>
      <c r="M163" s="12">
        <f>(L163-L151)/L151*100</f>
        <v>-4.1757804779561498</v>
      </c>
      <c r="N163" s="49">
        <f>(L163/L160-1)*100</f>
        <v>15.473743438530519</v>
      </c>
      <c r="O163" s="39"/>
      <c r="P163" s="20">
        <f t="shared" si="19"/>
        <v>40908</v>
      </c>
      <c r="Q163" s="27">
        <f>'BOGIX (Gross)'!Q163</f>
        <v>1.25309</v>
      </c>
      <c r="R163" s="46">
        <f t="shared" si="17"/>
        <v>2679562.3768951143</v>
      </c>
      <c r="S163" s="37">
        <f>(R163-R151)/R151*100</f>
        <v>1.0062650016718289</v>
      </c>
      <c r="T163" s="49">
        <f>(R163/R160-1)*100</f>
        <v>17.171872263835965</v>
      </c>
      <c r="U163" s="49"/>
      <c r="V163" s="39"/>
    </row>
    <row r="164" spans="1:22" x14ac:dyDescent="0.25">
      <c r="A164" s="21">
        <v>40939</v>
      </c>
      <c r="B164" s="24">
        <f t="shared" si="14"/>
        <v>148</v>
      </c>
      <c r="C164" s="96" t="s">
        <v>340</v>
      </c>
      <c r="D164" s="27">
        <v>9.4986809999999995</v>
      </c>
      <c r="E164" s="46">
        <f t="shared" si="15"/>
        <v>3283833.6191999442</v>
      </c>
      <c r="F164" s="84">
        <f>(E163-E152)/E152*100</f>
        <v>-6.5120864783246288</v>
      </c>
      <c r="H164" s="49"/>
      <c r="I164" s="39"/>
      <c r="J164" s="20">
        <f t="shared" si="18"/>
        <v>40939</v>
      </c>
      <c r="K164" s="27">
        <f>'BOGIX (Gross)'!K164</f>
        <v>7.0651692545300389</v>
      </c>
      <c r="L164" s="46">
        <f t="shared" si="16"/>
        <v>2189525.3332461799</v>
      </c>
      <c r="M164" s="84">
        <f>(L163-L152)/L152*100</f>
        <v>-3.9282104716251238</v>
      </c>
      <c r="O164" s="39"/>
      <c r="P164" s="20">
        <f t="shared" si="19"/>
        <v>40939</v>
      </c>
      <c r="Q164" s="27">
        <f>'BOGIX (Gross)'!Q164</f>
        <v>6.5783610000000001</v>
      </c>
      <c r="R164" s="46">
        <f t="shared" si="17"/>
        <v>2855833.6632674555</v>
      </c>
      <c r="S164" s="10"/>
      <c r="U164" s="49"/>
      <c r="V164" s="39"/>
    </row>
    <row r="165" spans="1:22" x14ac:dyDescent="0.25">
      <c r="A165" s="21">
        <v>40968</v>
      </c>
      <c r="B165" s="24">
        <f t="shared" si="14"/>
        <v>149</v>
      </c>
      <c r="C165" s="96" t="s">
        <v>340</v>
      </c>
      <c r="D165" s="27">
        <v>4.86747</v>
      </c>
      <c r="E165" s="46">
        <f t="shared" si="15"/>
        <v>3443673.2354644155</v>
      </c>
      <c r="F165" s="10"/>
      <c r="H165" s="49"/>
      <c r="I165" s="39"/>
      <c r="J165" s="20">
        <f t="shared" si="18"/>
        <v>40968</v>
      </c>
      <c r="K165" s="27">
        <f>'BOGIX (Gross)'!K165</f>
        <v>2.3932261670854693</v>
      </c>
      <c r="L165" s="46">
        <f t="shared" si="16"/>
        <v>2241925.6264563929</v>
      </c>
      <c r="M165" s="10"/>
      <c r="O165" s="39"/>
      <c r="P165" s="20">
        <f t="shared" si="19"/>
        <v>40968</v>
      </c>
      <c r="Q165" s="27">
        <f>'BOGIX (Gross)'!Q165</f>
        <v>2.1113200000000001</v>
      </c>
      <c r="R165" s="46">
        <f t="shared" si="17"/>
        <v>2916129.4505667537</v>
      </c>
      <c r="S165" s="10"/>
      <c r="U165" s="49"/>
      <c r="V165" s="39"/>
    </row>
    <row r="166" spans="1:22" x14ac:dyDescent="0.25">
      <c r="A166" s="21">
        <v>40999</v>
      </c>
      <c r="B166" s="24">
        <f t="shared" si="14"/>
        <v>150</v>
      </c>
      <c r="C166" s="96" t="s">
        <v>340</v>
      </c>
      <c r="D166" s="27">
        <v>1.9301470000000001</v>
      </c>
      <c r="E166" s="46">
        <f t="shared" si="15"/>
        <v>3510141.191108535</v>
      </c>
      <c r="F166" s="10"/>
      <c r="G166" s="49">
        <f>(E166/E163-1)*100</f>
        <v>17.044855227408242</v>
      </c>
      <c r="H166" s="49"/>
      <c r="I166" s="39"/>
      <c r="J166" s="20">
        <f t="shared" si="18"/>
        <v>40999</v>
      </c>
      <c r="K166" s="27">
        <f>'BOGIX (Gross)'!K166</f>
        <v>2.5621042267388683</v>
      </c>
      <c r="L166" s="46">
        <f t="shared" si="16"/>
        <v>2299366.0976921739</v>
      </c>
      <c r="M166" s="10"/>
      <c r="N166" s="49">
        <f>(L166/L163-1)*100</f>
        <v>12.436251222794725</v>
      </c>
      <c r="O166" s="39"/>
      <c r="P166" s="20">
        <f t="shared" si="19"/>
        <v>40999</v>
      </c>
      <c r="Q166" s="27">
        <f>'BOGIX (Gross)'!Q166</f>
        <v>2.8984030000000001</v>
      </c>
      <c r="R166" s="46">
        <f t="shared" si="17"/>
        <v>3000650.634045864</v>
      </c>
      <c r="S166" s="10"/>
      <c r="T166" s="49">
        <f>(R166/R163-1)*100</f>
        <v>11.982861825474789</v>
      </c>
      <c r="U166" s="49"/>
      <c r="V166" s="39"/>
    </row>
    <row r="167" spans="1:22" x14ac:dyDescent="0.25">
      <c r="A167" s="21">
        <v>41029</v>
      </c>
      <c r="B167" s="24">
        <f t="shared" si="14"/>
        <v>151</v>
      </c>
      <c r="C167" s="96" t="s">
        <v>340</v>
      </c>
      <c r="D167" s="27">
        <v>-1.1722269999999999</v>
      </c>
      <c r="E167" s="46">
        <f t="shared" si="15"/>
        <v>3468994.3683282393</v>
      </c>
      <c r="F167" s="10"/>
      <c r="H167" s="49"/>
      <c r="I167" s="39"/>
      <c r="J167" s="20">
        <f t="shared" si="18"/>
        <v>41029</v>
      </c>
      <c r="K167" s="27">
        <f>'BOGIX (Gross)'!K167</f>
        <v>-1.5447142518908705</v>
      </c>
      <c r="L167" s="46">
        <f t="shared" si="16"/>
        <v>2263847.4618779761</v>
      </c>
      <c r="M167" s="10"/>
      <c r="O167" s="39"/>
      <c r="P167" s="20">
        <f t="shared" si="19"/>
        <v>41029</v>
      </c>
      <c r="Q167" s="27">
        <f>'BOGIX (Gross)'!Q167</f>
        <v>-1.2608200000000001</v>
      </c>
      <c r="R167" s="46">
        <f t="shared" si="17"/>
        <v>2962817.8307216871</v>
      </c>
      <c r="S167" s="10"/>
      <c r="U167" s="49"/>
      <c r="V167" s="39"/>
    </row>
    <row r="168" spans="1:22" x14ac:dyDescent="0.25">
      <c r="A168" s="21">
        <v>41060</v>
      </c>
      <c r="B168" s="24">
        <f t="shared" si="14"/>
        <v>152</v>
      </c>
      <c r="C168" s="96" t="s">
        <v>340</v>
      </c>
      <c r="D168" s="27">
        <v>-9.3521900000000002</v>
      </c>
      <c r="E168" s="46">
        <f t="shared" si="15"/>
        <v>3144567.4239128823</v>
      </c>
      <c r="F168" s="10"/>
      <c r="H168" s="49"/>
      <c r="I168" s="39"/>
      <c r="J168" s="20">
        <f t="shared" si="18"/>
        <v>41060</v>
      </c>
      <c r="K168" s="27">
        <f>'BOGIX (Gross)'!K168</f>
        <v>-6.6147434991662353</v>
      </c>
      <c r="L168" s="46">
        <f t="shared" si="16"/>
        <v>2114099.7590623628</v>
      </c>
      <c r="M168" s="10"/>
      <c r="O168" s="39"/>
      <c r="P168" s="20">
        <f t="shared" si="19"/>
        <v>41060</v>
      </c>
      <c r="Q168" s="27">
        <f>'BOGIX (Gross)'!Q168</f>
        <v>-6.2701560000000001</v>
      </c>
      <c r="R168" s="46">
        <f t="shared" si="17"/>
        <v>2777044.5307396213</v>
      </c>
      <c r="S168" s="10"/>
      <c r="U168" s="49"/>
      <c r="V168" s="39"/>
    </row>
    <row r="169" spans="1:22" x14ac:dyDescent="0.25">
      <c r="A169" s="21">
        <v>41090</v>
      </c>
      <c r="B169" s="24">
        <f t="shared" si="14"/>
        <v>153</v>
      </c>
      <c r="C169" s="96" t="s">
        <v>340</v>
      </c>
      <c r="D169" s="27">
        <v>5.0830399999999996</v>
      </c>
      <c r="E169" s="46">
        <f t="shared" si="15"/>
        <v>3304407.0438973438</v>
      </c>
      <c r="F169" s="10"/>
      <c r="G169" s="49">
        <f>(E169/E166-1)*100</f>
        <v>-5.8611359489564752</v>
      </c>
      <c r="H169" s="49"/>
      <c r="I169" s="39"/>
      <c r="J169" s="20">
        <f t="shared" si="18"/>
        <v>41090</v>
      </c>
      <c r="K169" s="27">
        <f>'BOGIX (Gross)'!K169</f>
        <v>4.9899882818746146</v>
      </c>
      <c r="L169" s="46">
        <f t="shared" si="16"/>
        <v>2219593.089306714</v>
      </c>
      <c r="M169" s="10"/>
      <c r="N169" s="49">
        <f>(L169/L166-1)*100</f>
        <v>-3.4693478548512346</v>
      </c>
      <c r="O169" s="39"/>
      <c r="P169" s="20">
        <f t="shared" si="19"/>
        <v>41090</v>
      </c>
      <c r="Q169" s="27">
        <f>'BOGIX (Gross)'!Q169</f>
        <v>4.1832649999999996</v>
      </c>
      <c r="R169" s="46">
        <f t="shared" si="17"/>
        <v>2893215.6626284663</v>
      </c>
      <c r="S169" s="10"/>
      <c r="T169" s="49">
        <f>(R169/R166-1)*100</f>
        <v>-3.5803892062082565</v>
      </c>
      <c r="U169" s="49"/>
      <c r="V169" s="39"/>
    </row>
    <row r="170" spans="1:22" x14ac:dyDescent="0.25">
      <c r="A170" s="21">
        <v>41121</v>
      </c>
      <c r="B170" s="24">
        <f t="shared" si="14"/>
        <v>154</v>
      </c>
      <c r="C170" s="96" t="s">
        <v>340</v>
      </c>
      <c r="D170" s="27">
        <v>-0.52681990000000001</v>
      </c>
      <c r="E170" s="46">
        <f t="shared" si="15"/>
        <v>3286998.7700130907</v>
      </c>
      <c r="F170" s="10"/>
      <c r="H170" s="49"/>
      <c r="I170" s="39"/>
      <c r="J170" s="20">
        <f t="shared" si="18"/>
        <v>41121</v>
      </c>
      <c r="K170" s="27">
        <f>'BOGIX (Gross)'!K170</f>
        <v>-1.3819068348042534</v>
      </c>
      <c r="L170" s="46">
        <f t="shared" si="16"/>
        <v>2188920.3807007414</v>
      </c>
      <c r="M170" s="10"/>
      <c r="O170" s="39"/>
      <c r="P170" s="20">
        <f t="shared" si="19"/>
        <v>41121</v>
      </c>
      <c r="Q170" s="27">
        <f>'BOGIX (Gross)'!Q170</f>
        <v>-0.76724680000000001</v>
      </c>
      <c r="R170" s="46">
        <f t="shared" si="17"/>
        <v>2871017.5580398506</v>
      </c>
      <c r="S170" s="10"/>
      <c r="U170" s="49"/>
      <c r="V170" s="39"/>
    </row>
    <row r="171" spans="1:22" x14ac:dyDescent="0.25">
      <c r="A171" s="21">
        <v>41152</v>
      </c>
      <c r="B171" s="24">
        <f t="shared" si="14"/>
        <v>155</v>
      </c>
      <c r="C171" s="96" t="s">
        <v>340</v>
      </c>
      <c r="D171" s="27">
        <v>4.7664900000000001</v>
      </c>
      <c r="E171" s="46">
        <f t="shared" si="15"/>
        <v>3443673.2376858876</v>
      </c>
      <c r="F171" s="10"/>
      <c r="H171" s="49"/>
      <c r="I171" s="39"/>
      <c r="J171" s="20">
        <f t="shared" si="18"/>
        <v>41152</v>
      </c>
      <c r="K171" s="27">
        <f>'BOGIX (Gross)'!K171</f>
        <v>3.3366006800921695</v>
      </c>
      <c r="L171" s="46">
        <f t="shared" si="16"/>
        <v>2261955.9130098782</v>
      </c>
      <c r="M171" s="10"/>
      <c r="O171" s="39"/>
      <c r="P171" s="20">
        <f t="shared" si="19"/>
        <v>41152</v>
      </c>
      <c r="Q171" s="27">
        <f>'BOGIX (Gross)'!Q171</f>
        <v>3.7892229999999998</v>
      </c>
      <c r="R171" s="46">
        <f t="shared" si="17"/>
        <v>2979806.8156831348</v>
      </c>
      <c r="S171" s="10"/>
      <c r="U171" s="49"/>
      <c r="V171" s="39"/>
    </row>
    <row r="172" spans="1:22" x14ac:dyDescent="0.25">
      <c r="A172" s="21">
        <v>41182</v>
      </c>
      <c r="B172" s="24">
        <f t="shared" si="14"/>
        <v>156</v>
      </c>
      <c r="C172" s="96" t="s">
        <v>340</v>
      </c>
      <c r="D172" s="27">
        <v>4.1360289999999997</v>
      </c>
      <c r="E172" s="46">
        <f t="shared" si="15"/>
        <v>3586104.5614618147</v>
      </c>
      <c r="F172" s="10"/>
      <c r="G172" s="49">
        <f>(E172/E169-1)*100</f>
        <v>8.5249036762803385</v>
      </c>
      <c r="H172" s="49"/>
      <c r="I172" s="39"/>
      <c r="J172" s="20">
        <f t="shared" si="18"/>
        <v>41182</v>
      </c>
      <c r="K172" s="27">
        <f>'BOGIX (Gross)'!K172</f>
        <v>3.2837720551479967</v>
      </c>
      <c r="L172" s="46">
        <f t="shared" si="16"/>
        <v>2336233.3891810644</v>
      </c>
      <c r="M172" s="15"/>
      <c r="N172" s="49">
        <f>(L172/L169-1)*100</f>
        <v>5.2550307728153278</v>
      </c>
      <c r="O172" s="39"/>
      <c r="P172" s="20">
        <f t="shared" si="19"/>
        <v>41182</v>
      </c>
      <c r="Q172" s="27">
        <f>'BOGIX (Gross)'!Q172</f>
        <v>2.3328859999999998</v>
      </c>
      <c r="R172" s="46">
        <f t="shared" si="17"/>
        <v>3049322.3117132527</v>
      </c>
      <c r="S172" s="10"/>
      <c r="T172" s="49">
        <f>(R172/R169-1)*100</f>
        <v>5.3956105347143346</v>
      </c>
      <c r="U172" s="49"/>
      <c r="V172" s="39"/>
    </row>
    <row r="173" spans="1:22" x14ac:dyDescent="0.25">
      <c r="A173" s="21">
        <v>41213</v>
      </c>
      <c r="B173" s="24">
        <f t="shared" si="14"/>
        <v>157</v>
      </c>
      <c r="C173" s="96" t="s">
        <v>340</v>
      </c>
      <c r="D173" s="27">
        <v>-0.39717560000000002</v>
      </c>
      <c r="E173" s="46">
        <f t="shared" si="15"/>
        <v>3571861.4291532012</v>
      </c>
      <c r="F173" s="10"/>
      <c r="H173" s="49"/>
      <c r="I173" s="39"/>
      <c r="J173" s="20">
        <f t="shared" si="18"/>
        <v>41213</v>
      </c>
      <c r="K173" s="27">
        <f>'BOGIX (Gross)'!K173</f>
        <v>-2.1694242318026342</v>
      </c>
      <c r="L173" s="46">
        <f t="shared" si="16"/>
        <v>2285550.5759247066</v>
      </c>
      <c r="M173" s="15"/>
      <c r="O173" s="39"/>
      <c r="P173" s="20">
        <f t="shared" si="19"/>
        <v>41213</v>
      </c>
      <c r="Q173" s="27">
        <f>'BOGIX (Gross)'!Q173</f>
        <v>-2.0306039999999999</v>
      </c>
      <c r="R173" s="46">
        <f t="shared" si="17"/>
        <v>2987402.6508787107</v>
      </c>
      <c r="S173" s="10"/>
      <c r="U173" s="49"/>
      <c r="V173" s="39"/>
    </row>
    <row r="174" spans="1:22" x14ac:dyDescent="0.25">
      <c r="A174" s="21">
        <v>41243</v>
      </c>
      <c r="B174" s="24">
        <f t="shared" si="14"/>
        <v>158</v>
      </c>
      <c r="C174" s="96" t="s">
        <v>340</v>
      </c>
      <c r="D174" s="27">
        <v>2.7027030000000001</v>
      </c>
      <c r="E174" s="46">
        <f t="shared" si="15"/>
        <v>3668398.2351547675</v>
      </c>
      <c r="F174" s="10"/>
      <c r="H174" s="49"/>
      <c r="I174" s="39"/>
      <c r="J174" s="20">
        <f t="shared" si="18"/>
        <v>41243</v>
      </c>
      <c r="K174" s="27">
        <f>'BOGIX (Gross)'!K174</f>
        <v>0.53249508101832621</v>
      </c>
      <c r="L174" s="46">
        <f t="shared" si="16"/>
        <v>2297721.0203156918</v>
      </c>
      <c r="M174" s="15"/>
      <c r="O174" s="39"/>
      <c r="P174" s="20">
        <f t="shared" si="19"/>
        <v>41243</v>
      </c>
      <c r="Q174" s="27">
        <f>'BOGIX (Gross)'!Q174</f>
        <v>0.99796320000000005</v>
      </c>
      <c r="R174" s="46">
        <f t="shared" si="17"/>
        <v>3017215.8299703049</v>
      </c>
      <c r="S174" s="10"/>
      <c r="U174" s="49"/>
      <c r="V174" s="39"/>
    </row>
    <row r="175" spans="1:22" x14ac:dyDescent="0.25">
      <c r="A175" s="21">
        <v>41274</v>
      </c>
      <c r="B175" s="24">
        <f t="shared" si="14"/>
        <v>159</v>
      </c>
      <c r="C175" s="96" t="s">
        <v>340</v>
      </c>
      <c r="D175" s="27">
        <v>3.149267</v>
      </c>
      <c r="E175" s="46">
        <f t="shared" si="15"/>
        <v>3783925.8902030792</v>
      </c>
      <c r="F175" s="12">
        <f>(E175-E163)/E163*100</f>
        <v>26.17414340253157</v>
      </c>
      <c r="G175" s="49">
        <f>(E175/E172-1)*100</f>
        <v>5.5163290793904141</v>
      </c>
      <c r="H175" s="49"/>
      <c r="I175" s="39"/>
      <c r="J175" s="20">
        <f t="shared" si="18"/>
        <v>41274</v>
      </c>
      <c r="K175" s="27">
        <f>'BOGIX (Gross)'!K175</f>
        <v>3.5869607583186101</v>
      </c>
      <c r="L175" s="46">
        <f t="shared" si="16"/>
        <v>2380139.3716500537</v>
      </c>
      <c r="M175" s="12">
        <f>(L175-L163)/L163*100</f>
        <v>16.385967682444651</v>
      </c>
      <c r="N175" s="49">
        <f>(L175/L172-1)*100</f>
        <v>1.8793491554531583</v>
      </c>
      <c r="O175" s="39"/>
      <c r="P175" s="20">
        <f t="shared" si="19"/>
        <v>41274</v>
      </c>
      <c r="Q175" s="27">
        <f>'BOGIX (Gross)'!Q175</f>
        <v>3.299121</v>
      </c>
      <c r="R175" s="46">
        <f t="shared" si="17"/>
        <v>3116757.4310321794</v>
      </c>
      <c r="S175" s="12">
        <f>(R175-R163)/R163*100</f>
        <v>16.315912550005852</v>
      </c>
      <c r="T175" s="49">
        <f>(R175/R172-1)*100</f>
        <v>2.211478893519736</v>
      </c>
      <c r="U175" s="49"/>
      <c r="V175" s="39"/>
    </row>
    <row r="176" spans="1:22" x14ac:dyDescent="0.25">
      <c r="A176" s="21">
        <v>41305</v>
      </c>
      <c r="B176" s="24">
        <f t="shared" si="14"/>
        <v>160</v>
      </c>
      <c r="C176" s="96" t="s">
        <v>340</v>
      </c>
      <c r="D176" s="27">
        <v>6.6081139999999996</v>
      </c>
      <c r="E176" s="46">
        <f t="shared" si="15"/>
        <v>4033972.0267032133</v>
      </c>
      <c r="F176" s="10"/>
      <c r="H176" s="49"/>
      <c r="I176" s="39"/>
      <c r="J176" s="20">
        <f t="shared" si="18"/>
        <v>41305</v>
      </c>
      <c r="K176" s="27">
        <f>'BOGIX (Gross)'!K176</f>
        <v>6.2592775407756065</v>
      </c>
      <c r="L176" s="46">
        <f t="shared" si="16"/>
        <v>2529118.9007789032</v>
      </c>
      <c r="M176" s="15"/>
      <c r="O176" s="39"/>
      <c r="P176" s="20">
        <f t="shared" si="19"/>
        <v>41305</v>
      </c>
      <c r="Q176" s="27">
        <f>'BOGIX (Gross)'!Q176</f>
        <v>5.7770919999999997</v>
      </c>
      <c r="R176" s="46">
        <f t="shared" si="17"/>
        <v>3296815.3752397448</v>
      </c>
      <c r="S176" s="10"/>
      <c r="U176" s="49"/>
      <c r="V176" s="39"/>
    </row>
    <row r="177" spans="1:22" x14ac:dyDescent="0.25">
      <c r="A177" s="21">
        <v>41333</v>
      </c>
      <c r="B177" s="24">
        <f t="shared" si="14"/>
        <v>161</v>
      </c>
      <c r="C177" s="96" t="s">
        <v>340</v>
      </c>
      <c r="D177" s="27">
        <v>0.70615930000000005</v>
      </c>
      <c r="E177" s="46">
        <f t="shared" si="15"/>
        <v>4062458.2953291764</v>
      </c>
      <c r="F177" s="10"/>
      <c r="H177" s="49"/>
      <c r="I177" s="39"/>
      <c r="J177" s="20">
        <f t="shared" si="18"/>
        <v>41333</v>
      </c>
      <c r="K177" s="27">
        <f>'BOGIX (Gross)'!K177</f>
        <v>1.1030698950075635</v>
      </c>
      <c r="L177" s="46">
        <f t="shared" si="16"/>
        <v>2557016.8499823413</v>
      </c>
      <c r="M177" s="15"/>
      <c r="O177" s="39"/>
      <c r="P177" s="20">
        <f t="shared" si="19"/>
        <v>41333</v>
      </c>
      <c r="Q177" s="27">
        <f>'BOGIX (Gross)'!Q177</f>
        <v>1.407996</v>
      </c>
      <c r="R177" s="46">
        <f t="shared" si="17"/>
        <v>3343234.4038505056</v>
      </c>
      <c r="S177" s="10"/>
      <c r="U177" s="49"/>
      <c r="V177" s="39"/>
    </row>
    <row r="178" spans="1:22" x14ac:dyDescent="0.25">
      <c r="A178" s="21">
        <v>41364</v>
      </c>
      <c r="B178" s="24">
        <f t="shared" si="14"/>
        <v>162</v>
      </c>
      <c r="C178" s="96" t="s">
        <v>340</v>
      </c>
      <c r="D178" s="27">
        <v>5.8823530000000002</v>
      </c>
      <c r="E178" s="46">
        <f t="shared" si="15"/>
        <v>4301426.4327382213</v>
      </c>
      <c r="F178" s="10"/>
      <c r="G178" s="49">
        <f>(E178/E175-1)*100</f>
        <v>13.6762864165759</v>
      </c>
      <c r="H178" s="49"/>
      <c r="I178" s="39"/>
      <c r="J178" s="20">
        <f t="shared" si="18"/>
        <v>41364</v>
      </c>
      <c r="K178" s="27">
        <f>'BOGIX (Gross)'!K178</f>
        <v>4.6180696693330967</v>
      </c>
      <c r="L178" s="46">
        <f t="shared" si="16"/>
        <v>2675101.6695711124</v>
      </c>
      <c r="M178" s="15"/>
      <c r="N178" s="49">
        <f>(L178/L175-1)*100</f>
        <v>12.39264815474117</v>
      </c>
      <c r="O178" s="39"/>
      <c r="P178" s="20">
        <f t="shared" si="19"/>
        <v>41364</v>
      </c>
      <c r="Q178" s="27">
        <f>'BOGIX (Gross)'!Q178</f>
        <v>4.2365449999999996</v>
      </c>
      <c r="R178" s="46">
        <f t="shared" si="17"/>
        <v>3484872.0338251139</v>
      </c>
      <c r="S178" s="10"/>
      <c r="T178" s="49">
        <f>(R178/R175-1)*100</f>
        <v>11.810819768255932</v>
      </c>
      <c r="U178" s="49"/>
      <c r="V178" s="39"/>
    </row>
    <row r="179" spans="1:22" x14ac:dyDescent="0.25">
      <c r="A179" s="21">
        <v>41394</v>
      </c>
      <c r="B179" s="24">
        <f t="shared" si="14"/>
        <v>163</v>
      </c>
      <c r="C179" s="96" t="s">
        <v>340</v>
      </c>
      <c r="D179" s="27">
        <v>-0.919794</v>
      </c>
      <c r="E179" s="46">
        <f t="shared" si="15"/>
        <v>4261862.1704954812</v>
      </c>
      <c r="F179" s="10"/>
      <c r="H179" s="49"/>
      <c r="I179" s="39"/>
      <c r="J179" s="20">
        <f t="shared" si="18"/>
        <v>41394</v>
      </c>
      <c r="K179" s="27">
        <f>'BOGIX (Gross)'!K179</f>
        <v>-0.36743813302988854</v>
      </c>
      <c r="L179" s="46">
        <f t="shared" si="16"/>
        <v>2665272.3259397889</v>
      </c>
      <c r="M179" s="15"/>
      <c r="O179" s="39"/>
      <c r="P179" s="20">
        <f t="shared" si="19"/>
        <v>41394</v>
      </c>
      <c r="Q179" s="27">
        <f>'BOGIX (Gross)'!Q179</f>
        <v>-0.26574740000000002</v>
      </c>
      <c r="R179" s="46">
        <f t="shared" si="17"/>
        <v>3475611.0770018967</v>
      </c>
      <c r="S179" s="10"/>
      <c r="U179" s="49"/>
      <c r="V179" s="39"/>
    </row>
    <row r="180" spans="1:22" x14ac:dyDescent="0.25">
      <c r="A180" s="21">
        <v>41425</v>
      </c>
      <c r="B180" s="24">
        <f t="shared" si="14"/>
        <v>164</v>
      </c>
      <c r="C180" s="96" t="s">
        <v>340</v>
      </c>
      <c r="D180" s="27">
        <v>5.0501300000000002</v>
      </c>
      <c r="E180" s="46">
        <f t="shared" si="15"/>
        <v>4477091.7505263248</v>
      </c>
      <c r="F180" s="10"/>
      <c r="H180" s="49"/>
      <c r="I180" s="39"/>
      <c r="J180" s="20">
        <f t="shared" si="18"/>
        <v>41425</v>
      </c>
      <c r="K180" s="27">
        <f>'BOGIX (Gross)'!K180</f>
        <v>3.9965077138199381</v>
      </c>
      <c r="L180" s="46">
        <f t="shared" si="16"/>
        <v>2771790.1400402808</v>
      </c>
      <c r="M180" s="15"/>
      <c r="O180" s="39"/>
      <c r="P180" s="20">
        <f t="shared" si="19"/>
        <v>41425</v>
      </c>
      <c r="Q180" s="27">
        <f>'BOGIX (Gross)'!Q180</f>
        <v>4.347054</v>
      </c>
      <c r="R180" s="46">
        <f t="shared" si="17"/>
        <v>3626697.767349151</v>
      </c>
      <c r="S180" s="10"/>
      <c r="U180" s="49"/>
      <c r="V180" s="39"/>
    </row>
    <row r="181" spans="1:22" x14ac:dyDescent="0.25">
      <c r="A181" s="21">
        <v>41455</v>
      </c>
      <c r="B181" s="24">
        <f t="shared" si="14"/>
        <v>165</v>
      </c>
      <c r="C181" s="96" t="s">
        <v>340</v>
      </c>
      <c r="D181" s="27">
        <v>-0.67161539999999997</v>
      </c>
      <c r="E181" s="46">
        <f t="shared" si="15"/>
        <v>4447022.9128576601</v>
      </c>
      <c r="F181" s="10"/>
      <c r="G181" s="49">
        <f>(E181/E178-1)*100</f>
        <v>3.384841805297456</v>
      </c>
      <c r="H181" s="49"/>
      <c r="I181" s="39"/>
      <c r="J181" s="20">
        <f t="shared" si="18"/>
        <v>41455</v>
      </c>
      <c r="K181" s="27">
        <f>'BOGIX (Gross)'!K181</f>
        <v>-0.51248585858309226</v>
      </c>
      <c r="L181" s="46">
        <f t="shared" si="16"/>
        <v>2757585.1075429739</v>
      </c>
      <c r="M181" s="15"/>
      <c r="N181" s="49">
        <f>(L181/L178-1)*100</f>
        <v>3.0833758174539039</v>
      </c>
      <c r="O181" s="39"/>
      <c r="P181" s="20">
        <f t="shared" si="19"/>
        <v>41455</v>
      </c>
      <c r="Q181" s="27">
        <f>'BOGIX (Gross)'!Q181</f>
        <v>-0.1463112</v>
      </c>
      <c r="R181" s="46">
        <f t="shared" si="17"/>
        <v>3621391.502325369</v>
      </c>
      <c r="S181" s="10"/>
      <c r="T181" s="49">
        <f>(R181/R178-1)*100</f>
        <v>3.9174887104938216</v>
      </c>
      <c r="U181" s="49"/>
      <c r="V181" s="39"/>
    </row>
    <row r="182" spans="1:22" x14ac:dyDescent="0.25">
      <c r="A182" s="21">
        <v>41486</v>
      </c>
      <c r="B182" s="24">
        <f t="shared" si="14"/>
        <v>166</v>
      </c>
      <c r="C182" s="96" t="s">
        <v>340</v>
      </c>
      <c r="D182" s="27">
        <v>8.6476869999999995</v>
      </c>
      <c r="E182" s="46">
        <f t="shared" si="15"/>
        <v>4831587.535179873</v>
      </c>
      <c r="F182" s="10"/>
      <c r="H182" s="49"/>
      <c r="I182" s="39"/>
      <c r="J182" s="20">
        <f t="shared" si="18"/>
        <v>41486</v>
      </c>
      <c r="K182" s="27">
        <f>'BOGIX (Gross)'!K182</f>
        <v>6.9977537119009705</v>
      </c>
      <c r="L182" s="46">
        <f t="shared" si="16"/>
        <v>2950554.1217648908</v>
      </c>
      <c r="M182" s="15"/>
      <c r="O182" s="39"/>
      <c r="P182" s="20">
        <f t="shared" si="19"/>
        <v>41486</v>
      </c>
      <c r="Q182" s="27">
        <f>'BOGIX (Gross)'!Q182</f>
        <v>6.8443880000000004</v>
      </c>
      <c r="R182" s="46">
        <f t="shared" si="17"/>
        <v>3869253.5877435463</v>
      </c>
      <c r="S182" s="10"/>
      <c r="U182" s="49"/>
      <c r="V182" s="39"/>
    </row>
    <row r="183" spans="1:22" x14ac:dyDescent="0.25">
      <c r="A183" s="21">
        <v>41517</v>
      </c>
      <c r="B183" s="24">
        <f t="shared" si="14"/>
        <v>167</v>
      </c>
      <c r="C183" s="96" t="s">
        <v>340</v>
      </c>
      <c r="D183" s="27">
        <v>-3.406485</v>
      </c>
      <c r="E183" s="46">
        <f t="shared" si="15"/>
        <v>4667000.2305321014</v>
      </c>
      <c r="F183" s="10"/>
      <c r="H183" s="49"/>
      <c r="I183" s="39"/>
      <c r="J183" s="20">
        <f t="shared" si="18"/>
        <v>41517</v>
      </c>
      <c r="K183" s="27">
        <f>'BOGIX (Gross)'!K183</f>
        <v>-3.1777193277507911</v>
      </c>
      <c r="L183" s="46">
        <f t="shared" si="16"/>
        <v>2856793.7931618202</v>
      </c>
      <c r="M183" s="15"/>
      <c r="O183" s="39"/>
      <c r="P183" s="20">
        <f t="shared" si="19"/>
        <v>41517</v>
      </c>
      <c r="Q183" s="27">
        <f>'BOGIX (Gross)'!Q183</f>
        <v>-2.4350969999999998</v>
      </c>
      <c r="R183" s="46">
        <f t="shared" si="17"/>
        <v>3775033.509706011</v>
      </c>
      <c r="S183" s="10"/>
      <c r="U183" s="49"/>
      <c r="V183" s="39"/>
    </row>
    <row r="184" spans="1:22" x14ac:dyDescent="0.25">
      <c r="A184" s="21">
        <v>41547</v>
      </c>
      <c r="B184" s="24">
        <f t="shared" si="14"/>
        <v>168</v>
      </c>
      <c r="C184" s="96" t="s">
        <v>340</v>
      </c>
      <c r="D184" s="27">
        <v>6.3072229999999996</v>
      </c>
      <c r="E184" s="46">
        <f t="shared" si="15"/>
        <v>4961358.3424822753</v>
      </c>
      <c r="F184" s="10"/>
      <c r="G184" s="49">
        <f>(E184/E181-1)*100</f>
        <v>11.565837183737449</v>
      </c>
      <c r="H184" s="49"/>
      <c r="I184" s="39"/>
      <c r="J184" s="20">
        <f t="shared" si="18"/>
        <v>41547</v>
      </c>
      <c r="K184" s="27">
        <f>'BOGIX (Gross)'!K184</f>
        <v>6.3780070609969286</v>
      </c>
      <c r="L184" s="46">
        <f t="shared" si="16"/>
        <v>3039000.3030078029</v>
      </c>
      <c r="M184" s="15"/>
      <c r="N184" s="49">
        <f>(L184/L181-1)*100</f>
        <v>10.205131826940118</v>
      </c>
      <c r="O184" s="39"/>
      <c r="P184" s="20">
        <f t="shared" si="19"/>
        <v>41547</v>
      </c>
      <c r="Q184" s="27">
        <f>'BOGIX (Gross)'!Q184</f>
        <v>6.2251310000000002</v>
      </c>
      <c r="R184" s="46">
        <f t="shared" si="17"/>
        <v>4010034.2909791078</v>
      </c>
      <c r="S184" s="10"/>
      <c r="T184" s="49">
        <f>(R184/R181-1)*100</f>
        <v>10.731863384673645</v>
      </c>
      <c r="U184" s="49"/>
      <c r="V184" s="39"/>
    </row>
    <row r="185" spans="1:22" x14ac:dyDescent="0.25">
      <c r="A185" s="21">
        <v>41578</v>
      </c>
      <c r="B185" s="24">
        <f t="shared" si="14"/>
        <v>169</v>
      </c>
      <c r="C185" s="96" t="s">
        <v>340</v>
      </c>
      <c r="D185" s="27">
        <v>2.0733649999999999</v>
      </c>
      <c r="E185" s="46">
        <f t="shared" si="15"/>
        <v>5064225.4098798828</v>
      </c>
      <c r="F185" s="1"/>
      <c r="H185" s="49"/>
      <c r="I185" s="39"/>
      <c r="J185" s="20">
        <f t="shared" si="18"/>
        <v>41578</v>
      </c>
      <c r="K185" s="27">
        <f>'BOGIX (Gross)'!K185</f>
        <v>2.5146190529199517</v>
      </c>
      <c r="L185" s="46">
        <f t="shared" si="16"/>
        <v>3115419.5836455324</v>
      </c>
      <c r="M185" s="4"/>
      <c r="O185" s="39"/>
      <c r="P185" s="20">
        <f t="shared" si="19"/>
        <v>41578</v>
      </c>
      <c r="Q185" s="27">
        <f>'BOGIX (Gross)'!Q185</f>
        <v>3.6077129999999999</v>
      </c>
      <c r="R185" s="46">
        <f t="shared" si="17"/>
        <v>4154704.819399219</v>
      </c>
      <c r="S185" s="54"/>
      <c r="U185" s="49"/>
      <c r="V185" s="39"/>
    </row>
    <row r="186" spans="1:22" x14ac:dyDescent="0.25">
      <c r="A186" s="21">
        <v>41608</v>
      </c>
      <c r="B186" s="24">
        <f t="shared" si="14"/>
        <v>170</v>
      </c>
      <c r="C186" s="96" t="s">
        <v>340</v>
      </c>
      <c r="D186" s="27">
        <v>5</v>
      </c>
      <c r="E186" s="46">
        <f t="shared" si="15"/>
        <v>5317436.6803738773</v>
      </c>
      <c r="F186" s="1"/>
      <c r="H186" s="49"/>
      <c r="I186" s="39"/>
      <c r="J186" s="20">
        <f t="shared" si="18"/>
        <v>41608</v>
      </c>
      <c r="K186" s="27">
        <f>'BOGIX (Gross)'!K186</f>
        <v>4.0068638380340351</v>
      </c>
      <c r="L186" s="46">
        <f t="shared" si="16"/>
        <v>3240250.2043456556</v>
      </c>
      <c r="M186" s="4"/>
      <c r="O186" s="39"/>
      <c r="P186" s="20">
        <f t="shared" si="19"/>
        <v>41608</v>
      </c>
      <c r="Q186" s="27">
        <f>'BOGIX (Gross)'!Q186</f>
        <v>4.4923479999999998</v>
      </c>
      <c r="R186" s="46">
        <f t="shared" si="17"/>
        <v>4341348.6182594039</v>
      </c>
      <c r="S186" s="54"/>
      <c r="U186" s="49"/>
      <c r="V186" s="39"/>
    </row>
    <row r="187" spans="1:22" x14ac:dyDescent="0.25">
      <c r="A187" s="21">
        <v>41639</v>
      </c>
      <c r="B187" s="24">
        <f t="shared" si="14"/>
        <v>171</v>
      </c>
      <c r="C187" s="96" t="s">
        <v>340</v>
      </c>
      <c r="D187" s="27">
        <v>4.5133539999999996</v>
      </c>
      <c r="E187" s="46">
        <f t="shared" si="15"/>
        <v>5557431.4214849984</v>
      </c>
      <c r="F187" s="12">
        <f>(E187-E175)/E175*100</f>
        <v>46.869457350464579</v>
      </c>
      <c r="G187" s="49">
        <f>(E187/E184-1)*100</f>
        <v>12.014312167270202</v>
      </c>
      <c r="H187" s="49"/>
      <c r="I187" s="39"/>
      <c r="J187" s="20">
        <f t="shared" si="18"/>
        <v>41639</v>
      </c>
      <c r="K187" s="27">
        <f>'BOGIX (Gross)'!K187</f>
        <v>1.9722705558260061</v>
      </c>
      <c r="L187" s="46">
        <f t="shared" si="16"/>
        <v>3304156.7050610571</v>
      </c>
      <c r="M187" s="12">
        <f>(L187-L175)/L175*100</f>
        <v>38.821984309701151</v>
      </c>
      <c r="N187" s="49">
        <f>(L187/L184-1)*100</f>
        <v>8.7251193029108887</v>
      </c>
      <c r="O187" s="39"/>
      <c r="P187" s="20">
        <f t="shared" si="19"/>
        <v>41639</v>
      </c>
      <c r="Q187" s="27">
        <f>'BOGIX (Gross)'!Q187</f>
        <v>1.447864</v>
      </c>
      <c r="R187" s="46">
        <f t="shared" si="17"/>
        <v>4404205.4420176791</v>
      </c>
      <c r="S187" s="12">
        <f>(R187-R175)/R175*100</f>
        <v>41.307289369616882</v>
      </c>
      <c r="T187" s="49">
        <f>(R187/R184-1)*100</f>
        <v>9.8296204579918509</v>
      </c>
      <c r="U187" s="49"/>
      <c r="V187" s="39"/>
    </row>
    <row r="188" spans="1:22" x14ac:dyDescent="0.25">
      <c r="A188" s="21">
        <v>41670</v>
      </c>
      <c r="B188" s="24">
        <f t="shared" si="14"/>
        <v>172</v>
      </c>
      <c r="C188" s="96" t="s">
        <v>340</v>
      </c>
      <c r="D188" s="27">
        <v>-3.1954349999999998</v>
      </c>
      <c r="E188" s="46">
        <f t="shared" si="15"/>
        <v>5379847.3127418691</v>
      </c>
      <c r="F188" s="10"/>
      <c r="H188" s="49"/>
      <c r="I188" s="39"/>
      <c r="J188" s="20">
        <f t="shared" si="18"/>
        <v>41670</v>
      </c>
      <c r="K188" s="27">
        <f>'BOGIX (Gross)'!K188</f>
        <v>-2.7679779878653212</v>
      </c>
      <c r="L188" s="46">
        <f t="shared" si="16"/>
        <v>3212698.3747803909</v>
      </c>
      <c r="M188" s="15"/>
      <c r="O188" s="39"/>
      <c r="P188" s="20">
        <f t="shared" si="19"/>
        <v>41670</v>
      </c>
      <c r="Q188" s="27">
        <f>'BOGIX (Gross)'!Q188</f>
        <v>-3.8568199999999999</v>
      </c>
      <c r="R188" s="46">
        <f t="shared" si="17"/>
        <v>4234343.1656888528</v>
      </c>
      <c r="S188" s="10"/>
      <c r="U188" s="49"/>
      <c r="V188" s="39"/>
    </row>
    <row r="189" spans="1:22" x14ac:dyDescent="0.25">
      <c r="A189" s="21">
        <v>41698</v>
      </c>
      <c r="B189" s="24">
        <f t="shared" si="14"/>
        <v>173</v>
      </c>
      <c r="C189" s="96" t="s">
        <v>340</v>
      </c>
      <c r="D189" s="27">
        <v>5.2755679999999998</v>
      </c>
      <c r="E189" s="46">
        <f t="shared" si="15"/>
        <v>5663664.8160217395</v>
      </c>
      <c r="F189" s="10"/>
      <c r="H189" s="49"/>
      <c r="I189" s="39"/>
      <c r="J189" s="20">
        <f t="shared" si="18"/>
        <v>41698</v>
      </c>
      <c r="K189" s="27">
        <f>'BOGIX (Gross)'!K189</f>
        <v>4.7112568096957084</v>
      </c>
      <c r="L189" s="46">
        <f t="shared" si="16"/>
        <v>3364056.8457372156</v>
      </c>
      <c r="M189" s="15"/>
      <c r="O189" s="39"/>
      <c r="P189" s="20">
        <f t="shared" si="19"/>
        <v>41698</v>
      </c>
      <c r="Q189" s="27">
        <f>'BOGIX (Gross)'!Q189</f>
        <v>4.4538799999999998</v>
      </c>
      <c r="R189" s="46">
        <f t="shared" si="17"/>
        <v>4422935.7290768353</v>
      </c>
      <c r="S189" s="10"/>
      <c r="U189" s="49"/>
      <c r="V189" s="39"/>
    </row>
    <row r="190" spans="1:22" x14ac:dyDescent="0.25">
      <c r="A190" s="21">
        <v>41729</v>
      </c>
      <c r="B190" s="24">
        <f t="shared" si="14"/>
        <v>174</v>
      </c>
      <c r="C190" s="96" t="s">
        <v>340</v>
      </c>
      <c r="D190" s="27">
        <v>0.25195970000000001</v>
      </c>
      <c r="E190" s="46">
        <f t="shared" si="15"/>
        <v>5677934.9689011937</v>
      </c>
      <c r="F190" s="10"/>
      <c r="G190" s="49">
        <f>(E190/E187-1)*100</f>
        <v>2.1683317035695593</v>
      </c>
      <c r="H190" s="49"/>
      <c r="I190" s="39"/>
      <c r="J190" s="20">
        <f t="shared" si="18"/>
        <v>41729</v>
      </c>
      <c r="K190" s="27">
        <f>'BOGIX (Gross)'!K190</f>
        <v>-0.68078276144242911</v>
      </c>
      <c r="L190" s="46">
        <f t="shared" si="16"/>
        <v>3341154.9266463127</v>
      </c>
      <c r="M190" s="15"/>
      <c r="N190" s="49">
        <f>(L190/L187-1)*100</f>
        <v>1.1197477870400263</v>
      </c>
      <c r="O190" s="39"/>
      <c r="P190" s="20">
        <f t="shared" si="19"/>
        <v>41729</v>
      </c>
      <c r="Q190" s="27">
        <f>'BOGIX (Gross)'!Q190</f>
        <v>0.69800530000000005</v>
      </c>
      <c r="R190" s="46">
        <f t="shared" si="17"/>
        <v>4453808.0548813855</v>
      </c>
      <c r="S190" s="10"/>
      <c r="T190" s="49">
        <f>(R190/R187-1)*100</f>
        <v>1.1262556553443215</v>
      </c>
      <c r="U190" s="49"/>
      <c r="V190" s="39"/>
    </row>
    <row r="191" spans="1:22" x14ac:dyDescent="0.25">
      <c r="A191" s="21">
        <v>41759</v>
      </c>
      <c r="B191" s="24">
        <f t="shared" si="14"/>
        <v>175</v>
      </c>
      <c r="C191" s="96" t="s">
        <v>340</v>
      </c>
      <c r="D191" s="27">
        <v>-2.5132639999999999</v>
      </c>
      <c r="E191" s="46">
        <f t="shared" si="15"/>
        <v>5535233.4733843887</v>
      </c>
      <c r="F191" s="10"/>
      <c r="H191" s="49"/>
      <c r="I191" s="39"/>
      <c r="J191" s="20">
        <f t="shared" si="18"/>
        <v>41759</v>
      </c>
      <c r="K191" s="27">
        <f>'BOGIX (Gross)'!K191</f>
        <v>-3.8781162598282912</v>
      </c>
      <c r="L191" s="46">
        <f t="shared" si="16"/>
        <v>3211581.0541699883</v>
      </c>
      <c r="M191" s="15"/>
      <c r="O191" s="39"/>
      <c r="P191" s="20">
        <f t="shared" si="19"/>
        <v>41759</v>
      </c>
      <c r="Q191" s="27">
        <f>'BOGIX (Gross)'!Q191</f>
        <v>-2.791347</v>
      </c>
      <c r="R191" s="46">
        <f t="shared" si="17"/>
        <v>4329486.8173556952</v>
      </c>
      <c r="S191" s="10"/>
      <c r="U191" s="49"/>
      <c r="V191" s="39"/>
    </row>
    <row r="192" spans="1:22" x14ac:dyDescent="0.25">
      <c r="A192" s="21">
        <v>41790</v>
      </c>
      <c r="B192" s="24">
        <f t="shared" si="14"/>
        <v>176</v>
      </c>
      <c r="C192" s="96" t="s">
        <v>340</v>
      </c>
      <c r="D192" s="27">
        <v>2.1483810000000001</v>
      </c>
      <c r="E192" s="46">
        <f t="shared" si="15"/>
        <v>5654151.3776322193</v>
      </c>
      <c r="F192" s="10"/>
      <c r="H192" s="49"/>
      <c r="I192" s="39"/>
      <c r="J192" s="20">
        <f t="shared" si="18"/>
        <v>41790</v>
      </c>
      <c r="K192" s="27">
        <f>'BOGIX (Gross)'!K192</f>
        <v>0.80152936191700652</v>
      </c>
      <c r="L192" s="46">
        <f t="shared" si="16"/>
        <v>3237322.8193009244</v>
      </c>
      <c r="M192" s="15"/>
      <c r="O192" s="39"/>
      <c r="P192" s="20">
        <f t="shared" si="19"/>
        <v>41790</v>
      </c>
      <c r="Q192" s="27">
        <f>'BOGIX (Gross)'!Q192</f>
        <v>0.26947650000000001</v>
      </c>
      <c r="R192" s="46">
        <f t="shared" si="17"/>
        <v>4341153.766899067</v>
      </c>
      <c r="S192" s="10"/>
      <c r="U192" s="49"/>
      <c r="V192" s="39"/>
    </row>
    <row r="193" spans="1:22" x14ac:dyDescent="0.25">
      <c r="A193" s="21">
        <v>41820</v>
      </c>
      <c r="B193" s="24">
        <f t="shared" si="14"/>
        <v>177</v>
      </c>
      <c r="C193" s="96" t="s">
        <v>340</v>
      </c>
      <c r="D193" s="27">
        <v>4.8233309999999996</v>
      </c>
      <c r="E193" s="46">
        <f t="shared" si="15"/>
        <v>5926869.8138164813</v>
      </c>
      <c r="F193" s="10"/>
      <c r="G193" s="49">
        <f>(E193/E190-1)*100</f>
        <v>4.3842496660975616</v>
      </c>
      <c r="H193" s="49"/>
      <c r="I193" s="39"/>
      <c r="J193" s="20">
        <f t="shared" si="18"/>
        <v>41820</v>
      </c>
      <c r="K193" s="27">
        <f>'BOGIX (Gross)'!K193</f>
        <v>5.3207317594899166</v>
      </c>
      <c r="L193" s="46">
        <f t="shared" si="16"/>
        <v>3409572.0827046833</v>
      </c>
      <c r="M193" s="15"/>
      <c r="N193" s="49">
        <f>(L193/L190-1)*100</f>
        <v>2.0477097758242691</v>
      </c>
      <c r="O193" s="39"/>
      <c r="P193" s="20">
        <f t="shared" si="19"/>
        <v>41820</v>
      </c>
      <c r="Q193" s="27">
        <f>'BOGIX (Gross)'!Q193</f>
        <v>4.715681</v>
      </c>
      <c r="R193" s="46">
        <f t="shared" si="17"/>
        <v>4545868.7302655103</v>
      </c>
      <c r="S193" s="10"/>
      <c r="T193" s="49">
        <f>(R193/R190-1)*100</f>
        <v>2.0670103931224926</v>
      </c>
      <c r="U193" s="49"/>
      <c r="V193" s="39"/>
    </row>
    <row r="194" spans="1:22" x14ac:dyDescent="0.25">
      <c r="A194" s="21">
        <v>41851</v>
      </c>
      <c r="B194" s="24">
        <f t="shared" si="14"/>
        <v>178</v>
      </c>
      <c r="C194" s="96" t="s">
        <v>340</v>
      </c>
      <c r="D194" s="27">
        <v>-5.3504550000000002</v>
      </c>
      <c r="E194" s="46">
        <f t="shared" si="15"/>
        <v>5609755.311519647</v>
      </c>
      <c r="F194" s="22"/>
      <c r="H194" s="49"/>
      <c r="I194" s="39"/>
      <c r="J194" s="20">
        <f t="shared" si="18"/>
        <v>41851</v>
      </c>
      <c r="K194" s="27">
        <f>'BOGIX (Gross)'!K194</f>
        <v>-6.0529187375197528</v>
      </c>
      <c r="L194" s="46">
        <f t="shared" si="16"/>
        <v>3203193.4552414091</v>
      </c>
      <c r="M194" s="113"/>
      <c r="O194" s="39"/>
      <c r="P194" s="20">
        <f t="shared" si="19"/>
        <v>41851</v>
      </c>
      <c r="Q194" s="27">
        <f>'BOGIX (Gross)'!Q194</f>
        <v>-5.494783</v>
      </c>
      <c r="R194" s="46">
        <f t="shared" si="17"/>
        <v>4296083.1080725649</v>
      </c>
      <c r="S194" s="22"/>
      <c r="U194" s="49"/>
      <c r="V194" s="39"/>
    </row>
    <row r="195" spans="1:22" x14ac:dyDescent="0.25">
      <c r="A195" s="21">
        <v>41882</v>
      </c>
      <c r="B195" s="24">
        <f t="shared" si="14"/>
        <v>179</v>
      </c>
      <c r="C195" s="96" t="s">
        <v>340</v>
      </c>
      <c r="D195" s="27">
        <v>7.6031659999999999</v>
      </c>
      <c r="E195" s="46">
        <f t="shared" si="15"/>
        <v>6036274.3200483024</v>
      </c>
      <c r="F195" s="4"/>
      <c r="H195" s="49"/>
      <c r="I195" s="39"/>
      <c r="J195" s="20">
        <f t="shared" si="18"/>
        <v>41882</v>
      </c>
      <c r="K195" s="27">
        <f>'BOGIX (Gross)'!K195</f>
        <v>4.958593526650164</v>
      </c>
      <c r="L195" s="46">
        <f t="shared" si="16"/>
        <v>3362026.7985590915</v>
      </c>
      <c r="M195" s="4"/>
      <c r="O195" s="39"/>
      <c r="P195" s="20">
        <f t="shared" si="19"/>
        <v>41882</v>
      </c>
      <c r="Q195" s="27">
        <f>'BOGIX (Gross)'!Q195</f>
        <v>4.2950809999999997</v>
      </c>
      <c r="R195" s="46">
        <f t="shared" si="17"/>
        <v>4480603.3573915996</v>
      </c>
      <c r="S195" s="54"/>
      <c r="U195" s="49"/>
      <c r="V195" s="39"/>
    </row>
    <row r="196" spans="1:22" x14ac:dyDescent="0.25">
      <c r="A196" s="21">
        <v>41912</v>
      </c>
      <c r="B196" s="24">
        <f t="shared" si="14"/>
        <v>180</v>
      </c>
      <c r="C196" s="96" t="s">
        <v>340</v>
      </c>
      <c r="D196" s="27">
        <v>-6.0415020000000004</v>
      </c>
      <c r="E196" s="46">
        <f t="shared" si="15"/>
        <v>5671592.686277098</v>
      </c>
      <c r="F196" s="12"/>
      <c r="G196" s="49">
        <f>(E196/E193-1)*100</f>
        <v>-4.3071154852143305</v>
      </c>
      <c r="H196" s="49"/>
      <c r="I196" s="39"/>
      <c r="J196" s="20">
        <f t="shared" si="18"/>
        <v>41912</v>
      </c>
      <c r="K196" s="27">
        <f>'BOGIX (Gross)'!K196</f>
        <v>-6.0493826882581736</v>
      </c>
      <c r="L196" s="46">
        <f t="shared" si="16"/>
        <v>3158644.9314324572</v>
      </c>
      <c r="M196" s="12"/>
      <c r="N196" s="49">
        <f>(L196/L193-1)*100</f>
        <v>-7.3594910207375737</v>
      </c>
      <c r="O196" s="39"/>
      <c r="P196" s="20">
        <f t="shared" si="19"/>
        <v>41912</v>
      </c>
      <c r="Q196" s="27">
        <f>'BOGIX (Gross)'!Q196</f>
        <v>-5.3677429999999999</v>
      </c>
      <c r="R196" s="46">
        <f t="shared" si="17"/>
        <v>4240096.0843174467</v>
      </c>
      <c r="S196" s="37"/>
      <c r="T196" s="49">
        <f>(R196/R193-1)*100</f>
        <v>-6.7263852982002881</v>
      </c>
      <c r="U196" s="49"/>
      <c r="V196" s="39"/>
    </row>
    <row r="197" spans="1:22" x14ac:dyDescent="0.25">
      <c r="A197" s="21">
        <v>41943</v>
      </c>
      <c r="B197" s="24">
        <f t="shared" si="14"/>
        <v>181</v>
      </c>
      <c r="C197" s="96" t="s">
        <v>340</v>
      </c>
      <c r="D197" s="27">
        <v>0.64299689999999998</v>
      </c>
      <c r="E197" s="46">
        <f t="shared" si="15"/>
        <v>5708060.8514304869</v>
      </c>
      <c r="F197" s="12"/>
      <c r="G197" s="49"/>
      <c r="H197" s="49"/>
      <c r="I197" s="39"/>
      <c r="J197" s="20">
        <f t="shared" si="18"/>
        <v>41943</v>
      </c>
      <c r="K197" s="27">
        <f>'BOGIX (Gross)'!K197</f>
        <v>6.5919147344933187</v>
      </c>
      <c r="L197" s="46">
        <f t="shared" si="16"/>
        <v>3366860.1120778797</v>
      </c>
      <c r="M197" s="12"/>
      <c r="N197" s="49"/>
      <c r="O197" s="39"/>
      <c r="P197" s="20">
        <f t="shared" si="19"/>
        <v>41943</v>
      </c>
      <c r="Q197" s="27">
        <f>'BOGIX (Gross)'!Q197</f>
        <v>7.0882420000000002</v>
      </c>
      <c r="R197" s="46">
        <f t="shared" si="17"/>
        <v>4540644.3558063917</v>
      </c>
      <c r="S197" s="37"/>
      <c r="T197" s="49"/>
      <c r="U197" s="49"/>
      <c r="V197" s="39"/>
    </row>
    <row r="198" spans="1:22" x14ac:dyDescent="0.25">
      <c r="A198" s="21">
        <v>41973</v>
      </c>
      <c r="B198" s="24">
        <f t="shared" si="14"/>
        <v>182</v>
      </c>
      <c r="C198" s="96" t="s">
        <v>340</v>
      </c>
      <c r="D198" s="27">
        <v>-0.22222220000000001</v>
      </c>
      <c r="E198" s="46">
        <f t="shared" si="15"/>
        <v>5695376.2730290992</v>
      </c>
      <c r="F198" s="12"/>
      <c r="H198" s="49"/>
      <c r="I198" s="39"/>
      <c r="J198" s="20">
        <f t="shared" si="18"/>
        <v>41973</v>
      </c>
      <c r="K198" s="27">
        <f>'BOGIX (Gross)'!K198</f>
        <v>9.0243889280837E-2</v>
      </c>
      <c r="L198" s="46">
        <f t="shared" si="16"/>
        <v>3369898.4975896641</v>
      </c>
      <c r="M198" s="12"/>
      <c r="N198" s="22"/>
      <c r="O198" s="39"/>
      <c r="P198" s="20">
        <f t="shared" si="19"/>
        <v>41973</v>
      </c>
      <c r="Q198" s="27">
        <f>'BOGIX (Gross)'!Q198</f>
        <v>-0.27974300000000002</v>
      </c>
      <c r="R198" s="46">
        <f t="shared" si="17"/>
        <v>4527942.2210661285</v>
      </c>
      <c r="S198" s="37"/>
      <c r="U198" s="49"/>
      <c r="V198" s="39"/>
    </row>
    <row r="199" spans="1:22" x14ac:dyDescent="0.25">
      <c r="A199" s="21">
        <v>42004</v>
      </c>
      <c r="B199" s="24">
        <f t="shared" si="14"/>
        <v>183</v>
      </c>
      <c r="C199" s="96" t="s">
        <v>340</v>
      </c>
      <c r="D199" s="27">
        <v>-0.1013174</v>
      </c>
      <c r="E199" s="46">
        <f t="shared" si="15"/>
        <v>5689605.865869049</v>
      </c>
      <c r="F199" s="12">
        <f>(E199-E$187)/E$187*100</f>
        <v>2.3783369394908753</v>
      </c>
      <c r="G199" s="49">
        <f>(E199/E196-1)*100</f>
        <v>0.31760354786294354</v>
      </c>
      <c r="H199" s="49"/>
      <c r="I199" s="39"/>
      <c r="J199" s="20">
        <f t="shared" si="18"/>
        <v>42004</v>
      </c>
      <c r="K199" s="27">
        <f>'BOGIX (Gross)'!K199</f>
        <v>2.8498588871171826</v>
      </c>
      <c r="L199" s="46">
        <f t="shared" si="16"/>
        <v>3465935.8494100515</v>
      </c>
      <c r="M199" s="12">
        <f>(L199-L$187)/L$187*100</f>
        <v>4.8962309838753511</v>
      </c>
      <c r="N199" s="49">
        <f>(L199/L196-1)*100</f>
        <v>9.7285679349288898</v>
      </c>
      <c r="O199" s="39"/>
      <c r="P199" s="20">
        <f t="shared" si="19"/>
        <v>42004</v>
      </c>
      <c r="Q199" s="27">
        <f>'BOGIX (Gross)'!Q199</f>
        <v>2.8515109999999999</v>
      </c>
      <c r="R199" s="46">
        <f t="shared" si="17"/>
        <v>4657056.9915734734</v>
      </c>
      <c r="S199" s="12">
        <f>(R199-R$187)/R$187*100</f>
        <v>5.7411388475092702</v>
      </c>
      <c r="T199" s="49">
        <f>(R199/R196-1)*100</f>
        <v>9.8337608149544398</v>
      </c>
      <c r="U199" s="49"/>
      <c r="V199" s="39"/>
    </row>
    <row r="200" spans="1:22" x14ac:dyDescent="0.25">
      <c r="A200" s="21">
        <v>42035</v>
      </c>
      <c r="B200" s="24">
        <f t="shared" si="14"/>
        <v>184</v>
      </c>
      <c r="C200" s="96" t="s">
        <v>340</v>
      </c>
      <c r="D200" s="27">
        <v>-2.1564209999999999</v>
      </c>
      <c r="E200" s="46">
        <f t="shared" si="15"/>
        <v>5566914.0101602171</v>
      </c>
      <c r="F200" s="22"/>
      <c r="H200" s="49"/>
      <c r="I200" s="39"/>
      <c r="J200" s="20">
        <f t="shared" si="18"/>
        <v>42035</v>
      </c>
      <c r="K200" s="27">
        <f>'BOGIX (Gross)'!K200</f>
        <v>-3.2159753259148767</v>
      </c>
      <c r="L200" s="46">
        <f t="shared" si="16"/>
        <v>3354472.2076809858</v>
      </c>
      <c r="M200" s="12"/>
      <c r="O200" s="39"/>
      <c r="P200" s="20">
        <f t="shared" si="19"/>
        <v>42035</v>
      </c>
      <c r="Q200" s="27">
        <f>'BOGIX (Gross)'!Q200</f>
        <v>-3.4956930000000002</v>
      </c>
      <c r="R200" s="46">
        <f t="shared" si="17"/>
        <v>4494260.576313029</v>
      </c>
      <c r="U200" s="49"/>
      <c r="V200" s="39"/>
    </row>
    <row r="201" spans="1:22" x14ac:dyDescent="0.25">
      <c r="A201" s="21">
        <v>42063</v>
      </c>
      <c r="B201" s="24">
        <f t="shared" si="14"/>
        <v>185</v>
      </c>
      <c r="C201" s="96" t="s">
        <v>340</v>
      </c>
      <c r="D201" s="27">
        <v>7.1381579999999998</v>
      </c>
      <c r="E201" s="46">
        <f t="shared" si="15"/>
        <v>5964289.1279295897</v>
      </c>
      <c r="F201" s="22"/>
      <c r="H201" s="49"/>
      <c r="I201" s="39"/>
      <c r="J201" s="20">
        <f t="shared" si="18"/>
        <v>42063</v>
      </c>
      <c r="K201" s="27">
        <f>'BOGIX (Gross)'!K201</f>
        <v>5.9366466793778523</v>
      </c>
      <c r="L201" s="46">
        <f t="shared" si="16"/>
        <v>3553615.3706089319</v>
      </c>
      <c r="M201" s="12"/>
      <c r="O201" s="39"/>
      <c r="P201" s="20">
        <f t="shared" si="19"/>
        <v>42063</v>
      </c>
      <c r="Q201" s="27">
        <f>'BOGIX (Gross)'!Q201</f>
        <v>6.0261659999999999</v>
      </c>
      <c r="R201" s="46">
        <f t="shared" si="17"/>
        <v>4765092.1791142086</v>
      </c>
      <c r="U201" s="49"/>
      <c r="V201" s="39"/>
    </row>
    <row r="202" spans="1:22" x14ac:dyDescent="0.25">
      <c r="A202" s="21">
        <v>42094</v>
      </c>
      <c r="B202" s="24">
        <f t="shared" si="14"/>
        <v>186</v>
      </c>
      <c r="C202" s="96" t="s">
        <v>340</v>
      </c>
      <c r="D202" s="27">
        <v>1.3509359999999999</v>
      </c>
      <c r="E202" s="46">
        <f t="shared" si="15"/>
        <v>6044862.8569028769</v>
      </c>
      <c r="F202" s="12"/>
      <c r="G202" s="49">
        <f>(E202/E199-1)*100</f>
        <v>6.2439648616954724</v>
      </c>
      <c r="H202" s="49"/>
      <c r="I202" s="39"/>
      <c r="J202" s="20">
        <f t="shared" si="18"/>
        <v>42094</v>
      </c>
      <c r="K202" s="27">
        <f>'BOGIX (Gross)'!K202</f>
        <v>1.7420488950149302</v>
      </c>
      <c r="L202" s="46">
        <f t="shared" si="16"/>
        <v>3615521.0879057054</v>
      </c>
      <c r="M202" s="12"/>
      <c r="N202" s="49">
        <f>(L202/L199-1)*100</f>
        <v>4.3158686425519122</v>
      </c>
      <c r="O202" s="39"/>
      <c r="P202" s="20">
        <f t="shared" si="19"/>
        <v>42094</v>
      </c>
      <c r="Q202" s="27">
        <f>'BOGIX (Gross)'!Q202</f>
        <v>1.5953250000000001</v>
      </c>
      <c r="R202" s="46">
        <f t="shared" si="17"/>
        <v>4841110.8859206624</v>
      </c>
      <c r="T202" s="49">
        <f>(R202/R199-1)*100</f>
        <v>3.9521503533286761</v>
      </c>
      <c r="U202" s="49"/>
      <c r="V202" s="39"/>
    </row>
    <row r="203" spans="1:22" x14ac:dyDescent="0.25">
      <c r="A203" s="21">
        <v>42124</v>
      </c>
      <c r="B203" s="24">
        <f t="shared" si="14"/>
        <v>187</v>
      </c>
      <c r="C203" s="96" t="s">
        <v>340</v>
      </c>
      <c r="D203" s="27">
        <v>-0.9088155</v>
      </c>
      <c r="E203" s="46">
        <f t="shared" si="15"/>
        <v>5989926.2063056007</v>
      </c>
      <c r="F203" s="12"/>
      <c r="G203" s="49"/>
      <c r="H203" s="49"/>
      <c r="I203" s="39"/>
      <c r="J203" s="20">
        <f t="shared" si="18"/>
        <v>42124</v>
      </c>
      <c r="K203" s="27">
        <f>'BOGIX (Gross)'!K203</f>
        <v>-2.5502843863635616</v>
      </c>
      <c r="L203" s="46">
        <f t="shared" si="16"/>
        <v>3523315.0181151642</v>
      </c>
      <c r="M203" s="12"/>
      <c r="N203" s="54"/>
      <c r="O203" s="39"/>
      <c r="P203" s="20">
        <f t="shared" si="19"/>
        <v>42124</v>
      </c>
      <c r="Q203" s="27">
        <f>'BOGIX (Gross)'!Q203</f>
        <v>-2.3251249999999999</v>
      </c>
      <c r="R203" s="46">
        <f t="shared" si="17"/>
        <v>4728549.0064343996</v>
      </c>
      <c r="T203" s="49"/>
      <c r="U203" s="49"/>
      <c r="V203" s="39"/>
    </row>
    <row r="204" spans="1:22" x14ac:dyDescent="0.25">
      <c r="A204" s="21">
        <v>42155</v>
      </c>
      <c r="B204" s="24">
        <f t="shared" si="14"/>
        <v>188</v>
      </c>
      <c r="C204" s="96" t="s">
        <v>340</v>
      </c>
      <c r="D204" s="27">
        <v>0.39743200000000001</v>
      </c>
      <c r="E204" s="46">
        <f t="shared" si="15"/>
        <v>6013732.0898258453</v>
      </c>
      <c r="F204" s="12"/>
      <c r="G204" s="49"/>
      <c r="H204" s="49"/>
      <c r="I204" s="39"/>
      <c r="J204" s="20">
        <f t="shared" si="18"/>
        <v>42155</v>
      </c>
      <c r="K204" s="27">
        <f>'BOGIX (Gross)'!K204</f>
        <v>2.2830562424304075</v>
      </c>
      <c r="L204" s="46">
        <f t="shared" si="16"/>
        <v>3603754.2815767303</v>
      </c>
      <c r="M204" s="12"/>
      <c r="N204" s="54"/>
      <c r="O204" s="39"/>
      <c r="P204" s="20">
        <f t="shared" si="19"/>
        <v>42155</v>
      </c>
      <c r="Q204" s="27">
        <f>'BOGIX (Gross)'!Q204</f>
        <v>1.5307409999999999</v>
      </c>
      <c r="R204" s="46">
        <f t="shared" si="17"/>
        <v>4800930.8447809834</v>
      </c>
      <c r="T204" s="49"/>
      <c r="U204" s="49"/>
      <c r="V204" s="39"/>
    </row>
    <row r="205" spans="1:22" x14ac:dyDescent="0.25">
      <c r="A205" s="21">
        <v>42185</v>
      </c>
      <c r="B205" s="24">
        <f t="shared" si="14"/>
        <v>189</v>
      </c>
      <c r="C205" s="96" t="s">
        <v>340</v>
      </c>
      <c r="D205" s="27">
        <v>-1.82704</v>
      </c>
      <c r="E205" s="46">
        <f t="shared" si="15"/>
        <v>5903858.7990518911</v>
      </c>
      <c r="F205" s="12"/>
      <c r="G205" s="49">
        <f>(E205/E202-1)*100</f>
        <v>-2.3326262512302853</v>
      </c>
      <c r="H205" s="49"/>
      <c r="I205" s="39"/>
      <c r="J205" s="20">
        <f t="shared" si="18"/>
        <v>42185</v>
      </c>
      <c r="K205" s="27">
        <f>'BOGIX (Gross)'!K205</f>
        <v>0.74882261871327926</v>
      </c>
      <c r="L205" s="46">
        <f t="shared" si="16"/>
        <v>3630740.0087600253</v>
      </c>
      <c r="M205" s="12"/>
      <c r="N205" s="49">
        <f>(L205/L202-1)*100</f>
        <v>0.42093298543406377</v>
      </c>
      <c r="O205" s="39"/>
      <c r="P205" s="20">
        <f t="shared" si="19"/>
        <v>42185</v>
      </c>
      <c r="Q205" s="27">
        <f>'BOGIX (Gross)'!Q205</f>
        <v>1.0301750000000001</v>
      </c>
      <c r="R205" s="46">
        <f t="shared" si="17"/>
        <v>4850388.8341112062</v>
      </c>
      <c r="T205" s="49">
        <f>(R205/R202-1)*100</f>
        <v>0.19164915675711214</v>
      </c>
      <c r="U205" s="49"/>
      <c r="V205" s="39"/>
    </row>
    <row r="206" spans="1:22" x14ac:dyDescent="0.25">
      <c r="A206" s="21">
        <v>42216</v>
      </c>
      <c r="B206" s="24">
        <f t="shared" si="14"/>
        <v>190</v>
      </c>
      <c r="C206" s="96" t="s">
        <v>340</v>
      </c>
      <c r="D206" s="27">
        <v>-1.457816</v>
      </c>
      <c r="E206" s="46">
        <f t="shared" si="15"/>
        <v>5817791.400861905</v>
      </c>
      <c r="F206" s="12"/>
      <c r="G206" s="49"/>
      <c r="H206" s="49"/>
      <c r="I206" s="39"/>
      <c r="J206" s="20">
        <f t="shared" si="18"/>
        <v>42216</v>
      </c>
      <c r="K206" s="27">
        <f>'BOGIX (Gross)'!K206</f>
        <v>-1.1619530266059153</v>
      </c>
      <c r="L206" s="46">
        <f t="shared" si="16"/>
        <v>3588552.5153400465</v>
      </c>
      <c r="M206" s="12"/>
      <c r="N206" s="54"/>
      <c r="O206" s="39"/>
      <c r="P206" s="20">
        <f t="shared" si="19"/>
        <v>42216</v>
      </c>
      <c r="Q206" s="27">
        <f>'BOGIX (Gross)'!Q206</f>
        <v>-0.84768290000000002</v>
      </c>
      <c r="R206" s="46">
        <f t="shared" si="17"/>
        <v>4809272.9173809364</v>
      </c>
      <c r="T206" s="49"/>
      <c r="U206" s="49"/>
      <c r="V206" s="39"/>
    </row>
    <row r="207" spans="1:22" x14ac:dyDescent="0.25">
      <c r="A207" s="21">
        <v>42247</v>
      </c>
      <c r="B207" s="24">
        <f t="shared" si="14"/>
        <v>191</v>
      </c>
      <c r="C207" s="96" t="s">
        <v>340</v>
      </c>
      <c r="D207" s="27">
        <v>-5.571294</v>
      </c>
      <c r="E207" s="46">
        <f t="shared" si="15"/>
        <v>5493665.1376131698</v>
      </c>
      <c r="F207" s="12"/>
      <c r="G207" s="105"/>
      <c r="H207" s="49"/>
      <c r="I207" s="39"/>
      <c r="J207" s="20">
        <f t="shared" si="18"/>
        <v>42247</v>
      </c>
      <c r="K207" s="27">
        <f>'BOGIX (Gross)'!K207</f>
        <v>-6.2840456545254346</v>
      </c>
      <c r="L207" s="46">
        <f t="shared" si="16"/>
        <v>3363046.2369394572</v>
      </c>
      <c r="M207" s="12"/>
      <c r="N207" s="105"/>
      <c r="O207" s="39"/>
      <c r="P207" s="20">
        <f t="shared" si="19"/>
        <v>42247</v>
      </c>
      <c r="Q207" s="27">
        <f>'BOGIX (Gross)'!Q207</f>
        <v>-5.1784420000000004</v>
      </c>
      <c r="R207" s="46">
        <f t="shared" si="17"/>
        <v>4560227.5087326569</v>
      </c>
      <c r="T207" s="105"/>
      <c r="U207" s="49"/>
      <c r="V207" s="39"/>
    </row>
    <row r="208" spans="1:22" x14ac:dyDescent="0.25">
      <c r="A208" s="21">
        <v>42277</v>
      </c>
      <c r="B208" s="24">
        <f t="shared" si="14"/>
        <v>192</v>
      </c>
      <c r="C208" s="96" t="s">
        <v>340</v>
      </c>
      <c r="D208" s="27">
        <v>-9.033334</v>
      </c>
      <c r="E208" s="46">
        <f t="shared" si="15"/>
        <v>4997404.0168910129</v>
      </c>
      <c r="F208" s="12"/>
      <c r="G208" s="49">
        <f>(E208/E205-1)*100</f>
        <v>-15.353598604127306</v>
      </c>
      <c r="H208" s="49"/>
      <c r="I208" s="39"/>
      <c r="J208" s="20">
        <f t="shared" si="18"/>
        <v>42277</v>
      </c>
      <c r="K208" s="27">
        <f>'BOGIX (Gross)'!K208</f>
        <v>-4.9062264035734069</v>
      </c>
      <c r="L208" s="46">
        <f t="shared" si="16"/>
        <v>3198047.5744983517</v>
      </c>
      <c r="M208" s="12"/>
      <c r="N208" s="49">
        <f>(L208/L205-1)*100</f>
        <v>-11.917472284374531</v>
      </c>
      <c r="O208" s="39"/>
      <c r="P208" s="20">
        <f t="shared" si="19"/>
        <v>42277</v>
      </c>
      <c r="Q208" s="27">
        <f>'BOGIX (Gross)'!Q208</f>
        <v>-3.4978919999999998</v>
      </c>
      <c r="R208" s="46">
        <f t="shared" si="17"/>
        <v>4400715.6755228983</v>
      </c>
      <c r="S208" s="37"/>
      <c r="T208" s="49">
        <f>(R208/R205-1)*100</f>
        <v>-9.2708682534048172</v>
      </c>
      <c r="U208" s="49"/>
      <c r="V208" s="39"/>
    </row>
    <row r="209" spans="1:26" x14ac:dyDescent="0.25">
      <c r="A209" s="21">
        <v>42308</v>
      </c>
      <c r="B209" s="24">
        <f t="shared" si="14"/>
        <v>193</v>
      </c>
      <c r="C209" s="96" t="s">
        <v>340</v>
      </c>
      <c r="D209" s="27">
        <v>7.8417000000000003</v>
      </c>
      <c r="E209" s="46">
        <f t="shared" si="15"/>
        <v>5389285.4476835551</v>
      </c>
      <c r="F209" s="12"/>
      <c r="G209" s="49"/>
      <c r="H209" s="49"/>
      <c r="I209" s="39"/>
      <c r="J209" s="20">
        <f t="shared" si="18"/>
        <v>42308</v>
      </c>
      <c r="K209" s="27">
        <f>'BOGIX (Gross)'!K209</f>
        <v>5.634204345986376</v>
      </c>
      <c r="L209" s="46">
        <f t="shared" si="16"/>
        <v>3378232.1099274498</v>
      </c>
      <c r="M209" s="12"/>
      <c r="N209" s="49"/>
      <c r="O209" s="39"/>
      <c r="P209" s="20">
        <f t="shared" si="19"/>
        <v>42308</v>
      </c>
      <c r="Q209" s="27">
        <f>'BOGIX (Gross)'!Q209</f>
        <v>6.0951789999999999</v>
      </c>
      <c r="R209" s="46">
        <f t="shared" si="17"/>
        <v>4668947.1732270783</v>
      </c>
      <c r="S209" s="37"/>
      <c r="T209" s="49"/>
      <c r="U209" s="49"/>
      <c r="V209" s="39"/>
    </row>
    <row r="210" spans="1:26" x14ac:dyDescent="0.25">
      <c r="A210" s="21">
        <v>42338</v>
      </c>
      <c r="B210" s="24">
        <f t="shared" ref="B210:B273" si="20">IF(A210&gt;A209,1+B209,"-")</f>
        <v>194</v>
      </c>
      <c r="C210" s="96" t="s">
        <v>340</v>
      </c>
      <c r="D210" s="27">
        <v>2.8882089999999998</v>
      </c>
      <c r="E210" s="46">
        <f t="shared" ref="E210:E273" si="21">E209*D210/100+E209</f>
        <v>5544939.2750192415</v>
      </c>
      <c r="F210" s="12"/>
      <c r="G210" s="49"/>
      <c r="H210" s="49"/>
      <c r="I210" s="39"/>
      <c r="J210" s="20">
        <f t="shared" si="18"/>
        <v>42338</v>
      </c>
      <c r="K210" s="27">
        <f>'BOGIX (Gross)'!K210</f>
        <v>3.2529358603983836</v>
      </c>
      <c r="L210" s="46">
        <f t="shared" ref="L210:L273" si="22">L209*K210/100+L209</f>
        <v>3488123.8336787727</v>
      </c>
      <c r="M210" s="12"/>
      <c r="N210" s="49"/>
      <c r="O210" s="39"/>
      <c r="P210" s="20">
        <f t="shared" si="19"/>
        <v>42338</v>
      </c>
      <c r="Q210" s="27">
        <f>'BOGIX (Gross)'!Q210</f>
        <v>2.6707320000000001</v>
      </c>
      <c r="R210" s="46">
        <f t="shared" ref="R210:R273" si="23">R209*Q210/100+R209</f>
        <v>4793642.2394455494</v>
      </c>
      <c r="S210" s="37"/>
      <c r="T210" s="49"/>
      <c r="U210" s="49"/>
      <c r="V210" s="39"/>
      <c r="W210" s="92"/>
      <c r="Y210" s="61"/>
      <c r="Z210" s="16"/>
    </row>
    <row r="211" spans="1:26" x14ac:dyDescent="0.25">
      <c r="A211" s="21">
        <v>42369</v>
      </c>
      <c r="B211" s="24">
        <f t="shared" si="20"/>
        <v>195</v>
      </c>
      <c r="C211" s="96" t="s">
        <v>340</v>
      </c>
      <c r="D211" s="27">
        <v>-5.2853120000000002</v>
      </c>
      <c r="E211" s="46">
        <f t="shared" si="21"/>
        <v>5251871.9341239361</v>
      </c>
      <c r="F211" s="12">
        <f>(E211-E$199)/E$199*100</f>
        <v>-7.6935721395220398</v>
      </c>
      <c r="G211" s="49">
        <f>(E211/E208-1)*100</f>
        <v>5.0920020949443368</v>
      </c>
      <c r="H211" s="49"/>
      <c r="I211" s="39"/>
      <c r="J211" s="20">
        <f t="shared" si="18"/>
        <v>42369</v>
      </c>
      <c r="K211" s="27">
        <f>'BOGIX (Gross)'!K211</f>
        <v>-5.0212707421467879</v>
      </c>
      <c r="L211" s="46">
        <f t="shared" si="22"/>
        <v>3312975.6921684118</v>
      </c>
      <c r="M211" s="12">
        <f>(L211-L$199)/L$199*100</f>
        <v>-4.4132425955799368</v>
      </c>
      <c r="N211" s="49">
        <f>(L211/L208-1)*100</f>
        <v>3.593696309789518</v>
      </c>
      <c r="O211" s="39"/>
      <c r="P211" s="20">
        <f t="shared" si="19"/>
        <v>42369</v>
      </c>
      <c r="Q211" s="27">
        <f>'BOGIX (Gross)'!Q211</f>
        <v>-4.8006900000000003</v>
      </c>
      <c r="R211" s="46">
        <f t="shared" si="23"/>
        <v>4563514.3358207112</v>
      </c>
      <c r="S211" s="12">
        <f>(R211-R$199)/R$199*100</f>
        <v>-2.0086216664734673</v>
      </c>
      <c r="T211" s="49">
        <f>(R211/R208-1)*100</f>
        <v>3.6993678369932281</v>
      </c>
      <c r="U211" s="49"/>
      <c r="V211" s="39"/>
      <c r="W211" s="109"/>
      <c r="Y211" s="61"/>
      <c r="Z211" s="16"/>
    </row>
    <row r="212" spans="1:26" x14ac:dyDescent="0.25">
      <c r="A212" s="21">
        <v>42400</v>
      </c>
      <c r="B212" s="24">
        <f t="shared" si="20"/>
        <v>196</v>
      </c>
      <c r="C212" s="96" t="s">
        <v>340</v>
      </c>
      <c r="D212" s="27">
        <v>-10.311360000000001</v>
      </c>
      <c r="E212" s="46">
        <f t="shared" si="21"/>
        <v>4710332.512257454</v>
      </c>
      <c r="F212" s="12"/>
      <c r="G212" s="49"/>
      <c r="H212" s="49"/>
      <c r="I212" s="39"/>
      <c r="J212" s="20">
        <f t="shared" si="18"/>
        <v>42400</v>
      </c>
      <c r="K212" s="27">
        <f>'BOGIX (Gross)'!K212</f>
        <v>-8.7951679430077974</v>
      </c>
      <c r="L212" s="46">
        <f t="shared" si="22"/>
        <v>3021593.9161311751</v>
      </c>
      <c r="M212" s="12"/>
      <c r="N212" s="49"/>
      <c r="O212" s="39"/>
      <c r="P212" s="20">
        <f t="shared" si="19"/>
        <v>42400</v>
      </c>
      <c r="Q212" s="27">
        <f>'BOGIX (Gross)'!Q212</f>
        <v>-6.1684559999999999</v>
      </c>
      <c r="R212" s="46">
        <f t="shared" si="23"/>
        <v>4282015.9619619185</v>
      </c>
      <c r="S212" s="12"/>
      <c r="T212" s="6"/>
      <c r="U212" s="49"/>
      <c r="V212" s="39"/>
      <c r="W212" s="36"/>
      <c r="Y212" s="61"/>
      <c r="Z212" s="16"/>
    </row>
    <row r="213" spans="1:26" x14ac:dyDescent="0.25">
      <c r="A213" s="21">
        <v>42429</v>
      </c>
      <c r="B213" s="24">
        <f t="shared" si="20"/>
        <v>197</v>
      </c>
      <c r="C213" s="96" t="s">
        <v>340</v>
      </c>
      <c r="D213" s="27">
        <v>2.4797120000000001</v>
      </c>
      <c r="E213" s="46">
        <f t="shared" si="21"/>
        <v>4827135.1928038038</v>
      </c>
      <c r="F213" s="104"/>
      <c r="G213" s="49"/>
      <c r="H213" s="49"/>
      <c r="I213" s="39"/>
      <c r="J213" s="20">
        <f t="shared" si="18"/>
        <v>42429</v>
      </c>
      <c r="K213" s="27">
        <f>'BOGIX (Gross)'!K213</f>
        <v>-1.125449271752009E-2</v>
      </c>
      <c r="L213" s="46">
        <f t="shared" si="22"/>
        <v>3021253.8510639309</v>
      </c>
      <c r="M213" s="104"/>
      <c r="N213" s="49"/>
      <c r="O213" s="39"/>
      <c r="P213" s="20">
        <f t="shared" si="19"/>
        <v>42429</v>
      </c>
      <c r="Q213" s="27">
        <f>'BOGIX (Gross)'!Q213</f>
        <v>1.111027</v>
      </c>
      <c r="R213" s="46">
        <f t="shared" si="23"/>
        <v>4329590.3154436247</v>
      </c>
      <c r="S213" s="104"/>
      <c r="T213" s="6"/>
      <c r="U213" s="49"/>
      <c r="V213" s="39"/>
      <c r="W213" s="36"/>
      <c r="Y213" s="61"/>
      <c r="Z213" s="16"/>
    </row>
    <row r="214" spans="1:26" x14ac:dyDescent="0.25">
      <c r="A214" s="21">
        <v>42460</v>
      </c>
      <c r="B214" s="24">
        <f t="shared" si="20"/>
        <v>198</v>
      </c>
      <c r="C214" s="96" t="s">
        <v>340</v>
      </c>
      <c r="D214" s="27">
        <v>9.8548170000000006</v>
      </c>
      <c r="E214" s="46">
        <f t="shared" si="21"/>
        <v>5302840.5323972162</v>
      </c>
      <c r="F214" s="104"/>
      <c r="G214" s="49">
        <f>(E214/E211-1)*100</f>
        <v>0.97048440846609907</v>
      </c>
      <c r="H214" s="49"/>
      <c r="I214" s="39"/>
      <c r="J214" s="20">
        <f t="shared" si="18"/>
        <v>42460</v>
      </c>
      <c r="K214" s="27">
        <f>'BOGIX (Gross)'!K214</f>
        <v>7.9811016800056063</v>
      </c>
      <c r="L214" s="46">
        <f t="shared" si="22"/>
        <v>3262383.1929284283</v>
      </c>
      <c r="M214" s="104"/>
      <c r="N214" s="49">
        <f>(L214/L211-1)*100</f>
        <v>-1.5271014320926035</v>
      </c>
      <c r="O214" s="39"/>
      <c r="P214" s="20">
        <f t="shared" si="19"/>
        <v>42460</v>
      </c>
      <c r="Q214" s="27">
        <f>'BOGIX (Gross)'!Q214</f>
        <v>8.19848</v>
      </c>
      <c r="R214" s="46">
        <f t="shared" si="23"/>
        <v>4684550.9115372077</v>
      </c>
      <c r="S214" s="106"/>
      <c r="T214" s="49">
        <f>(R214/R211-1)*100</f>
        <v>2.6522668016277562</v>
      </c>
      <c r="U214" s="49"/>
      <c r="V214" s="39"/>
      <c r="W214" s="36"/>
      <c r="Y214" s="61"/>
      <c r="Z214" s="16"/>
    </row>
    <row r="215" spans="1:26" x14ac:dyDescent="0.25">
      <c r="A215" s="21">
        <v>42490</v>
      </c>
      <c r="B215" s="24">
        <f t="shared" si="20"/>
        <v>199</v>
      </c>
      <c r="C215" s="96" t="s">
        <v>340</v>
      </c>
      <c r="D215" s="27">
        <v>2.723268</v>
      </c>
      <c r="E215" s="46">
        <f t="shared" si="21"/>
        <v>5447251.0917070191</v>
      </c>
      <c r="F215" s="112"/>
      <c r="G215" s="49"/>
      <c r="H215" s="49"/>
      <c r="I215" s="39"/>
      <c r="J215" s="20">
        <f t="shared" si="18"/>
        <v>42490</v>
      </c>
      <c r="K215" s="27">
        <f>'BOGIX (Gross)'!K215</f>
        <v>1.5694968610604174</v>
      </c>
      <c r="L215" s="46">
        <f t="shared" si="22"/>
        <v>3313586.1947372025</v>
      </c>
      <c r="M215" s="112"/>
      <c r="N215" s="49"/>
      <c r="O215" s="39"/>
      <c r="P215" s="20">
        <f t="shared" si="19"/>
        <v>42490</v>
      </c>
      <c r="Q215" s="27">
        <f>'BOGIX (Gross)'!Q215</f>
        <v>1.1739580000000001</v>
      </c>
      <c r="R215" s="46">
        <f t="shared" si="23"/>
        <v>4739545.5717272712</v>
      </c>
      <c r="S215" s="106"/>
      <c r="T215" s="49"/>
      <c r="U215" s="49"/>
      <c r="V215" s="39"/>
      <c r="W215" s="36"/>
      <c r="Y215" s="61"/>
      <c r="Z215" s="16"/>
    </row>
    <row r="216" spans="1:26" x14ac:dyDescent="0.25">
      <c r="A216" s="21">
        <v>42521</v>
      </c>
      <c r="B216" s="24">
        <f t="shared" si="20"/>
        <v>200</v>
      </c>
      <c r="C216" s="96" t="s">
        <v>340</v>
      </c>
      <c r="D216" s="27">
        <v>0.50682260000000001</v>
      </c>
      <c r="E216" s="46">
        <f t="shared" si="21"/>
        <v>5474858.9913185369</v>
      </c>
      <c r="F216" s="112"/>
      <c r="G216" s="138"/>
      <c r="H216" s="49"/>
      <c r="I216" s="39"/>
      <c r="J216" s="20">
        <f t="shared" ref="J216:J295" si="24">$A216</f>
        <v>42521</v>
      </c>
      <c r="K216" s="27">
        <f>'BOGIX (Gross)'!K216</f>
        <v>2.2518361605255559</v>
      </c>
      <c r="L216" s="46">
        <f t="shared" si="22"/>
        <v>3388202.7268804777</v>
      </c>
      <c r="M216" s="112"/>
      <c r="N216" s="138"/>
      <c r="O216" s="39"/>
      <c r="P216" s="20">
        <f t="shared" ref="P216:P282" si="25">$A216</f>
        <v>42521</v>
      </c>
      <c r="Q216" s="27">
        <f>'BOGIX (Gross)'!Q216</f>
        <v>1.656118</v>
      </c>
      <c r="R216" s="46">
        <f t="shared" si="23"/>
        <v>4818038.0390588492</v>
      </c>
      <c r="S216" s="106"/>
      <c r="T216" s="130"/>
      <c r="U216" s="49"/>
      <c r="V216" s="39"/>
      <c r="W216" s="36"/>
      <c r="Y216" s="61"/>
      <c r="Z216" s="16"/>
    </row>
    <row r="217" spans="1:26" x14ac:dyDescent="0.25">
      <c r="A217" s="21">
        <v>42551</v>
      </c>
      <c r="B217" s="24">
        <f t="shared" si="20"/>
        <v>201</v>
      </c>
      <c r="C217" s="96" t="s">
        <v>340</v>
      </c>
      <c r="D217" s="27">
        <v>-2.3273860000000002</v>
      </c>
      <c r="E217" s="46">
        <f t="shared" si="21"/>
        <v>5347437.8896348476</v>
      </c>
      <c r="F217" s="104"/>
      <c r="G217" s="131">
        <f>(E217/E214-1)*100</f>
        <v>0.84100883225071144</v>
      </c>
      <c r="H217" s="49"/>
      <c r="I217" s="39"/>
      <c r="J217" s="20">
        <f t="shared" si="24"/>
        <v>42551</v>
      </c>
      <c r="K217" s="27">
        <f>'BOGIX (Gross)'!K217</f>
        <v>-6.3906032296119186E-2</v>
      </c>
      <c r="L217" s="46">
        <f t="shared" si="22"/>
        <v>3386037.4609515797</v>
      </c>
      <c r="M217" s="104"/>
      <c r="N217" s="131">
        <f>(L217/L214-1)*100</f>
        <v>3.7903048388425287</v>
      </c>
      <c r="O217" s="39"/>
      <c r="P217" s="20">
        <f t="shared" si="25"/>
        <v>42551</v>
      </c>
      <c r="Q217" s="27">
        <f>'BOGIX (Gross)'!Q217</f>
        <v>0.60744659999999995</v>
      </c>
      <c r="R217" s="46">
        <f t="shared" si="23"/>
        <v>4847305.0473138187</v>
      </c>
      <c r="S217" s="106"/>
      <c r="T217" s="131">
        <f>(R217/R214-1)*100</f>
        <v>3.474274030745983</v>
      </c>
      <c r="U217" s="49"/>
      <c r="V217" s="39"/>
      <c r="W217" s="36"/>
      <c r="Y217" s="61"/>
      <c r="Z217" s="16"/>
    </row>
    <row r="218" spans="1:26" x14ac:dyDescent="0.25">
      <c r="A218" s="21">
        <v>42582</v>
      </c>
      <c r="B218" s="24">
        <f t="shared" si="20"/>
        <v>202</v>
      </c>
      <c r="C218" s="96" t="s">
        <v>340</v>
      </c>
      <c r="D218" s="27">
        <v>7.1882450000000002</v>
      </c>
      <c r="E218" s="46">
        <f t="shared" si="21"/>
        <v>5731824.8263646299</v>
      </c>
      <c r="F218" s="104"/>
      <c r="G218" s="139"/>
      <c r="H218" s="49"/>
      <c r="I218" s="39"/>
      <c r="J218" s="20">
        <f t="shared" si="24"/>
        <v>42582</v>
      </c>
      <c r="K218" s="27">
        <f>'BOGIX (Gross)'!K218</f>
        <v>5.9706867954982137</v>
      </c>
      <c r="L218" s="46">
        <f t="shared" si="22"/>
        <v>3588207.1525232387</v>
      </c>
      <c r="M218" s="104"/>
      <c r="N218" s="139"/>
      <c r="O218" s="39"/>
      <c r="P218" s="20">
        <f t="shared" si="25"/>
        <v>42582</v>
      </c>
      <c r="Q218" s="27">
        <f>'BOGIX (Gross)'!Q218</f>
        <v>5.090192</v>
      </c>
      <c r="R218" s="46">
        <f t="shared" si="23"/>
        <v>5094042.1810477832</v>
      </c>
      <c r="S218" s="104"/>
      <c r="T218" s="104"/>
      <c r="U218" s="49"/>
      <c r="V218" s="39"/>
      <c r="W218" s="36"/>
    </row>
    <row r="219" spans="1:26" x14ac:dyDescent="0.25">
      <c r="A219" s="21">
        <v>42613</v>
      </c>
      <c r="B219" s="24">
        <f t="shared" si="20"/>
        <v>203</v>
      </c>
      <c r="C219" s="96" t="s">
        <v>340</v>
      </c>
      <c r="D219" s="27">
        <v>3.7050760000000002E-2</v>
      </c>
      <c r="E219" s="46">
        <f t="shared" si="21"/>
        <v>5733948.511024667</v>
      </c>
      <c r="F219" s="104"/>
      <c r="G219" s="139"/>
      <c r="H219" s="49"/>
      <c r="I219" s="39"/>
      <c r="J219" s="20">
        <f t="shared" si="24"/>
        <v>42613</v>
      </c>
      <c r="K219" s="27">
        <f>'BOGIX (Gross)'!K219</f>
        <v>1.7677409666168633</v>
      </c>
      <c r="L219" s="46">
        <f t="shared" si="22"/>
        <v>3651637.3603254682</v>
      </c>
      <c r="M219" s="104"/>
      <c r="N219" s="139"/>
      <c r="O219" s="39"/>
      <c r="P219" s="20">
        <f t="shared" si="25"/>
        <v>42613</v>
      </c>
      <c r="Q219" s="27">
        <f>'BOGIX (Gross)'!Q219</f>
        <v>1.355297</v>
      </c>
      <c r="R219" s="46">
        <f t="shared" si="23"/>
        <v>5163081.5819062581</v>
      </c>
      <c r="S219" s="104"/>
      <c r="T219" s="104"/>
      <c r="U219" s="49"/>
      <c r="V219" s="39"/>
      <c r="W219" s="36"/>
    </row>
    <row r="220" spans="1:26" x14ac:dyDescent="0.25">
      <c r="A220" s="21">
        <v>42643</v>
      </c>
      <c r="B220" s="24">
        <f t="shared" si="20"/>
        <v>204</v>
      </c>
      <c r="C220" s="96" t="s">
        <v>340</v>
      </c>
      <c r="D220" s="27">
        <v>3.7777780000000001</v>
      </c>
      <c r="E220" s="46">
        <f t="shared" si="21"/>
        <v>5950564.3564054845</v>
      </c>
      <c r="F220" s="104"/>
      <c r="G220" s="106">
        <f>(E220/E$217-1)*100</f>
        <v>11.278793306598311</v>
      </c>
      <c r="H220" s="49"/>
      <c r="I220" s="39"/>
      <c r="J220" s="20">
        <f t="shared" si="24"/>
        <v>42643</v>
      </c>
      <c r="K220" s="27">
        <f>'BOGIX (Gross)'!K220</f>
        <v>1.113824774447457</v>
      </c>
      <c r="L220" s="46">
        <f t="shared" si="22"/>
        <v>3692310.2019177526</v>
      </c>
      <c r="M220" s="104"/>
      <c r="N220" s="106">
        <f>(L220/L$217-1)*100</f>
        <v>9.0451669391779621</v>
      </c>
      <c r="O220" s="39"/>
      <c r="P220" s="20">
        <f t="shared" si="25"/>
        <v>42643</v>
      </c>
      <c r="Q220" s="27">
        <f>'BOGIX (Gross)'!Q220</f>
        <v>0.63964160000000003</v>
      </c>
      <c r="R220" s="46">
        <f t="shared" si="23"/>
        <v>5196106.7995460685</v>
      </c>
      <c r="S220" s="104"/>
      <c r="T220" s="106">
        <f>(R220/R$217-1)*100</f>
        <v>7.195787119392083</v>
      </c>
      <c r="U220" s="49"/>
      <c r="V220" s="39"/>
      <c r="W220" s="36"/>
    </row>
    <row r="221" spans="1:26" x14ac:dyDescent="0.25">
      <c r="A221" s="21">
        <v>42674</v>
      </c>
      <c r="B221" s="24">
        <f t="shared" si="20"/>
        <v>205</v>
      </c>
      <c r="C221" s="96" t="s">
        <v>340</v>
      </c>
      <c r="D221" s="27">
        <v>-5.7102069999999996</v>
      </c>
      <c r="E221" s="46">
        <f t="shared" si="21"/>
        <v>5610774.8139865138</v>
      </c>
      <c r="F221" s="104"/>
      <c r="H221" s="49"/>
      <c r="I221" s="39"/>
      <c r="J221" s="20">
        <f t="shared" si="24"/>
        <v>42674</v>
      </c>
      <c r="K221" s="27">
        <f>'BOGIX (Gross)'!K221</f>
        <v>-4.7540048686390586</v>
      </c>
      <c r="L221" s="46">
        <f t="shared" si="22"/>
        <v>3516777.5951533262</v>
      </c>
      <c r="O221" s="39"/>
      <c r="P221" s="20">
        <f t="shared" si="25"/>
        <v>42674</v>
      </c>
      <c r="Q221" s="27">
        <f>'BOGIX (Gross)'!Q221</f>
        <v>-4.4758680000000002</v>
      </c>
      <c r="R221" s="46">
        <f t="shared" si="23"/>
        <v>4963535.9180593621</v>
      </c>
      <c r="U221" s="49"/>
      <c r="V221" s="39"/>
      <c r="W221" s="36"/>
    </row>
    <row r="222" spans="1:26" x14ac:dyDescent="0.25">
      <c r="A222" s="21">
        <v>42704</v>
      </c>
      <c r="B222" s="24">
        <f t="shared" si="20"/>
        <v>206</v>
      </c>
      <c r="C222" s="96" t="s">
        <v>340</v>
      </c>
      <c r="D222" s="27">
        <v>11.014379999999999</v>
      </c>
      <c r="E222" s="46">
        <f t="shared" si="21"/>
        <v>6228766.8729432812</v>
      </c>
      <c r="F222" s="104"/>
      <c r="G222" s="139"/>
      <c r="H222" s="49"/>
      <c r="I222" s="39"/>
      <c r="J222" s="20">
        <f t="shared" si="24"/>
        <v>42704</v>
      </c>
      <c r="K222" s="27">
        <f>'BOGIX (Gross)'!K222</f>
        <v>11.137505370213507</v>
      </c>
      <c r="L222" s="46">
        <f t="shared" si="22"/>
        <v>3908458.8886719933</v>
      </c>
      <c r="M222" s="104"/>
      <c r="N222" s="139"/>
      <c r="O222" s="39"/>
      <c r="P222" s="20">
        <f t="shared" si="25"/>
        <v>42704</v>
      </c>
      <c r="Q222" s="27">
        <f>'BOGIX (Gross)'!Q222</f>
        <v>12.52933</v>
      </c>
      <c r="R222" s="46">
        <f t="shared" si="23"/>
        <v>5585433.7129015494</v>
      </c>
      <c r="S222" s="104"/>
      <c r="T222" s="104"/>
      <c r="U222" s="49"/>
      <c r="V222" s="39"/>
      <c r="W222" s="36"/>
    </row>
    <row r="223" spans="1:26" x14ac:dyDescent="0.25">
      <c r="A223" s="21">
        <v>42735</v>
      </c>
      <c r="B223" s="24">
        <f t="shared" si="20"/>
        <v>207</v>
      </c>
      <c r="C223" s="96" t="s">
        <v>340</v>
      </c>
      <c r="D223" s="27">
        <v>0.98874870000000004</v>
      </c>
      <c r="E223" s="46">
        <f t="shared" si="21"/>
        <v>6290353.7244255384</v>
      </c>
      <c r="F223" s="112">
        <f>(E223/E$211-1)*100</f>
        <v>19.773555092881967</v>
      </c>
      <c r="G223" s="106">
        <v>1.68</v>
      </c>
      <c r="H223" s="49"/>
      <c r="I223" s="39"/>
      <c r="J223" s="20">
        <f t="shared" si="24"/>
        <v>42735</v>
      </c>
      <c r="K223" s="27">
        <f>'BOGIX (Gross)'!K223</f>
        <v>2.8005428284200691</v>
      </c>
      <c r="L223" s="46">
        <f t="shared" si="22"/>
        <v>4017916.9537804434</v>
      </c>
      <c r="M223" s="112">
        <f>(L223/L$211-1)*100</f>
        <v>21.27818997520723</v>
      </c>
      <c r="N223" s="106">
        <f>(L223/L$220-1)*100</f>
        <v>8.8185102024627824</v>
      </c>
      <c r="O223" s="39"/>
      <c r="P223" s="20">
        <f t="shared" si="25"/>
        <v>42735</v>
      </c>
      <c r="Q223" s="27">
        <f>'BOGIX (Gross)'!Q223</f>
        <v>3.319283</v>
      </c>
      <c r="R223" s="46">
        <f t="shared" si="23"/>
        <v>5770830.064610159</v>
      </c>
      <c r="S223" s="112">
        <f>(R223/R$211-1)*100</f>
        <v>26.455832938066614</v>
      </c>
      <c r="T223" s="106">
        <f>(R223/R$220-1)*100</f>
        <v>11.060651507669128</v>
      </c>
      <c r="U223" s="49"/>
      <c r="V223" s="39"/>
      <c r="W223" s="36"/>
    </row>
    <row r="224" spans="1:26" x14ac:dyDescent="0.25">
      <c r="A224" s="21">
        <v>42766</v>
      </c>
      <c r="B224" s="24">
        <f t="shared" si="20"/>
        <v>208</v>
      </c>
      <c r="C224" s="96" t="s">
        <v>340</v>
      </c>
      <c r="D224" s="27">
        <v>2.1944629999999998</v>
      </c>
      <c r="E224" s="46">
        <f t="shared" si="21"/>
        <v>6428393.2094771788</v>
      </c>
      <c r="F224" s="22"/>
      <c r="H224" s="49"/>
      <c r="I224" s="39"/>
      <c r="J224" s="20">
        <f t="shared" si="24"/>
        <v>42766</v>
      </c>
      <c r="K224" s="27">
        <f>'BOGIX (Gross)'!K224</f>
        <v>0.39328651542358017</v>
      </c>
      <c r="L224" s="46">
        <f t="shared" si="22"/>
        <v>4033718.8793605799</v>
      </c>
      <c r="O224" s="39"/>
      <c r="P224" s="20">
        <f t="shared" si="25"/>
        <v>42766</v>
      </c>
      <c r="Q224" s="27">
        <f>'BOGIX (Gross)'!Q224</f>
        <v>-0.4037152</v>
      </c>
      <c r="R224" s="46">
        <f t="shared" si="23"/>
        <v>5747532.3464731583</v>
      </c>
      <c r="U224" s="49"/>
      <c r="V224" s="39"/>
      <c r="W224" s="36"/>
    </row>
    <row r="225" spans="1:24" x14ac:dyDescent="0.25">
      <c r="A225" s="21">
        <v>42794</v>
      </c>
      <c r="B225" s="24">
        <f t="shared" si="20"/>
        <v>209</v>
      </c>
      <c r="C225" s="96" t="s">
        <v>340</v>
      </c>
      <c r="D225" s="27">
        <v>1.255368</v>
      </c>
      <c r="E225" s="46">
        <f t="shared" si="21"/>
        <v>6509093.2007431285</v>
      </c>
      <c r="F225" s="22"/>
      <c r="H225" s="49"/>
      <c r="I225" s="39"/>
      <c r="J225" s="20">
        <f t="shared" si="24"/>
        <v>42794</v>
      </c>
      <c r="K225" s="27">
        <f>'BOGIX (Gross)'!K225</f>
        <v>1.925907515637346</v>
      </c>
      <c r="L225" s="46">
        <f t="shared" si="22"/>
        <v>4111404.5744178677</v>
      </c>
      <c r="M225" s="112"/>
      <c r="O225" s="39"/>
      <c r="P225" s="20">
        <f t="shared" si="25"/>
        <v>42794</v>
      </c>
      <c r="Q225" s="27">
        <f>'BOGIX (Gross)'!Q225</f>
        <v>1.581653</v>
      </c>
      <c r="R225" s="46">
        <f t="shared" si="23"/>
        <v>5838438.3642571215</v>
      </c>
      <c r="U225" s="49"/>
      <c r="V225" s="39"/>
      <c r="W225" s="36"/>
    </row>
    <row r="226" spans="1:24" x14ac:dyDescent="0.25">
      <c r="A226" s="21">
        <v>42825</v>
      </c>
      <c r="B226" s="24">
        <f t="shared" si="20"/>
        <v>210</v>
      </c>
      <c r="C226" s="96" t="s">
        <v>340</v>
      </c>
      <c r="D226" s="27">
        <v>-0.81566070000000002</v>
      </c>
      <c r="E226" s="46">
        <f t="shared" si="21"/>
        <v>6456001.0855782945</v>
      </c>
      <c r="F226" s="22"/>
      <c r="G226" s="106">
        <f>(E226/E$223-1)*100</f>
        <v>2.6333552675987804</v>
      </c>
      <c r="H226" s="49"/>
      <c r="I226" s="39"/>
      <c r="J226" s="20">
        <f t="shared" si="24"/>
        <v>42825</v>
      </c>
      <c r="K226" s="27">
        <f>'BOGIX (Gross)'!K226</f>
        <v>0.13084916475280836</v>
      </c>
      <c r="L226" s="46">
        <f t="shared" si="22"/>
        <v>4116784.312963102</v>
      </c>
      <c r="N226" s="106">
        <f>(L226/L$223-1)*100</f>
        <v>2.4606620873444118</v>
      </c>
      <c r="O226" s="39"/>
      <c r="P226" s="20">
        <f t="shared" si="25"/>
        <v>42825</v>
      </c>
      <c r="Q226" s="27">
        <f>'BOGIX (Gross)'!Q226</f>
        <v>-0.1227819</v>
      </c>
      <c r="R226" s="46">
        <f t="shared" si="23"/>
        <v>5831269.8187031578</v>
      </c>
      <c r="S226" s="112"/>
      <c r="T226" s="106">
        <f>(R226/R$223-1)*100</f>
        <v>1.0473320720990831</v>
      </c>
      <c r="U226" s="49"/>
      <c r="V226" s="39"/>
      <c r="W226" s="36"/>
    </row>
    <row r="227" spans="1:24" x14ac:dyDescent="0.25">
      <c r="A227" s="21">
        <v>42855</v>
      </c>
      <c r="B227" s="24">
        <f t="shared" si="20"/>
        <v>211</v>
      </c>
      <c r="C227" s="96" t="s">
        <v>340</v>
      </c>
      <c r="D227" s="27">
        <v>1.420641</v>
      </c>
      <c r="E227" s="46">
        <f t="shared" si="21"/>
        <v>6547717.6839604648</v>
      </c>
      <c r="F227" s="106"/>
      <c r="H227" s="49"/>
      <c r="I227" s="39"/>
      <c r="J227" s="20">
        <f t="shared" si="24"/>
        <v>42855</v>
      </c>
      <c r="K227" s="27">
        <f>'BOGIX (Gross)'!K227</f>
        <v>1.0966058849237992</v>
      </c>
      <c r="L227" s="46">
        <f t="shared" si="22"/>
        <v>4161929.2120086751</v>
      </c>
      <c r="M227" s="106"/>
      <c r="O227" s="39"/>
      <c r="P227" s="20">
        <f t="shared" si="25"/>
        <v>42855</v>
      </c>
      <c r="Q227" s="27">
        <f>'BOGIX (Gross)'!Q227</f>
        <v>0.90167149999999996</v>
      </c>
      <c r="R227" s="46">
        <f t="shared" si="23"/>
        <v>5883848.7167465063</v>
      </c>
      <c r="U227" s="49"/>
      <c r="V227" s="39"/>
      <c r="X227" s="189"/>
    </row>
    <row r="228" spans="1:24" x14ac:dyDescent="0.25">
      <c r="A228" s="21">
        <v>42886</v>
      </c>
      <c r="B228" s="24">
        <f t="shared" si="20"/>
        <v>212</v>
      </c>
      <c r="C228" s="96" t="s">
        <v>340</v>
      </c>
      <c r="D228" s="27">
        <v>-3.9954589999999999</v>
      </c>
      <c r="E228" s="46">
        <f t="shared" si="21"/>
        <v>6286106.308462075</v>
      </c>
      <c r="F228" s="22"/>
      <c r="H228" s="49"/>
      <c r="I228" s="39"/>
      <c r="J228" s="20">
        <f t="shared" si="24"/>
        <v>42886</v>
      </c>
      <c r="K228" s="27">
        <f>'BOGIX (Gross)'!K228</f>
        <v>-2.0343905575018346</v>
      </c>
      <c r="L228" s="46">
        <f t="shared" si="22"/>
        <v>4077259.3171096602</v>
      </c>
      <c r="M228" s="106"/>
      <c r="O228" s="39"/>
      <c r="P228" s="20">
        <f t="shared" si="25"/>
        <v>42886</v>
      </c>
      <c r="Q228" s="27">
        <f>'BOGIX (Gross)'!Q228</f>
        <v>-2.1271629999999999</v>
      </c>
      <c r="R228" s="46">
        <f t="shared" si="23"/>
        <v>5758689.6638679001</v>
      </c>
      <c r="U228" s="49"/>
      <c r="V228" s="39"/>
      <c r="X228" s="1"/>
    </row>
    <row r="229" spans="1:24" x14ac:dyDescent="0.25">
      <c r="A229" s="21">
        <v>42916</v>
      </c>
      <c r="B229" s="24">
        <f t="shared" si="20"/>
        <v>213</v>
      </c>
      <c r="C229" s="96" t="s">
        <v>340</v>
      </c>
      <c r="D229" s="27">
        <v>2.9054060000000002</v>
      </c>
      <c r="E229" s="46">
        <f t="shared" si="21"/>
        <v>6468743.2183145108</v>
      </c>
      <c r="F229" s="112"/>
      <c r="G229" s="106">
        <f>(E229/E$226-1)*100</f>
        <v>0.19736881340803869</v>
      </c>
      <c r="H229" s="49"/>
      <c r="I229" s="39"/>
      <c r="J229" s="20">
        <f t="shared" si="24"/>
        <v>42916</v>
      </c>
      <c r="K229" s="27">
        <f>'BOGIX (Gross)'!K229</f>
        <v>3.4550215532803126</v>
      </c>
      <c r="L229" s="46">
        <f t="shared" si="22"/>
        <v>4218129.5052989284</v>
      </c>
      <c r="M229" s="112"/>
      <c r="N229" s="106">
        <f>(L229/L$226-1)*100</f>
        <v>2.4617561822878775</v>
      </c>
      <c r="O229" s="39"/>
      <c r="P229" s="20">
        <f t="shared" si="25"/>
        <v>42916</v>
      </c>
      <c r="Q229" s="27">
        <f>'BOGIX (Gross)'!Q229</f>
        <v>2.9931709999999998</v>
      </c>
      <c r="R229" s="46">
        <f t="shared" si="23"/>
        <v>5931057.0928667914</v>
      </c>
      <c r="S229" s="112"/>
      <c r="T229" s="106">
        <f>(R229/R$226-1)*100</f>
        <v>1.7112443304128533</v>
      </c>
      <c r="U229" s="49"/>
      <c r="V229" s="39"/>
      <c r="X229" s="61"/>
    </row>
    <row r="230" spans="1:24" x14ac:dyDescent="0.25">
      <c r="A230" s="21">
        <v>42947</v>
      </c>
      <c r="B230" s="24">
        <f t="shared" si="20"/>
        <v>214</v>
      </c>
      <c r="C230" s="96" t="s">
        <v>340</v>
      </c>
      <c r="D230" s="27">
        <v>4.9573210000000003</v>
      </c>
      <c r="E230" s="46">
        <f t="shared" si="21"/>
        <v>6789419.5843120916</v>
      </c>
      <c r="F230" s="112"/>
      <c r="G230" s="106"/>
      <c r="H230" s="49"/>
      <c r="I230" s="39"/>
      <c r="J230" s="20">
        <f t="shared" si="24"/>
        <v>42947</v>
      </c>
      <c r="K230" s="27">
        <f>'BOGIX (Gross)'!K230</f>
        <v>0.74206765933175201</v>
      </c>
      <c r="L230" s="46">
        <f t="shared" si="22"/>
        <v>4249430.8801864823</v>
      </c>
      <c r="M230" s="112"/>
      <c r="O230" s="39"/>
      <c r="P230" s="20">
        <f t="shared" si="25"/>
        <v>42947</v>
      </c>
      <c r="Q230" s="27">
        <f>'BOGIX (Gross)'!Q230</f>
        <v>0.96867360000000002</v>
      </c>
      <c r="R230" s="46">
        <f t="shared" si="23"/>
        <v>5988509.6771263191</v>
      </c>
      <c r="S230" s="112"/>
      <c r="U230" s="49"/>
      <c r="V230" s="39"/>
    </row>
    <row r="231" spans="1:24" x14ac:dyDescent="0.25">
      <c r="A231" s="21">
        <v>42978</v>
      </c>
      <c r="B231" s="24">
        <f t="shared" si="20"/>
        <v>215</v>
      </c>
      <c r="C231" s="96" t="s">
        <v>340</v>
      </c>
      <c r="D231" s="27">
        <v>0.21895529999999999</v>
      </c>
      <c r="E231" s="46">
        <f t="shared" si="21"/>
        <v>6804285.3783311807</v>
      </c>
      <c r="F231" s="112"/>
      <c r="G231" s="106"/>
      <c r="H231" s="49"/>
      <c r="I231" s="39"/>
      <c r="J231" s="20">
        <f t="shared" si="24"/>
        <v>42978</v>
      </c>
      <c r="K231" s="27">
        <f>'BOGIX (Gross)'!K231</f>
        <v>-1.2722891480434002</v>
      </c>
      <c r="L231" s="46">
        <f t="shared" si="22"/>
        <v>4195365.8322442649</v>
      </c>
      <c r="M231" s="112"/>
      <c r="O231" s="39"/>
      <c r="P231" s="20">
        <f t="shared" si="25"/>
        <v>42978</v>
      </c>
      <c r="Q231" s="27">
        <f>'BOGIX (Gross)'!Q231</f>
        <v>-2.5649670000000002</v>
      </c>
      <c r="R231" s="46">
        <f t="shared" si="23"/>
        <v>5834906.3801162224</v>
      </c>
      <c r="S231" s="112"/>
      <c r="U231" s="49"/>
      <c r="V231" s="39"/>
    </row>
    <row r="232" spans="1:24" x14ac:dyDescent="0.25">
      <c r="A232" s="21">
        <v>43008</v>
      </c>
      <c r="B232" s="24">
        <f t="shared" si="20"/>
        <v>216</v>
      </c>
      <c r="C232" s="96" t="s">
        <v>340</v>
      </c>
      <c r="D232" s="27">
        <v>4.3695380000000004</v>
      </c>
      <c r="E232" s="46">
        <f t="shared" si="21"/>
        <v>7101601.213565805</v>
      </c>
      <c r="F232" s="112"/>
      <c r="G232" s="106">
        <f>(E232/E$229-1)*100</f>
        <v>9.7833222604899017</v>
      </c>
      <c r="H232" s="49"/>
      <c r="I232" s="39"/>
      <c r="J232" s="20">
        <f t="shared" si="24"/>
        <v>43008</v>
      </c>
      <c r="K232" s="27">
        <f>'BOGIX (Gross)'!K232</f>
        <v>6.2398253684003659</v>
      </c>
      <c r="L232" s="46">
        <f t="shared" si="22"/>
        <v>4457149.3337418437</v>
      </c>
      <c r="M232" s="112"/>
      <c r="N232" s="106">
        <f>(L232/L$229-1)*100</f>
        <v>5.6664886211448051</v>
      </c>
      <c r="O232" s="39"/>
      <c r="P232" s="20">
        <f t="shared" si="25"/>
        <v>43008</v>
      </c>
      <c r="Q232" s="27">
        <f>'BOGIX (Gross)'!Q232</f>
        <v>7.7084029999999997</v>
      </c>
      <c r="R232" s="46">
        <f t="shared" si="23"/>
        <v>6284684.4785682932</v>
      </c>
      <c r="S232" s="112"/>
      <c r="T232" s="106">
        <f>(R232/R$229-1)*100</f>
        <v>5.9622994714855215</v>
      </c>
      <c r="U232" s="49"/>
      <c r="V232" s="39"/>
    </row>
    <row r="233" spans="1:24" x14ac:dyDescent="0.25">
      <c r="A233" s="21">
        <v>43039</v>
      </c>
      <c r="B233" s="24">
        <f t="shared" si="20"/>
        <v>217</v>
      </c>
      <c r="C233" s="96" t="s">
        <v>340</v>
      </c>
      <c r="D233" s="27">
        <v>2.8409089999999999</v>
      </c>
      <c r="E233" s="46">
        <f t="shared" si="21"/>
        <v>7303351.241586105</v>
      </c>
      <c r="F233" s="142"/>
      <c r="H233" s="49"/>
      <c r="I233" s="39"/>
      <c r="J233" s="20">
        <f t="shared" si="24"/>
        <v>43039</v>
      </c>
      <c r="K233" s="27">
        <f>'BOGIX (Gross)'!K233</f>
        <v>0.85147616539708126</v>
      </c>
      <c r="L233" s="46">
        <f t="shared" si="22"/>
        <v>4495100.8979748106</v>
      </c>
      <c r="O233" s="39"/>
      <c r="P233" s="20">
        <f t="shared" si="25"/>
        <v>43039</v>
      </c>
      <c r="Q233" s="27">
        <f>'BOGIX (Gross)'!Q233</f>
        <v>0.94945849999999998</v>
      </c>
      <c r="R233" s="46">
        <f t="shared" si="23"/>
        <v>6344354.9495482408</v>
      </c>
      <c r="U233" s="49"/>
      <c r="V233" s="39"/>
    </row>
    <row r="234" spans="1:24" x14ac:dyDescent="0.25">
      <c r="A234" s="21">
        <v>43069</v>
      </c>
      <c r="B234" s="24">
        <f t="shared" si="20"/>
        <v>218</v>
      </c>
      <c r="C234" s="96" t="s">
        <v>340</v>
      </c>
      <c r="D234" s="27">
        <v>-1.0758939999999999</v>
      </c>
      <c r="E234" s="46">
        <f t="shared" si="21"/>
        <v>7224774.9237789549</v>
      </c>
      <c r="F234" s="112"/>
      <c r="H234" s="49"/>
      <c r="I234" s="39"/>
      <c r="J234" s="20">
        <f t="shared" si="24"/>
        <v>43069</v>
      </c>
      <c r="K234" s="27">
        <f>'BOGIX (Gross)'!K234</f>
        <v>2.8792520157457955</v>
      </c>
      <c r="L234" s="46">
        <f t="shared" si="22"/>
        <v>4624526.1811895575</v>
      </c>
      <c r="M234" s="112"/>
      <c r="O234" s="39"/>
      <c r="P234" s="20">
        <f t="shared" si="25"/>
        <v>43069</v>
      </c>
      <c r="Q234" s="27">
        <f>'BOGIX (Gross)'!Q234</f>
        <v>3.5094460000000001</v>
      </c>
      <c r="R234" s="46">
        <f t="shared" si="23"/>
        <v>6567006.6605509631</v>
      </c>
      <c r="U234" s="49"/>
      <c r="V234" s="39"/>
    </row>
    <row r="235" spans="1:24" x14ac:dyDescent="0.25">
      <c r="A235" s="21">
        <v>43100</v>
      </c>
      <c r="B235" s="24">
        <f t="shared" si="20"/>
        <v>219</v>
      </c>
      <c r="C235" s="96" t="s">
        <v>340</v>
      </c>
      <c r="D235" s="27">
        <v>1.9247259999999999</v>
      </c>
      <c r="E235" s="46">
        <f t="shared" si="21"/>
        <v>7363832.0451784087</v>
      </c>
      <c r="F235" s="112">
        <f t="shared" ref="F235" si="26">(E235/E$223-1)*100</f>
        <v>17.065468299255372</v>
      </c>
      <c r="G235" s="106">
        <f>(E235/E$232-1)*100</f>
        <v>3.6925592373685756</v>
      </c>
      <c r="H235" s="49"/>
      <c r="I235" s="39"/>
      <c r="J235" s="20">
        <f t="shared" si="24"/>
        <v>43100</v>
      </c>
      <c r="K235" s="27">
        <f>'BOGIX (Gross)'!K235</f>
        <v>-0.4082453594050594</v>
      </c>
      <c r="L235" s="46">
        <f t="shared" si="22"/>
        <v>4605646.7676603794</v>
      </c>
      <c r="M235" s="112">
        <f>(L235/L$223-1)*100</f>
        <v>14.627724282029853</v>
      </c>
      <c r="N235" s="106">
        <f>(L235/L$232-1)*100</f>
        <v>3.3316683556992244</v>
      </c>
      <c r="O235" s="39"/>
      <c r="P235" s="20">
        <f t="shared" si="25"/>
        <v>43100</v>
      </c>
      <c r="Q235" s="27">
        <f>'BOGIX (Gross)'!Q235</f>
        <v>-0.56449990000000005</v>
      </c>
      <c r="R235" s="46">
        <f t="shared" si="23"/>
        <v>6529935.9145191601</v>
      </c>
      <c r="S235" s="112">
        <f>(R235/R$223-1)*100</f>
        <v>13.154188243459931</v>
      </c>
      <c r="T235" s="106">
        <f>(R235/R$232-1)*100</f>
        <v>3.9023667263998751</v>
      </c>
      <c r="U235" s="49"/>
      <c r="V235" s="39"/>
    </row>
    <row r="236" spans="1:24" x14ac:dyDescent="0.25">
      <c r="A236" s="21">
        <v>43131</v>
      </c>
      <c r="B236" s="24">
        <f t="shared" si="20"/>
        <v>220</v>
      </c>
      <c r="C236" s="96" t="s">
        <v>340</v>
      </c>
      <c r="D236" s="27">
        <v>3.3941720000000002</v>
      </c>
      <c r="E236" s="46">
        <f t="shared" si="21"/>
        <v>7613773.1705828812</v>
      </c>
      <c r="F236" s="22"/>
      <c r="H236" s="49"/>
      <c r="I236" s="39"/>
      <c r="J236" s="20">
        <f t="shared" si="24"/>
        <v>43131</v>
      </c>
      <c r="K236" s="27">
        <f>'BOGIX (Gross)'!K236</f>
        <v>2.6110313010553323</v>
      </c>
      <c r="L236" s="46">
        <f t="shared" si="22"/>
        <v>4725901.6463800352</v>
      </c>
      <c r="O236" s="39"/>
      <c r="P236" s="20">
        <f t="shared" si="25"/>
        <v>43131</v>
      </c>
      <c r="Q236" s="27">
        <f>'BOGIX (Gross)'!Q236</f>
        <v>2.5237440000000002</v>
      </c>
      <c r="R236" s="46">
        <f t="shared" si="23"/>
        <v>6694734.7803656822</v>
      </c>
      <c r="U236" s="49"/>
      <c r="V236" s="39"/>
    </row>
    <row r="237" spans="1:24" x14ac:dyDescent="0.25">
      <c r="A237" s="21">
        <v>43159</v>
      </c>
      <c r="B237" s="24">
        <f t="shared" si="20"/>
        <v>221</v>
      </c>
      <c r="C237" s="96" t="s">
        <v>340</v>
      </c>
      <c r="D237" s="27">
        <v>-3.654382</v>
      </c>
      <c r="E237" s="46">
        <f t="shared" si="21"/>
        <v>7335536.8143162709</v>
      </c>
      <c r="F237" s="22"/>
      <c r="G237" s="106"/>
      <c r="H237" s="49"/>
      <c r="I237" s="39"/>
      <c r="J237" s="20">
        <f t="shared" si="24"/>
        <v>43159</v>
      </c>
      <c r="K237" s="27">
        <f>'BOGIX (Gross)'!K237</f>
        <v>-3.8603870929858517</v>
      </c>
      <c r="L237" s="46">
        <f t="shared" si="22"/>
        <v>4543463.5491959741</v>
      </c>
      <c r="O237" s="39"/>
      <c r="P237" s="20">
        <f t="shared" si="25"/>
        <v>43159</v>
      </c>
      <c r="Q237" s="27">
        <f>'BOGIX (Gross)'!Q237</f>
        <v>-3.8834620000000002</v>
      </c>
      <c r="R237" s="46">
        <f t="shared" si="23"/>
        <v>6434747.2991693979</v>
      </c>
      <c r="U237" s="49"/>
      <c r="V237" s="39"/>
    </row>
    <row r="238" spans="1:24" x14ac:dyDescent="0.25">
      <c r="A238" s="21">
        <v>43190</v>
      </c>
      <c r="B238" s="24">
        <f t="shared" si="20"/>
        <v>222</v>
      </c>
      <c r="C238" s="96" t="s">
        <v>340</v>
      </c>
      <c r="D238" s="27">
        <v>-2.1215039999999998</v>
      </c>
      <c r="E238" s="46">
        <f t="shared" si="21"/>
        <v>7179913.1073790789</v>
      </c>
      <c r="F238" s="112"/>
      <c r="G238" s="106">
        <f>(E238/E$235-1)*100</f>
        <v>-2.4975982161319688</v>
      </c>
      <c r="H238" s="49"/>
      <c r="I238" s="39"/>
      <c r="J238" s="20">
        <f t="shared" si="24"/>
        <v>43190</v>
      </c>
      <c r="K238" s="27">
        <f>'BOGIX (Gross)'!K238</f>
        <v>1.2925838628987631</v>
      </c>
      <c r="L238" s="46">
        <f t="shared" si="22"/>
        <v>4602191.6258495683</v>
      </c>
      <c r="M238" s="112"/>
      <c r="N238" s="106">
        <f>(L238/L$235-1)*100</f>
        <v>-7.5019687464361606E-2</v>
      </c>
      <c r="O238" s="39"/>
      <c r="P238" s="20">
        <f t="shared" si="25"/>
        <v>43190</v>
      </c>
      <c r="Q238" s="27">
        <f>'BOGIX (Gross)'!Q238</f>
        <v>2.0351520000000001</v>
      </c>
      <c r="R238" s="46">
        <f t="shared" si="23"/>
        <v>6565704.1875233902</v>
      </c>
      <c r="S238" s="112"/>
      <c r="T238" s="106">
        <f>(R238/R$235-1)*100</f>
        <v>0.54775840793015451</v>
      </c>
      <c r="U238" s="49"/>
      <c r="V238" s="39"/>
    </row>
    <row r="239" spans="1:24" x14ac:dyDescent="0.25">
      <c r="A239" s="21">
        <v>43220</v>
      </c>
      <c r="B239" s="24">
        <f t="shared" si="20"/>
        <v>223</v>
      </c>
      <c r="C239" s="96" t="s">
        <v>340</v>
      </c>
      <c r="D239" s="27">
        <v>0.55829229999999996</v>
      </c>
      <c r="E239" s="46">
        <f t="shared" si="21"/>
        <v>7219998.0094042672</v>
      </c>
      <c r="F239" s="112"/>
      <c r="H239" s="49"/>
      <c r="I239" s="39"/>
      <c r="J239" s="20">
        <f t="shared" si="24"/>
        <v>43220</v>
      </c>
      <c r="K239" s="27">
        <f>'BOGIX (Gross)'!K239</f>
        <v>0.86466776426594183</v>
      </c>
      <c r="L239" s="46">
        <f t="shared" si="22"/>
        <v>4641985.2932880362</v>
      </c>
      <c r="M239" s="112"/>
      <c r="O239" s="39"/>
      <c r="P239" s="20">
        <f t="shared" si="25"/>
        <v>43220</v>
      </c>
      <c r="Q239" s="27">
        <f>'BOGIX (Gross)'!Q239</f>
        <v>1.0309699999999999</v>
      </c>
      <c r="R239" s="46">
        <f t="shared" si="23"/>
        <v>6633394.6279854998</v>
      </c>
      <c r="U239" s="49"/>
      <c r="V239" s="39"/>
    </row>
    <row r="240" spans="1:24" x14ac:dyDescent="0.25">
      <c r="A240" s="21">
        <v>43251</v>
      </c>
      <c r="B240" s="24">
        <f t="shared" si="20"/>
        <v>224</v>
      </c>
      <c r="C240" s="96" t="s">
        <v>340</v>
      </c>
      <c r="D240" s="27">
        <v>7.7400390000000003</v>
      </c>
      <c r="E240" s="46">
        <f t="shared" si="21"/>
        <v>7778828.6711313808</v>
      </c>
      <c r="F240" s="112"/>
      <c r="H240" s="49"/>
      <c r="I240" s="39"/>
      <c r="J240" s="20">
        <f t="shared" si="24"/>
        <v>43251</v>
      </c>
      <c r="K240" s="27">
        <f>'BOGIX (Gross)'!K240</f>
        <v>6.0699700580171658</v>
      </c>
      <c r="L240" s="46">
        <f t="shared" si="22"/>
        <v>4923752.4106881805</v>
      </c>
      <c r="M240" s="112"/>
      <c r="O240" s="39"/>
      <c r="P240" s="20">
        <f t="shared" si="25"/>
        <v>43251</v>
      </c>
      <c r="Q240" s="27">
        <f>'BOGIX (Gross)'!Q240</f>
        <v>6.4594319999999996</v>
      </c>
      <c r="R240" s="46">
        <f t="shared" si="23"/>
        <v>7061874.2432718761</v>
      </c>
      <c r="S240" s="112"/>
      <c r="U240" s="49"/>
      <c r="V240" s="39"/>
    </row>
    <row r="241" spans="1:22" x14ac:dyDescent="0.25">
      <c r="A241" s="21">
        <v>43281</v>
      </c>
      <c r="B241" s="24">
        <f t="shared" si="20"/>
        <v>225</v>
      </c>
      <c r="C241" s="96" t="s">
        <v>340</v>
      </c>
      <c r="D241" s="27">
        <v>-0.54561990000000005</v>
      </c>
      <c r="E241" s="46">
        <f t="shared" si="21"/>
        <v>7736385.8339147829</v>
      </c>
      <c r="F241" s="112"/>
      <c r="G241" s="106">
        <f>(E241/E$238-1)*100</f>
        <v>7.7504103213142717</v>
      </c>
      <c r="H241" s="49"/>
      <c r="I241" s="39"/>
      <c r="J241" s="20">
        <f t="shared" si="24"/>
        <v>43281</v>
      </c>
      <c r="K241" s="27">
        <f>'BOGIX (Gross)'!K241</f>
        <v>0.71507127323460473</v>
      </c>
      <c r="L241" s="46">
        <f t="shared" si="22"/>
        <v>4958960.749742208</v>
      </c>
      <c r="M241" s="112"/>
      <c r="N241" s="106">
        <f>(L241/L$238-1)*100</f>
        <v>7.7521570785697103</v>
      </c>
      <c r="O241" s="39"/>
      <c r="P241" s="20">
        <f t="shared" si="25"/>
        <v>43281</v>
      </c>
      <c r="Q241" s="27">
        <f>'BOGIX (Gross)'!Q241</f>
        <v>1.130071</v>
      </c>
      <c r="R241" s="46">
        <f t="shared" si="23"/>
        <v>7141678.4361515613</v>
      </c>
      <c r="S241" s="112"/>
      <c r="T241" s="106">
        <f>(R241/R$238-1)*100</f>
        <v>8.7724672354669622</v>
      </c>
      <c r="U241" s="49"/>
      <c r="V241" s="39"/>
    </row>
    <row r="242" spans="1:22" x14ac:dyDescent="0.25">
      <c r="A242" s="21">
        <v>43312</v>
      </c>
      <c r="B242" s="24">
        <f t="shared" si="20"/>
        <v>226</v>
      </c>
      <c r="C242" s="96" t="s">
        <v>340</v>
      </c>
      <c r="D242" s="27">
        <v>0.4266992</v>
      </c>
      <c r="E242" s="46">
        <f t="shared" si="21"/>
        <v>7769396.9303770103</v>
      </c>
      <c r="F242" s="112"/>
      <c r="I242" s="39"/>
      <c r="J242" s="20">
        <f t="shared" si="24"/>
        <v>43312</v>
      </c>
      <c r="K242" s="27">
        <f>'BOGIX (Gross)'!K242</f>
        <v>1.7395888164145061</v>
      </c>
      <c r="L242" s="46">
        <f t="shared" si="22"/>
        <v>5045226.2763551082</v>
      </c>
      <c r="M242" s="112"/>
      <c r="O242" s="39"/>
      <c r="P242" s="20">
        <f t="shared" si="25"/>
        <v>43312</v>
      </c>
      <c r="Q242" s="27">
        <f>'BOGIX (Gross)'!Q242</f>
        <v>3.1579109999999999</v>
      </c>
      <c r="R242" s="46">
        <f t="shared" si="23"/>
        <v>7367206.2850714196</v>
      </c>
      <c r="S242" s="112"/>
      <c r="V242" s="39"/>
    </row>
    <row r="243" spans="1:22" x14ac:dyDescent="0.25">
      <c r="A243" s="21">
        <v>43343</v>
      </c>
      <c r="B243" s="24">
        <f t="shared" si="20"/>
        <v>227</v>
      </c>
      <c r="C243" s="96" t="s">
        <v>340</v>
      </c>
      <c r="D243" s="27">
        <v>6.6464340000000002</v>
      </c>
      <c r="E243" s="46">
        <f t="shared" si="21"/>
        <v>8285784.7695525438</v>
      </c>
      <c r="F243" s="112"/>
      <c r="I243" s="39"/>
      <c r="J243" s="20">
        <f t="shared" si="24"/>
        <v>43343</v>
      </c>
      <c r="K243" s="27">
        <f>'BOGIX (Gross)'!K243</f>
        <v>4.3072100000000004</v>
      </c>
      <c r="L243" s="46">
        <f t="shared" si="22"/>
        <v>5262534.7670529028</v>
      </c>
      <c r="M243" s="112"/>
      <c r="O243" s="39"/>
      <c r="P243" s="20">
        <f t="shared" si="25"/>
        <v>43343</v>
      </c>
      <c r="Q243" s="27">
        <f>'BOGIX (Gross)'!Q243</f>
        <v>4.8328620000000004</v>
      </c>
      <c r="R243" s="46">
        <f t="shared" si="23"/>
        <v>7723253.1980842482</v>
      </c>
      <c r="S243" s="112"/>
      <c r="V243" s="39"/>
    </row>
    <row r="244" spans="1:22" x14ac:dyDescent="0.25">
      <c r="A244" s="21">
        <v>43373</v>
      </c>
      <c r="B244" s="24">
        <f t="shared" si="20"/>
        <v>228</v>
      </c>
      <c r="C244" s="96" t="s">
        <v>340</v>
      </c>
      <c r="D244" s="27">
        <v>-0.71143999999999996</v>
      </c>
      <c r="E244" s="46">
        <f t="shared" si="21"/>
        <v>8226836.3823880395</v>
      </c>
      <c r="F244" s="112"/>
      <c r="G244" s="106">
        <f>(E244/E241-1)*100</f>
        <v>6.3395306154873765</v>
      </c>
      <c r="I244" s="39"/>
      <c r="J244" s="20">
        <f t="shared" si="24"/>
        <v>43373</v>
      </c>
      <c r="K244" s="27">
        <f>'BOGIX (Gross)'!K244</f>
        <v>-2.4049999999999998</v>
      </c>
      <c r="L244" s="46">
        <f t="shared" si="22"/>
        <v>5135970.8059052806</v>
      </c>
      <c r="M244" s="112"/>
      <c r="N244" s="106">
        <f>(L244/L$241-1)*100</f>
        <v>3.569499036109014</v>
      </c>
      <c r="O244" s="39"/>
      <c r="P244" s="20">
        <f t="shared" si="25"/>
        <v>43373</v>
      </c>
      <c r="Q244" s="27">
        <f>'BOGIX (Gross)'!Q244</f>
        <v>-3.174283</v>
      </c>
      <c r="R244" s="46">
        <f t="shared" si="23"/>
        <v>7478095.2847705036</v>
      </c>
      <c r="S244" s="112"/>
      <c r="T244" s="106">
        <f>(R244/R$241-1)*100</f>
        <v>4.710613221059945</v>
      </c>
      <c r="V244" s="39"/>
    </row>
    <row r="245" spans="1:22" x14ac:dyDescent="0.25">
      <c r="A245" s="21">
        <v>43404</v>
      </c>
      <c r="B245" s="24">
        <f t="shared" si="20"/>
        <v>229</v>
      </c>
      <c r="C245" s="96" t="s">
        <v>340</v>
      </c>
      <c r="D245" s="27">
        <v>-11.57925</v>
      </c>
      <c r="E245" s="46">
        <f t="shared" si="21"/>
        <v>7274230.430580372</v>
      </c>
      <c r="F245" s="112"/>
      <c r="I245" s="39"/>
      <c r="J245" s="20">
        <f t="shared" si="24"/>
        <v>43404</v>
      </c>
      <c r="K245" s="27">
        <f>'BOGIX (Gross)'!K245</f>
        <v>-10.861624881516924</v>
      </c>
      <c r="L245" s="46">
        <f t="shared" si="22"/>
        <v>4578120.9229436275</v>
      </c>
      <c r="M245" s="112"/>
      <c r="O245" s="39"/>
      <c r="P245" s="20">
        <f t="shared" si="25"/>
        <v>43404</v>
      </c>
      <c r="Q245" s="27">
        <f>'BOGIX (Gross)'!Q245</f>
        <v>-10.47911</v>
      </c>
      <c r="R245" s="46">
        <f t="shared" si="23"/>
        <v>6694457.4539745897</v>
      </c>
      <c r="S245" s="112"/>
      <c r="V245" s="39"/>
    </row>
    <row r="246" spans="1:22" x14ac:dyDescent="0.25">
      <c r="A246" s="21">
        <v>43434</v>
      </c>
      <c r="B246" s="24">
        <f t="shared" si="20"/>
        <v>230</v>
      </c>
      <c r="C246" s="96" t="s">
        <v>340</v>
      </c>
      <c r="D246" s="27">
        <v>-2.8525119999999999</v>
      </c>
      <c r="E246" s="46">
        <f t="shared" si="21"/>
        <v>7066732.1346404152</v>
      </c>
      <c r="F246" s="112"/>
      <c r="I246" s="39"/>
      <c r="J246" s="20">
        <f t="shared" si="24"/>
        <v>43434</v>
      </c>
      <c r="K246" s="27">
        <f>'BOGIX (Gross)'!K246</f>
        <v>1.5799600677700532</v>
      </c>
      <c r="L246" s="46">
        <f t="shared" si="22"/>
        <v>4650453.4053803626</v>
      </c>
      <c r="M246" s="112"/>
      <c r="O246" s="39"/>
      <c r="P246" s="20">
        <f t="shared" si="25"/>
        <v>43434</v>
      </c>
      <c r="Q246" s="27">
        <f>'BOGIX (Gross)'!Q246</f>
        <v>1.4983470000000001</v>
      </c>
      <c r="R246" s="46">
        <f t="shared" si="23"/>
        <v>6794763.6564024948</v>
      </c>
      <c r="S246" s="112"/>
      <c r="V246" s="39"/>
    </row>
    <row r="247" spans="1:22" x14ac:dyDescent="0.25">
      <c r="A247" s="21">
        <v>43465</v>
      </c>
      <c r="B247" s="24">
        <f t="shared" si="20"/>
        <v>231</v>
      </c>
      <c r="C247" s="96" t="s">
        <v>340</v>
      </c>
      <c r="D247" s="27">
        <v>-12.46834</v>
      </c>
      <c r="E247" s="46">
        <f t="shared" si="21"/>
        <v>6185627.9452041909</v>
      </c>
      <c r="F247" s="112">
        <f>(E247/E$235-1)*100</f>
        <v>-15.999877410914964</v>
      </c>
      <c r="G247" s="106">
        <f>(E247/E244-1)*100</f>
        <v>-24.811584214238845</v>
      </c>
      <c r="I247" s="39"/>
      <c r="J247" s="20">
        <f t="shared" si="24"/>
        <v>43465</v>
      </c>
      <c r="K247" s="27">
        <f>'BOGIX (Gross)'!K247</f>
        <v>-11.88434454640741</v>
      </c>
      <c r="L247" s="46">
        <f t="shared" si="22"/>
        <v>4097777.4997148239</v>
      </c>
      <c r="M247" s="112">
        <f>(L247/L$235-1)*100</f>
        <v>-11.02709985298217</v>
      </c>
      <c r="N247" s="106">
        <f>(L247/L$244-1)*100</f>
        <v>-20.214159025139978</v>
      </c>
      <c r="O247" s="39"/>
      <c r="P247" s="20">
        <f t="shared" si="25"/>
        <v>43465</v>
      </c>
      <c r="Q247" s="27">
        <f>'BOGIX (Gross)'!Q247</f>
        <v>-12.084770000000001</v>
      </c>
      <c r="R247" s="46">
        <f t="shared" si="23"/>
        <v>5973632.0964826625</v>
      </c>
      <c r="S247" s="112">
        <f>(R247/R$235-1)*100</f>
        <v>-8.5192844971046178</v>
      </c>
      <c r="T247" s="106">
        <f>(R247/R$244-1)*100</f>
        <v>-20.118267165594318</v>
      </c>
      <c r="V247" s="39"/>
    </row>
    <row r="248" spans="1:22" x14ac:dyDescent="0.25">
      <c r="A248" s="21">
        <v>43496</v>
      </c>
      <c r="B248" s="24">
        <f t="shared" si="20"/>
        <v>232</v>
      </c>
      <c r="C248" s="96" t="s">
        <v>340</v>
      </c>
      <c r="D248" s="27">
        <v>12.66433</v>
      </c>
      <c r="E248" s="46">
        <f t="shared" si="21"/>
        <v>6968996.2807570687</v>
      </c>
      <c r="I248" s="39"/>
      <c r="J248" s="20">
        <f t="shared" si="24"/>
        <v>43496</v>
      </c>
      <c r="K248" s="27">
        <f>'BOGIX (Gross)'!K248</f>
        <v>11.246632927110163</v>
      </c>
      <c r="L248" s="46">
        <f t="shared" si="22"/>
        <v>4558639.4932774631</v>
      </c>
      <c r="O248" s="39"/>
      <c r="P248" s="20">
        <f t="shared" si="25"/>
        <v>43496</v>
      </c>
      <c r="Q248" s="27">
        <f>'BOGIX (Gross)'!Q248</f>
        <v>10.63137</v>
      </c>
      <c r="R248" s="46">
        <f t="shared" si="23"/>
        <v>6608711.0270984918</v>
      </c>
      <c r="V248" s="39"/>
    </row>
    <row r="249" spans="1:22" x14ac:dyDescent="0.25">
      <c r="A249" s="21">
        <v>43524</v>
      </c>
      <c r="B249" s="24">
        <f t="shared" si="20"/>
        <v>233</v>
      </c>
      <c r="C249" s="96" t="s">
        <v>340</v>
      </c>
      <c r="D249" s="27">
        <v>4.1229100000000001</v>
      </c>
      <c r="E249" s="46">
        <f t="shared" si="21"/>
        <v>7256321.72531603</v>
      </c>
      <c r="I249" s="39"/>
      <c r="J249" s="20">
        <f t="shared" si="24"/>
        <v>43524</v>
      </c>
      <c r="K249" s="27">
        <f>'BOGIX (Gross)'!K249</f>
        <v>5.1894965863048865</v>
      </c>
      <c r="L249" s="46">
        <f t="shared" si="22"/>
        <v>4795209.9341630433</v>
      </c>
      <c r="M249" s="112"/>
      <c r="O249" s="39"/>
      <c r="P249" s="20">
        <f t="shared" si="25"/>
        <v>43524</v>
      </c>
      <c r="Q249" s="27">
        <f>'BOGIX (Gross)'!Q249</f>
        <v>4.3402789999999998</v>
      </c>
      <c r="R249" s="46">
        <f t="shared" si="23"/>
        <v>6895547.5239783321</v>
      </c>
      <c r="S249" s="112"/>
      <c r="V249" s="39"/>
    </row>
    <row r="250" spans="1:22" x14ac:dyDescent="0.25">
      <c r="A250" s="21">
        <v>43555</v>
      </c>
      <c r="B250" s="24">
        <f t="shared" si="20"/>
        <v>234</v>
      </c>
      <c r="C250" s="96" t="s">
        <v>340</v>
      </c>
      <c r="D250" s="27">
        <v>-1.9051180000000001</v>
      </c>
      <c r="E250" s="46">
        <f t="shared" si="21"/>
        <v>7118080.2339891233</v>
      </c>
      <c r="F250" s="112"/>
      <c r="G250" s="106">
        <f>(E250/E247-1)*100</f>
        <v>15.074496834357397</v>
      </c>
      <c r="I250" s="39"/>
      <c r="J250" s="20">
        <f t="shared" si="24"/>
        <v>43555</v>
      </c>
      <c r="K250" s="27">
        <f>'BOGIX (Gross)'!K250</f>
        <v>-2.0937400864579221</v>
      </c>
      <c r="L250" s="46">
        <f t="shared" si="22"/>
        <v>4694810.7015416594</v>
      </c>
      <c r="M250" s="112"/>
      <c r="N250" s="106">
        <f>(L250/L$247-1)*100</f>
        <v>14.569683245817643</v>
      </c>
      <c r="O250" s="39"/>
      <c r="P250" s="20">
        <f t="shared" si="25"/>
        <v>43555</v>
      </c>
      <c r="Q250" s="27">
        <f>'BOGIX (Gross)'!Q250</f>
        <v>-3.3310089999999999</v>
      </c>
      <c r="R250" s="46">
        <f t="shared" si="23"/>
        <v>6665856.2153553367</v>
      </c>
      <c r="S250" s="112"/>
      <c r="T250" s="106">
        <f>(R250/R$247-1)*100</f>
        <v>11.587993831763811</v>
      </c>
      <c r="V250" s="39"/>
    </row>
    <row r="251" spans="1:22" x14ac:dyDescent="0.25">
      <c r="A251" s="21">
        <v>43585</v>
      </c>
      <c r="B251" s="24">
        <f t="shared" si="20"/>
        <v>235</v>
      </c>
      <c r="C251" s="96" t="s">
        <v>340</v>
      </c>
      <c r="D251" s="27">
        <v>2.856055</v>
      </c>
      <c r="E251" s="46">
        <f t="shared" si="21"/>
        <v>7321376.5204159813</v>
      </c>
      <c r="F251" s="112"/>
      <c r="G251" s="106"/>
      <c r="I251" s="39"/>
      <c r="J251" s="20">
        <f t="shared" si="24"/>
        <v>43585</v>
      </c>
      <c r="K251" s="27">
        <f>'BOGIX (Gross)'!K251</f>
        <v>3.3970374167589599</v>
      </c>
      <c r="L251" s="46">
        <f t="shared" si="22"/>
        <v>4854295.1777190333</v>
      </c>
      <c r="M251" s="112"/>
      <c r="O251" s="39"/>
      <c r="P251" s="20">
        <f t="shared" si="25"/>
        <v>43585</v>
      </c>
      <c r="Q251" s="27">
        <f>'BOGIX (Gross)'!Q251</f>
        <v>3.8744360000000002</v>
      </c>
      <c r="R251" s="46">
        <f t="shared" si="23"/>
        <v>6924120.5482713012</v>
      </c>
      <c r="S251" s="112"/>
      <c r="V251" s="39"/>
    </row>
    <row r="252" spans="1:22" x14ac:dyDescent="0.25">
      <c r="A252" s="21">
        <v>43616</v>
      </c>
      <c r="B252" s="24">
        <f t="shared" si="20"/>
        <v>236</v>
      </c>
      <c r="C252" s="96" t="s">
        <v>340</v>
      </c>
      <c r="D252" s="27">
        <v>-8.4413180000000008</v>
      </c>
      <c r="E252" s="46">
        <f t="shared" si="21"/>
        <v>6703355.8463503337</v>
      </c>
      <c r="F252" s="112"/>
      <c r="G252" s="106"/>
      <c r="I252" s="39"/>
      <c r="J252" s="20">
        <f t="shared" si="24"/>
        <v>43616</v>
      </c>
      <c r="K252" s="27">
        <f>'BOGIX (Gross)'!K252</f>
        <v>-7.7772522689384598</v>
      </c>
      <c r="L252" s="46">
        <f t="shared" si="22"/>
        <v>4476764.3958689095</v>
      </c>
      <c r="M252" s="112"/>
      <c r="N252" s="106"/>
      <c r="O252" s="39"/>
      <c r="P252" s="20">
        <f t="shared" si="25"/>
        <v>43616</v>
      </c>
      <c r="Q252" s="27">
        <f>'BOGIX (Gross)'!Q252</f>
        <v>-8.7295400000000001</v>
      </c>
      <c r="R252" s="46">
        <f t="shared" si="23"/>
        <v>6319676.6753617385</v>
      </c>
      <c r="S252" s="112"/>
      <c r="T252" s="106"/>
      <c r="V252" s="39"/>
    </row>
    <row r="253" spans="1:22" x14ac:dyDescent="0.25">
      <c r="A253" s="21">
        <v>43646</v>
      </c>
      <c r="B253" s="24">
        <f t="shared" si="20"/>
        <v>237</v>
      </c>
      <c r="C253" s="96" t="s">
        <v>340</v>
      </c>
      <c r="D253" s="27">
        <v>7.5212289999999999</v>
      </c>
      <c r="E253" s="46">
        <f t="shared" si="21"/>
        <v>7207530.5902392305</v>
      </c>
      <c r="F253" s="112"/>
      <c r="G253" s="106">
        <f>(E253/E250-1)*100</f>
        <v>1.2566640626355818</v>
      </c>
      <c r="I253" s="39"/>
      <c r="J253" s="20">
        <f t="shared" si="24"/>
        <v>43646</v>
      </c>
      <c r="K253" s="27">
        <f>'BOGIX (Gross)'!K253</f>
        <v>7.0659142624330968</v>
      </c>
      <c r="L253" s="46">
        <f t="shared" si="22"/>
        <v>4793088.7298121378</v>
      </c>
      <c r="M253" s="112"/>
      <c r="N253" s="106">
        <f>(L253/L250-1)*100</f>
        <v>2.0933331398901078</v>
      </c>
      <c r="O253" s="39"/>
      <c r="P253" s="20">
        <f t="shared" si="25"/>
        <v>43646</v>
      </c>
      <c r="Q253" s="27">
        <f>'BOGIX (Gross)'!Q253</f>
        <v>7.4458159999999998</v>
      </c>
      <c r="R253" s="46">
        <f t="shared" si="23"/>
        <v>6790228.1724040909</v>
      </c>
      <c r="S253" s="112"/>
      <c r="T253" s="106">
        <f>(R253/R$250-1)*100</f>
        <v>1.8658061774907919</v>
      </c>
      <c r="V253" s="39"/>
    </row>
    <row r="254" spans="1:22" x14ac:dyDescent="0.25">
      <c r="A254" s="21">
        <v>43677</v>
      </c>
      <c r="B254" s="24">
        <f t="shared" si="20"/>
        <v>238</v>
      </c>
      <c r="C254" s="96" t="s">
        <v>340</v>
      </c>
      <c r="D254" s="27">
        <v>2.106055</v>
      </c>
      <c r="E254" s="46">
        <f t="shared" si="21"/>
        <v>7359325.1486114934</v>
      </c>
      <c r="F254" s="112"/>
      <c r="G254" s="106"/>
      <c r="I254" s="39"/>
      <c r="J254" s="20">
        <f t="shared" si="24"/>
        <v>43677</v>
      </c>
      <c r="K254" s="27">
        <f>'BOGIX (Gross)'!K254</f>
        <v>0.57276328251731323</v>
      </c>
      <c r="L254" s="46">
        <f t="shared" si="22"/>
        <v>4820541.7821549773</v>
      </c>
      <c r="M254" s="112"/>
      <c r="N254" s="106"/>
      <c r="O254" s="39"/>
      <c r="P254" s="20">
        <f t="shared" si="25"/>
        <v>43677</v>
      </c>
      <c r="Q254" s="27">
        <f>'BOGIX (Gross)'!Q254</f>
        <v>1.1375500000000001</v>
      </c>
      <c r="R254" s="46">
        <f t="shared" si="23"/>
        <v>6867470.4129792741</v>
      </c>
      <c r="S254" s="112"/>
      <c r="T254" s="106"/>
      <c r="V254" s="39"/>
    </row>
    <row r="255" spans="1:22" x14ac:dyDescent="0.25">
      <c r="A255" s="21">
        <v>43708</v>
      </c>
      <c r="B255" s="24">
        <f t="shared" si="20"/>
        <v>239</v>
      </c>
      <c r="C255" s="96" t="s">
        <v>340</v>
      </c>
      <c r="D255" s="27">
        <v>-5.4511969999999996</v>
      </c>
      <c r="E255" s="46">
        <f t="shared" si="21"/>
        <v>6958153.8368901378</v>
      </c>
      <c r="F255" s="112"/>
      <c r="I255" s="39"/>
      <c r="J255" s="20">
        <f t="shared" si="24"/>
        <v>43708</v>
      </c>
      <c r="K255" s="27">
        <f>'BOGIX (Gross)'!K255</f>
        <v>-4.9388228429049992</v>
      </c>
      <c r="L255" s="46">
        <f t="shared" si="22"/>
        <v>4582463.7634661272</v>
      </c>
      <c r="M255" s="112"/>
      <c r="O255" s="39"/>
      <c r="P255" s="20">
        <f t="shared" si="25"/>
        <v>43708</v>
      </c>
      <c r="Q255" s="27">
        <f>'BOGIX (Gross)'!Q255</f>
        <v>-4.5114580000000002</v>
      </c>
      <c r="R255" s="46">
        <f t="shared" si="23"/>
        <v>6557647.3696352877</v>
      </c>
      <c r="S255" s="112"/>
      <c r="V255" s="39"/>
    </row>
    <row r="256" spans="1:22" x14ac:dyDescent="0.25">
      <c r="A256" s="21">
        <v>43738</v>
      </c>
      <c r="B256" s="24">
        <f t="shared" si="20"/>
        <v>240</v>
      </c>
      <c r="C256" s="96" t="s">
        <v>340</v>
      </c>
      <c r="D256" s="27">
        <v>0.6622517</v>
      </c>
      <c r="E256" s="46">
        <f t="shared" si="21"/>
        <v>7004234.3289635582</v>
      </c>
      <c r="F256" s="112"/>
      <c r="G256" s="106">
        <f>(E256/E253-1)*100</f>
        <v>-2.8206090661756722</v>
      </c>
      <c r="I256" s="39"/>
      <c r="J256" s="20">
        <f t="shared" si="24"/>
        <v>43738</v>
      </c>
      <c r="K256" s="27">
        <f>'BOGIX (Gross)'!K256</f>
        <v>2.0805680904424926</v>
      </c>
      <c r="L256" s="46">
        <f t="shared" si="22"/>
        <v>4677805.0422848938</v>
      </c>
      <c r="M256" s="112"/>
      <c r="N256" s="106">
        <f>(L256/L253-1)*100</f>
        <v>-2.4052066219888757</v>
      </c>
      <c r="O256" s="39"/>
      <c r="P256" s="20">
        <f t="shared" si="25"/>
        <v>43738</v>
      </c>
      <c r="Q256" s="27">
        <f>'BOGIX (Gross)'!Q256</f>
        <v>3.3370989999999998</v>
      </c>
      <c r="R256" s="46">
        <f t="shared" si="23"/>
        <v>6776482.5544309132</v>
      </c>
      <c r="S256" s="112"/>
      <c r="T256" s="106">
        <f>(R256/R253-1)*100</f>
        <v>-0.20243234283408018</v>
      </c>
      <c r="V256" s="39"/>
    </row>
    <row r="257" spans="1:22" x14ac:dyDescent="0.25">
      <c r="A257" s="21">
        <v>43769</v>
      </c>
      <c r="B257" s="24">
        <f t="shared" si="20"/>
        <v>241</v>
      </c>
      <c r="C257" s="96" t="s">
        <v>340</v>
      </c>
      <c r="D257" s="27">
        <v>2.941176</v>
      </c>
      <c r="E257" s="46">
        <f t="shared" si="21"/>
        <v>7210241.1880307952</v>
      </c>
      <c r="F257" s="112"/>
      <c r="G257" s="106"/>
      <c r="I257" s="39"/>
      <c r="J257" s="20">
        <f t="shared" si="24"/>
        <v>43769</v>
      </c>
      <c r="K257" s="27">
        <f>'BOGIX (Gross)'!K257</f>
        <v>2.6336339999999998</v>
      </c>
      <c r="L257" s="46">
        <f t="shared" si="22"/>
        <v>4801001.3063322231</v>
      </c>
      <c r="M257" s="112"/>
      <c r="N257" s="106"/>
      <c r="O257" s="39"/>
      <c r="P257" s="20">
        <f t="shared" si="25"/>
        <v>43769</v>
      </c>
      <c r="Q257" s="27">
        <f>'BOGIX (Gross)'!Q257</f>
        <v>1.947581</v>
      </c>
      <c r="R257" s="46">
        <f t="shared" si="23"/>
        <v>6908460.0411293246</v>
      </c>
      <c r="S257" s="112"/>
      <c r="T257" s="106"/>
      <c r="V257" s="39"/>
    </row>
    <row r="258" spans="1:22" x14ac:dyDescent="0.25">
      <c r="A258" s="21">
        <v>43799</v>
      </c>
      <c r="B258" s="24">
        <f t="shared" si="20"/>
        <v>242</v>
      </c>
      <c r="C258" s="96" t="s">
        <v>340</v>
      </c>
      <c r="D258" s="27">
        <v>4.9248120000000002</v>
      </c>
      <c r="E258" s="46">
        <f t="shared" si="21"/>
        <v>7565332.0112878783</v>
      </c>
      <c r="F258" s="112"/>
      <c r="I258" s="39"/>
      <c r="J258" s="20">
        <f t="shared" si="24"/>
        <v>43799</v>
      </c>
      <c r="K258" s="27">
        <f>'BOGIX (Gross)'!K258</f>
        <v>4.1039970911143833</v>
      </c>
      <c r="L258" s="46">
        <f t="shared" si="22"/>
        <v>4998034.2602884611</v>
      </c>
      <c r="M258" s="112"/>
      <c r="N258" s="106"/>
      <c r="O258" s="39"/>
      <c r="P258" s="20">
        <f t="shared" si="25"/>
        <v>43799</v>
      </c>
      <c r="Q258" s="27">
        <f>'BOGIX (Gross)'!Q258</f>
        <v>3.0501209999999999</v>
      </c>
      <c r="R258" s="46">
        <f t="shared" si="23"/>
        <v>7119176.431620419</v>
      </c>
      <c r="S258" s="112"/>
      <c r="T258" s="106"/>
      <c r="V258" s="39"/>
    </row>
    <row r="259" spans="1:22" x14ac:dyDescent="0.25">
      <c r="A259" s="21">
        <v>43830</v>
      </c>
      <c r="B259" s="24">
        <f t="shared" si="20"/>
        <v>243</v>
      </c>
      <c r="C259" s="96" t="s">
        <v>340</v>
      </c>
      <c r="D259" s="27">
        <v>1.4255899999999999</v>
      </c>
      <c r="E259" s="46">
        <f t="shared" si="21"/>
        <v>7673182.6279075975</v>
      </c>
      <c r="F259" s="112">
        <f>(E259/E$247-1)*100</f>
        <v>24.048563797903967</v>
      </c>
      <c r="G259" s="106">
        <f>(E259/E256-1)*100</f>
        <v>9.5506270568053164</v>
      </c>
      <c r="I259" s="39"/>
      <c r="J259" s="20">
        <f t="shared" si="24"/>
        <v>43830</v>
      </c>
      <c r="K259" s="27">
        <f>'BOGIX (Gross)'!K259</f>
        <v>2.8824800000000002</v>
      </c>
      <c r="L259" s="46">
        <f t="shared" si="22"/>
        <v>5142101.5982344244</v>
      </c>
      <c r="M259" s="112">
        <f>(L259/L$247-1)*100</f>
        <v>25.48513428540906</v>
      </c>
      <c r="N259" s="106">
        <f>(L259/L256-1)*100</f>
        <v>9.925521729797083</v>
      </c>
      <c r="O259" s="39"/>
      <c r="P259" s="20">
        <f t="shared" si="25"/>
        <v>43830</v>
      </c>
      <c r="Q259" s="27">
        <f>'BOGIX (Gross)'!Q259</f>
        <v>2.9880439999999999</v>
      </c>
      <c r="R259" s="46">
        <f t="shared" si="23"/>
        <v>7331900.5558348671</v>
      </c>
      <c r="S259" s="112">
        <f>(R259/R$247-1)*100</f>
        <v>22.737732043323653</v>
      </c>
      <c r="T259" s="106">
        <f>(R259/R256-1)*100</f>
        <v>8.1962581168424151</v>
      </c>
      <c r="V259" s="39"/>
    </row>
    <row r="260" spans="1:22" x14ac:dyDescent="0.25">
      <c r="A260" s="21">
        <v>43861</v>
      </c>
      <c r="B260" s="24">
        <f t="shared" si="20"/>
        <v>244</v>
      </c>
      <c r="C260" s="96" t="s">
        <v>340</v>
      </c>
      <c r="D260" s="27">
        <v>-4.1105600000000004</v>
      </c>
      <c r="E260" s="46">
        <f t="shared" si="21"/>
        <v>7357771.852077879</v>
      </c>
      <c r="I260" s="39"/>
      <c r="J260" s="20">
        <f t="shared" si="24"/>
        <v>43861</v>
      </c>
      <c r="K260" s="27">
        <f>'BOGIX (Gross)'!K260</f>
        <v>-3.2096710000000002</v>
      </c>
      <c r="L260" s="46">
        <f t="shared" si="22"/>
        <v>4977057.054445358</v>
      </c>
      <c r="M260" s="112"/>
      <c r="N260" s="106"/>
      <c r="O260" s="39"/>
      <c r="P260" s="20">
        <f t="shared" si="25"/>
        <v>43861</v>
      </c>
      <c r="Q260" s="27">
        <f>'BOGIX (Gross)'!Q260</f>
        <v>-3.9778980000000002</v>
      </c>
      <c r="R260" s="46">
        <f t="shared" si="23"/>
        <v>7040245.0302623231</v>
      </c>
      <c r="S260" s="112"/>
      <c r="T260" s="106"/>
      <c r="V260" s="39"/>
    </row>
    <row r="261" spans="1:22" x14ac:dyDescent="0.25">
      <c r="A261" s="21">
        <v>43890</v>
      </c>
      <c r="B261" s="24">
        <f t="shared" si="20"/>
        <v>245</v>
      </c>
      <c r="C261" s="96" t="s">
        <v>340</v>
      </c>
      <c r="D261" s="27">
        <v>-6.4671099999999999</v>
      </c>
      <c r="E261" s="46">
        <f t="shared" si="21"/>
        <v>6881936.6528549651</v>
      </c>
      <c r="I261" s="39"/>
      <c r="J261" s="20">
        <f t="shared" si="24"/>
        <v>43890</v>
      </c>
      <c r="K261" s="27">
        <f>'BOGIX (Gross)'!K261</f>
        <v>-8.4235100000000003</v>
      </c>
      <c r="L261" s="46">
        <f t="shared" si="22"/>
        <v>4557814.1557584479</v>
      </c>
      <c r="M261" s="112"/>
      <c r="O261" s="39"/>
      <c r="P261" s="20">
        <f t="shared" si="25"/>
        <v>43890</v>
      </c>
      <c r="Q261" s="27">
        <f>'BOGIX (Gross)'!Q261</f>
        <v>-9.6112540000000006</v>
      </c>
      <c r="R261" s="46">
        <f t="shared" si="23"/>
        <v>6363589.1981814345</v>
      </c>
      <c r="S261" s="112"/>
      <c r="V261" s="39">
        <v>3</v>
      </c>
    </row>
    <row r="262" spans="1:22" x14ac:dyDescent="0.25">
      <c r="A262" s="21">
        <v>43921</v>
      </c>
      <c r="B262" s="24">
        <f t="shared" si="20"/>
        <v>246</v>
      </c>
      <c r="C262" s="96" t="s">
        <v>340</v>
      </c>
      <c r="D262" s="27">
        <v>-22.79731</v>
      </c>
      <c r="E262" s="46">
        <f t="shared" si="21"/>
        <v>5313040.2200999949</v>
      </c>
      <c r="F262" s="112"/>
      <c r="G262" s="106">
        <f>(E262/E259-1)*100</f>
        <v>-30.758324443154695</v>
      </c>
      <c r="I262" s="39"/>
      <c r="J262" s="20">
        <f t="shared" si="24"/>
        <v>43921</v>
      </c>
      <c r="K262" s="27">
        <f>'BOGIX (Gross)'!K262</f>
        <v>-21.728459999999998</v>
      </c>
      <c r="L262" s="46">
        <f t="shared" si="22"/>
        <v>3567471.330050136</v>
      </c>
      <c r="M262" s="112"/>
      <c r="N262" s="106">
        <f>(L262/L259-1)*100</f>
        <v>-30.622309538281943</v>
      </c>
      <c r="O262" s="39"/>
      <c r="P262" s="20">
        <f t="shared" si="25"/>
        <v>43921</v>
      </c>
      <c r="Q262" s="27">
        <f>'BOGIX (Gross)'!Q262</f>
        <v>-22.396529999999998</v>
      </c>
      <c r="R262" s="46">
        <f t="shared" si="23"/>
        <v>4938366.0343339704</v>
      </c>
      <c r="S262" s="112"/>
      <c r="T262" s="106">
        <f>(R262/R259-1)*100</f>
        <v>-32.645485345488979</v>
      </c>
      <c r="V262" s="39">
        <v>3</v>
      </c>
    </row>
    <row r="263" spans="1:22" x14ac:dyDescent="0.25">
      <c r="A263" s="21">
        <v>43951</v>
      </c>
      <c r="B263" s="24">
        <f t="shared" si="20"/>
        <v>247</v>
      </c>
      <c r="C263" s="96" t="s">
        <v>340</v>
      </c>
      <c r="D263" s="27">
        <v>14.32958</v>
      </c>
      <c r="E263" s="46">
        <f t="shared" si="21"/>
        <v>6074376.5688713994</v>
      </c>
      <c r="I263" s="39"/>
      <c r="J263" s="20">
        <f t="shared" si="24"/>
        <v>43951</v>
      </c>
      <c r="K263" s="27">
        <f>'BOGIX (Gross)'!K263</f>
        <v>13.736280000000001</v>
      </c>
      <c r="L263" s="46">
        <f t="shared" si="22"/>
        <v>4057509.1808655467</v>
      </c>
      <c r="M263" s="112"/>
      <c r="N263" s="106"/>
      <c r="O263" s="39"/>
      <c r="P263" s="20">
        <f t="shared" si="25"/>
        <v>43951</v>
      </c>
      <c r="Q263" s="27">
        <f>'BOGIX (Gross)'!Q263</f>
        <v>12.6998</v>
      </c>
      <c r="R263" s="46">
        <f t="shared" si="23"/>
        <v>5565528.6439623162</v>
      </c>
      <c r="S263" s="112"/>
      <c r="T263" s="106"/>
      <c r="V263" s="39">
        <v>3</v>
      </c>
    </row>
    <row r="264" spans="1:22" x14ac:dyDescent="0.25">
      <c r="A264" s="21">
        <v>43982</v>
      </c>
      <c r="B264" s="24">
        <f t="shared" si="20"/>
        <v>248</v>
      </c>
      <c r="C264" s="96" t="s">
        <v>340</v>
      </c>
      <c r="D264" s="27">
        <v>7.9230080000000003</v>
      </c>
      <c r="E264" s="46">
        <f t="shared" si="21"/>
        <v>6555649.9103732063</v>
      </c>
      <c r="I264" s="39"/>
      <c r="J264" s="20">
        <f t="shared" si="24"/>
        <v>43982</v>
      </c>
      <c r="K264" s="27">
        <f>'BOGIX (Gross)'!K264</f>
        <v>6.507466</v>
      </c>
      <c r="L264" s="46">
        <f t="shared" si="22"/>
        <v>4321550.211257251</v>
      </c>
      <c r="M264" s="112"/>
      <c r="N264" s="106"/>
      <c r="O264" s="39"/>
      <c r="P264" s="20">
        <f t="shared" si="25"/>
        <v>43982</v>
      </c>
      <c r="Q264" s="27">
        <f>'BOGIX (Gross)'!Q264</f>
        <v>4.3077259999999997</v>
      </c>
      <c r="R264" s="46">
        <f t="shared" si="23"/>
        <v>5805276.3683957281</v>
      </c>
      <c r="S264" s="112"/>
      <c r="T264" s="106"/>
      <c r="V264" s="39">
        <v>3</v>
      </c>
    </row>
    <row r="265" spans="1:22" x14ac:dyDescent="0.25">
      <c r="A265" s="21">
        <v>44012</v>
      </c>
      <c r="B265" s="24">
        <f t="shared" si="20"/>
        <v>249</v>
      </c>
      <c r="C265" s="96" t="s">
        <v>340</v>
      </c>
      <c r="D265" s="27">
        <v>4.8527579999999997</v>
      </c>
      <c r="E265" s="46">
        <f t="shared" si="21"/>
        <v>6873779.7358508352</v>
      </c>
      <c r="F265" s="112"/>
      <c r="G265" s="106">
        <f>(E265/E262-1)*100</f>
        <v>29.375639014482481</v>
      </c>
      <c r="I265" s="39"/>
      <c r="J265" s="20">
        <f t="shared" si="24"/>
        <v>44012</v>
      </c>
      <c r="K265" s="27">
        <f>'BOGIX (Gross)'!K265</f>
        <v>3.5346199999999999</v>
      </c>
      <c r="L265" s="46">
        <f t="shared" si="22"/>
        <v>4474300.589334392</v>
      </c>
      <c r="M265" s="112"/>
      <c r="N265" s="106">
        <f>(L265/L262-1)*100</f>
        <v>25.419384639357755</v>
      </c>
      <c r="O265" s="39"/>
      <c r="P265" s="20">
        <f t="shared" si="25"/>
        <v>44012</v>
      </c>
      <c r="Q265" s="27">
        <f>'BOGIX (Gross)'!Q265</f>
        <v>3.7340610000000001</v>
      </c>
      <c r="R265" s="46">
        <f t="shared" si="23"/>
        <v>6022048.9292102093</v>
      </c>
      <c r="S265" s="112"/>
      <c r="T265" s="106">
        <f>(R265/R262-1)*100</f>
        <v>21.944159006074848</v>
      </c>
      <c r="V265" s="39">
        <v>3</v>
      </c>
    </row>
    <row r="266" spans="1:22" x14ac:dyDescent="0.25">
      <c r="A266" s="21">
        <v>44043</v>
      </c>
      <c r="B266" s="24">
        <f t="shared" si="20"/>
        <v>250</v>
      </c>
      <c r="C266" s="96" t="s">
        <v>340</v>
      </c>
      <c r="D266" s="27">
        <v>7.8322779999999996</v>
      </c>
      <c r="E266" s="46">
        <f t="shared" si="21"/>
        <v>7412153.2738703378</v>
      </c>
      <c r="F266" s="112"/>
      <c r="I266" s="39"/>
      <c r="J266" s="20">
        <f t="shared" si="24"/>
        <v>44043</v>
      </c>
      <c r="K266" s="27">
        <f>'BOGIX (Gross)'!K266</f>
        <v>2.7678639999999999</v>
      </c>
      <c r="L266" s="46">
        <f t="shared" si="22"/>
        <v>4598143.1445983667</v>
      </c>
      <c r="M266" s="112"/>
      <c r="O266" s="39"/>
      <c r="P266" s="20">
        <f t="shared" si="25"/>
        <v>44043</v>
      </c>
      <c r="Q266" s="27">
        <f>'BOGIX (Gross)'!Q266</f>
        <v>4.1085960000000004</v>
      </c>
      <c r="R266" s="46">
        <f t="shared" si="23"/>
        <v>6269470.5906337826</v>
      </c>
      <c r="S266" s="112"/>
      <c r="V266" s="39">
        <v>3</v>
      </c>
    </row>
    <row r="267" spans="1:22" x14ac:dyDescent="0.25">
      <c r="A267" s="21">
        <v>44074</v>
      </c>
      <c r="B267" s="24">
        <f t="shared" si="20"/>
        <v>251</v>
      </c>
      <c r="C267" s="96" t="s">
        <v>340</v>
      </c>
      <c r="D267" s="27">
        <v>3.3015409999999998</v>
      </c>
      <c r="E267" s="46">
        <f t="shared" si="21"/>
        <v>7656868.5531900097</v>
      </c>
      <c r="F267" s="112"/>
      <c r="I267" s="39"/>
      <c r="J267" s="20">
        <f t="shared" si="24"/>
        <v>44074</v>
      </c>
      <c r="K267" s="27">
        <f>'BOGIX (Gross)'!K267</f>
        <v>5.6343430000000003</v>
      </c>
      <c r="L267" s="46">
        <f t="shared" si="22"/>
        <v>4857218.3009960251</v>
      </c>
      <c r="M267" s="112"/>
      <c r="O267" s="39"/>
      <c r="P267" s="20">
        <f t="shared" si="25"/>
        <v>44074</v>
      </c>
      <c r="Q267" s="27">
        <f>'BOGIX (Gross)'!Q267</f>
        <v>3.9882879999999998</v>
      </c>
      <c r="R267" s="46">
        <f t="shared" si="23"/>
        <v>6519515.133863559</v>
      </c>
      <c r="S267" s="112"/>
      <c r="V267" s="39">
        <v>3</v>
      </c>
    </row>
    <row r="268" spans="1:22" x14ac:dyDescent="0.25">
      <c r="A268" s="21">
        <v>44104</v>
      </c>
      <c r="B268" s="24">
        <f t="shared" si="20"/>
        <v>252</v>
      </c>
      <c r="C268" s="96" t="s">
        <v>340</v>
      </c>
      <c r="D268" s="27">
        <v>-2.8053979999999998</v>
      </c>
      <c r="E268" s="46">
        <f t="shared" si="21"/>
        <v>7442062.9159361878</v>
      </c>
      <c r="F268" s="112"/>
      <c r="G268" s="106">
        <f>(E268/E265-1)*100</f>
        <v>8.2674045710458</v>
      </c>
      <c r="I268" s="39"/>
      <c r="J268" s="20">
        <f t="shared" si="24"/>
        <v>44104</v>
      </c>
      <c r="K268" s="27">
        <f>'BOGIX (Gross)'!K268</f>
        <v>-3.3404400000000001</v>
      </c>
      <c r="L268" s="46">
        <f t="shared" si="22"/>
        <v>4694965.8379822336</v>
      </c>
      <c r="M268" s="112"/>
      <c r="N268" s="106">
        <f>(L268/L265-1)*100</f>
        <v>4.9318378200573276</v>
      </c>
      <c r="O268" s="39"/>
      <c r="P268" s="20">
        <f t="shared" si="25"/>
        <v>44104</v>
      </c>
      <c r="Q268" s="27">
        <f>'BOGIX (Gross)'!Q268</f>
        <v>-4.7034339999999997</v>
      </c>
      <c r="R268" s="46">
        <f t="shared" si="23"/>
        <v>6212874.0424222751</v>
      </c>
      <c r="S268" s="112"/>
      <c r="T268" s="106">
        <f>(R268/R265-1)*100</f>
        <v>3.1687738750587169</v>
      </c>
      <c r="V268" s="39">
        <v>3</v>
      </c>
    </row>
    <row r="269" spans="1:22" x14ac:dyDescent="0.25">
      <c r="A269" s="21">
        <v>44135</v>
      </c>
      <c r="B269" s="24">
        <f t="shared" si="20"/>
        <v>253</v>
      </c>
      <c r="C269" s="96" t="s">
        <v>340</v>
      </c>
      <c r="D269" s="27">
        <v>1.863354</v>
      </c>
      <c r="E269" s="46">
        <f t="shared" si="21"/>
        <v>7580734.8929628013</v>
      </c>
      <c r="I269" s="39"/>
      <c r="J269" s="20">
        <f t="shared" si="24"/>
        <v>44135</v>
      </c>
      <c r="K269" s="27">
        <f>'BOGIX (Gross)'!K269</f>
        <v>2.0943360000000002</v>
      </c>
      <c r="L269" s="46">
        <f t="shared" si="22"/>
        <v>4793294.1977147972</v>
      </c>
      <c r="M269" s="112"/>
      <c r="O269" s="39"/>
      <c r="P269" s="20">
        <f t="shared" si="25"/>
        <v>44135</v>
      </c>
      <c r="Q269" s="27">
        <f>'BOGIX (Gross)'!Q269</f>
        <v>2.5713189999999999</v>
      </c>
      <c r="R269" s="46">
        <f t="shared" si="23"/>
        <v>6372626.8531211475</v>
      </c>
      <c r="S269" s="112"/>
      <c r="V269" s="39">
        <v>3</v>
      </c>
    </row>
    <row r="270" spans="1:22" x14ac:dyDescent="0.25">
      <c r="A270" s="21">
        <v>44165</v>
      </c>
      <c r="B270" s="24">
        <f t="shared" si="20"/>
        <v>254</v>
      </c>
      <c r="C270" s="96" t="s">
        <v>340</v>
      </c>
      <c r="D270" s="27">
        <v>14.74175</v>
      </c>
      <c r="E270" s="46">
        <f t="shared" si="21"/>
        <v>8698267.8790461458</v>
      </c>
      <c r="I270" s="39"/>
      <c r="J270" s="20">
        <f t="shared" si="24"/>
        <v>44165</v>
      </c>
      <c r="K270" s="27">
        <f>'BOGIX (Gross)'!K270</f>
        <v>18.421068002624729</v>
      </c>
      <c r="L270" s="46">
        <f t="shared" si="22"/>
        <v>5676270.1814417057</v>
      </c>
      <c r="M270" s="112"/>
      <c r="O270" s="39"/>
      <c r="P270" s="20">
        <f t="shared" si="25"/>
        <v>44165</v>
      </c>
      <c r="Q270" s="27">
        <f>'BOGIX (Gross)'!Q270</f>
        <v>18.159469999999999</v>
      </c>
      <c r="R270" s="46">
        <f t="shared" si="23"/>
        <v>7529862.1147256261</v>
      </c>
      <c r="S270" s="112"/>
      <c r="V270" s="39">
        <v>3</v>
      </c>
    </row>
    <row r="271" spans="1:22" x14ac:dyDescent="0.25">
      <c r="A271" s="21">
        <v>44196</v>
      </c>
      <c r="B271" s="24">
        <f t="shared" si="20"/>
        <v>255</v>
      </c>
      <c r="C271" s="96" t="s">
        <v>340</v>
      </c>
      <c r="D271" s="27">
        <v>7.2342409999999999</v>
      </c>
      <c r="E271" s="46">
        <f t="shared" si="21"/>
        <v>9327521.5402419325</v>
      </c>
      <c r="F271" s="112">
        <f>(E271/E$259-1)*100</f>
        <v>21.560009614751706</v>
      </c>
      <c r="G271" s="106">
        <f>(E271/E268-1)*100</f>
        <v>25.335161038054199</v>
      </c>
      <c r="I271" s="39"/>
      <c r="J271" s="20">
        <f t="shared" si="24"/>
        <v>44196</v>
      </c>
      <c r="K271" s="27">
        <f>'BOGIX (Gross)'!K271</f>
        <v>8.6478210000000004</v>
      </c>
      <c r="L271" s="46">
        <f t="shared" si="22"/>
        <v>6167143.8662091596</v>
      </c>
      <c r="M271" s="112">
        <f>(L271/L$259-1)*100</f>
        <v>19.934306010730918</v>
      </c>
      <c r="N271" s="106">
        <f>(L271/L268-1)*100</f>
        <v>31.356522688983546</v>
      </c>
      <c r="O271" s="39"/>
      <c r="P271" s="20">
        <f t="shared" si="25"/>
        <v>44196</v>
      </c>
      <c r="Q271" s="27">
        <f>'BOGIX (Gross)'!Q271</f>
        <v>8.3141119999999997</v>
      </c>
      <c r="R271" s="46">
        <f t="shared" si="23"/>
        <v>8155903.2843894828</v>
      </c>
      <c r="S271" s="112">
        <f>(R271/R$259-1)*100</f>
        <v>11.238596626884934</v>
      </c>
      <c r="T271" s="106">
        <f>(R271/R268-1)*100</f>
        <v>31.274241658529746</v>
      </c>
      <c r="V271" s="39">
        <v>3</v>
      </c>
    </row>
    <row r="272" spans="1:22" x14ac:dyDescent="0.25">
      <c r="A272" s="21">
        <v>44227</v>
      </c>
      <c r="B272" s="24">
        <f t="shared" si="20"/>
        <v>256</v>
      </c>
      <c r="C272" s="96" t="s">
        <v>340</v>
      </c>
      <c r="D272" s="27">
        <v>6.789555</v>
      </c>
      <c r="E272" s="46">
        <f t="shared" si="21"/>
        <v>9960818.745353505</v>
      </c>
      <c r="I272" s="39"/>
      <c r="J272" s="20">
        <f t="shared" si="24"/>
        <v>44227</v>
      </c>
      <c r="K272" s="27">
        <f>'BOGIX (Gross)'!K272</f>
        <v>5.0320150000000003</v>
      </c>
      <c r="L272" s="46">
        <f t="shared" si="22"/>
        <v>6477475.4706283845</v>
      </c>
      <c r="O272" s="39"/>
      <c r="P272" s="20">
        <f t="shared" si="25"/>
        <v>44227</v>
      </c>
      <c r="Q272" s="27">
        <f>'BOGIX (Gross)'!Q272</f>
        <v>6.2879319999999996</v>
      </c>
      <c r="R272" s="46">
        <f t="shared" si="23"/>
        <v>8668740.9368976597</v>
      </c>
      <c r="V272" s="39">
        <v>4</v>
      </c>
    </row>
    <row r="273" spans="1:22" x14ac:dyDescent="0.25">
      <c r="A273" s="21">
        <v>44255</v>
      </c>
      <c r="B273" s="24">
        <f t="shared" si="20"/>
        <v>257</v>
      </c>
      <c r="C273" s="96" t="s">
        <v>340</v>
      </c>
      <c r="D273" s="27">
        <v>5.9838899999999997</v>
      </c>
      <c r="E273" s="46">
        <f t="shared" si="21"/>
        <v>10556863.182174839</v>
      </c>
      <c r="I273" s="39"/>
      <c r="J273" s="20">
        <f t="shared" si="24"/>
        <v>44255</v>
      </c>
      <c r="K273" s="27">
        <f>'BOGIX (Gross)'!K273</f>
        <v>6.2316390000000004</v>
      </c>
      <c r="L273" s="46">
        <f t="shared" si="22"/>
        <v>6881128.3582714964</v>
      </c>
      <c r="M273" s="112"/>
      <c r="O273" s="39"/>
      <c r="P273" s="20">
        <f t="shared" si="25"/>
        <v>44255</v>
      </c>
      <c r="Q273" s="27">
        <f>'BOGIX (Gross)'!Q273</f>
        <v>7.6497479999999998</v>
      </c>
      <c r="R273" s="46">
        <f t="shared" si="23"/>
        <v>9331877.7733431701</v>
      </c>
      <c r="S273" s="112"/>
      <c r="V273" s="39">
        <v>4</v>
      </c>
    </row>
    <row r="274" spans="1:22" x14ac:dyDescent="0.25">
      <c r="A274" s="21">
        <v>44286</v>
      </c>
      <c r="B274" s="24">
        <f t="shared" ref="B274:B337" si="27">IF(A274&gt;A273,1+B273,"-")</f>
        <v>258</v>
      </c>
      <c r="C274" s="96" t="s">
        <v>340</v>
      </c>
      <c r="D274" s="27">
        <v>2.1444079999999999</v>
      </c>
      <c r="E274" s="46">
        <f t="shared" ref="E274:E277" si="28">E273*D274/100+E273</f>
        <v>10783245.40080245</v>
      </c>
      <c r="F274" s="112"/>
      <c r="G274" s="106">
        <f>(E274/E271-1)*100</f>
        <v>15.606759569303129</v>
      </c>
      <c r="I274" s="39"/>
      <c r="J274" s="20">
        <f t="shared" si="24"/>
        <v>44286</v>
      </c>
      <c r="K274" s="27">
        <f>'BOGIX (Gross)'!K274</f>
        <v>1.0008870000000001</v>
      </c>
      <c r="L274" s="46">
        <f t="shared" ref="L274:L275" si="29">L273*K274/100+L273</f>
        <v>6950000.6774627492</v>
      </c>
      <c r="M274" s="112"/>
      <c r="N274" s="106">
        <f>(L274/L271-1)*100</f>
        <v>12.693993009357163</v>
      </c>
      <c r="O274" s="39"/>
      <c r="P274" s="20">
        <f t="shared" si="25"/>
        <v>44286</v>
      </c>
      <c r="Q274" s="27">
        <f>'BOGIX (Gross)'!Q274</f>
        <v>3.3309000000000002</v>
      </c>
      <c r="R274" s="46">
        <f t="shared" ref="R274:R277" si="30">R273*Q274/100+R273</f>
        <v>9642713.2900954578</v>
      </c>
      <c r="S274" s="112"/>
      <c r="T274" s="106">
        <f>(R274/R271-1)*100</f>
        <v>18.229863129345226</v>
      </c>
      <c r="V274" s="39">
        <v>5</v>
      </c>
    </row>
    <row r="275" spans="1:22" x14ac:dyDescent="0.25">
      <c r="A275" s="21">
        <v>44316</v>
      </c>
      <c r="B275" s="24">
        <f t="shared" si="27"/>
        <v>259</v>
      </c>
      <c r="C275" s="96" t="s">
        <v>340</v>
      </c>
      <c r="D275" s="27">
        <v>2.444858</v>
      </c>
      <c r="E275" s="46">
        <f t="shared" si="28"/>
        <v>11046880.438643601</v>
      </c>
      <c r="F275" s="112"/>
      <c r="I275" s="39"/>
      <c r="J275" s="20">
        <f t="shared" si="24"/>
        <v>44316</v>
      </c>
      <c r="K275" s="27">
        <f>'BOGIX (Gross)'!K275</f>
        <v>2.0999029999999999</v>
      </c>
      <c r="L275" s="46">
        <f t="shared" si="29"/>
        <v>7095943.95018881</v>
      </c>
      <c r="M275" s="112"/>
      <c r="O275" s="39"/>
      <c r="P275" s="20">
        <f t="shared" si="25"/>
        <v>44316</v>
      </c>
      <c r="Q275" s="27">
        <f>'BOGIX (Gross)'!Q275</f>
        <v>2.0377260000000001</v>
      </c>
      <c r="R275" s="46">
        <f t="shared" si="30"/>
        <v>9839205.3659131881</v>
      </c>
      <c r="S275" s="112"/>
      <c r="V275" s="39">
        <v>6</v>
      </c>
    </row>
    <row r="276" spans="1:22" x14ac:dyDescent="0.25">
      <c r="A276" s="21">
        <v>44347</v>
      </c>
      <c r="B276" s="24">
        <f t="shared" si="27"/>
        <v>260</v>
      </c>
      <c r="C276" s="96" t="s">
        <v>340</v>
      </c>
      <c r="D276" s="27">
        <v>1.5304800000000001</v>
      </c>
      <c r="E276" s="46">
        <f t="shared" si="28"/>
        <v>11215950.734380953</v>
      </c>
      <c r="F276" s="112"/>
      <c r="I276" s="39"/>
      <c r="J276" s="20">
        <f t="shared" si="24"/>
        <v>44347</v>
      </c>
      <c r="K276" s="27">
        <f>'BOGIX (Gross)'!K276</f>
        <v>0.2059976</v>
      </c>
      <c r="L276" s="46">
        <f t="shared" ref="L276" si="31">L275*K276/100+L275</f>
        <v>7110561.4244235437</v>
      </c>
      <c r="M276" s="112"/>
      <c r="O276" s="39"/>
      <c r="P276" s="20">
        <f t="shared" si="25"/>
        <v>44347</v>
      </c>
      <c r="Q276" s="27">
        <f>'BOGIX (Gross)'!Q276</f>
        <v>2.0718920000000001</v>
      </c>
      <c r="R276" s="46">
        <f t="shared" si="30"/>
        <v>10043063.074753115</v>
      </c>
      <c r="S276" s="112"/>
      <c r="V276" s="39">
        <v>6</v>
      </c>
    </row>
    <row r="277" spans="1:22" x14ac:dyDescent="0.25">
      <c r="A277" s="21">
        <v>44377</v>
      </c>
      <c r="B277" s="24">
        <f t="shared" si="27"/>
        <v>261</v>
      </c>
      <c r="C277" s="96" t="s">
        <v>340</v>
      </c>
      <c r="D277" s="27">
        <v>1.0730710000000001</v>
      </c>
      <c r="E277" s="46">
        <f t="shared" si="28"/>
        <v>11336305.849085882</v>
      </c>
      <c r="F277" s="112"/>
      <c r="G277" s="106">
        <f>(E277/E274-1)*100</f>
        <v>5.1288867843281682</v>
      </c>
      <c r="I277" s="39"/>
      <c r="J277" s="20">
        <f t="shared" si="24"/>
        <v>44377</v>
      </c>
      <c r="K277" s="27">
        <f>'BOGIX (Gross)'!K277</f>
        <v>1.937303</v>
      </c>
      <c r="L277" s="46">
        <f t="shared" ref="L277" si="32">L276*K277/100+L276</f>
        <v>7248314.5442157434</v>
      </c>
      <c r="M277" s="112"/>
      <c r="N277" s="106">
        <f>(L277/L274-1)*100</f>
        <v>4.2922854341634453</v>
      </c>
      <c r="O277" s="39"/>
      <c r="P277" s="20">
        <f t="shared" si="25"/>
        <v>44377</v>
      </c>
      <c r="Q277" s="27">
        <f>'BOGIX (Gross)'!Q277</f>
        <v>0.33467239999999998</v>
      </c>
      <c r="R277" s="46">
        <f t="shared" si="30"/>
        <v>10076674.434978904</v>
      </c>
      <c r="T277" s="106">
        <f>(R277/R274-1)*100</f>
        <v>4.5004049361209386</v>
      </c>
      <c r="V277" s="39">
        <v>6</v>
      </c>
    </row>
    <row r="278" spans="1:22" x14ac:dyDescent="0.25">
      <c r="A278" s="21">
        <v>44408</v>
      </c>
      <c r="B278" s="24">
        <f t="shared" ref="B278:B280" si="33">IF(A278&gt;A277,1+B277,"-")</f>
        <v>262</v>
      </c>
      <c r="C278" s="96" t="s">
        <v>340</v>
      </c>
      <c r="D278" s="27">
        <v>-1.9716885743174952</v>
      </c>
      <c r="E278" s="46">
        <f t="shared" ref="E278" si="34">E277*D278/100+E277</f>
        <v>11112789.201909769</v>
      </c>
      <c r="F278" s="112"/>
      <c r="I278" s="39"/>
      <c r="J278" s="20">
        <f t="shared" si="24"/>
        <v>44408</v>
      </c>
      <c r="K278" s="27">
        <f>'BOGIX (Gross)'!K278</f>
        <v>-3.6109</v>
      </c>
      <c r="L278" s="46">
        <f t="shared" ref="L278" si="35">L277*K278/100+L277</f>
        <v>6986585.1543386569</v>
      </c>
      <c r="M278" s="112"/>
      <c r="O278" s="39"/>
      <c r="P278" s="20">
        <f t="shared" si="25"/>
        <v>44408</v>
      </c>
      <c r="Q278" s="27">
        <f>'BOGIX (Gross)'!Q278</f>
        <v>-2.3865609999999999</v>
      </c>
      <c r="R278" s="46">
        <f t="shared" ref="R278" si="36">R277*Q278/100+R277</f>
        <v>9836188.4528167266</v>
      </c>
      <c r="V278" s="39">
        <v>6</v>
      </c>
    </row>
    <row r="279" spans="1:22" x14ac:dyDescent="0.25">
      <c r="A279" s="21">
        <v>44439</v>
      </c>
      <c r="B279" s="24">
        <f t="shared" si="33"/>
        <v>263</v>
      </c>
      <c r="C279" s="96" t="s">
        <v>340</v>
      </c>
      <c r="D279" s="27">
        <v>-0.36101080000000002</v>
      </c>
      <c r="E279" s="46">
        <f t="shared" ref="E279" si="37">E278*D279/100+E278</f>
        <v>11072670.832709642</v>
      </c>
      <c r="F279" s="112"/>
      <c r="I279" s="39"/>
      <c r="J279" s="20">
        <f t="shared" si="24"/>
        <v>44439</v>
      </c>
      <c r="K279" s="27">
        <f>'BOGIX (Gross)'!K279</f>
        <v>2.2345830000000002</v>
      </c>
      <c r="L279" s="46">
        <f t="shared" ref="L279" si="38">L278*K279/100+L278</f>
        <v>7142706.1984780319</v>
      </c>
      <c r="M279" s="112"/>
      <c r="O279" s="39"/>
      <c r="P279" s="20">
        <f t="shared" si="25"/>
        <v>44439</v>
      </c>
      <c r="Q279" s="27">
        <f>'BOGIX (Gross)'!Q279</f>
        <v>2.0108519999999999</v>
      </c>
      <c r="R279" s="46">
        <f t="shared" ref="R279:R292" si="39">R278*Q279/100+R278</f>
        <v>10033979.645043962</v>
      </c>
      <c r="V279" s="39">
        <v>6</v>
      </c>
    </row>
    <row r="280" spans="1:22" x14ac:dyDescent="0.25">
      <c r="A280" s="21">
        <v>44469</v>
      </c>
      <c r="B280" s="24">
        <f t="shared" si="33"/>
        <v>264</v>
      </c>
      <c r="C280" s="96" t="s">
        <v>340</v>
      </c>
      <c r="D280" s="27">
        <v>-2.639751</v>
      </c>
      <c r="E280" s="46">
        <f t="shared" ref="E280" si="40">E279*D280/100+E279</f>
        <v>10780379.89367648</v>
      </c>
      <c r="F280" s="112"/>
      <c r="G280" s="106">
        <f>(E280/E277-1)*100</f>
        <v>-4.9039428082670362</v>
      </c>
      <c r="I280" s="39"/>
      <c r="J280" s="20">
        <f t="shared" si="24"/>
        <v>44469</v>
      </c>
      <c r="K280" s="27">
        <f>'BOGIX (Gross)'!K280</f>
        <v>-2.9489740000000002</v>
      </c>
      <c r="L280" s="46">
        <f t="shared" ref="L280" si="41">L279*K280/100+L279</f>
        <v>6932069.6497885259</v>
      </c>
      <c r="M280" s="112"/>
      <c r="N280" s="106">
        <f>(L280/L277-1)*100</f>
        <v>-4.3630128424763992</v>
      </c>
      <c r="O280" s="39"/>
      <c r="P280" s="20">
        <f t="shared" si="25"/>
        <v>44469</v>
      </c>
      <c r="Q280" s="27">
        <f>'BOGIX (Gross)'!Q280</f>
        <v>-2.434911</v>
      </c>
      <c r="R280" s="46">
        <f t="shared" si="39"/>
        <v>9789661.1709290259</v>
      </c>
      <c r="T280" s="106">
        <f>(R280/R277-1)*100</f>
        <v>-2.8482935109382601</v>
      </c>
      <c r="V280" s="39">
        <v>6</v>
      </c>
    </row>
    <row r="281" spans="1:22" x14ac:dyDescent="0.25">
      <c r="A281" s="21">
        <v>44500</v>
      </c>
      <c r="B281" s="24">
        <f t="shared" ref="B281:B286" si="42">IF(A281&gt;A280,1+B280,"-")</f>
        <v>265</v>
      </c>
      <c r="C281" s="96" t="s">
        <v>340</v>
      </c>
      <c r="D281" s="27">
        <v>3.030303</v>
      </c>
      <c r="E281" s="46">
        <f t="shared" ref="E281" si="43">E280*D281/100+E280</f>
        <v>11107058.069005955</v>
      </c>
      <c r="F281" s="112"/>
      <c r="I281" s="39"/>
      <c r="J281" s="20">
        <f t="shared" si="24"/>
        <v>44500</v>
      </c>
      <c r="K281" s="27">
        <f>'BOGIX (Gross)'!K281</f>
        <v>4.2539100000000003</v>
      </c>
      <c r="L281" s="46">
        <f t="shared" ref="L281" si="44">L280*K281/100+L280</f>
        <v>7226953.6538278451</v>
      </c>
      <c r="M281" s="112"/>
      <c r="O281" s="39"/>
      <c r="P281" s="20">
        <f t="shared" si="25"/>
        <v>44500</v>
      </c>
      <c r="Q281" s="27">
        <f>'BOGIX (Gross)'!Q281</f>
        <v>3.4261490000000001</v>
      </c>
      <c r="R281" s="46">
        <f t="shared" si="39"/>
        <v>10125069.5492402</v>
      </c>
      <c r="V281" s="39">
        <v>6</v>
      </c>
    </row>
    <row r="282" spans="1:22" x14ac:dyDescent="0.25">
      <c r="A282" s="21">
        <v>44530</v>
      </c>
      <c r="B282" s="24">
        <f t="shared" si="42"/>
        <v>266</v>
      </c>
      <c r="C282" s="96" t="s">
        <v>340</v>
      </c>
      <c r="D282" s="27">
        <v>-4.4117649999999999</v>
      </c>
      <c r="E282" s="46">
        <f t="shared" ref="E282" si="45">E281*D282/100+E281</f>
        <v>10617040.768587874</v>
      </c>
      <c r="F282" s="112"/>
      <c r="I282" s="39"/>
      <c r="J282" s="20">
        <f t="shared" si="24"/>
        <v>44530</v>
      </c>
      <c r="K282" s="27">
        <f>'BOGIX (Gross)'!K282</f>
        <v>-4.1879010000000001</v>
      </c>
      <c r="L282" s="46">
        <f t="shared" ref="L282" si="46">L281*K282/100+L281</f>
        <v>6924295.9894896522</v>
      </c>
      <c r="M282" s="112"/>
      <c r="O282" s="39"/>
      <c r="P282" s="20">
        <f t="shared" si="25"/>
        <v>44530</v>
      </c>
      <c r="Q282" s="27">
        <f>'BOGIX (Gross)'!Q282</f>
        <v>-2.315226</v>
      </c>
      <c r="R282" s="46">
        <f t="shared" si="39"/>
        <v>9890651.3065181077</v>
      </c>
      <c r="S282" s="112"/>
      <c r="V282" s="39">
        <v>6</v>
      </c>
    </row>
    <row r="283" spans="1:22" x14ac:dyDescent="0.25">
      <c r="A283" s="21">
        <v>44561</v>
      </c>
      <c r="B283" s="24">
        <f t="shared" si="42"/>
        <v>267</v>
      </c>
      <c r="C283" s="96" t="s">
        <v>340</v>
      </c>
      <c r="D283" s="27">
        <v>5.1598269999999999</v>
      </c>
      <c r="E283" s="46">
        <f t="shared" ref="E283:E285" si="47">E282*D283/100+E282</f>
        <v>11164861.704766478</v>
      </c>
      <c r="F283" s="112">
        <f>(E283/E$271-1)*100</f>
        <v>19.698053299557316</v>
      </c>
      <c r="G283" s="106">
        <f>(E283/E280-1)*100</f>
        <v>3.5664959387518902</v>
      </c>
      <c r="I283" s="39"/>
      <c r="J283" s="20">
        <f t="shared" si="24"/>
        <v>44561</v>
      </c>
      <c r="K283" s="27">
        <f>'BOGIX (Gross)'!K283</f>
        <v>2.2329729999999999</v>
      </c>
      <c r="L283" s="46">
        <f t="shared" ref="L283" si="48">L282*K283/100+L282</f>
        <v>7078913.6493750392</v>
      </c>
      <c r="M283" s="112">
        <f>(L283/L$271-1)*100</f>
        <v>14.784311878333556</v>
      </c>
      <c r="N283" s="106">
        <f>(L283/L280-1)*100</f>
        <v>2.1183283926033969</v>
      </c>
      <c r="O283" s="39"/>
      <c r="P283" s="20">
        <f t="shared" ref="P283:P331" si="49">$A283</f>
        <v>44561</v>
      </c>
      <c r="Q283" s="27">
        <f>'BOGIX (Gross)'!Q283</f>
        <v>4.5109009999999996</v>
      </c>
      <c r="R283" s="46">
        <f t="shared" si="39"/>
        <v>10336808.795210347</v>
      </c>
      <c r="S283" s="112">
        <f>(R283/R$271-1)*100</f>
        <v>26.740208101721219</v>
      </c>
      <c r="T283" s="106">
        <f>(R283/R280-1)*100</f>
        <v>5.5890353580990926</v>
      </c>
      <c r="V283" s="39">
        <v>6</v>
      </c>
    </row>
    <row r="284" spans="1:22" x14ac:dyDescent="0.25">
      <c r="A284" s="21">
        <v>44592</v>
      </c>
      <c r="B284" s="24">
        <f t="shared" si="42"/>
        <v>268</v>
      </c>
      <c r="C284" s="96" t="s">
        <v>340</v>
      </c>
      <c r="D284" s="27">
        <v>-7.0328900000000001</v>
      </c>
      <c r="E284" s="46">
        <f t="shared" si="47"/>
        <v>10379649.262418127</v>
      </c>
      <c r="I284" s="39"/>
      <c r="J284" s="20">
        <f t="shared" si="24"/>
        <v>44592</v>
      </c>
      <c r="K284" s="27">
        <f>'BOGIX (Gross)'!K284</f>
        <v>-9.6280570000000001</v>
      </c>
      <c r="L284" s="46">
        <f t="shared" ref="L284" si="50">L283*K284/100+L283</f>
        <v>6397351.8082324304</v>
      </c>
      <c r="O284" s="39"/>
      <c r="P284" s="20">
        <f t="shared" si="49"/>
        <v>44592</v>
      </c>
      <c r="Q284" s="27">
        <f>'BOGIX (Gross)'!Q284</f>
        <v>-7.2656700000000001</v>
      </c>
      <c r="R284" s="46">
        <f t="shared" si="39"/>
        <v>9585770.379619386</v>
      </c>
      <c r="V284" s="39">
        <v>6</v>
      </c>
    </row>
    <row r="285" spans="1:22" x14ac:dyDescent="0.25">
      <c r="A285" s="21">
        <v>44620</v>
      </c>
      <c r="B285" s="24">
        <f t="shared" si="42"/>
        <v>269</v>
      </c>
      <c r="C285" s="96" t="s">
        <v>340</v>
      </c>
      <c r="D285" s="27">
        <v>0.79036510000000004</v>
      </c>
      <c r="E285" s="46">
        <f t="shared" si="47"/>
        <v>10461686.387690688</v>
      </c>
      <c r="F285" s="112"/>
      <c r="I285" s="39"/>
      <c r="J285" s="20">
        <f t="shared" si="24"/>
        <v>44620</v>
      </c>
      <c r="K285" s="27">
        <f>'BOGIX (Gross)'!K285</f>
        <v>1.0656110000000001</v>
      </c>
      <c r="L285" s="46">
        <f t="shared" ref="L285" si="51">L284*K285/100+L284</f>
        <v>6465522.6928096544</v>
      </c>
      <c r="M285" s="112"/>
      <c r="O285" s="39"/>
      <c r="P285" s="20">
        <f t="shared" si="49"/>
        <v>44620</v>
      </c>
      <c r="Q285" s="27">
        <f>'BOGIX (Gross)'!Q285</f>
        <v>1.3960319999999999</v>
      </c>
      <c r="R285" s="46">
        <f t="shared" si="39"/>
        <v>9719590.8015653938</v>
      </c>
      <c r="V285" s="39">
        <v>6</v>
      </c>
    </row>
    <row r="286" spans="1:22" x14ac:dyDescent="0.25">
      <c r="A286" s="21">
        <v>44651</v>
      </c>
      <c r="B286" s="24">
        <f t="shared" si="42"/>
        <v>270</v>
      </c>
      <c r="C286" s="96" t="s">
        <v>340</v>
      </c>
      <c r="D286" s="27">
        <v>7.4682600000000002E-2</v>
      </c>
      <c r="E286" s="46">
        <f t="shared" ref="E286" si="52">E285*D286/100+E285</f>
        <v>10469499.447088862</v>
      </c>
      <c r="F286" s="112"/>
      <c r="G286" s="106">
        <f>(E286/E283-1)*100</f>
        <v>-6.2281314006850108</v>
      </c>
      <c r="I286" s="39"/>
      <c r="J286" s="20">
        <f t="shared" si="24"/>
        <v>44651</v>
      </c>
      <c r="K286" s="27">
        <f>'BOGIX (Gross)'!K286</f>
        <v>1.2401329999999999</v>
      </c>
      <c r="L286" s="46">
        <f t="shared" ref="L286" si="53">L285*K286/100+L285</f>
        <v>6545703.7733456753</v>
      </c>
      <c r="M286" s="112"/>
      <c r="N286" s="106">
        <f>(L286/L283-1)*100</f>
        <v>-7.5323687000538264</v>
      </c>
      <c r="O286" s="39"/>
      <c r="P286" s="20">
        <f t="shared" si="49"/>
        <v>44651</v>
      </c>
      <c r="Q286" s="27">
        <f>'BOGIX (Gross)'!Q286</f>
        <v>0.3599078</v>
      </c>
      <c r="R286" s="46">
        <f t="shared" si="39"/>
        <v>9754572.3669883106</v>
      </c>
      <c r="T286" s="106">
        <f>(R286/R283-1)*100</f>
        <v>-5.6326516215702949</v>
      </c>
      <c r="V286" s="39">
        <v>6</v>
      </c>
    </row>
    <row r="287" spans="1:22" x14ac:dyDescent="0.25">
      <c r="A287" s="21">
        <v>44681</v>
      </c>
      <c r="B287" s="24">
        <f t="shared" ref="B287:B294" si="54">IF(A287&gt;A286,1+B286,"-")</f>
        <v>271</v>
      </c>
      <c r="C287" s="96" t="s">
        <v>340</v>
      </c>
      <c r="D287" s="27">
        <v>-6.2313429999999999</v>
      </c>
      <c r="E287" s="46">
        <f t="shared" ref="E287" si="55">E286*D287/100+E286</f>
        <v>9817109.0261576511</v>
      </c>
      <c r="F287" s="112"/>
      <c r="G287" s="106"/>
      <c r="I287" s="39"/>
      <c r="J287" s="20">
        <f t="shared" si="24"/>
        <v>44681</v>
      </c>
      <c r="K287" s="27">
        <f>'BOGIX (Gross)'!K287</f>
        <v>-9.9109250000000007</v>
      </c>
      <c r="L287" s="46">
        <f t="shared" ref="L287" si="56">L286*K287/100+L286</f>
        <v>5896963.9816472158</v>
      </c>
      <c r="M287" s="112"/>
      <c r="N287" s="106"/>
      <c r="O287" s="39"/>
      <c r="P287" s="20">
        <f t="shared" si="49"/>
        <v>44681</v>
      </c>
      <c r="Q287" s="27">
        <f>'BOGIX (Gross)'!Q287</f>
        <v>-7.8083660000000004</v>
      </c>
      <c r="R287" s="46">
        <f t="shared" si="39"/>
        <v>8992899.6548389997</v>
      </c>
      <c r="V287" s="39">
        <v>6</v>
      </c>
    </row>
    <row r="288" spans="1:22" x14ac:dyDescent="0.25">
      <c r="A288" s="21">
        <v>44712</v>
      </c>
      <c r="B288" s="24">
        <f t="shared" si="54"/>
        <v>272</v>
      </c>
      <c r="C288" s="96" t="s">
        <v>340</v>
      </c>
      <c r="D288" s="27">
        <v>2.9446880000000002</v>
      </c>
      <c r="E288" s="46">
        <f t="shared" ref="E288" si="57">E287*D288/100+E287</f>
        <v>10106192.257597832</v>
      </c>
      <c r="F288" s="112"/>
      <c r="G288" s="106"/>
      <c r="I288" s="39"/>
      <c r="J288" s="20">
        <f t="shared" si="24"/>
        <v>44712</v>
      </c>
      <c r="K288" s="27">
        <f>'BOGIX (Gross)'!K288</f>
        <v>0.1437899</v>
      </c>
      <c r="L288" s="46">
        <f t="shared" ref="L288" si="58">L287*K288/100+L287</f>
        <v>5905443.2202594625</v>
      </c>
      <c r="M288" s="112"/>
      <c r="N288" s="106"/>
      <c r="O288" s="39"/>
      <c r="P288" s="20">
        <f t="shared" si="49"/>
        <v>44712</v>
      </c>
      <c r="Q288" s="27">
        <f>'BOGIX (Gross)'!Q288</f>
        <v>1.8534470000000001</v>
      </c>
      <c r="R288" s="46">
        <f t="shared" si="39"/>
        <v>9159578.2837046236</v>
      </c>
      <c r="V288" s="39">
        <v>6</v>
      </c>
    </row>
    <row r="289" spans="1:22" x14ac:dyDescent="0.25">
      <c r="A289" s="21">
        <v>44742</v>
      </c>
      <c r="B289" s="24">
        <f t="shared" si="54"/>
        <v>273</v>
      </c>
      <c r="C289" s="96" t="s">
        <v>340</v>
      </c>
      <c r="D289" s="27">
        <v>-8.4267489999999992</v>
      </c>
      <c r="E289" s="46">
        <f t="shared" ref="E289" si="59">E288*D289/100+E288</f>
        <v>9254568.8025926296</v>
      </c>
      <c r="F289" s="112"/>
      <c r="G289" s="106">
        <f>(E289/E286-1)*100</f>
        <v>-11.604476896305249</v>
      </c>
      <c r="I289" s="39"/>
      <c r="J289" s="20">
        <f t="shared" si="24"/>
        <v>44742</v>
      </c>
      <c r="K289" s="27">
        <f>'BOGIX (Gross)'!K289</f>
        <v>-8.2253299999999996</v>
      </c>
      <c r="L289" s="46">
        <f t="shared" ref="L289" si="60">L288*K289/100+L288</f>
        <v>5419701.0274304952</v>
      </c>
      <c r="M289" s="112"/>
      <c r="N289" s="106">
        <f>(L289/L286-1)*100</f>
        <v>-17.202164731320423</v>
      </c>
      <c r="O289" s="39"/>
      <c r="P289" s="20">
        <f t="shared" si="49"/>
        <v>44742</v>
      </c>
      <c r="Q289" s="27">
        <f>'BOGIX (Gross)'!Q289</f>
        <v>-8.5474490000000003</v>
      </c>
      <c r="R289" s="46">
        <f t="shared" si="39"/>
        <v>8376668.0012898957</v>
      </c>
      <c r="T289" s="106">
        <f>(R289/R286-1)*100</f>
        <v>-14.125728057147402</v>
      </c>
      <c r="V289" s="39">
        <v>6</v>
      </c>
    </row>
    <row r="290" spans="1:22" x14ac:dyDescent="0.25">
      <c r="A290" s="21">
        <v>44773</v>
      </c>
      <c r="B290" s="24">
        <f t="shared" si="54"/>
        <v>274</v>
      </c>
      <c r="C290" s="96" t="s">
        <v>340</v>
      </c>
      <c r="D290" s="27">
        <v>10.721819999999999</v>
      </c>
      <c r="E290" s="46">
        <f t="shared" ref="E290:E291" si="61">E289*D290/100+E289</f>
        <v>10246827.011382766</v>
      </c>
      <c r="F290" s="112"/>
      <c r="I290" s="39"/>
      <c r="J290" s="20">
        <f t="shared" si="24"/>
        <v>44773</v>
      </c>
      <c r="K290" s="27">
        <f>'BOGIX (Gross)'!K290</f>
        <v>10.440250000000001</v>
      </c>
      <c r="L290" s="46">
        <f t="shared" ref="L290" si="62">L289*K290/100+L289</f>
        <v>5985531.3639468076</v>
      </c>
      <c r="M290" s="112"/>
      <c r="O290" s="39"/>
      <c r="P290" s="20">
        <f t="shared" si="49"/>
        <v>44773</v>
      </c>
      <c r="Q290" s="27">
        <f>'BOGIX (Gross)'!Q290</f>
        <v>10.01394</v>
      </c>
      <c r="R290" s="46">
        <f t="shared" si="39"/>
        <v>9215502.508938266</v>
      </c>
      <c r="V290" s="39">
        <v>6</v>
      </c>
    </row>
    <row r="291" spans="1:22" x14ac:dyDescent="0.25">
      <c r="A291" s="21">
        <v>44804</v>
      </c>
      <c r="B291" s="24">
        <f t="shared" si="54"/>
        <v>275</v>
      </c>
      <c r="C291" s="96" t="s">
        <v>340</v>
      </c>
      <c r="D291" s="27">
        <v>-2.6686999999999999</v>
      </c>
      <c r="E291" s="46">
        <f t="shared" si="61"/>
        <v>9973369.9389299937</v>
      </c>
      <c r="F291" s="112"/>
      <c r="I291" s="39"/>
      <c r="J291" s="20">
        <f t="shared" si="24"/>
        <v>44804</v>
      </c>
      <c r="K291" s="27">
        <f>'BOGIX (Gross)'!K291</f>
        <v>-2.046306</v>
      </c>
      <c r="L291" s="46">
        <f t="shared" ref="L291" si="63">L290*K291/100+L290</f>
        <v>5863049.0765144825</v>
      </c>
      <c r="M291" s="112"/>
      <c r="O291" s="39"/>
      <c r="P291" s="20">
        <f t="shared" si="49"/>
        <v>44804</v>
      </c>
      <c r="Q291" s="27">
        <f>'BOGIX (Gross)'!Q291</f>
        <v>-4.3909000000000002</v>
      </c>
      <c r="R291" s="46">
        <f t="shared" si="39"/>
        <v>8810859.0092732962</v>
      </c>
      <c r="V291" s="39">
        <v>6</v>
      </c>
    </row>
    <row r="292" spans="1:22" x14ac:dyDescent="0.25">
      <c r="A292" s="21">
        <v>44834</v>
      </c>
      <c r="B292" s="24">
        <f t="shared" si="54"/>
        <v>276</v>
      </c>
      <c r="C292" s="96" t="s">
        <v>340</v>
      </c>
      <c r="D292" s="27">
        <v>-9.4398750000000007</v>
      </c>
      <c r="E292" s="46">
        <f t="shared" ref="E292" si="64">E291*D292/100+E291</f>
        <v>9031896.2834074255</v>
      </c>
      <c r="F292" s="112"/>
      <c r="G292" s="106">
        <f>(E292/E289-1)*100</f>
        <v>-2.4060820545504291</v>
      </c>
      <c r="I292" s="39"/>
      <c r="J292" s="20">
        <f t="shared" si="24"/>
        <v>44834</v>
      </c>
      <c r="K292" s="27">
        <f>'BOGIX (Gross)'!K292</f>
        <v>-9.5742589999999996</v>
      </c>
      <c r="L292" s="46">
        <f t="shared" ref="L292" si="65">L291*K292/100+L291</f>
        <v>5301705.5726318778</v>
      </c>
      <c r="M292" s="112"/>
      <c r="N292" s="106">
        <f>(L292/L289-1)*100</f>
        <v>-2.1771580056060724</v>
      </c>
      <c r="O292" s="39"/>
      <c r="P292" s="20">
        <f t="shared" si="49"/>
        <v>44834</v>
      </c>
      <c r="Q292" s="27">
        <f>'BOGIX (Gross)'!Q292</f>
        <v>-9.8790829999999996</v>
      </c>
      <c r="R292" s="46">
        <f t="shared" si="39"/>
        <v>7940426.9347342094</v>
      </c>
      <c r="S292" s="112"/>
      <c r="T292" s="106">
        <f>(R292/R289-1)*100</f>
        <v>-5.2078113456151209</v>
      </c>
      <c r="V292" s="39">
        <v>6</v>
      </c>
    </row>
    <row r="293" spans="1:22" x14ac:dyDescent="0.25">
      <c r="A293" s="21">
        <v>44865</v>
      </c>
      <c r="B293" s="24">
        <f t="shared" si="54"/>
        <v>277</v>
      </c>
      <c r="C293" s="96" t="s">
        <v>340</v>
      </c>
      <c r="D293" s="27">
        <v>10.98616</v>
      </c>
      <c r="E293" s="46">
        <f t="shared" ref="E293" si="66">E292*D293/100+E292</f>
        <v>10024154.860136619</v>
      </c>
      <c r="F293" s="112"/>
      <c r="G293" s="106"/>
      <c r="I293" s="39"/>
      <c r="J293" s="20">
        <f t="shared" si="24"/>
        <v>44865</v>
      </c>
      <c r="K293" s="27">
        <f>'BOGIX (Gross)'!K293</f>
        <v>11.00892</v>
      </c>
      <c r="L293" s="46">
        <f t="shared" ref="L293" si="67">L292*K293/100+L292</f>
        <v>5885366.0977584627</v>
      </c>
      <c r="M293" s="112"/>
      <c r="N293" s="106"/>
      <c r="O293" s="39"/>
      <c r="P293" s="20">
        <f t="shared" si="49"/>
        <v>44865</v>
      </c>
      <c r="Q293" s="27">
        <f>'BOGIX (Gross)'!Q293</f>
        <v>12.36529</v>
      </c>
      <c r="R293" s="46">
        <f t="shared" ref="R293" si="68">R292*Q293/100+R292</f>
        <v>8922283.7524522059</v>
      </c>
      <c r="S293" s="112"/>
      <c r="T293" s="106"/>
      <c r="V293" s="39">
        <v>6</v>
      </c>
    </row>
    <row r="294" spans="1:22" x14ac:dyDescent="0.25">
      <c r="A294" s="21">
        <v>44895</v>
      </c>
      <c r="B294" s="24">
        <f t="shared" si="54"/>
        <v>278</v>
      </c>
      <c r="C294" s="96" t="s">
        <v>340</v>
      </c>
      <c r="D294" s="27">
        <v>3.078722</v>
      </c>
      <c r="E294" s="46">
        <f t="shared" ref="E294:E300" si="69">E293*D294/100+E293</f>
        <v>10332770.721129714</v>
      </c>
      <c r="F294" s="112"/>
      <c r="G294" s="106"/>
      <c r="I294" s="39"/>
      <c r="J294" s="20">
        <f t="shared" si="24"/>
        <v>44895</v>
      </c>
      <c r="K294" s="27">
        <f>'BOGIX (Gross)'!K294</f>
        <v>2.3137370000000002</v>
      </c>
      <c r="L294" s="46">
        <f t="shared" ref="L294:L300" si="70">L293*K294/100+L293</f>
        <v>6021537.9907477563</v>
      </c>
      <c r="M294" s="112"/>
      <c r="N294" s="106"/>
      <c r="O294" s="39"/>
      <c r="P294" s="20">
        <f t="shared" si="49"/>
        <v>44895</v>
      </c>
      <c r="Q294" s="27">
        <f>'BOGIX (Gross)'!Q294</f>
        <v>4.1502249999999998</v>
      </c>
      <c r="R294" s="46">
        <f t="shared" ref="R294:R300" si="71">R293*Q294/100+R293</f>
        <v>9292578.6033174153</v>
      </c>
      <c r="S294" s="112"/>
      <c r="T294" s="106"/>
      <c r="V294" s="39">
        <v>6</v>
      </c>
    </row>
    <row r="295" spans="1:22" x14ac:dyDescent="0.25">
      <c r="A295" s="21">
        <v>44926</v>
      </c>
      <c r="B295" s="24">
        <f t="shared" ref="B295:B300" si="72">IF(A295&gt;A294,1+B294,"-")</f>
        <v>279</v>
      </c>
      <c r="C295" s="96" t="s">
        <v>340</v>
      </c>
      <c r="D295" s="27">
        <v>-6.2392430000000001</v>
      </c>
      <c r="E295" s="46">
        <f t="shared" si="69"/>
        <v>9688084.0472055785</v>
      </c>
      <c r="F295" s="112">
        <f>(E295/E$283-1)*100</f>
        <v>-13.227012538188788</v>
      </c>
      <c r="G295" s="106">
        <f>(E295/E292-1)*100</f>
        <v>7.2652269601859887</v>
      </c>
      <c r="I295" s="39"/>
      <c r="J295" s="20">
        <f t="shared" si="24"/>
        <v>44926</v>
      </c>
      <c r="K295" s="27">
        <f>'BOGIX (Gross)'!K295</f>
        <v>-6.4934729999999998</v>
      </c>
      <c r="L295" s="46">
        <f t="shared" si="70"/>
        <v>5630531.047133808</v>
      </c>
      <c r="M295" s="112">
        <f>(L295/L$283-1)*100</f>
        <v>-20.46052083668377</v>
      </c>
      <c r="N295" s="106">
        <f>(L295/L292-1)*100</f>
        <v>6.2022583109739626</v>
      </c>
      <c r="O295" s="39"/>
      <c r="P295" s="20">
        <f t="shared" si="49"/>
        <v>44926</v>
      </c>
      <c r="Q295" s="27">
        <f>'BOGIX (Gross)'!Q295</f>
        <v>-6.7240900000000003</v>
      </c>
      <c r="R295" s="46">
        <f t="shared" si="71"/>
        <v>8667737.2547096089</v>
      </c>
      <c r="S295" s="112">
        <f>(R295/R$283-1)*100</f>
        <v>-16.146874471298311</v>
      </c>
      <c r="T295" s="106">
        <f>(R295/R292-1)*100</f>
        <v>9.1595870845922569</v>
      </c>
      <c r="V295" s="39">
        <v>6</v>
      </c>
    </row>
    <row r="296" spans="1:22" x14ac:dyDescent="0.25">
      <c r="A296" s="21">
        <v>44957</v>
      </c>
      <c r="B296" s="24">
        <f t="shared" si="72"/>
        <v>280</v>
      </c>
      <c r="C296" s="96" t="s">
        <v>340</v>
      </c>
      <c r="D296" s="27">
        <v>9.0466529999999992</v>
      </c>
      <c r="E296" s="46">
        <f t="shared" si="69"/>
        <v>10564531.393304624</v>
      </c>
      <c r="I296" s="39"/>
      <c r="J296" s="20">
        <f t="shared" ref="J296:J331" si="73">$A296</f>
        <v>44957</v>
      </c>
      <c r="K296" s="27">
        <f>'BOGIX (Gross)'!K296</f>
        <v>9.7465890000000002</v>
      </c>
      <c r="L296" s="46">
        <f t="shared" si="70"/>
        <v>6179315.7668153364</v>
      </c>
      <c r="M296" s="61"/>
      <c r="O296" s="39"/>
      <c r="P296" s="20">
        <f t="shared" si="49"/>
        <v>44957</v>
      </c>
      <c r="Q296" s="27">
        <f>'BOGIX (Gross)'!Q296</f>
        <v>9.4840990000000005</v>
      </c>
      <c r="R296" s="46">
        <f t="shared" si="71"/>
        <v>9489794.0370061509</v>
      </c>
      <c r="S296" s="61"/>
      <c r="V296" s="39">
        <v>6</v>
      </c>
    </row>
    <row r="297" spans="1:22" x14ac:dyDescent="0.25">
      <c r="A297" s="21">
        <v>44985</v>
      </c>
      <c r="B297" s="24">
        <f t="shared" si="72"/>
        <v>281</v>
      </c>
      <c r="C297" s="96" t="s">
        <v>340</v>
      </c>
      <c r="D297" s="27">
        <v>1.227679</v>
      </c>
      <c r="E297" s="46">
        <f t="shared" si="69"/>
        <v>10694229.926668633</v>
      </c>
      <c r="I297" s="39"/>
      <c r="J297" s="20">
        <f t="shared" si="73"/>
        <v>44985</v>
      </c>
      <c r="K297" s="27">
        <f>'BOGIX (Gross)'!K297</f>
        <v>-1.6926909999999999</v>
      </c>
      <c r="L297" s="46">
        <f t="shared" si="70"/>
        <v>6074719.0449688723</v>
      </c>
      <c r="M297" s="61"/>
      <c r="O297" s="39"/>
      <c r="P297" s="20">
        <f t="shared" si="49"/>
        <v>44985</v>
      </c>
      <c r="Q297" s="27">
        <f>'BOGIX (Gross)'!Q297</f>
        <v>-1.238982</v>
      </c>
      <c r="R297" s="46">
        <f t="shared" si="71"/>
        <v>9372217.1970505714</v>
      </c>
      <c r="S297" s="61"/>
      <c r="V297" s="39">
        <v>6</v>
      </c>
    </row>
    <row r="298" spans="1:22" x14ac:dyDescent="0.25">
      <c r="A298" s="21">
        <v>45016</v>
      </c>
      <c r="B298" s="24">
        <f t="shared" si="72"/>
        <v>282</v>
      </c>
      <c r="C298" s="96" t="s">
        <v>340</v>
      </c>
      <c r="D298" s="27">
        <v>-4.9246600000000003</v>
      </c>
      <c r="E298" s="46">
        <f t="shared" si="69"/>
        <v>10167575.463161953</v>
      </c>
      <c r="G298" s="106">
        <f>(E298/E295-1)*100</f>
        <v>4.949290423369912</v>
      </c>
      <c r="I298" s="39"/>
      <c r="J298" s="20">
        <f t="shared" si="73"/>
        <v>45016</v>
      </c>
      <c r="K298" s="27">
        <f>'BOGIX (Gross)'!K298</f>
        <v>-4.7829889999999997</v>
      </c>
      <c r="L298" s="46">
        <f t="shared" si="70"/>
        <v>5784165.9012671057</v>
      </c>
      <c r="M298" s="61"/>
      <c r="N298" s="106">
        <f>(L298/L295-1)*100</f>
        <v>2.7286032675639893</v>
      </c>
      <c r="O298" s="39"/>
      <c r="P298" s="20">
        <f t="shared" si="49"/>
        <v>45016</v>
      </c>
      <c r="Q298" s="27">
        <f>'BOGIX (Gross)'!Q298</f>
        <v>-5.1637300000000002</v>
      </c>
      <c r="R298" s="46">
        <f t="shared" si="71"/>
        <v>8888261.2059813123</v>
      </c>
      <c r="S298" s="61"/>
      <c r="T298" s="106">
        <f>(R298/R295-1)*100</f>
        <v>2.5441928474687181</v>
      </c>
      <c r="V298" s="39">
        <v>6</v>
      </c>
    </row>
    <row r="299" spans="1:22" x14ac:dyDescent="0.25">
      <c r="A299" s="21">
        <v>45046</v>
      </c>
      <c r="B299" s="24">
        <f t="shared" si="72"/>
        <v>283</v>
      </c>
      <c r="C299" s="96" t="s">
        <v>340</v>
      </c>
      <c r="D299" s="27">
        <v>-1.5848469999999999</v>
      </c>
      <c r="E299" s="46">
        <f t="shared" si="69"/>
        <v>10006434.948461294</v>
      </c>
      <c r="I299" s="39"/>
      <c r="J299" s="20">
        <f t="shared" si="73"/>
        <v>45046</v>
      </c>
      <c r="K299" s="27">
        <f>'BOGIX (Gross)'!K299</f>
        <v>-1.7983370000000001</v>
      </c>
      <c r="L299" s="46">
        <f t="shared" si="70"/>
        <v>5680147.1057232358</v>
      </c>
      <c r="M299" s="61"/>
      <c r="O299" s="39"/>
      <c r="P299" s="20">
        <f t="shared" si="49"/>
        <v>45046</v>
      </c>
      <c r="Q299" s="27">
        <f>'BOGIX (Gross)'!Q299</f>
        <v>-2.778788</v>
      </c>
      <c r="R299" s="46">
        <f t="shared" si="71"/>
        <v>8641275.2701808475</v>
      </c>
      <c r="S299" s="61"/>
      <c r="V299" s="39">
        <v>6</v>
      </c>
    </row>
    <row r="300" spans="1:22" x14ac:dyDescent="0.25">
      <c r="A300" s="21">
        <v>45077</v>
      </c>
      <c r="B300" s="24">
        <f t="shared" si="72"/>
        <v>284</v>
      </c>
      <c r="C300" s="96" t="s">
        <v>340</v>
      </c>
      <c r="D300" s="27">
        <v>-2.317361</v>
      </c>
      <c r="E300" s="46">
        <f t="shared" si="69"/>
        <v>9774549.7274752818</v>
      </c>
      <c r="F300" s="112"/>
      <c r="I300" s="39"/>
      <c r="J300" s="20">
        <f t="shared" si="73"/>
        <v>45077</v>
      </c>
      <c r="K300" s="27">
        <f>'BOGIX (Gross)'!K300</f>
        <v>-0.93249360000000003</v>
      </c>
      <c r="L300" s="46">
        <f t="shared" si="70"/>
        <v>5627180.0974917812</v>
      </c>
      <c r="M300" s="112"/>
      <c r="O300" s="39"/>
      <c r="P300" s="20">
        <f t="shared" si="49"/>
        <v>45077</v>
      </c>
      <c r="Q300" s="27">
        <f>'BOGIX (Gross)'!Q300</f>
        <v>-1.773007</v>
      </c>
      <c r="R300" s="46">
        <f t="shared" si="71"/>
        <v>8488064.8547512721</v>
      </c>
      <c r="S300" s="112"/>
      <c r="V300" s="39">
        <v>6</v>
      </c>
    </row>
    <row r="301" spans="1:22" x14ac:dyDescent="0.25">
      <c r="A301" s="21">
        <v>45107</v>
      </c>
      <c r="B301" s="24">
        <f t="shared" ref="B301:B305" si="74">IF(A301&gt;A300,1+B300,"-")</f>
        <v>285</v>
      </c>
      <c r="C301" s="96" t="s">
        <v>340</v>
      </c>
      <c r="D301" s="27">
        <v>10.856450000000001</v>
      </c>
      <c r="E301" s="46">
        <f t="shared" ref="E301" si="75">E300*D301/100+E300</f>
        <v>10835718.831363771</v>
      </c>
      <c r="F301" s="112"/>
      <c r="G301" s="106">
        <f>(E301/E298-1)*100</f>
        <v>6.571314573691267</v>
      </c>
      <c r="I301" s="39"/>
      <c r="J301" s="20">
        <f t="shared" si="73"/>
        <v>45107</v>
      </c>
      <c r="K301" s="27">
        <f>'BOGIX (Gross)'!K301</f>
        <v>8.1256939999999993</v>
      </c>
      <c r="L301" s="46">
        <f t="shared" ref="L301" si="76">L300*K301/100+L300</f>
        <v>6084427.5330428649</v>
      </c>
      <c r="M301" s="112"/>
      <c r="N301" s="106">
        <f>(L301/L298-1)*100</f>
        <v>5.1910964675128346</v>
      </c>
      <c r="O301" s="39"/>
      <c r="P301" s="20">
        <f t="shared" si="49"/>
        <v>45107</v>
      </c>
      <c r="Q301" s="27">
        <f>'BOGIX (Gross)'!Q301</f>
        <v>8.2307839999999999</v>
      </c>
      <c r="R301" s="46">
        <f t="shared" ref="R301" si="77">R300*Q301/100+R300</f>
        <v>9186699.1387257632</v>
      </c>
      <c r="S301" s="112"/>
      <c r="T301" s="106">
        <f>(R301/R298-1)*100</f>
        <v>3.3576638425479421</v>
      </c>
      <c r="V301" s="39">
        <v>6</v>
      </c>
    </row>
    <row r="302" spans="1:22" x14ac:dyDescent="0.25">
      <c r="A302" s="21">
        <v>45138</v>
      </c>
      <c r="B302" s="24">
        <f t="shared" si="74"/>
        <v>286</v>
      </c>
      <c r="C302" s="96" t="s">
        <v>340</v>
      </c>
      <c r="D302" s="27">
        <v>4.4250999999999996</v>
      </c>
      <c r="E302" s="46">
        <f t="shared" ref="E302" si="78">E301*D302/100+E301</f>
        <v>11315210.22537045</v>
      </c>
      <c r="F302" s="112"/>
      <c r="G302" s="106"/>
      <c r="I302" s="39"/>
      <c r="J302" s="20">
        <f t="shared" si="73"/>
        <v>45138</v>
      </c>
      <c r="K302" s="27">
        <f>'BOGIX (Gross)'!K302</f>
        <v>6.114903</v>
      </c>
      <c r="L302" s="46">
        <f t="shared" ref="L302" si="79">L301*K302/100+L301</f>
        <v>6456484.3747937288</v>
      </c>
      <c r="M302" s="112"/>
      <c r="N302" s="106"/>
      <c r="O302" s="39"/>
      <c r="P302" s="20">
        <f t="shared" si="49"/>
        <v>45138</v>
      </c>
      <c r="Q302" s="27">
        <f>'BOGIX (Gross)'!Q302</f>
        <v>5.5092189999999999</v>
      </c>
      <c r="R302" s="46">
        <f t="shared" ref="R302" si="80">R301*Q302/100+R301</f>
        <v>9692814.5131492801</v>
      </c>
      <c r="S302" s="112"/>
      <c r="T302" s="106"/>
      <c r="V302" s="39">
        <v>6</v>
      </c>
    </row>
    <row r="303" spans="1:22" x14ac:dyDescent="0.25">
      <c r="A303" s="21">
        <v>45169</v>
      </c>
      <c r="B303" s="24">
        <f t="shared" si="74"/>
        <v>287</v>
      </c>
      <c r="C303" s="96" t="s">
        <v>340</v>
      </c>
      <c r="D303" s="27">
        <v>-4.4807220000000001</v>
      </c>
      <c r="E303" s="46">
        <f t="shared" ref="E303" si="81">E302*D303/100+E302</f>
        <v>10808207.111456027</v>
      </c>
      <c r="F303" s="112"/>
      <c r="G303" s="106"/>
      <c r="I303" s="39"/>
      <c r="J303" s="20">
        <f t="shared" si="73"/>
        <v>45169</v>
      </c>
      <c r="K303" s="27">
        <f>'BOGIX (Gross)'!K303</f>
        <v>-5.0064710000000003</v>
      </c>
      <c r="L303" s="46">
        <f t="shared" ref="L303" si="82">L302*K303/100+L302</f>
        <v>6133242.3569501499</v>
      </c>
      <c r="M303" s="112"/>
      <c r="N303" s="106"/>
      <c r="O303" s="39"/>
      <c r="P303" s="20">
        <f t="shared" si="49"/>
        <v>45169</v>
      </c>
      <c r="Q303" s="27">
        <f>'BOGIX (Gross)'!Q303</f>
        <v>-4.1496180000000003</v>
      </c>
      <c r="R303" s="46">
        <f t="shared" ref="R303" si="83">R302*Q303/100+R302</f>
        <v>9290599.7374050245</v>
      </c>
      <c r="S303" s="112"/>
      <c r="T303" s="106"/>
      <c r="V303" s="39">
        <v>6</v>
      </c>
    </row>
    <row r="304" spans="1:22" x14ac:dyDescent="0.25">
      <c r="A304" s="21">
        <v>45199</v>
      </c>
      <c r="B304" s="24">
        <f t="shared" si="74"/>
        <v>288</v>
      </c>
      <c r="C304" s="96" t="s">
        <v>340</v>
      </c>
      <c r="D304" s="27">
        <v>-4.9818179999999996</v>
      </c>
      <c r="E304" s="46">
        <f t="shared" ref="E304" si="84">E303*D304/100+E303</f>
        <v>10269761.904100232</v>
      </c>
      <c r="F304" s="112"/>
      <c r="G304" s="106">
        <f>(E304/E301-1)*100</f>
        <v>-5.2230676715732782</v>
      </c>
      <c r="I304" s="39"/>
      <c r="J304" s="20">
        <f t="shared" si="73"/>
        <v>45199</v>
      </c>
      <c r="K304" s="27">
        <f>'BOGIX (Gross)'!K304</f>
        <v>-5.8905890000000003</v>
      </c>
      <c r="L304" s="46">
        <f t="shared" ref="L304" si="85">L303*K304/100+L303</f>
        <v>5771958.2573283035</v>
      </c>
      <c r="M304" s="112"/>
      <c r="N304" s="106">
        <f>(L304/L301-1)*100</f>
        <v>-5.1355575198755554</v>
      </c>
      <c r="O304" s="39"/>
      <c r="P304" s="20">
        <f t="shared" si="49"/>
        <v>45199</v>
      </c>
      <c r="Q304" s="27">
        <f>'BOGIX (Gross)'!Q304</f>
        <v>-5.9987870000000001</v>
      </c>
      <c r="R304" s="46">
        <f t="shared" ref="R304" si="86">R303*Q304/100+R303</f>
        <v>8733276.448135538</v>
      </c>
      <c r="S304" s="112"/>
      <c r="T304" s="106">
        <f>(R304/R301-1)*100</f>
        <v>-4.9356431917843002</v>
      </c>
      <c r="V304" s="39">
        <v>6</v>
      </c>
    </row>
    <row r="305" spans="1:22" x14ac:dyDescent="0.25">
      <c r="A305" s="21">
        <v>45230</v>
      </c>
      <c r="B305" s="24">
        <f t="shared" si="74"/>
        <v>289</v>
      </c>
      <c r="C305" s="96" t="s">
        <v>340</v>
      </c>
      <c r="D305" s="27">
        <v>-6.3145810000000004</v>
      </c>
      <c r="E305" s="46">
        <f t="shared" ref="E305:E307" si="87">E304*D305/100+E304</f>
        <v>9621269.4701586813</v>
      </c>
      <c r="F305" s="112"/>
      <c r="G305" s="106"/>
      <c r="I305" s="39"/>
      <c r="J305" s="20">
        <f t="shared" si="73"/>
        <v>45230</v>
      </c>
      <c r="K305" s="27">
        <f>'BOGIX (Gross)'!K305</f>
        <v>-6.8217509999999999</v>
      </c>
      <c r="L305" s="46">
        <f t="shared" ref="L305:L307" si="88">L304*K305/100+L304</f>
        <v>5378209.6371894274</v>
      </c>
      <c r="M305" s="112"/>
      <c r="N305" s="106"/>
      <c r="O305" s="39"/>
      <c r="P305" s="20">
        <f t="shared" si="49"/>
        <v>45230</v>
      </c>
      <c r="Q305" s="27">
        <f>'BOGIX (Gross)'!Q305</f>
        <v>-5.738213</v>
      </c>
      <c r="R305" s="46">
        <f t="shared" ref="R305:R307" si="89">R304*Q305/100+R304</f>
        <v>8232142.4436626863</v>
      </c>
      <c r="S305" s="112"/>
      <c r="T305" s="106"/>
      <c r="V305" s="39">
        <v>6</v>
      </c>
    </row>
    <row r="306" spans="1:22" x14ac:dyDescent="0.25">
      <c r="A306" s="21">
        <v>45260</v>
      </c>
      <c r="B306" s="24">
        <f t="shared" ref="B306:B309" si="90">IF(A306&gt;A305,1+B305,"-")</f>
        <v>290</v>
      </c>
      <c r="C306" s="96" t="s">
        <v>340</v>
      </c>
      <c r="D306" s="27">
        <v>8.4967319999999997</v>
      </c>
      <c r="E306" s="46">
        <f t="shared" si="87"/>
        <v>10438762.952035885</v>
      </c>
      <c r="F306" s="112"/>
      <c r="G306" s="106"/>
      <c r="I306" s="39"/>
      <c r="J306" s="20">
        <f t="shared" si="73"/>
        <v>45260</v>
      </c>
      <c r="K306" s="27">
        <f>'BOGIX (Gross)'!K306</f>
        <v>9.028518</v>
      </c>
      <c r="L306" s="46">
        <f t="shared" si="88"/>
        <v>5863782.2623608094</v>
      </c>
      <c r="M306" s="112"/>
      <c r="N306" s="106"/>
      <c r="O306" s="39"/>
      <c r="P306" s="20">
        <f t="shared" si="49"/>
        <v>45260</v>
      </c>
      <c r="Q306" s="27">
        <f>'BOGIX (Gross)'!Q306</f>
        <v>8.2344270000000002</v>
      </c>
      <c r="R306" s="46">
        <f t="shared" si="89"/>
        <v>8910012.2037221063</v>
      </c>
      <c r="S306" s="112"/>
      <c r="T306" s="106"/>
      <c r="V306" s="39">
        <v>6</v>
      </c>
    </row>
    <row r="307" spans="1:22" x14ac:dyDescent="0.25">
      <c r="A307" s="21">
        <v>45291</v>
      </c>
      <c r="B307" s="24">
        <f t="shared" si="90"/>
        <v>291</v>
      </c>
      <c r="C307" s="96" t="s">
        <v>340</v>
      </c>
      <c r="D307" s="27">
        <v>12.4247</v>
      </c>
      <c r="E307" s="46">
        <f t="shared" si="87"/>
        <v>11735747.932537489</v>
      </c>
      <c r="F307" s="112">
        <f t="shared" ref="F307" si="91">(E307/E$295-1)*100</f>
        <v>21.135901333582432</v>
      </c>
      <c r="G307" s="106">
        <f t="shared" ref="G307" si="92">(E307/E304-1)*100</f>
        <v>14.274781072109931</v>
      </c>
      <c r="I307" s="39"/>
      <c r="J307" s="20">
        <f t="shared" si="73"/>
        <v>45291</v>
      </c>
      <c r="K307" s="27">
        <f>'BOGIX (Gross)'!K307</f>
        <v>12.23072</v>
      </c>
      <c r="L307" s="46">
        <f t="shared" si="88"/>
        <v>6580965.0522798253</v>
      </c>
      <c r="M307" s="112">
        <f>(L307/L$295-1)*100</f>
        <v>16.880006471677845</v>
      </c>
      <c r="N307" s="106">
        <f t="shared" ref="N307" si="93">(L307/L304-1)*100</f>
        <v>14.01615810239749</v>
      </c>
      <c r="O307" s="39"/>
      <c r="P307" s="20">
        <f t="shared" si="49"/>
        <v>45291</v>
      </c>
      <c r="Q307" s="27">
        <f>'BOGIX (Gross)'!Q307</f>
        <v>12.789160000000001</v>
      </c>
      <c r="R307" s="46">
        <f t="shared" si="89"/>
        <v>10049527.920475652</v>
      </c>
      <c r="S307" s="112">
        <f>(R307/R$295-1)*100</f>
        <v>15.941769174131903</v>
      </c>
      <c r="T307" s="106">
        <f t="shared" ref="T307" si="94">(R307/R304-1)*100</f>
        <v>15.071679914828762</v>
      </c>
      <c r="V307" s="39">
        <v>6</v>
      </c>
    </row>
    <row r="308" spans="1:22" x14ac:dyDescent="0.25">
      <c r="A308" s="21">
        <v>45322</v>
      </c>
      <c r="B308" s="24">
        <f t="shared" si="90"/>
        <v>292</v>
      </c>
      <c r="C308" s="96" t="s">
        <v>340</v>
      </c>
      <c r="D308" s="27">
        <v>-1.607502</v>
      </c>
      <c r="E308" s="46">
        <f t="shared" ref="E308" si="95">E307*D308/100+E307</f>
        <v>11547095.54980699</v>
      </c>
      <c r="F308" s="112"/>
      <c r="G308" s="106"/>
      <c r="I308" s="39"/>
      <c r="J308" s="20">
        <f t="shared" si="73"/>
        <v>45322</v>
      </c>
      <c r="K308" s="27">
        <f>'BOGIX (Gross)'!K308</f>
        <v>-3.8897680000000001</v>
      </c>
      <c r="L308" s="46">
        <f t="shared" ref="L308" si="96">L307*K308/100+L307</f>
        <v>6324980.7795850616</v>
      </c>
      <c r="M308" s="112"/>
      <c r="N308" s="106"/>
      <c r="O308" s="39"/>
      <c r="P308" s="20">
        <f t="shared" si="49"/>
        <v>45322</v>
      </c>
      <c r="Q308" s="27">
        <f>'BOGIX (Gross)'!Q308</f>
        <v>-3.952928</v>
      </c>
      <c r="R308" s="46">
        <f t="shared" ref="R308" si="97">R307*Q308/100+R307</f>
        <v>9652277.3174393531</v>
      </c>
      <c r="S308" s="112"/>
      <c r="T308" s="106"/>
      <c r="V308" s="39">
        <v>6</v>
      </c>
    </row>
    <row r="309" spans="1:22" x14ac:dyDescent="0.25">
      <c r="A309" s="21">
        <v>45351</v>
      </c>
      <c r="B309" s="24">
        <f t="shared" si="90"/>
        <v>293</v>
      </c>
      <c r="C309" s="96" t="s">
        <v>340</v>
      </c>
      <c r="D309" s="27">
        <v>3.0633080000000001</v>
      </c>
      <c r="E309" s="46">
        <f t="shared" ref="E309:E310" si="98">E308*D309/100+E308</f>
        <v>11900818.651551871</v>
      </c>
      <c r="F309" s="112"/>
      <c r="G309" s="106"/>
      <c r="I309" s="39"/>
      <c r="J309" s="20">
        <f t="shared" si="73"/>
        <v>45351</v>
      </c>
      <c r="K309" s="27">
        <f>'BOGIX (Gross)'!K309</f>
        <v>5.6506040000000004</v>
      </c>
      <c r="L309" s="46">
        <f t="shared" ref="L309:L310" si="99">L308*K309/100+L308</f>
        <v>6682380.3965155259</v>
      </c>
      <c r="M309" s="112"/>
      <c r="N309" s="106"/>
      <c r="O309" s="39"/>
      <c r="P309" s="20">
        <f t="shared" si="49"/>
        <v>45351</v>
      </c>
      <c r="Q309" s="27">
        <f>'BOGIX (Gross)'!Q309</f>
        <v>3.3164099999999999</v>
      </c>
      <c r="R309" s="46">
        <f t="shared" ref="R309:R310" si="100">R308*Q309/100+R308</f>
        <v>9972386.4076226428</v>
      </c>
      <c r="S309" s="112"/>
      <c r="T309" s="106"/>
      <c r="V309" s="39">
        <v>6</v>
      </c>
    </row>
    <row r="310" spans="1:22" x14ac:dyDescent="0.25">
      <c r="A310" s="21">
        <v>45382</v>
      </c>
      <c r="B310" s="24">
        <f t="shared" ref="B310:B313" si="101">IF(A310&gt;A309,1+B309,"-")</f>
        <v>294</v>
      </c>
      <c r="C310" s="96" t="s">
        <v>340</v>
      </c>
      <c r="D310" s="27">
        <v>4.062087</v>
      </c>
      <c r="E310" s="46">
        <f t="shared" si="98"/>
        <v>12384240.258890135</v>
      </c>
      <c r="F310" s="112"/>
      <c r="G310" s="106">
        <f t="shared" ref="G310" si="102">(E310/E307-1)*100</f>
        <v>5.5257860860720598</v>
      </c>
      <c r="I310" s="39"/>
      <c r="J310" s="20">
        <f t="shared" si="73"/>
        <v>45382</v>
      </c>
      <c r="K310" s="27">
        <f>'BOGIX (Gross)'!K310</f>
        <v>3.5787599999999999</v>
      </c>
      <c r="L310" s="46">
        <f t="shared" si="99"/>
        <v>6921526.7531938646</v>
      </c>
      <c r="M310" s="112"/>
      <c r="N310" s="106">
        <f t="shared" ref="N310" si="103">(L310/L307-1)*100</f>
        <v>5.1749507588717547</v>
      </c>
      <c r="O310" s="39"/>
      <c r="P310" s="20">
        <f t="shared" si="49"/>
        <v>45382</v>
      </c>
      <c r="Q310" s="27">
        <f>'BOGIX (Gross)'!Q310</f>
        <v>3.2380599999999999</v>
      </c>
      <c r="R310" s="46">
        <f t="shared" si="100"/>
        <v>10295298.262933308</v>
      </c>
      <c r="S310" s="112"/>
      <c r="T310" s="106">
        <f t="shared" ref="T310" si="104">(R310/R307-1)*100</f>
        <v>2.4455909213098925</v>
      </c>
      <c r="V310" s="39">
        <v>6</v>
      </c>
    </row>
    <row r="311" spans="1:22" x14ac:dyDescent="0.25">
      <c r="A311" s="21">
        <v>45412</v>
      </c>
      <c r="B311" s="24">
        <f t="shared" si="101"/>
        <v>295</v>
      </c>
      <c r="C311" s="96" t="s">
        <v>340</v>
      </c>
      <c r="D311" s="27">
        <v>-6.9819110000000002</v>
      </c>
      <c r="E311" s="46">
        <f t="shared" ref="E311:E313" si="105">E310*D311/100+E310</f>
        <v>11519583.625988256</v>
      </c>
      <c r="F311" s="112"/>
      <c r="G311" s="106"/>
      <c r="I311" s="39"/>
      <c r="J311" s="20">
        <f t="shared" si="73"/>
        <v>45412</v>
      </c>
      <c r="K311" s="27">
        <f>'BOGIX (Gross)'!K311</f>
        <v>-7.0382660000000001</v>
      </c>
      <c r="L311" s="46">
        <f t="shared" ref="L311:L313" si="106">L310*K311/100+L310</f>
        <v>6434371.2890429171</v>
      </c>
      <c r="M311" s="112"/>
      <c r="N311" s="106"/>
      <c r="O311" s="39"/>
      <c r="P311" s="20">
        <f t="shared" si="49"/>
        <v>45412</v>
      </c>
      <c r="Q311" s="27">
        <f>'BOGIX (Gross)'!Q311</f>
        <v>-5.6117460000000001</v>
      </c>
      <c r="R311" s="46">
        <f t="shared" ref="R311:R313" si="107">R310*Q311/100+R310</f>
        <v>9717552.274475079</v>
      </c>
      <c r="S311" s="112"/>
      <c r="T311" s="106"/>
      <c r="V311" s="39">
        <v>6</v>
      </c>
    </row>
    <row r="312" spans="1:22" x14ac:dyDescent="0.25">
      <c r="A312" s="21">
        <v>45443</v>
      </c>
      <c r="B312" s="24">
        <f t="shared" si="101"/>
        <v>296</v>
      </c>
      <c r="C312" s="96" t="s">
        <v>340</v>
      </c>
      <c r="D312" s="27">
        <v>4.7765269999999997</v>
      </c>
      <c r="E312" s="46">
        <f t="shared" si="105"/>
        <v>12069819.648171164</v>
      </c>
      <c r="F312" s="112"/>
      <c r="G312" s="106"/>
      <c r="I312" s="39"/>
      <c r="J312" s="20">
        <f t="shared" si="73"/>
        <v>45443</v>
      </c>
      <c r="K312" s="27">
        <f>'BOGIX (Gross)'!K312</f>
        <v>5.0208769999999996</v>
      </c>
      <c r="L312" s="46">
        <f t="shared" si="106"/>
        <v>6757433.1571890768</v>
      </c>
      <c r="M312" s="112"/>
      <c r="N312" s="106"/>
      <c r="O312" s="39"/>
      <c r="P312" s="20">
        <f t="shared" si="49"/>
        <v>45443</v>
      </c>
      <c r="Q312" s="27">
        <f>'BOGIX (Gross)'!Q312</f>
        <v>5.039256</v>
      </c>
      <c r="R312" s="46">
        <f t="shared" si="107"/>
        <v>10207244.610519702</v>
      </c>
      <c r="S312" s="112"/>
      <c r="T312" s="106"/>
      <c r="V312" s="39">
        <v>6</v>
      </c>
    </row>
    <row r="313" spans="1:22" x14ac:dyDescent="0.25">
      <c r="A313" s="21">
        <v>45473</v>
      </c>
      <c r="B313" s="24">
        <f t="shared" si="101"/>
        <v>297</v>
      </c>
      <c r="C313" s="96" t="s">
        <v>340</v>
      </c>
      <c r="D313" s="27">
        <v>-2.474764</v>
      </c>
      <c r="E313" s="46">
        <f t="shared" si="105"/>
        <v>11771120.096653298</v>
      </c>
      <c r="F313" s="112"/>
      <c r="G313" s="106">
        <f t="shared" ref="G313" si="108">(E313/E310-1)*100</f>
        <v>-4.9508096533956047</v>
      </c>
      <c r="I313" s="39"/>
      <c r="J313" s="20">
        <f t="shared" si="73"/>
        <v>45473</v>
      </c>
      <c r="K313" s="27">
        <f>'BOGIX (Gross)'!K313</f>
        <v>-0.92645219999999995</v>
      </c>
      <c r="L313" s="46">
        <f t="shared" si="106"/>
        <v>6694828.769040769</v>
      </c>
      <c r="M313" s="112"/>
      <c r="N313" s="106">
        <f t="shared" ref="N313" si="109">(L313/L310-1)*100</f>
        <v>-3.2752598124176635</v>
      </c>
      <c r="O313" s="39"/>
      <c r="P313" s="20">
        <f t="shared" si="49"/>
        <v>45473</v>
      </c>
      <c r="Q313" s="27">
        <f>'BOGIX (Gross)'!Q313</f>
        <v>-2.2750349999999999</v>
      </c>
      <c r="R313" s="46">
        <f t="shared" si="107"/>
        <v>9975026.2230947651</v>
      </c>
      <c r="S313" s="112"/>
      <c r="T313" s="106">
        <f t="shared" ref="T313" si="110">(R313/R310-1)*100</f>
        <v>-3.1108573220421931</v>
      </c>
      <c r="V313" s="39">
        <v>6</v>
      </c>
    </row>
    <row r="314" spans="1:22" x14ac:dyDescent="0.25">
      <c r="A314" s="21">
        <v>45504</v>
      </c>
      <c r="B314" s="24">
        <f t="shared" ref="B314:B318" si="111">IF(A314&gt;A313,1+B313,"-")</f>
        <v>298</v>
      </c>
      <c r="C314" s="96" t="s">
        <v>340</v>
      </c>
      <c r="D314" s="27">
        <v>9.8497500000000002</v>
      </c>
      <c r="E314" s="46">
        <f t="shared" ref="E314:E316" si="112">E313*D314/100+E313</f>
        <v>12930545.998373406</v>
      </c>
      <c r="F314" s="112"/>
      <c r="G314" s="106"/>
      <c r="I314" s="39"/>
      <c r="J314" s="20">
        <f t="shared" si="73"/>
        <v>45504</v>
      </c>
      <c r="K314" s="27">
        <f>'BOGIX (Gross)'!K314</f>
        <v>10.15991</v>
      </c>
      <c r="L314" s="46">
        <f t="shared" ref="L314:L316" si="113">L313*K314/100+L313</f>
        <v>7375017.3466294184</v>
      </c>
      <c r="M314" s="112"/>
      <c r="N314" s="106"/>
      <c r="O314" s="39"/>
      <c r="P314" s="20">
        <f t="shared" si="49"/>
        <v>45504</v>
      </c>
      <c r="Q314" s="27">
        <f>'BOGIX (Gross)'!Q314</f>
        <v>10.794890000000001</v>
      </c>
      <c r="R314" s="46">
        <f t="shared" ref="R314:R316" si="114">R313*Q314/100+R313</f>
        <v>11051819.331349</v>
      </c>
      <c r="S314" s="112"/>
      <c r="T314" s="106"/>
      <c r="V314" s="39">
        <v>6</v>
      </c>
    </row>
    <row r="315" spans="1:22" x14ac:dyDescent="0.25">
      <c r="A315" s="21">
        <v>45535</v>
      </c>
      <c r="B315" s="24">
        <f t="shared" si="111"/>
        <v>299</v>
      </c>
      <c r="C315" s="96" t="s">
        <v>340</v>
      </c>
      <c r="D315" s="27">
        <v>-1.884498</v>
      </c>
      <c r="E315" s="46">
        <f t="shared" si="112"/>
        <v>12686870.117644979</v>
      </c>
      <c r="F315" s="112"/>
      <c r="G315" s="106"/>
      <c r="I315" s="39"/>
      <c r="J315" s="20">
        <f t="shared" si="73"/>
        <v>45535</v>
      </c>
      <c r="K315" s="27">
        <f>'BOGIX (Gross)'!K315</f>
        <v>-1.4953719999999999</v>
      </c>
      <c r="L315" s="46">
        <f t="shared" si="113"/>
        <v>7264733.4022327792</v>
      </c>
      <c r="M315" s="112"/>
      <c r="N315" s="106"/>
      <c r="O315" s="39"/>
      <c r="P315" s="20">
        <f t="shared" si="49"/>
        <v>45535</v>
      </c>
      <c r="Q315" s="27">
        <f>'BOGIX (Gross)'!Q315</f>
        <v>-1.444175</v>
      </c>
      <c r="R315" s="46">
        <f t="shared" si="114"/>
        <v>10892211.719520491</v>
      </c>
      <c r="S315" s="112"/>
      <c r="T315" s="106"/>
      <c r="V315" s="39">
        <v>6</v>
      </c>
    </row>
    <row r="316" spans="1:22" x14ac:dyDescent="0.25">
      <c r="A316" s="21">
        <v>45565</v>
      </c>
      <c r="B316" s="24">
        <f t="shared" si="111"/>
        <v>300</v>
      </c>
      <c r="C316" s="96" t="s">
        <v>340</v>
      </c>
      <c r="D316" s="27">
        <v>1.2391570000000001</v>
      </c>
      <c r="E316" s="46">
        <f t="shared" si="112"/>
        <v>12844080.356788686</v>
      </c>
      <c r="F316" s="112"/>
      <c r="G316" s="106">
        <f t="shared" ref="G316" si="115">(E316/E313-1)*100</f>
        <v>9.115192533295513</v>
      </c>
      <c r="I316" s="39"/>
      <c r="J316" s="20">
        <f t="shared" si="73"/>
        <v>45565</v>
      </c>
      <c r="K316" s="27">
        <f>'BOGIX (Gross)'!K316</f>
        <v>0.69889100000000004</v>
      </c>
      <c r="L316" s="46">
        <f t="shared" si="113"/>
        <v>7315505.9701549783</v>
      </c>
      <c r="M316" s="112"/>
      <c r="N316" s="106">
        <f t="shared" ref="N316" si="116">(L316/L313-1)*100</f>
        <v>9.2709944126493369</v>
      </c>
      <c r="O316" s="39"/>
      <c r="P316" s="20">
        <f t="shared" si="49"/>
        <v>45565</v>
      </c>
      <c r="Q316" s="27">
        <f>'BOGIX (Gross)'!Q316</f>
        <v>0.83447249999999995</v>
      </c>
      <c r="R316" s="46">
        <f t="shared" si="114"/>
        <v>10983104.230961666</v>
      </c>
      <c r="S316" s="112"/>
      <c r="T316" s="106">
        <f t="shared" ref="T316" si="117">(R316/R313-1)*100</f>
        <v>10.106018624120905</v>
      </c>
      <c r="V316" s="39">
        <v>6</v>
      </c>
    </row>
    <row r="317" spans="1:22" x14ac:dyDescent="0.25">
      <c r="A317" s="21">
        <v>45596</v>
      </c>
      <c r="B317" s="24">
        <f t="shared" si="111"/>
        <v>301</v>
      </c>
      <c r="C317" s="96" t="s">
        <v>340</v>
      </c>
      <c r="D317" s="27">
        <v>-2.9987759999999999</v>
      </c>
      <c r="E317" s="46">
        <f t="shared" ref="E317:E321" si="118">E316*D317/100+E316</f>
        <v>12458915.157628592</v>
      </c>
      <c r="F317" s="112"/>
      <c r="G317" s="106"/>
      <c r="I317" s="39"/>
      <c r="J317" s="20">
        <f t="shared" si="73"/>
        <v>45596</v>
      </c>
      <c r="K317" s="27">
        <f>'BOGIX (Gross)'!K317</f>
        <v>-1.4444090000000001</v>
      </c>
      <c r="L317" s="46">
        <f t="shared" ref="L317:L321" si="119">L316*K317/100+L316</f>
        <v>7209840.1435265224</v>
      </c>
      <c r="M317" s="112"/>
      <c r="N317" s="106"/>
      <c r="O317" s="39"/>
      <c r="P317" s="20">
        <f t="shared" si="49"/>
        <v>45596</v>
      </c>
      <c r="Q317" s="27">
        <f>'BOGIX (Gross)'!Q317</f>
        <v>-2.6360079999999999</v>
      </c>
      <c r="R317" s="46">
        <f t="shared" ref="R317:R321" si="120">R316*Q317/100+R316</f>
        <v>10693588.724785177</v>
      </c>
      <c r="S317" s="112"/>
      <c r="T317" s="106"/>
      <c r="V317" s="39">
        <v>6</v>
      </c>
    </row>
    <row r="318" spans="1:22" x14ac:dyDescent="0.25">
      <c r="A318" s="21">
        <v>45626</v>
      </c>
      <c r="B318" s="24">
        <f t="shared" si="111"/>
        <v>302</v>
      </c>
      <c r="C318" s="96" t="s">
        <v>340</v>
      </c>
      <c r="D318" s="27">
        <v>8.8643529999999995</v>
      </c>
      <c r="E318" s="46">
        <f t="shared" si="118"/>
        <v>13563317.377171297</v>
      </c>
      <c r="F318" s="112"/>
      <c r="G318" s="106"/>
      <c r="I318" s="39"/>
      <c r="J318" s="20">
        <f t="shared" si="73"/>
        <v>45626</v>
      </c>
      <c r="K318" s="27">
        <f>'BOGIX (Gross)'!K318</f>
        <v>10.96611</v>
      </c>
      <c r="L318" s="46">
        <f t="shared" si="119"/>
        <v>8000479.1444897987</v>
      </c>
      <c r="M318" s="112"/>
      <c r="N318" s="106"/>
      <c r="O318" s="39"/>
      <c r="P318" s="20">
        <f t="shared" si="49"/>
        <v>45626</v>
      </c>
      <c r="Q318" s="27">
        <f>'BOGIX (Gross)'!Q318</f>
        <v>10.93075</v>
      </c>
      <c r="R318" s="46">
        <f t="shared" si="120"/>
        <v>11862478.174319632</v>
      </c>
      <c r="S318" s="112"/>
      <c r="T318" s="106"/>
      <c r="V318" s="39">
        <v>6</v>
      </c>
    </row>
    <row r="319" spans="1:22" x14ac:dyDescent="0.25">
      <c r="A319" s="21">
        <v>45657</v>
      </c>
      <c r="B319" s="24">
        <f t="shared" ref="B319:B322" si="121">IF(A319&gt;A318,1+B318,"-")</f>
        <v>303</v>
      </c>
      <c r="C319" s="96" t="s">
        <v>340</v>
      </c>
      <c r="D319" s="27">
        <v>-8.8147210000000005</v>
      </c>
      <c r="E319" s="46">
        <f t="shared" si="118"/>
        <v>12367748.792029129</v>
      </c>
      <c r="F319" s="112">
        <f t="shared" ref="F319" si="122">(E319/E$307-1)*100</f>
        <v>5.3852627299484812</v>
      </c>
      <c r="G319" s="106">
        <f t="shared" ref="G319" si="123">(E319/E316-1)*100</f>
        <v>-3.7085688622914392</v>
      </c>
      <c r="I319" s="39"/>
      <c r="J319" s="20">
        <f t="shared" si="73"/>
        <v>45657</v>
      </c>
      <c r="K319" s="27">
        <f>'BOGIX (Gross)'!K319</f>
        <v>-8.261158</v>
      </c>
      <c r="L319" s="46">
        <f t="shared" si="119"/>
        <v>7339546.9216064485</v>
      </c>
      <c r="M319" s="112">
        <f t="shared" ref="M319" si="124">(L319/L$307-1)*100</f>
        <v>11.526909249637018</v>
      </c>
      <c r="N319" s="106">
        <f t="shared" ref="N319" si="125">(L319/L316-1)*100</f>
        <v>0.32863005716281535</v>
      </c>
      <c r="O319" s="39"/>
      <c r="P319" s="20">
        <f t="shared" si="49"/>
        <v>45657</v>
      </c>
      <c r="Q319" s="27">
        <f>'BOGIX (Gross)'!Q319</f>
        <v>-7.9610960000000004</v>
      </c>
      <c r="R319" s="46">
        <f t="shared" si="120"/>
        <v>10918094.898882998</v>
      </c>
      <c r="S319" s="112">
        <f t="shared" ref="S319" si="126">(R319/R$307-1)*100</f>
        <v>8.6428634785686178</v>
      </c>
      <c r="T319" s="106">
        <f t="shared" ref="T319" si="127">(R319/R316-1)*100</f>
        <v>-0.59190307868884906</v>
      </c>
      <c r="V319" s="39">
        <v>6</v>
      </c>
    </row>
    <row r="320" spans="1:22" x14ac:dyDescent="0.25">
      <c r="A320" s="21">
        <v>45688</v>
      </c>
      <c r="B320" s="24">
        <f t="shared" si="121"/>
        <v>304</v>
      </c>
      <c r="C320" s="96" t="s">
        <v>340</v>
      </c>
      <c r="D320" s="27">
        <v>4.0584420000000003</v>
      </c>
      <c r="E320" s="46">
        <f t="shared" si="118"/>
        <v>12869686.703459332</v>
      </c>
      <c r="F320" s="112"/>
      <c r="G320" s="106"/>
      <c r="I320" s="39"/>
      <c r="J320" s="20">
        <f t="shared" si="73"/>
        <v>45688</v>
      </c>
      <c r="K320" s="27">
        <f>'BOGIX (Gross)'!K320</f>
        <v>2.6219139999999999</v>
      </c>
      <c r="L320" s="46">
        <f t="shared" si="119"/>
        <v>7531983.5298806168</v>
      </c>
      <c r="M320" s="112"/>
      <c r="N320" s="106"/>
      <c r="O320" s="39"/>
      <c r="P320" s="20">
        <f t="shared" si="49"/>
        <v>45688</v>
      </c>
      <c r="Q320" s="27">
        <f>'BOGIX (Gross)'!Q320</f>
        <v>2.9063159999999999</v>
      </c>
      <c r="R320" s="46">
        <f t="shared" si="120"/>
        <v>11235409.237824418</v>
      </c>
      <c r="S320" s="112"/>
      <c r="T320" s="106"/>
      <c r="V320" s="39">
        <v>6</v>
      </c>
    </row>
    <row r="321" spans="1:22" x14ac:dyDescent="0.25">
      <c r="A321" s="21">
        <v>45716</v>
      </c>
      <c r="B321" s="24">
        <f t="shared" si="121"/>
        <v>305</v>
      </c>
      <c r="C321" s="96" t="s">
        <v>340</v>
      </c>
      <c r="D321" s="27">
        <v>-5.7722309999999997</v>
      </c>
      <c r="E321" s="46">
        <f t="shared" si="118"/>
        <v>12126818.657959374</v>
      </c>
      <c r="F321" s="112"/>
      <c r="G321" s="106"/>
      <c r="I321" s="39"/>
      <c r="J321" s="20">
        <f t="shared" si="73"/>
        <v>45716</v>
      </c>
      <c r="K321" s="27">
        <f>'BOGIX (Gross)'!K321</f>
        <v>-5.3509830000000003</v>
      </c>
      <c r="L321" s="46">
        <f t="shared" si="119"/>
        <v>7128948.371633905</v>
      </c>
      <c r="M321" s="112"/>
      <c r="N321" s="106"/>
      <c r="O321" s="39"/>
      <c r="P321" s="20">
        <f t="shared" si="49"/>
        <v>45716</v>
      </c>
      <c r="Q321" s="27">
        <f>'BOGIX (Gross)'!Q321</f>
        <v>-5.7160909999999996</v>
      </c>
      <c r="R321" s="46">
        <f t="shared" si="120"/>
        <v>10593183.021567967</v>
      </c>
      <c r="S321" s="112"/>
      <c r="T321" s="106"/>
      <c r="V321" s="39">
        <v>6</v>
      </c>
    </row>
    <row r="322" spans="1:22" x14ac:dyDescent="0.25">
      <c r="A322" s="21">
        <v>45747</v>
      </c>
      <c r="B322" s="24">
        <f t="shared" si="121"/>
        <v>306</v>
      </c>
      <c r="C322" s="96" t="s">
        <v>340</v>
      </c>
      <c r="D322" s="27">
        <v>-5.0662250000000002</v>
      </c>
      <c r="E322" s="46">
        <f t="shared" ref="E322:E324" si="128">E321*D322/100+E321</f>
        <v>11512446.739405172</v>
      </c>
      <c r="F322" s="253"/>
      <c r="G322" s="131">
        <f>(E322/E319-1)*100</f>
        <v>-6.9155839676755875</v>
      </c>
      <c r="I322" s="39"/>
      <c r="J322" s="20">
        <f t="shared" si="73"/>
        <v>45747</v>
      </c>
      <c r="K322" s="27">
        <f>'BOGIX (Gross)'!K322</f>
        <v>-6.8090390000000003</v>
      </c>
      <c r="L322" s="46">
        <f t="shared" ref="L322:L324" si="129">L321*K322/100+L321</f>
        <v>6643535.496719487</v>
      </c>
      <c r="M322" s="253"/>
      <c r="N322" s="131">
        <f>(L322/L319-1)*100</f>
        <v>-9.4830298425917174</v>
      </c>
      <c r="O322" s="39"/>
      <c r="P322" s="20">
        <f t="shared" si="49"/>
        <v>45747</v>
      </c>
      <c r="Q322" s="27">
        <f>'BOGIX (Gross)'!Q322</f>
        <v>-6.145391</v>
      </c>
      <c r="R322" s="46">
        <f t="shared" ref="R322:R324" si="130">R321*Q322/100+R321</f>
        <v>9942190.5055470001</v>
      </c>
      <c r="S322" s="253"/>
      <c r="T322" s="131">
        <f>(R322/R319-1)*100</f>
        <v>-8.938412812622099</v>
      </c>
      <c r="V322" s="39">
        <v>6</v>
      </c>
    </row>
    <row r="323" spans="1:22" x14ac:dyDescent="0.25">
      <c r="A323" s="21">
        <v>45777</v>
      </c>
      <c r="B323" s="24">
        <f t="shared" ref="B323:B325" si="131">IF(A323&gt;A322,1+B322,"-")</f>
        <v>307</v>
      </c>
      <c r="C323" s="96" t="s">
        <v>340</v>
      </c>
      <c r="D323" s="27">
        <v>-2.1625390000000002</v>
      </c>
      <c r="E323" s="46">
        <f t="shared" si="128"/>
        <v>11263485.588811306</v>
      </c>
      <c r="F323" s="112"/>
      <c r="G323" s="106"/>
      <c r="I323" s="39"/>
      <c r="J323" s="20">
        <f t="shared" si="73"/>
        <v>45777</v>
      </c>
      <c r="K323" s="27">
        <f>'BOGIX (Gross)'!K323</f>
        <v>-2.3113199999999998</v>
      </c>
      <c r="L323" s="46">
        <f t="shared" si="129"/>
        <v>6489982.1320767105</v>
      </c>
      <c r="M323" s="112"/>
      <c r="N323" s="106"/>
      <c r="O323" s="39"/>
      <c r="P323" s="20">
        <f t="shared" si="49"/>
        <v>45777</v>
      </c>
      <c r="Q323" s="27">
        <f>'BOGIX (Gross)'!Q323</f>
        <v>-4.1882159999999997</v>
      </c>
      <c r="R323" s="46">
        <f t="shared" si="130"/>
        <v>9525790.0920432005</v>
      </c>
      <c r="S323" s="112"/>
      <c r="T323" s="106"/>
      <c r="V323" s="39">
        <v>6</v>
      </c>
    </row>
    <row r="324" spans="1:22" x14ac:dyDescent="0.25">
      <c r="A324" s="21">
        <v>45808</v>
      </c>
      <c r="B324" s="24">
        <f t="shared" si="131"/>
        <v>308</v>
      </c>
      <c r="C324" s="96" t="s">
        <v>340</v>
      </c>
      <c r="D324" s="27">
        <v>5.1693410000000002</v>
      </c>
      <c r="E324" s="46">
        <f t="shared" si="128"/>
        <v>11845733.56738282</v>
      </c>
      <c r="F324" s="112"/>
      <c r="G324" s="106"/>
      <c r="I324" s="39"/>
      <c r="J324" s="20">
        <f t="shared" si="73"/>
        <v>45808</v>
      </c>
      <c r="K324" s="27">
        <f>'BOGIX (Gross)'!K324</f>
        <v>5.3393110000000004</v>
      </c>
      <c r="L324" s="46">
        <f t="shared" si="129"/>
        <v>6836502.461952717</v>
      </c>
      <c r="M324" s="112"/>
      <c r="N324" s="106"/>
      <c r="O324" s="39"/>
      <c r="P324" s="20">
        <f t="shared" si="49"/>
        <v>45808</v>
      </c>
      <c r="Q324" s="27">
        <f>'BOGIX (Gross)'!Q324</f>
        <v>5.2287270000000001</v>
      </c>
      <c r="R324" s="46">
        <f t="shared" si="130"/>
        <v>10023867.650549188</v>
      </c>
      <c r="S324" s="112"/>
      <c r="T324" s="106"/>
      <c r="V324" s="39">
        <v>6</v>
      </c>
    </row>
    <row r="325" spans="1:22" x14ac:dyDescent="0.25">
      <c r="A325" s="21">
        <v>45838</v>
      </c>
      <c r="B325" s="24">
        <f t="shared" si="131"/>
        <v>309</v>
      </c>
      <c r="C325" s="96" t="s">
        <v>340</v>
      </c>
      <c r="D325" s="27">
        <v>4</v>
      </c>
      <c r="E325" s="46">
        <f t="shared" ref="E325:E327" si="132">E324*D325/100+E324</f>
        <v>12319562.910078133</v>
      </c>
      <c r="F325" s="253"/>
      <c r="G325" s="131">
        <f>(E325/E322-1)*100</f>
        <v>7.0108135042252773</v>
      </c>
      <c r="I325" s="39"/>
      <c r="J325" s="20">
        <f t="shared" si="73"/>
        <v>45838</v>
      </c>
      <c r="K325" s="27">
        <f>'BOGIX (Gross)'!K325</f>
        <v>5.4339259999999996</v>
      </c>
      <c r="L325" s="46">
        <f t="shared" ref="L325:L327" si="133">L324*K325/100+L324</f>
        <v>7207992.9467234062</v>
      </c>
      <c r="M325" s="253"/>
      <c r="N325" s="131">
        <f>(L325/L322-1)*100</f>
        <v>8.4963412972301136</v>
      </c>
      <c r="O325" s="39"/>
      <c r="P325" s="20">
        <f t="shared" si="49"/>
        <v>45838</v>
      </c>
      <c r="Q325" s="27">
        <f>'BOGIX (Gross)'!Q325</f>
        <v>4.0408080000000002</v>
      </c>
      <c r="R325" s="46">
        <f t="shared" ref="R325:R327" si="134">R324*Q325/100+R324</f>
        <v>10428912.896481993</v>
      </c>
      <c r="S325" s="253">
        <f>(R325/R$319-1)*100</f>
        <v>-4.4804703286747571</v>
      </c>
      <c r="T325" s="131">
        <f>(R325/R322-1)*100</f>
        <v>4.8955246900915572</v>
      </c>
      <c r="V325" s="39">
        <v>6</v>
      </c>
    </row>
    <row r="326" spans="1:22" x14ac:dyDescent="0.25">
      <c r="A326" s="21">
        <v>45869</v>
      </c>
      <c r="B326" s="24">
        <f t="shared" ref="B326:B328" si="135">IF(A326&gt;A325,1+B325,"-")</f>
        <v>310</v>
      </c>
      <c r="C326" s="96" t="s">
        <v>340</v>
      </c>
      <c r="D326" s="27">
        <v>0.78226859999999998</v>
      </c>
      <c r="E326" s="46">
        <f t="shared" si="132"/>
        <v>12415934.982380919</v>
      </c>
      <c r="F326" s="112"/>
      <c r="G326" s="106"/>
      <c r="I326" s="39"/>
      <c r="J326" s="20">
        <f t="shared" si="73"/>
        <v>45869</v>
      </c>
      <c r="K326" s="27">
        <f>'BOGIX (Gross)'!K326</f>
        <v>1.7346760000000001</v>
      </c>
      <c r="L326" s="46">
        <f t="shared" si="133"/>
        <v>7333028.2704519099</v>
      </c>
      <c r="M326" s="112"/>
      <c r="N326" s="106"/>
      <c r="O326" s="39"/>
      <c r="P326" s="20">
        <f t="shared" si="49"/>
        <v>45869</v>
      </c>
      <c r="Q326" s="27">
        <f>'BOGIX (Gross)'!Q326</f>
        <v>0.92689690000000002</v>
      </c>
      <c r="R326" s="46">
        <f t="shared" si="134"/>
        <v>10525578.166823184</v>
      </c>
      <c r="S326" s="112"/>
      <c r="T326" s="106"/>
      <c r="V326" s="39">
        <v>6</v>
      </c>
    </row>
    <row r="327" spans="1:22" x14ac:dyDescent="0.25">
      <c r="A327" s="21">
        <v>45900</v>
      </c>
      <c r="B327" s="24">
        <f t="shared" si="135"/>
        <v>311</v>
      </c>
      <c r="C327" s="96" t="s">
        <v>340</v>
      </c>
      <c r="D327" s="27">
        <v>8.1824060000000003</v>
      </c>
      <c r="E327" s="46">
        <f t="shared" si="132"/>
        <v>13431857.191335354</v>
      </c>
      <c r="F327" s="112"/>
      <c r="G327" s="106"/>
      <c r="I327" s="39"/>
      <c r="J327" s="20">
        <f t="shared" si="73"/>
        <v>45900</v>
      </c>
      <c r="K327" s="27">
        <f>'BOGIX (Gross)'!K327</f>
        <v>7.1434139999999999</v>
      </c>
      <c r="L327" s="46">
        <f t="shared" si="133"/>
        <v>7856856.8385473294</v>
      </c>
      <c r="M327" s="112"/>
      <c r="N327" s="106"/>
      <c r="O327" s="39"/>
      <c r="P327" s="20">
        <f t="shared" si="49"/>
        <v>45900</v>
      </c>
      <c r="Q327" s="27">
        <f>'BOGIX (Gross)'!Q327</f>
        <v>7.0620659999999997</v>
      </c>
      <c r="R327" s="46">
        <f t="shared" si="134"/>
        <v>11268901.443845827</v>
      </c>
      <c r="S327" s="112"/>
      <c r="T327" s="106"/>
      <c r="V327" s="39">
        <v>6</v>
      </c>
    </row>
    <row r="328" spans="1:22" x14ac:dyDescent="0.25">
      <c r="A328" s="21">
        <v>45930</v>
      </c>
      <c r="B328" s="24">
        <f t="shared" si="135"/>
        <v>312</v>
      </c>
      <c r="C328" s="96" t="s">
        <v>340</v>
      </c>
      <c r="D328" s="27">
        <v>-0.2092676</v>
      </c>
      <c r="E328" s="46">
        <f t="shared" ref="E328:E330" si="136">E327*D328/100+E327</f>
        <v>13403748.66615562</v>
      </c>
      <c r="F328" s="253"/>
      <c r="G328" s="131">
        <f>(E328/E325-1)*100</f>
        <v>8.8005212846517402</v>
      </c>
      <c r="I328" s="39"/>
      <c r="J328" s="20">
        <f t="shared" si="73"/>
        <v>45930</v>
      </c>
      <c r="K328" s="27">
        <f>'BOGIX (Gross)'!K328</f>
        <v>3.11131</v>
      </c>
      <c r="L328" s="46">
        <f t="shared" ref="L328:L330" si="137">L327*K328/100+L327</f>
        <v>8101308.0110507365</v>
      </c>
      <c r="M328" s="253">
        <f>(L328/L$319-1)*100</f>
        <v>10.378857136287056</v>
      </c>
      <c r="N328" s="131">
        <f>(L328/L325-1)*100</f>
        <v>12.393395372749527</v>
      </c>
      <c r="O328" s="39"/>
      <c r="P328" s="20">
        <f t="shared" si="49"/>
        <v>45930</v>
      </c>
      <c r="Q328" s="27">
        <f>'BOGIX (Gross)'!Q328</f>
        <v>0.97821230000000003</v>
      </c>
      <c r="R328" s="46">
        <f t="shared" ref="R328:R330" si="138">R327*Q328/100+R327</f>
        <v>11379135.223844405</v>
      </c>
      <c r="S328" s="253">
        <f>(R328/R$319-1)*100</f>
        <v>4.2227176923381959</v>
      </c>
      <c r="T328" s="131">
        <f>(R328/R325-1)*100</f>
        <v>9.1114226074603835</v>
      </c>
      <c r="V328" s="39">
        <v>6</v>
      </c>
    </row>
    <row r="329" spans="1:22" x14ac:dyDescent="0.25">
      <c r="A329" s="21">
        <v>45961</v>
      </c>
      <c r="B329" s="24">
        <f t="shared" ref="B329:B331" si="139">IF(A329&gt;A328,1+B328,"-")</f>
        <v>313</v>
      </c>
      <c r="C329" s="96" t="s">
        <v>340</v>
      </c>
      <c r="D329" s="27">
        <v>-1.318155</v>
      </c>
      <c r="E329" s="46">
        <f t="shared" si="136"/>
        <v>13227066.482925257</v>
      </c>
      <c r="F329" s="112"/>
      <c r="G329" s="106"/>
      <c r="I329" s="39"/>
      <c r="J329" s="20">
        <f t="shared" si="73"/>
        <v>45961</v>
      </c>
      <c r="K329" s="27">
        <f>'BOGIX (Gross)'!K329</f>
        <v>1.8091459999999999</v>
      </c>
      <c r="L329" s="46">
        <f t="shared" si="137"/>
        <v>8247872.5008803401</v>
      </c>
      <c r="M329" s="112"/>
      <c r="N329" s="106"/>
      <c r="O329" s="39"/>
      <c r="P329" s="20">
        <f t="shared" si="49"/>
        <v>45961</v>
      </c>
      <c r="Q329" s="27">
        <f>'BOGIX (Gross)'!Q329</f>
        <v>-0.87566129999999998</v>
      </c>
      <c r="R329" s="46">
        <f t="shared" si="138"/>
        <v>11279492.540414531</v>
      </c>
      <c r="S329" s="112"/>
      <c r="T329" s="106"/>
      <c r="V329" s="39">
        <v>6</v>
      </c>
    </row>
    <row r="330" spans="1:22" x14ac:dyDescent="0.25">
      <c r="A330" s="21">
        <v>45991</v>
      </c>
      <c r="B330" s="24">
        <f t="shared" si="139"/>
        <v>314</v>
      </c>
      <c r="C330" s="96" t="s">
        <v>340</v>
      </c>
      <c r="D330" s="27">
        <v>1.0928960000000001</v>
      </c>
      <c r="E330" s="46">
        <f t="shared" si="136"/>
        <v>13371624.563434487</v>
      </c>
      <c r="F330" s="112"/>
      <c r="G330" s="106"/>
      <c r="I330" s="39"/>
      <c r="J330" s="20">
        <f t="shared" si="73"/>
        <v>45991</v>
      </c>
      <c r="K330" s="27">
        <f>'BOGIX (Gross)'!K330</f>
        <v>0.95805180000000001</v>
      </c>
      <c r="L330" s="46">
        <f t="shared" si="137"/>
        <v>8326891.3918367289</v>
      </c>
      <c r="M330" s="112"/>
      <c r="N330" s="106"/>
      <c r="O330" s="39"/>
      <c r="P330" s="20">
        <f t="shared" si="49"/>
        <v>45991</v>
      </c>
      <c r="Q330" s="27">
        <f>'BOGIX (Gross)'!Q330</f>
        <v>2.6493350000000002</v>
      </c>
      <c r="R330" s="46">
        <f t="shared" si="138"/>
        <v>11578324.084110122</v>
      </c>
      <c r="S330" s="112"/>
      <c r="T330" s="106"/>
      <c r="V330" s="39">
        <v>6</v>
      </c>
    </row>
    <row r="331" spans="1:22" x14ac:dyDescent="0.25">
      <c r="A331" s="21">
        <v>46022</v>
      </c>
      <c r="B331" s="24">
        <f t="shared" si="139"/>
        <v>315</v>
      </c>
      <c r="C331" s="96" t="s">
        <v>340</v>
      </c>
      <c r="D331" s="27">
        <v>0.84810540000000001</v>
      </c>
      <c r="E331" s="46">
        <f t="shared" ref="E331" si="140">E330*D331/100+E330</f>
        <v>13485030.033424702</v>
      </c>
      <c r="F331" s="253">
        <f>(E331/E$319-1)*100</f>
        <v>9.0338287119451124</v>
      </c>
      <c r="G331" s="131">
        <f>(E331/E328-1)*100</f>
        <v>0.60640772438771418</v>
      </c>
      <c r="I331" s="39"/>
      <c r="J331" s="20">
        <f t="shared" si="73"/>
        <v>46022</v>
      </c>
      <c r="K331" s="27">
        <f>'BOGIX (Gross)'!K331</f>
        <v>-0.58173470000000005</v>
      </c>
      <c r="L331" s="46">
        <f t="shared" ref="L331" si="141">L330*K331/100+L330</f>
        <v>8278450.9751791013</v>
      </c>
      <c r="M331" s="253">
        <f>(L331/L$319-1)*100</f>
        <v>12.792397999509619</v>
      </c>
      <c r="N331" s="131">
        <f>(L331/L328-1)*100</f>
        <v>2.1865970765057918</v>
      </c>
      <c r="O331" s="39"/>
      <c r="P331" s="20">
        <f t="shared" si="49"/>
        <v>46022</v>
      </c>
      <c r="Q331" s="27">
        <f>'BOGIX (Gross)'!Q331</f>
        <v>-5.727964E-2</v>
      </c>
      <c r="R331" s="46">
        <f t="shared" ref="R331" si="142">R330*Q331/100+R330</f>
        <v>11571692.061756711</v>
      </c>
      <c r="S331" s="253">
        <f>(R331/R$319-1)*100</f>
        <v>5.986366384675601</v>
      </c>
      <c r="T331" s="131">
        <f>(R331/R328-1)*100</f>
        <v>1.6921921932065098</v>
      </c>
      <c r="V331" s="39">
        <v>6</v>
      </c>
    </row>
    <row r="332" spans="1:22" x14ac:dyDescent="0.25">
      <c r="B332" s="24" t="str">
        <f t="shared" si="27"/>
        <v>-</v>
      </c>
      <c r="K332" s="34"/>
      <c r="L332" s="34"/>
    </row>
    <row r="333" spans="1:22" x14ac:dyDescent="0.25">
      <c r="B333" s="24" t="str">
        <f t="shared" si="27"/>
        <v>-</v>
      </c>
      <c r="J333" t="s">
        <v>340</v>
      </c>
      <c r="K333" s="29">
        <f>_xll.BDP(J$333&amp;" US EQUITY","cust trr return holding per","cust trr start dt",TEXT($A322,"YYYYMMDD"),"cust trr end dt",TEXT($A323,"YYYYMMDD"))</f>
        <v>-2.1625390000000002</v>
      </c>
      <c r="L333" s="34"/>
    </row>
    <row r="334" spans="1:22" x14ac:dyDescent="0.25">
      <c r="B334" s="24" t="str">
        <f t="shared" si="27"/>
        <v>-</v>
      </c>
      <c r="K334" s="34"/>
      <c r="L334" s="34"/>
    </row>
    <row r="335" spans="1:22" x14ac:dyDescent="0.25">
      <c r="B335" s="24" t="str">
        <f t="shared" si="27"/>
        <v>-</v>
      </c>
      <c r="K335" s="34"/>
      <c r="L335" s="34"/>
    </row>
    <row r="336" spans="1:22" x14ac:dyDescent="0.25">
      <c r="B336" s="24" t="str">
        <f t="shared" si="27"/>
        <v>-</v>
      </c>
      <c r="K336" s="34"/>
      <c r="L336" s="34"/>
    </row>
    <row r="337" spans="2:12" x14ac:dyDescent="0.25">
      <c r="B337" s="24" t="str">
        <f t="shared" si="27"/>
        <v>-</v>
      </c>
      <c r="K337" s="34"/>
      <c r="L337" s="34"/>
    </row>
    <row r="338" spans="2:12" x14ac:dyDescent="0.25">
      <c r="B338" s="24" t="str">
        <f t="shared" ref="B338:B401" si="143">IF(A338&gt;A337,1+B337,"-")</f>
        <v>-</v>
      </c>
      <c r="K338" s="34"/>
      <c r="L338" s="34"/>
    </row>
    <row r="339" spans="2:12" x14ac:dyDescent="0.25">
      <c r="B339" s="24" t="str">
        <f t="shared" si="143"/>
        <v>-</v>
      </c>
      <c r="K339" s="34"/>
      <c r="L339" s="34"/>
    </row>
    <row r="340" spans="2:12" x14ac:dyDescent="0.25">
      <c r="B340" s="24" t="str">
        <f t="shared" si="143"/>
        <v>-</v>
      </c>
      <c r="K340" s="34"/>
      <c r="L340" s="34"/>
    </row>
    <row r="341" spans="2:12" x14ac:dyDescent="0.25">
      <c r="B341" s="24" t="str">
        <f t="shared" si="143"/>
        <v>-</v>
      </c>
      <c r="K341" s="34"/>
      <c r="L341" s="34"/>
    </row>
    <row r="342" spans="2:12" x14ac:dyDescent="0.25">
      <c r="B342" s="24" t="str">
        <f t="shared" si="143"/>
        <v>-</v>
      </c>
      <c r="K342" s="34"/>
      <c r="L342" s="34"/>
    </row>
    <row r="343" spans="2:12" x14ac:dyDescent="0.25">
      <c r="B343" s="24" t="str">
        <f t="shared" si="143"/>
        <v>-</v>
      </c>
      <c r="K343" s="34"/>
      <c r="L343" s="34"/>
    </row>
    <row r="344" spans="2:12" x14ac:dyDescent="0.25">
      <c r="B344" s="24" t="str">
        <f t="shared" si="143"/>
        <v>-</v>
      </c>
      <c r="K344" s="34"/>
      <c r="L344" s="34"/>
    </row>
    <row r="345" spans="2:12" x14ac:dyDescent="0.25">
      <c r="B345" s="24" t="str">
        <f t="shared" si="143"/>
        <v>-</v>
      </c>
      <c r="K345" s="34"/>
      <c r="L345" s="34"/>
    </row>
    <row r="346" spans="2:12" x14ac:dyDescent="0.25">
      <c r="B346" s="24" t="str">
        <f t="shared" si="143"/>
        <v>-</v>
      </c>
      <c r="K346" s="34"/>
      <c r="L346" s="34"/>
    </row>
    <row r="347" spans="2:12" x14ac:dyDescent="0.25">
      <c r="B347" s="24" t="str">
        <f t="shared" si="143"/>
        <v>-</v>
      </c>
      <c r="K347" s="34"/>
      <c r="L347" s="34"/>
    </row>
    <row r="348" spans="2:12" x14ac:dyDescent="0.25">
      <c r="B348" s="24" t="str">
        <f t="shared" si="143"/>
        <v>-</v>
      </c>
      <c r="K348" s="34"/>
      <c r="L348" s="34"/>
    </row>
    <row r="349" spans="2:12" x14ac:dyDescent="0.25">
      <c r="B349" s="24" t="str">
        <f t="shared" si="143"/>
        <v>-</v>
      </c>
      <c r="K349" s="34"/>
      <c r="L349" s="34"/>
    </row>
    <row r="350" spans="2:12" x14ac:dyDescent="0.25">
      <c r="B350" s="24" t="str">
        <f t="shared" si="143"/>
        <v>-</v>
      </c>
      <c r="K350" s="34"/>
      <c r="L350" s="34"/>
    </row>
    <row r="351" spans="2:12" x14ac:dyDescent="0.25">
      <c r="B351" s="24" t="str">
        <f t="shared" si="143"/>
        <v>-</v>
      </c>
      <c r="K351" s="34"/>
      <c r="L351" s="34"/>
    </row>
    <row r="352" spans="2:12" x14ac:dyDescent="0.25">
      <c r="B352" s="24" t="str">
        <f t="shared" si="143"/>
        <v>-</v>
      </c>
      <c r="K352" s="34"/>
      <c r="L352" s="34"/>
    </row>
    <row r="353" spans="2:12" x14ac:dyDescent="0.25">
      <c r="B353" s="24" t="str">
        <f t="shared" si="143"/>
        <v>-</v>
      </c>
      <c r="K353" s="34"/>
      <c r="L353" s="34"/>
    </row>
    <row r="354" spans="2:12" x14ac:dyDescent="0.25">
      <c r="B354" s="24" t="str">
        <f t="shared" si="143"/>
        <v>-</v>
      </c>
      <c r="K354" s="34"/>
      <c r="L354" s="34"/>
    </row>
    <row r="355" spans="2:12" x14ac:dyDescent="0.25">
      <c r="B355" s="24" t="str">
        <f t="shared" si="143"/>
        <v>-</v>
      </c>
      <c r="K355" s="34"/>
      <c r="L355" s="34"/>
    </row>
    <row r="356" spans="2:12" x14ac:dyDescent="0.25">
      <c r="B356" s="24" t="str">
        <f t="shared" si="143"/>
        <v>-</v>
      </c>
      <c r="K356" s="34"/>
      <c r="L356" s="34"/>
    </row>
    <row r="357" spans="2:12" x14ac:dyDescent="0.25">
      <c r="B357" s="24" t="str">
        <f t="shared" si="143"/>
        <v>-</v>
      </c>
      <c r="K357" s="34"/>
      <c r="L357" s="34"/>
    </row>
    <row r="358" spans="2:12" x14ac:dyDescent="0.25">
      <c r="B358" s="24" t="str">
        <f t="shared" si="143"/>
        <v>-</v>
      </c>
      <c r="K358" s="34"/>
      <c r="L358" s="34"/>
    </row>
    <row r="359" spans="2:12" x14ac:dyDescent="0.25">
      <c r="B359" s="24" t="str">
        <f t="shared" si="143"/>
        <v>-</v>
      </c>
      <c r="K359" s="34"/>
      <c r="L359" s="34"/>
    </row>
    <row r="360" spans="2:12" x14ac:dyDescent="0.25">
      <c r="B360" s="24" t="str">
        <f t="shared" si="143"/>
        <v>-</v>
      </c>
      <c r="K360" s="34"/>
      <c r="L360" s="34"/>
    </row>
    <row r="361" spans="2:12" x14ac:dyDescent="0.25">
      <c r="B361" s="24" t="str">
        <f t="shared" si="143"/>
        <v>-</v>
      </c>
      <c r="K361" s="34"/>
      <c r="L361" s="34"/>
    </row>
    <row r="362" spans="2:12" x14ac:dyDescent="0.25">
      <c r="B362" s="24" t="str">
        <f t="shared" si="143"/>
        <v>-</v>
      </c>
      <c r="K362" s="34"/>
      <c r="L362" s="34"/>
    </row>
    <row r="363" spans="2:12" x14ac:dyDescent="0.25">
      <c r="B363" s="24" t="str">
        <f t="shared" si="143"/>
        <v>-</v>
      </c>
      <c r="K363" s="34"/>
      <c r="L363" s="34"/>
    </row>
    <row r="364" spans="2:12" x14ac:dyDescent="0.25">
      <c r="B364" s="24" t="str">
        <f t="shared" si="143"/>
        <v>-</v>
      </c>
      <c r="K364" s="34"/>
      <c r="L364" s="34"/>
    </row>
    <row r="365" spans="2:12" x14ac:dyDescent="0.25">
      <c r="B365" s="24" t="str">
        <f t="shared" si="143"/>
        <v>-</v>
      </c>
      <c r="K365" s="34"/>
      <c r="L365" s="34"/>
    </row>
    <row r="366" spans="2:12" x14ac:dyDescent="0.25">
      <c r="B366" s="24" t="str">
        <f t="shared" si="143"/>
        <v>-</v>
      </c>
      <c r="K366" s="34"/>
      <c r="L366" s="34"/>
    </row>
    <row r="367" spans="2:12" x14ac:dyDescent="0.25">
      <c r="B367" s="24" t="str">
        <f t="shared" si="143"/>
        <v>-</v>
      </c>
      <c r="K367" s="34"/>
      <c r="L367" s="34"/>
    </row>
    <row r="368" spans="2:12" x14ac:dyDescent="0.25">
      <c r="B368" s="24" t="str">
        <f t="shared" si="143"/>
        <v>-</v>
      </c>
      <c r="K368" s="34"/>
      <c r="L368" s="34"/>
    </row>
    <row r="369" spans="2:12" x14ac:dyDescent="0.25">
      <c r="B369" s="24" t="str">
        <f t="shared" si="143"/>
        <v>-</v>
      </c>
      <c r="K369" s="34"/>
      <c r="L369" s="34"/>
    </row>
    <row r="370" spans="2:12" x14ac:dyDescent="0.25">
      <c r="B370" s="24" t="str">
        <f t="shared" si="143"/>
        <v>-</v>
      </c>
      <c r="K370" s="34"/>
      <c r="L370" s="34"/>
    </row>
    <row r="371" spans="2:12" x14ac:dyDescent="0.25">
      <c r="B371" s="24" t="str">
        <f t="shared" si="143"/>
        <v>-</v>
      </c>
      <c r="K371" s="34"/>
      <c r="L371" s="34"/>
    </row>
    <row r="372" spans="2:12" x14ac:dyDescent="0.25">
      <c r="B372" s="24" t="str">
        <f t="shared" si="143"/>
        <v>-</v>
      </c>
      <c r="K372" s="34"/>
      <c r="L372" s="34"/>
    </row>
    <row r="373" spans="2:12" x14ac:dyDescent="0.25">
      <c r="B373" s="24" t="str">
        <f t="shared" si="143"/>
        <v>-</v>
      </c>
      <c r="K373" s="34"/>
      <c r="L373" s="34"/>
    </row>
    <row r="374" spans="2:12" x14ac:dyDescent="0.25">
      <c r="B374" s="24" t="str">
        <f t="shared" si="143"/>
        <v>-</v>
      </c>
      <c r="K374" s="34"/>
      <c r="L374" s="34"/>
    </row>
    <row r="375" spans="2:12" x14ac:dyDescent="0.25">
      <c r="B375" s="24" t="str">
        <f t="shared" si="143"/>
        <v>-</v>
      </c>
      <c r="K375" s="34"/>
      <c r="L375" s="34"/>
    </row>
    <row r="376" spans="2:12" x14ac:dyDescent="0.25">
      <c r="B376" s="24" t="str">
        <f t="shared" si="143"/>
        <v>-</v>
      </c>
      <c r="K376" s="34"/>
      <c r="L376" s="34"/>
    </row>
    <row r="377" spans="2:12" x14ac:dyDescent="0.25">
      <c r="B377" s="24" t="str">
        <f t="shared" si="143"/>
        <v>-</v>
      </c>
      <c r="K377" s="34"/>
      <c r="L377" s="34"/>
    </row>
    <row r="378" spans="2:12" x14ac:dyDescent="0.25">
      <c r="B378" s="24" t="str">
        <f t="shared" si="143"/>
        <v>-</v>
      </c>
      <c r="K378" s="34"/>
      <c r="L378" s="34"/>
    </row>
    <row r="379" spans="2:12" x14ac:dyDescent="0.25">
      <c r="B379" s="24" t="str">
        <f t="shared" si="143"/>
        <v>-</v>
      </c>
      <c r="K379" s="34"/>
      <c r="L379" s="34"/>
    </row>
    <row r="380" spans="2:12" x14ac:dyDescent="0.25">
      <c r="B380" s="24" t="str">
        <f t="shared" si="143"/>
        <v>-</v>
      </c>
      <c r="K380" s="34"/>
      <c r="L380" s="34"/>
    </row>
    <row r="381" spans="2:12" x14ac:dyDescent="0.25">
      <c r="B381" s="24" t="str">
        <f t="shared" si="143"/>
        <v>-</v>
      </c>
      <c r="K381" s="34"/>
      <c r="L381" s="34"/>
    </row>
    <row r="382" spans="2:12" x14ac:dyDescent="0.25">
      <c r="B382" s="24" t="str">
        <f t="shared" si="143"/>
        <v>-</v>
      </c>
      <c r="K382" s="34"/>
      <c r="L382" s="34"/>
    </row>
    <row r="383" spans="2:12" x14ac:dyDescent="0.25">
      <c r="B383" s="24" t="str">
        <f t="shared" si="143"/>
        <v>-</v>
      </c>
      <c r="K383" s="34"/>
      <c r="L383" s="34"/>
    </row>
    <row r="384" spans="2:12" x14ac:dyDescent="0.25">
      <c r="B384" s="24" t="str">
        <f t="shared" si="143"/>
        <v>-</v>
      </c>
      <c r="K384" s="34"/>
      <c r="L384" s="34"/>
    </row>
    <row r="385" spans="2:12" x14ac:dyDescent="0.25">
      <c r="B385" s="24" t="str">
        <f t="shared" si="143"/>
        <v>-</v>
      </c>
      <c r="K385" s="34"/>
      <c r="L385" s="34"/>
    </row>
    <row r="386" spans="2:12" x14ac:dyDescent="0.25">
      <c r="B386" s="24" t="str">
        <f t="shared" si="143"/>
        <v>-</v>
      </c>
      <c r="K386" s="34"/>
      <c r="L386" s="34"/>
    </row>
    <row r="387" spans="2:12" x14ac:dyDescent="0.25">
      <c r="B387" s="24" t="str">
        <f t="shared" si="143"/>
        <v>-</v>
      </c>
      <c r="K387" s="34"/>
      <c r="L387" s="34"/>
    </row>
    <row r="388" spans="2:12" x14ac:dyDescent="0.25">
      <c r="B388" s="24" t="str">
        <f t="shared" si="143"/>
        <v>-</v>
      </c>
      <c r="K388" s="34"/>
      <c r="L388" s="34"/>
    </row>
    <row r="389" spans="2:12" x14ac:dyDescent="0.25">
      <c r="B389" s="24" t="str">
        <f t="shared" si="143"/>
        <v>-</v>
      </c>
      <c r="K389" s="34"/>
      <c r="L389" s="34"/>
    </row>
    <row r="390" spans="2:12" x14ac:dyDescent="0.25">
      <c r="B390" s="24" t="str">
        <f t="shared" si="143"/>
        <v>-</v>
      </c>
      <c r="K390" s="34"/>
      <c r="L390" s="34"/>
    </row>
    <row r="391" spans="2:12" x14ac:dyDescent="0.25">
      <c r="B391" s="24" t="str">
        <f t="shared" si="143"/>
        <v>-</v>
      </c>
      <c r="K391" s="34"/>
      <c r="L391" s="34"/>
    </row>
    <row r="392" spans="2:12" x14ac:dyDescent="0.25">
      <c r="B392" s="24" t="str">
        <f t="shared" si="143"/>
        <v>-</v>
      </c>
      <c r="K392" s="34"/>
      <c r="L392" s="34"/>
    </row>
    <row r="393" spans="2:12" x14ac:dyDescent="0.25">
      <c r="B393" s="24" t="str">
        <f t="shared" si="143"/>
        <v>-</v>
      </c>
      <c r="K393" s="34"/>
      <c r="L393" s="34"/>
    </row>
    <row r="394" spans="2:12" x14ac:dyDescent="0.25">
      <c r="B394" s="24" t="str">
        <f t="shared" si="143"/>
        <v>-</v>
      </c>
      <c r="K394" s="34"/>
      <c r="L394" s="34"/>
    </row>
    <row r="395" spans="2:12" x14ac:dyDescent="0.25">
      <c r="B395" s="24" t="str">
        <f t="shared" si="143"/>
        <v>-</v>
      </c>
      <c r="K395" s="34"/>
      <c r="L395" s="34"/>
    </row>
    <row r="396" spans="2:12" x14ac:dyDescent="0.25">
      <c r="B396" s="24" t="str">
        <f t="shared" si="143"/>
        <v>-</v>
      </c>
      <c r="K396" s="34"/>
      <c r="L396" s="34"/>
    </row>
    <row r="397" spans="2:12" x14ac:dyDescent="0.25">
      <c r="B397" s="24" t="str">
        <f t="shared" si="143"/>
        <v>-</v>
      </c>
      <c r="K397" s="34"/>
      <c r="L397" s="34"/>
    </row>
    <row r="398" spans="2:12" x14ac:dyDescent="0.25">
      <c r="B398" s="24" t="str">
        <f t="shared" si="143"/>
        <v>-</v>
      </c>
      <c r="K398" s="34"/>
      <c r="L398" s="34"/>
    </row>
    <row r="399" spans="2:12" x14ac:dyDescent="0.25">
      <c r="B399" s="24" t="str">
        <f t="shared" si="143"/>
        <v>-</v>
      </c>
      <c r="K399" s="34"/>
      <c r="L399" s="34"/>
    </row>
    <row r="400" spans="2:12" x14ac:dyDescent="0.25">
      <c r="B400" s="24" t="str">
        <f t="shared" si="143"/>
        <v>-</v>
      </c>
      <c r="K400" s="34"/>
      <c r="L400" s="34"/>
    </row>
    <row r="401" spans="2:12" x14ac:dyDescent="0.25">
      <c r="B401" s="24" t="str">
        <f t="shared" si="143"/>
        <v>-</v>
      </c>
      <c r="K401" s="34"/>
      <c r="L401" s="34"/>
    </row>
    <row r="402" spans="2:12" x14ac:dyDescent="0.25">
      <c r="B402" s="24" t="str">
        <f t="shared" ref="B402:B465" si="144">IF(A402&gt;A401,1+B401,"-")</f>
        <v>-</v>
      </c>
      <c r="K402" s="34"/>
      <c r="L402" s="34"/>
    </row>
    <row r="403" spans="2:12" x14ac:dyDescent="0.25">
      <c r="B403" s="24" t="str">
        <f t="shared" si="144"/>
        <v>-</v>
      </c>
      <c r="K403" s="34"/>
      <c r="L403" s="34"/>
    </row>
    <row r="404" spans="2:12" x14ac:dyDescent="0.25">
      <c r="B404" s="24" t="str">
        <f t="shared" si="144"/>
        <v>-</v>
      </c>
      <c r="K404" s="34"/>
      <c r="L404" s="34"/>
    </row>
    <row r="405" spans="2:12" x14ac:dyDescent="0.25">
      <c r="B405" s="24" t="str">
        <f t="shared" si="144"/>
        <v>-</v>
      </c>
      <c r="K405" s="34"/>
      <c r="L405" s="34"/>
    </row>
    <row r="406" spans="2:12" x14ac:dyDescent="0.25">
      <c r="B406" s="24" t="str">
        <f t="shared" si="144"/>
        <v>-</v>
      </c>
      <c r="K406" s="34"/>
      <c r="L406" s="34"/>
    </row>
    <row r="407" spans="2:12" x14ac:dyDescent="0.25">
      <c r="B407" s="24" t="str">
        <f t="shared" si="144"/>
        <v>-</v>
      </c>
      <c r="K407" s="34"/>
      <c r="L407" s="34"/>
    </row>
    <row r="408" spans="2:12" x14ac:dyDescent="0.25">
      <c r="B408" s="24" t="str">
        <f t="shared" si="144"/>
        <v>-</v>
      </c>
      <c r="K408" s="34"/>
      <c r="L408" s="34"/>
    </row>
    <row r="409" spans="2:12" x14ac:dyDescent="0.25">
      <c r="B409" s="24" t="str">
        <f t="shared" si="144"/>
        <v>-</v>
      </c>
      <c r="K409" s="34"/>
      <c r="L409" s="34"/>
    </row>
    <row r="410" spans="2:12" x14ac:dyDescent="0.25">
      <c r="B410" s="24" t="str">
        <f t="shared" si="144"/>
        <v>-</v>
      </c>
      <c r="K410" s="34"/>
      <c r="L410" s="34"/>
    </row>
    <row r="411" spans="2:12" x14ac:dyDescent="0.25">
      <c r="B411" s="24" t="str">
        <f t="shared" si="144"/>
        <v>-</v>
      </c>
      <c r="K411" s="34"/>
      <c r="L411" s="34"/>
    </row>
    <row r="412" spans="2:12" x14ac:dyDescent="0.25">
      <c r="B412" s="24" t="str">
        <f t="shared" si="144"/>
        <v>-</v>
      </c>
      <c r="K412" s="34"/>
      <c r="L412" s="34"/>
    </row>
    <row r="413" spans="2:12" x14ac:dyDescent="0.25">
      <c r="B413" s="24" t="str">
        <f t="shared" si="144"/>
        <v>-</v>
      </c>
      <c r="K413" s="34"/>
      <c r="L413" s="34"/>
    </row>
    <row r="414" spans="2:12" x14ac:dyDescent="0.25">
      <c r="B414" s="24" t="str">
        <f t="shared" si="144"/>
        <v>-</v>
      </c>
      <c r="K414" s="34"/>
      <c r="L414" s="34"/>
    </row>
    <row r="415" spans="2:12" x14ac:dyDescent="0.25">
      <c r="B415" s="24" t="str">
        <f t="shared" si="144"/>
        <v>-</v>
      </c>
      <c r="K415" s="34"/>
      <c r="L415" s="34"/>
    </row>
    <row r="416" spans="2:12" x14ac:dyDescent="0.25">
      <c r="B416" s="24" t="str">
        <f t="shared" si="144"/>
        <v>-</v>
      </c>
      <c r="K416" s="34"/>
      <c r="L416" s="34"/>
    </row>
    <row r="417" spans="2:12" x14ac:dyDescent="0.25">
      <c r="B417" s="24" t="str">
        <f t="shared" si="144"/>
        <v>-</v>
      </c>
      <c r="K417" s="34"/>
      <c r="L417" s="34"/>
    </row>
    <row r="418" spans="2:12" x14ac:dyDescent="0.25">
      <c r="B418" s="24" t="str">
        <f t="shared" si="144"/>
        <v>-</v>
      </c>
      <c r="K418" s="34"/>
      <c r="L418" s="34"/>
    </row>
    <row r="419" spans="2:12" x14ac:dyDescent="0.25">
      <c r="B419" s="24" t="str">
        <f t="shared" si="144"/>
        <v>-</v>
      </c>
      <c r="K419" s="34"/>
      <c r="L419" s="34"/>
    </row>
    <row r="420" spans="2:12" x14ac:dyDescent="0.25">
      <c r="B420" s="24" t="str">
        <f t="shared" si="144"/>
        <v>-</v>
      </c>
      <c r="K420" s="34"/>
      <c r="L420" s="34"/>
    </row>
    <row r="421" spans="2:12" x14ac:dyDescent="0.25">
      <c r="B421" s="24" t="str">
        <f t="shared" si="144"/>
        <v>-</v>
      </c>
      <c r="K421" s="34"/>
      <c r="L421" s="34"/>
    </row>
    <row r="422" spans="2:12" x14ac:dyDescent="0.25">
      <c r="B422" s="24" t="str">
        <f t="shared" si="144"/>
        <v>-</v>
      </c>
      <c r="K422" s="34"/>
      <c r="L422" s="34"/>
    </row>
    <row r="423" spans="2:12" x14ac:dyDescent="0.25">
      <c r="B423" s="24" t="str">
        <f t="shared" si="144"/>
        <v>-</v>
      </c>
      <c r="K423" s="34"/>
      <c r="L423" s="34"/>
    </row>
    <row r="424" spans="2:12" x14ac:dyDescent="0.25">
      <c r="B424" s="24" t="str">
        <f t="shared" si="144"/>
        <v>-</v>
      </c>
      <c r="K424" s="34"/>
      <c r="L424" s="34"/>
    </row>
    <row r="425" spans="2:12" x14ac:dyDescent="0.25">
      <c r="B425" s="24" t="str">
        <f t="shared" si="144"/>
        <v>-</v>
      </c>
      <c r="K425" s="34"/>
      <c r="L425" s="34"/>
    </row>
    <row r="426" spans="2:12" x14ac:dyDescent="0.25">
      <c r="B426" s="24" t="str">
        <f t="shared" si="144"/>
        <v>-</v>
      </c>
      <c r="K426" s="34"/>
      <c r="L426" s="34"/>
    </row>
    <row r="427" spans="2:12" x14ac:dyDescent="0.25">
      <c r="B427" s="24" t="str">
        <f t="shared" si="144"/>
        <v>-</v>
      </c>
      <c r="K427" s="34"/>
      <c r="L427" s="34"/>
    </row>
    <row r="428" spans="2:12" x14ac:dyDescent="0.25">
      <c r="B428" s="24" t="str">
        <f t="shared" si="144"/>
        <v>-</v>
      </c>
      <c r="K428" s="34"/>
      <c r="L428" s="34"/>
    </row>
    <row r="429" spans="2:12" x14ac:dyDescent="0.25">
      <c r="B429" s="24" t="str">
        <f t="shared" si="144"/>
        <v>-</v>
      </c>
      <c r="K429" s="34"/>
      <c r="L429" s="34"/>
    </row>
    <row r="430" spans="2:12" x14ac:dyDescent="0.25">
      <c r="B430" s="24" t="str">
        <f t="shared" si="144"/>
        <v>-</v>
      </c>
      <c r="K430" s="34"/>
      <c r="L430" s="34"/>
    </row>
    <row r="431" spans="2:12" x14ac:dyDescent="0.25">
      <c r="B431" s="24" t="str">
        <f t="shared" si="144"/>
        <v>-</v>
      </c>
      <c r="K431" s="34"/>
      <c r="L431" s="34"/>
    </row>
    <row r="432" spans="2:12" x14ac:dyDescent="0.25">
      <c r="B432" s="24" t="str">
        <f t="shared" si="144"/>
        <v>-</v>
      </c>
      <c r="K432" s="34"/>
      <c r="L432" s="34"/>
    </row>
    <row r="433" spans="2:12" x14ac:dyDescent="0.25">
      <c r="B433" s="24" t="str">
        <f t="shared" si="144"/>
        <v>-</v>
      </c>
      <c r="K433" s="34"/>
      <c r="L433" s="34"/>
    </row>
    <row r="434" spans="2:12" x14ac:dyDescent="0.25">
      <c r="B434" s="24" t="str">
        <f t="shared" si="144"/>
        <v>-</v>
      </c>
      <c r="K434" s="34"/>
      <c r="L434" s="34"/>
    </row>
    <row r="435" spans="2:12" x14ac:dyDescent="0.25">
      <c r="B435" s="24" t="str">
        <f t="shared" si="144"/>
        <v>-</v>
      </c>
      <c r="K435" s="34"/>
      <c r="L435" s="34"/>
    </row>
    <row r="436" spans="2:12" x14ac:dyDescent="0.25">
      <c r="B436" s="24" t="str">
        <f t="shared" si="144"/>
        <v>-</v>
      </c>
      <c r="K436" s="34"/>
      <c r="L436" s="34"/>
    </row>
    <row r="437" spans="2:12" x14ac:dyDescent="0.25">
      <c r="B437" s="24" t="str">
        <f t="shared" si="144"/>
        <v>-</v>
      </c>
      <c r="K437" s="34"/>
      <c r="L437" s="34"/>
    </row>
    <row r="438" spans="2:12" x14ac:dyDescent="0.25">
      <c r="B438" s="24" t="str">
        <f t="shared" si="144"/>
        <v>-</v>
      </c>
      <c r="K438" s="34"/>
      <c r="L438" s="34"/>
    </row>
    <row r="439" spans="2:12" x14ac:dyDescent="0.25">
      <c r="B439" s="24" t="str">
        <f t="shared" si="144"/>
        <v>-</v>
      </c>
      <c r="K439" s="34"/>
      <c r="L439" s="34"/>
    </row>
    <row r="440" spans="2:12" x14ac:dyDescent="0.25">
      <c r="B440" s="24" t="str">
        <f t="shared" si="144"/>
        <v>-</v>
      </c>
      <c r="K440" s="34"/>
      <c r="L440" s="34"/>
    </row>
    <row r="441" spans="2:12" x14ac:dyDescent="0.25">
      <c r="B441" s="24" t="str">
        <f t="shared" si="144"/>
        <v>-</v>
      </c>
      <c r="K441" s="34"/>
      <c r="L441" s="34"/>
    </row>
    <row r="442" spans="2:12" x14ac:dyDescent="0.25">
      <c r="B442" s="24" t="str">
        <f t="shared" si="144"/>
        <v>-</v>
      </c>
      <c r="K442" s="34"/>
      <c r="L442" s="34"/>
    </row>
    <row r="443" spans="2:12" x14ac:dyDescent="0.25">
      <c r="B443" s="24" t="str">
        <f t="shared" si="144"/>
        <v>-</v>
      </c>
      <c r="K443" s="34"/>
      <c r="L443" s="34"/>
    </row>
    <row r="444" spans="2:12" x14ac:dyDescent="0.25">
      <c r="B444" s="24" t="str">
        <f t="shared" si="144"/>
        <v>-</v>
      </c>
      <c r="K444" s="34"/>
      <c r="L444" s="34"/>
    </row>
    <row r="445" spans="2:12" x14ac:dyDescent="0.25">
      <c r="B445" s="24" t="str">
        <f t="shared" si="144"/>
        <v>-</v>
      </c>
      <c r="K445" s="34"/>
      <c r="L445" s="34"/>
    </row>
    <row r="446" spans="2:12" x14ac:dyDescent="0.25">
      <c r="B446" s="24" t="str">
        <f t="shared" si="144"/>
        <v>-</v>
      </c>
      <c r="K446" s="34"/>
      <c r="L446" s="34"/>
    </row>
    <row r="447" spans="2:12" x14ac:dyDescent="0.25">
      <c r="B447" s="24" t="str">
        <f t="shared" si="144"/>
        <v>-</v>
      </c>
      <c r="K447" s="34"/>
      <c r="L447" s="34"/>
    </row>
    <row r="448" spans="2:12" x14ac:dyDescent="0.25">
      <c r="B448" s="24" t="str">
        <f t="shared" si="144"/>
        <v>-</v>
      </c>
      <c r="K448" s="34"/>
      <c r="L448" s="34"/>
    </row>
    <row r="449" spans="2:12" x14ac:dyDescent="0.25">
      <c r="B449" s="24" t="str">
        <f t="shared" si="144"/>
        <v>-</v>
      </c>
      <c r="K449" s="34"/>
      <c r="L449" s="34"/>
    </row>
    <row r="450" spans="2:12" x14ac:dyDescent="0.25">
      <c r="B450" s="24" t="str">
        <f t="shared" si="144"/>
        <v>-</v>
      </c>
      <c r="K450" s="34"/>
      <c r="L450" s="34"/>
    </row>
    <row r="451" spans="2:12" x14ac:dyDescent="0.25">
      <c r="B451" s="24" t="str">
        <f t="shared" si="144"/>
        <v>-</v>
      </c>
      <c r="K451" s="34"/>
      <c r="L451" s="34"/>
    </row>
    <row r="452" spans="2:12" x14ac:dyDescent="0.25">
      <c r="B452" s="24" t="str">
        <f t="shared" si="144"/>
        <v>-</v>
      </c>
      <c r="K452" s="34"/>
      <c r="L452" s="34"/>
    </row>
    <row r="453" spans="2:12" x14ac:dyDescent="0.25">
      <c r="B453" s="24" t="str">
        <f t="shared" si="144"/>
        <v>-</v>
      </c>
      <c r="K453" s="34"/>
      <c r="L453" s="34"/>
    </row>
    <row r="454" spans="2:12" x14ac:dyDescent="0.25">
      <c r="B454" s="24" t="str">
        <f t="shared" si="144"/>
        <v>-</v>
      </c>
      <c r="K454" s="34"/>
      <c r="L454" s="34"/>
    </row>
    <row r="455" spans="2:12" x14ac:dyDescent="0.25">
      <c r="B455" s="24" t="str">
        <f t="shared" si="144"/>
        <v>-</v>
      </c>
      <c r="K455" s="34"/>
      <c r="L455" s="34"/>
    </row>
    <row r="456" spans="2:12" x14ac:dyDescent="0.25">
      <c r="B456" s="24" t="str">
        <f t="shared" si="144"/>
        <v>-</v>
      </c>
      <c r="K456" s="34"/>
      <c r="L456" s="34"/>
    </row>
    <row r="457" spans="2:12" x14ac:dyDescent="0.25">
      <c r="B457" s="24" t="str">
        <f t="shared" si="144"/>
        <v>-</v>
      </c>
      <c r="K457" s="34"/>
      <c r="L457" s="34"/>
    </row>
    <row r="458" spans="2:12" x14ac:dyDescent="0.25">
      <c r="B458" s="24" t="str">
        <f t="shared" si="144"/>
        <v>-</v>
      </c>
      <c r="K458" s="34"/>
      <c r="L458" s="34"/>
    </row>
    <row r="459" spans="2:12" x14ac:dyDescent="0.25">
      <c r="B459" s="24" t="str">
        <f t="shared" si="144"/>
        <v>-</v>
      </c>
      <c r="K459" s="34"/>
      <c r="L459" s="34"/>
    </row>
    <row r="460" spans="2:12" x14ac:dyDescent="0.25">
      <c r="B460" s="24" t="str">
        <f t="shared" si="144"/>
        <v>-</v>
      </c>
      <c r="K460" s="34"/>
      <c r="L460" s="34"/>
    </row>
    <row r="461" spans="2:12" x14ac:dyDescent="0.25">
      <c r="B461" s="24" t="str">
        <f t="shared" si="144"/>
        <v>-</v>
      </c>
      <c r="K461" s="34"/>
      <c r="L461" s="34"/>
    </row>
    <row r="462" spans="2:12" x14ac:dyDescent="0.25">
      <c r="B462" s="24" t="str">
        <f t="shared" si="144"/>
        <v>-</v>
      </c>
      <c r="K462" s="34"/>
      <c r="L462" s="34"/>
    </row>
    <row r="463" spans="2:12" x14ac:dyDescent="0.25">
      <c r="B463" s="24" t="str">
        <f t="shared" si="144"/>
        <v>-</v>
      </c>
      <c r="K463" s="34"/>
      <c r="L463" s="34"/>
    </row>
    <row r="464" spans="2:12" x14ac:dyDescent="0.25">
      <c r="B464" s="24" t="str">
        <f t="shared" si="144"/>
        <v>-</v>
      </c>
      <c r="K464" s="34"/>
      <c r="L464" s="34"/>
    </row>
    <row r="465" spans="2:12" x14ac:dyDescent="0.25">
      <c r="B465" s="24" t="str">
        <f t="shared" si="144"/>
        <v>-</v>
      </c>
      <c r="K465" s="34"/>
      <c r="L465" s="34"/>
    </row>
    <row r="466" spans="2:12" x14ac:dyDescent="0.25">
      <c r="B466" s="24" t="str">
        <f t="shared" ref="B466:B509" si="145">IF(A466&gt;A465,1+B465,"-")</f>
        <v>-</v>
      </c>
      <c r="K466" s="34"/>
      <c r="L466" s="34"/>
    </row>
    <row r="467" spans="2:12" x14ac:dyDescent="0.25">
      <c r="B467" s="24" t="str">
        <f t="shared" si="145"/>
        <v>-</v>
      </c>
      <c r="K467" s="34"/>
      <c r="L467" s="34"/>
    </row>
    <row r="468" spans="2:12" x14ac:dyDescent="0.25">
      <c r="B468" s="24" t="str">
        <f t="shared" si="145"/>
        <v>-</v>
      </c>
      <c r="K468" s="34"/>
      <c r="L468" s="34"/>
    </row>
    <row r="469" spans="2:12" x14ac:dyDescent="0.25">
      <c r="B469" s="24" t="str">
        <f t="shared" si="145"/>
        <v>-</v>
      </c>
      <c r="K469" s="34"/>
      <c r="L469" s="34"/>
    </row>
    <row r="470" spans="2:12" x14ac:dyDescent="0.25">
      <c r="B470" s="24" t="str">
        <f t="shared" si="145"/>
        <v>-</v>
      </c>
      <c r="K470" s="34"/>
      <c r="L470" s="34"/>
    </row>
    <row r="471" spans="2:12" x14ac:dyDescent="0.25">
      <c r="B471" s="24" t="str">
        <f t="shared" si="145"/>
        <v>-</v>
      </c>
      <c r="K471" s="34"/>
      <c r="L471" s="34"/>
    </row>
    <row r="472" spans="2:12" x14ac:dyDescent="0.25">
      <c r="B472" s="24" t="str">
        <f t="shared" si="145"/>
        <v>-</v>
      </c>
      <c r="K472" s="34"/>
      <c r="L472" s="34"/>
    </row>
    <row r="473" spans="2:12" x14ac:dyDescent="0.25">
      <c r="B473" s="24" t="str">
        <f t="shared" si="145"/>
        <v>-</v>
      </c>
      <c r="K473" s="34"/>
      <c r="L473" s="34"/>
    </row>
    <row r="474" spans="2:12" x14ac:dyDescent="0.25">
      <c r="B474" s="24" t="str">
        <f t="shared" si="145"/>
        <v>-</v>
      </c>
      <c r="K474" s="34"/>
      <c r="L474" s="34"/>
    </row>
    <row r="475" spans="2:12" x14ac:dyDescent="0.25">
      <c r="B475" s="24" t="str">
        <f t="shared" si="145"/>
        <v>-</v>
      </c>
      <c r="K475" s="34"/>
      <c r="L475" s="34"/>
    </row>
    <row r="476" spans="2:12" x14ac:dyDescent="0.25">
      <c r="B476" s="24" t="str">
        <f t="shared" si="145"/>
        <v>-</v>
      </c>
      <c r="K476" s="34"/>
      <c r="L476" s="34"/>
    </row>
    <row r="477" spans="2:12" x14ac:dyDescent="0.25">
      <c r="B477" s="24" t="str">
        <f t="shared" si="145"/>
        <v>-</v>
      </c>
      <c r="K477" s="34"/>
      <c r="L477" s="34"/>
    </row>
    <row r="478" spans="2:12" x14ac:dyDescent="0.25">
      <c r="B478" s="24" t="str">
        <f t="shared" si="145"/>
        <v>-</v>
      </c>
      <c r="K478" s="34"/>
      <c r="L478" s="34"/>
    </row>
    <row r="479" spans="2:12" x14ac:dyDescent="0.25">
      <c r="B479" s="24" t="str">
        <f t="shared" si="145"/>
        <v>-</v>
      </c>
      <c r="K479" s="34"/>
      <c r="L479" s="34"/>
    </row>
    <row r="480" spans="2:12" x14ac:dyDescent="0.25">
      <c r="B480" s="24" t="str">
        <f t="shared" si="145"/>
        <v>-</v>
      </c>
      <c r="K480" s="34"/>
      <c r="L480" s="34"/>
    </row>
    <row r="481" spans="2:12" x14ac:dyDescent="0.25">
      <c r="B481" s="24" t="str">
        <f t="shared" si="145"/>
        <v>-</v>
      </c>
      <c r="K481" s="34"/>
      <c r="L481" s="34"/>
    </row>
    <row r="482" spans="2:12" x14ac:dyDescent="0.25">
      <c r="B482" s="24" t="str">
        <f t="shared" si="145"/>
        <v>-</v>
      </c>
      <c r="K482" s="34"/>
      <c r="L482" s="34"/>
    </row>
    <row r="483" spans="2:12" x14ac:dyDescent="0.25">
      <c r="B483" s="24" t="str">
        <f t="shared" si="145"/>
        <v>-</v>
      </c>
      <c r="K483" s="34"/>
      <c r="L483" s="34"/>
    </row>
    <row r="484" spans="2:12" x14ac:dyDescent="0.25">
      <c r="B484" s="24" t="str">
        <f t="shared" si="145"/>
        <v>-</v>
      </c>
      <c r="K484" s="34"/>
      <c r="L484" s="34"/>
    </row>
    <row r="485" spans="2:12" x14ac:dyDescent="0.25">
      <c r="B485" s="24" t="str">
        <f t="shared" si="145"/>
        <v>-</v>
      </c>
      <c r="K485" s="34"/>
      <c r="L485" s="34"/>
    </row>
    <row r="486" spans="2:12" x14ac:dyDescent="0.25">
      <c r="B486" s="24" t="str">
        <f t="shared" si="145"/>
        <v>-</v>
      </c>
      <c r="K486" s="34"/>
      <c r="L486" s="34"/>
    </row>
    <row r="487" spans="2:12" x14ac:dyDescent="0.25">
      <c r="B487" s="24" t="str">
        <f t="shared" si="145"/>
        <v>-</v>
      </c>
      <c r="K487" s="34"/>
      <c r="L487" s="34"/>
    </row>
    <row r="488" spans="2:12" x14ac:dyDescent="0.25">
      <c r="B488" s="24" t="str">
        <f t="shared" si="145"/>
        <v>-</v>
      </c>
      <c r="K488" s="34"/>
      <c r="L488" s="34"/>
    </row>
    <row r="489" spans="2:12" x14ac:dyDescent="0.25">
      <c r="B489" s="24" t="str">
        <f t="shared" si="145"/>
        <v>-</v>
      </c>
      <c r="K489" s="34"/>
      <c r="L489" s="34"/>
    </row>
    <row r="490" spans="2:12" x14ac:dyDescent="0.25">
      <c r="B490" s="24" t="str">
        <f t="shared" si="145"/>
        <v>-</v>
      </c>
      <c r="K490" s="34"/>
      <c r="L490" s="34"/>
    </row>
    <row r="491" spans="2:12" x14ac:dyDescent="0.25">
      <c r="B491" s="24" t="str">
        <f t="shared" si="145"/>
        <v>-</v>
      </c>
      <c r="K491" s="34"/>
      <c r="L491" s="34"/>
    </row>
    <row r="492" spans="2:12" x14ac:dyDescent="0.25">
      <c r="B492" s="24" t="str">
        <f t="shared" si="145"/>
        <v>-</v>
      </c>
      <c r="K492" s="34"/>
      <c r="L492" s="34"/>
    </row>
    <row r="493" spans="2:12" x14ac:dyDescent="0.25">
      <c r="B493" s="24" t="str">
        <f t="shared" si="145"/>
        <v>-</v>
      </c>
      <c r="K493" s="34"/>
      <c r="L493" s="34"/>
    </row>
    <row r="494" spans="2:12" x14ac:dyDescent="0.25">
      <c r="B494" s="24" t="str">
        <f t="shared" si="145"/>
        <v>-</v>
      </c>
      <c r="K494" s="34"/>
      <c r="L494" s="34"/>
    </row>
    <row r="495" spans="2:12" x14ac:dyDescent="0.25">
      <c r="B495" s="24" t="str">
        <f t="shared" si="145"/>
        <v>-</v>
      </c>
      <c r="K495" s="34"/>
      <c r="L495" s="34"/>
    </row>
    <row r="496" spans="2:12" x14ac:dyDescent="0.25">
      <c r="B496" s="24" t="str">
        <f t="shared" si="145"/>
        <v>-</v>
      </c>
      <c r="K496" s="34"/>
      <c r="L496" s="34"/>
    </row>
    <row r="497" spans="2:12" x14ac:dyDescent="0.25">
      <c r="B497" s="24" t="str">
        <f t="shared" si="145"/>
        <v>-</v>
      </c>
      <c r="K497" s="34"/>
      <c r="L497" s="34"/>
    </row>
    <row r="498" spans="2:12" x14ac:dyDescent="0.25">
      <c r="B498" s="24" t="str">
        <f t="shared" si="145"/>
        <v>-</v>
      </c>
      <c r="K498" s="34"/>
      <c r="L498" s="34"/>
    </row>
    <row r="499" spans="2:12" x14ac:dyDescent="0.25">
      <c r="B499" s="24" t="str">
        <f t="shared" si="145"/>
        <v>-</v>
      </c>
      <c r="K499" s="34"/>
      <c r="L499" s="34"/>
    </row>
    <row r="500" spans="2:12" x14ac:dyDescent="0.25">
      <c r="B500" s="24" t="str">
        <f t="shared" si="145"/>
        <v>-</v>
      </c>
      <c r="K500" s="34"/>
      <c r="L500" s="34"/>
    </row>
    <row r="501" spans="2:12" x14ac:dyDescent="0.25">
      <c r="B501" s="24" t="str">
        <f t="shared" si="145"/>
        <v>-</v>
      </c>
      <c r="K501" s="34"/>
      <c r="L501" s="34"/>
    </row>
    <row r="502" spans="2:12" x14ac:dyDescent="0.25">
      <c r="B502" s="24" t="str">
        <f t="shared" si="145"/>
        <v>-</v>
      </c>
      <c r="K502" s="34"/>
      <c r="L502" s="34"/>
    </row>
    <row r="503" spans="2:12" x14ac:dyDescent="0.25">
      <c r="B503" s="24" t="str">
        <f t="shared" si="145"/>
        <v>-</v>
      </c>
    </row>
    <row r="504" spans="2:12" x14ac:dyDescent="0.25">
      <c r="B504" s="24" t="str">
        <f t="shared" si="145"/>
        <v>-</v>
      </c>
    </row>
    <row r="505" spans="2:12" x14ac:dyDescent="0.25">
      <c r="B505" s="24" t="str">
        <f t="shared" si="145"/>
        <v>-</v>
      </c>
    </row>
    <row r="506" spans="2:12" x14ac:dyDescent="0.25">
      <c r="B506" s="24" t="str">
        <f t="shared" si="145"/>
        <v>-</v>
      </c>
    </row>
    <row r="507" spans="2:12" x14ac:dyDescent="0.25">
      <c r="B507" s="24" t="str">
        <f t="shared" si="145"/>
        <v>-</v>
      </c>
    </row>
    <row r="508" spans="2:12" x14ac:dyDescent="0.25">
      <c r="B508" s="24" t="str">
        <f t="shared" si="145"/>
        <v>-</v>
      </c>
    </row>
    <row r="509" spans="2:12" x14ac:dyDescent="0.25">
      <c r="B509" s="24" t="str">
        <f t="shared" si="145"/>
        <v>-</v>
      </c>
    </row>
  </sheetData>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CI505"/>
  <sheetViews>
    <sheetView zoomScaleNormal="100" zoomScalePageLayoutView="85" workbookViewId="0">
      <pane xSplit="2" ySplit="14" topLeftCell="AU146" activePane="bottomRight" state="frozen"/>
      <selection pane="topRight" activeCell="L16" sqref="L16:L53"/>
      <selection pane="bottomLeft" activeCell="L16" sqref="L16:L53"/>
      <selection pane="bottomRight" activeCell="BH172" sqref="BH172"/>
    </sheetView>
  </sheetViews>
  <sheetFormatPr defaultColWidth="11" defaultRowHeight="15.75" x14ac:dyDescent="0.25"/>
  <cols>
    <col min="1" max="1" width="13.125" customWidth="1"/>
    <col min="2" max="2" width="5" style="23" customWidth="1"/>
    <col min="3" max="3" width="7.625" style="23" bestFit="1" customWidth="1"/>
    <col min="4" max="4" width="8.625" style="23" customWidth="1"/>
    <col min="5" max="5" width="9.5" style="23" customWidth="1"/>
    <col min="6" max="6" width="5" style="23" customWidth="1"/>
    <col min="7" max="7" width="1.625" customWidth="1"/>
    <col min="8" max="8" width="13.125" customWidth="1"/>
    <col min="9" max="9" width="10.125" style="23" bestFit="1" customWidth="1"/>
    <col min="10" max="10" width="13.5" style="2" bestFit="1" customWidth="1"/>
    <col min="11" max="11" width="7" bestFit="1" customWidth="1"/>
    <col min="12" max="12" width="9.125" bestFit="1" customWidth="1"/>
    <col min="13" max="13" width="10.125" style="23" bestFit="1" customWidth="1"/>
    <col min="14" max="14" width="1.625" customWidth="1"/>
    <col min="15" max="15" width="12.5" customWidth="1"/>
    <col min="16" max="16" width="10.125" bestFit="1" customWidth="1"/>
    <col min="17" max="17" width="13.625" bestFit="1" customWidth="1"/>
    <col min="18" max="18" width="7.125" bestFit="1" customWidth="1"/>
    <col min="19" max="19" width="9.125" bestFit="1" customWidth="1"/>
    <col min="20" max="20" width="1.625" customWidth="1"/>
    <col min="21" max="21" width="13.125" customWidth="1"/>
    <col min="22" max="22" width="10.125" bestFit="1" customWidth="1"/>
    <col min="23" max="23" width="13.5" bestFit="1" customWidth="1"/>
    <col min="24" max="24" width="7" bestFit="1" customWidth="1"/>
    <col min="25" max="25" width="9.125" bestFit="1" customWidth="1"/>
    <col min="26" max="26" width="10.125" bestFit="1" customWidth="1"/>
    <col min="27" max="27" width="1.625" customWidth="1"/>
    <col min="28" max="28" width="12.5" customWidth="1"/>
    <col min="29" max="29" width="10.125" bestFit="1" customWidth="1"/>
    <col min="30" max="30" width="13.625" bestFit="1" customWidth="1"/>
    <col min="31" max="31" width="7.125" bestFit="1" customWidth="1"/>
    <col min="32" max="32" width="9.125" bestFit="1" customWidth="1"/>
    <col min="33" max="33" width="1.625" customWidth="1"/>
    <col min="34" max="34" width="13.125" customWidth="1"/>
    <col min="35" max="35" width="10.125" bestFit="1" customWidth="1"/>
    <col min="36" max="36" width="13.5" bestFit="1" customWidth="1"/>
    <col min="37" max="37" width="7" bestFit="1" customWidth="1"/>
    <col min="38" max="38" width="9.125" bestFit="1" customWidth="1"/>
    <col min="39" max="39" width="10.125" bestFit="1" customWidth="1"/>
    <col min="40" max="40" width="1.625" customWidth="1"/>
    <col min="41" max="41" width="12.5" customWidth="1"/>
    <col min="42" max="42" width="10.125" bestFit="1" customWidth="1"/>
    <col min="43" max="43" width="13.625" bestFit="1" customWidth="1"/>
    <col min="44" max="44" width="7.125" bestFit="1" customWidth="1"/>
    <col min="45" max="45" width="9.125" bestFit="1" customWidth="1"/>
    <col min="46" max="46" width="1.625" customWidth="1"/>
    <col min="47" max="47" width="13.125" customWidth="1"/>
    <col min="48" max="48" width="10.125" bestFit="1" customWidth="1"/>
    <col min="49" max="49" width="13.5" bestFit="1" customWidth="1"/>
    <col min="50" max="50" width="7" bestFit="1" customWidth="1"/>
    <col min="51" max="51" width="9.125" bestFit="1" customWidth="1"/>
    <col min="52" max="52" width="10.125" bestFit="1" customWidth="1"/>
    <col min="53" max="53" width="1.625" customWidth="1"/>
    <col min="54" max="54" width="12.5" customWidth="1"/>
    <col min="55" max="55" width="10.125" bestFit="1" customWidth="1"/>
    <col min="56" max="56" width="13.625" bestFit="1" customWidth="1"/>
    <col min="57" max="57" width="7.125" bestFit="1" customWidth="1"/>
    <col min="58" max="58" width="9.125" bestFit="1" customWidth="1"/>
    <col min="59" max="59" width="1.625" customWidth="1"/>
    <col min="60" max="60" width="13.125" customWidth="1"/>
    <col min="61" max="61" width="10.125" bestFit="1" customWidth="1"/>
    <col min="62" max="62" width="13.5" bestFit="1" customWidth="1"/>
    <col min="63" max="63" width="7" bestFit="1" customWidth="1"/>
    <col min="64" max="64" width="9.125" bestFit="1" customWidth="1"/>
    <col min="65" max="65" width="10.125" bestFit="1" customWidth="1"/>
    <col min="66" max="66" width="1.625" customWidth="1"/>
    <col min="67" max="67" width="12.5" customWidth="1"/>
    <col min="68" max="68" width="10.125" bestFit="1" customWidth="1"/>
    <col min="69" max="69" width="13.625" bestFit="1" customWidth="1"/>
    <col min="70" max="70" width="7.125" bestFit="1" customWidth="1"/>
    <col min="71" max="71" width="9.125" bestFit="1" customWidth="1"/>
    <col min="74" max="74" width="1.625" customWidth="1"/>
    <col min="75" max="75" width="13.125" customWidth="1"/>
    <col min="76" max="76" width="10.125" bestFit="1" customWidth="1"/>
    <col min="77" max="77" width="13.5" bestFit="1" customWidth="1"/>
    <col min="78" max="78" width="7" bestFit="1" customWidth="1"/>
    <col min="79" max="79" width="9.125" bestFit="1" customWidth="1"/>
    <col min="80" max="80" width="10.125" bestFit="1" customWidth="1"/>
    <col min="81" max="81" width="1.625" customWidth="1"/>
    <col min="82" max="82" width="12.5" customWidth="1"/>
    <col min="83" max="83" width="10.125" bestFit="1" customWidth="1"/>
    <col min="84" max="84" width="13.625" bestFit="1" customWidth="1"/>
    <col min="85" max="85" width="7.125" bestFit="1" customWidth="1"/>
    <col min="86" max="86" width="9.125" bestFit="1" customWidth="1"/>
    <col min="87" max="87" width="1.625" customWidth="1"/>
  </cols>
  <sheetData>
    <row r="1" spans="1:87" x14ac:dyDescent="0.25">
      <c r="A1" s="7" t="s">
        <v>143</v>
      </c>
      <c r="G1" s="39"/>
      <c r="H1" s="7" t="s">
        <v>292</v>
      </c>
      <c r="I1" s="13"/>
      <c r="J1" s="14"/>
      <c r="K1" s="7"/>
      <c r="M1" s="13"/>
      <c r="N1" s="79"/>
      <c r="O1" s="7" t="s">
        <v>293</v>
      </c>
      <c r="P1" s="13"/>
      <c r="Q1" s="13"/>
      <c r="R1" s="14"/>
      <c r="S1" s="15"/>
      <c r="T1" s="39"/>
      <c r="U1" s="7" t="s">
        <v>294</v>
      </c>
      <c r="V1" s="13"/>
      <c r="W1" s="14"/>
      <c r="X1" s="7"/>
      <c r="Z1" s="13"/>
      <c r="AA1" s="79"/>
      <c r="AB1" s="7" t="s">
        <v>295</v>
      </c>
      <c r="AC1" s="13"/>
      <c r="AD1" s="13"/>
      <c r="AE1" s="14"/>
      <c r="AF1" s="15"/>
      <c r="AG1" s="39"/>
      <c r="AH1" s="7" t="s">
        <v>296</v>
      </c>
      <c r="AI1" s="13"/>
      <c r="AJ1" s="14"/>
      <c r="AK1" s="7"/>
      <c r="AM1" s="13"/>
      <c r="AN1" s="79"/>
      <c r="AO1" s="7" t="s">
        <v>297</v>
      </c>
      <c r="AP1" s="13"/>
      <c r="AQ1" s="13"/>
      <c r="AR1" s="14"/>
      <c r="AS1" s="15"/>
      <c r="AT1" s="39"/>
      <c r="AU1" s="7" t="s">
        <v>300</v>
      </c>
      <c r="AV1" s="13"/>
      <c r="AW1" s="14"/>
      <c r="AX1" s="7"/>
      <c r="AZ1" s="13"/>
      <c r="BA1" s="79"/>
      <c r="BB1" s="7" t="s">
        <v>301</v>
      </c>
      <c r="BC1" s="13"/>
      <c r="BD1" s="13"/>
      <c r="BE1" s="14"/>
      <c r="BF1" s="15"/>
      <c r="BG1" s="39"/>
      <c r="BH1" s="7" t="s">
        <v>310</v>
      </c>
      <c r="BI1" s="13"/>
      <c r="BJ1" s="14"/>
      <c r="BK1" s="7"/>
      <c r="BM1" s="13"/>
      <c r="BN1" s="79"/>
      <c r="BO1" s="7" t="s">
        <v>144</v>
      </c>
      <c r="BP1" s="13"/>
      <c r="BQ1" s="13"/>
      <c r="BR1" s="14"/>
      <c r="BS1" s="15"/>
      <c r="BV1" s="39"/>
      <c r="BW1" s="7" t="s">
        <v>298</v>
      </c>
      <c r="BX1" s="13"/>
      <c r="BY1" s="14"/>
      <c r="BZ1" s="7"/>
      <c r="CB1" s="13"/>
      <c r="CC1" s="79"/>
      <c r="CD1" s="7" t="s">
        <v>299</v>
      </c>
      <c r="CE1" s="13"/>
      <c r="CF1" s="13"/>
      <c r="CG1" s="14"/>
      <c r="CH1" s="15"/>
      <c r="CI1" s="39"/>
    </row>
    <row r="2" spans="1:87" x14ac:dyDescent="0.25">
      <c r="A2" s="7"/>
      <c r="G2" s="39"/>
      <c r="H2" s="7"/>
      <c r="I2" s="16"/>
      <c r="J2" s="16"/>
      <c r="K2" s="16"/>
      <c r="L2" s="16"/>
      <c r="M2" s="36"/>
      <c r="N2" s="79"/>
      <c r="O2" s="83" t="s">
        <v>145</v>
      </c>
      <c r="P2" s="16"/>
      <c r="Q2" s="36"/>
      <c r="R2" s="16"/>
      <c r="S2" s="16"/>
      <c r="T2" s="39"/>
      <c r="U2" s="7"/>
      <c r="V2" s="16"/>
      <c r="W2" s="16"/>
      <c r="X2" s="16"/>
      <c r="Y2" s="16"/>
      <c r="Z2" s="36"/>
      <c r="AA2" s="79"/>
      <c r="AB2" s="83" t="s">
        <v>146</v>
      </c>
      <c r="AC2" s="16"/>
      <c r="AD2" s="36"/>
      <c r="AE2" s="16"/>
      <c r="AF2" s="16"/>
      <c r="AG2" s="39"/>
      <c r="AH2" s="7"/>
      <c r="AI2" s="16"/>
      <c r="AJ2" s="16"/>
      <c r="AK2" s="16"/>
      <c r="AL2" s="16"/>
      <c r="AM2" s="36"/>
      <c r="AN2" s="79"/>
      <c r="AO2" s="83" t="s">
        <v>147</v>
      </c>
      <c r="AP2" s="16"/>
      <c r="AQ2" s="36"/>
      <c r="AR2" s="16"/>
      <c r="AS2" s="16"/>
      <c r="AT2" s="39"/>
      <c r="AU2" s="7"/>
      <c r="AV2" s="16"/>
      <c r="AW2" s="16"/>
      <c r="AX2" s="16"/>
      <c r="AY2" s="16"/>
      <c r="AZ2" s="36"/>
      <c r="BA2" s="79"/>
      <c r="BB2" s="83" t="s">
        <v>149</v>
      </c>
      <c r="BC2" s="16"/>
      <c r="BD2" s="36"/>
      <c r="BE2" s="16"/>
      <c r="BF2" s="16"/>
      <c r="BG2" s="39"/>
      <c r="BH2" s="7"/>
      <c r="BI2" s="16"/>
      <c r="BJ2" s="16"/>
      <c r="BK2" s="16"/>
      <c r="BL2" s="16"/>
      <c r="BM2" s="36"/>
      <c r="BN2" s="79"/>
      <c r="BO2" s="299" t="s">
        <v>309</v>
      </c>
      <c r="BP2" s="16"/>
      <c r="BQ2" s="16"/>
      <c r="BR2" s="16"/>
      <c r="BS2" s="16"/>
      <c r="BV2" s="39"/>
      <c r="BW2" s="7"/>
      <c r="BX2" s="16"/>
      <c r="BY2" s="16"/>
      <c r="BZ2" s="16"/>
      <c r="CA2" s="16"/>
      <c r="CB2" s="36"/>
      <c r="CC2" s="79"/>
      <c r="CD2" s="83" t="s">
        <v>148</v>
      </c>
      <c r="CE2" s="16"/>
      <c r="CF2" s="36"/>
      <c r="CG2" s="16"/>
      <c r="CH2" s="16"/>
      <c r="CI2" s="39"/>
    </row>
    <row r="3" spans="1:87" x14ac:dyDescent="0.25">
      <c r="B3"/>
      <c r="C3"/>
      <c r="D3"/>
      <c r="E3"/>
      <c r="F3"/>
      <c r="G3" s="39"/>
      <c r="I3"/>
      <c r="J3" s="16"/>
      <c r="K3" s="16"/>
      <c r="L3" s="16"/>
      <c r="M3"/>
      <c r="N3" s="79"/>
      <c r="O3" s="299" t="s">
        <v>304</v>
      </c>
      <c r="P3" s="16"/>
      <c r="Q3" s="16"/>
      <c r="R3" s="16"/>
      <c r="S3" s="16"/>
      <c r="T3" s="39"/>
      <c r="W3" s="16"/>
      <c r="X3" s="16"/>
      <c r="Y3" s="16"/>
      <c r="AA3" s="79"/>
      <c r="AB3" s="299" t="s">
        <v>305</v>
      </c>
      <c r="AC3" s="16"/>
      <c r="AD3" s="16"/>
      <c r="AE3" s="16"/>
      <c r="AF3" s="16"/>
      <c r="AG3" s="39"/>
      <c r="AJ3" s="16"/>
      <c r="AK3" s="16"/>
      <c r="AL3" s="16"/>
      <c r="AN3" s="79"/>
      <c r="AO3" s="299" t="s">
        <v>306</v>
      </c>
      <c r="AP3" s="16"/>
      <c r="AQ3" s="16"/>
      <c r="AR3" s="16"/>
      <c r="AS3" s="16"/>
      <c r="AT3" s="39"/>
      <c r="AW3" s="16"/>
      <c r="AX3" s="16"/>
      <c r="AY3" s="16"/>
      <c r="BA3" s="79"/>
      <c r="BB3" s="299" t="s">
        <v>308</v>
      </c>
      <c r="BC3" s="16"/>
      <c r="BD3" s="16"/>
      <c r="BE3" s="16"/>
      <c r="BF3" s="16"/>
      <c r="BG3" s="39"/>
      <c r="BJ3" s="16"/>
      <c r="BK3" s="16"/>
      <c r="BL3" s="16"/>
      <c r="BN3" s="79"/>
      <c r="BV3" s="39"/>
      <c r="BY3" s="16"/>
      <c r="BZ3" s="16"/>
      <c r="CA3" s="16"/>
      <c r="CC3" s="79"/>
      <c r="CD3" s="299" t="s">
        <v>307</v>
      </c>
      <c r="CE3" s="16"/>
      <c r="CF3" s="16"/>
      <c r="CG3" s="16"/>
      <c r="CH3" s="16"/>
      <c r="CI3" s="39"/>
    </row>
    <row r="4" spans="1:87" x14ac:dyDescent="0.25">
      <c r="A4" s="7"/>
      <c r="C4" s="16" t="s">
        <v>41</v>
      </c>
      <c r="D4" s="16" t="s">
        <v>41</v>
      </c>
      <c r="E4" s="16" t="s">
        <v>41</v>
      </c>
      <c r="F4" s="16" t="s">
        <v>41</v>
      </c>
      <c r="G4" s="39"/>
      <c r="H4" s="7"/>
      <c r="I4" s="16" t="s">
        <v>41</v>
      </c>
      <c r="J4" s="23" t="s">
        <v>42</v>
      </c>
      <c r="K4" s="17" t="s">
        <v>43</v>
      </c>
      <c r="L4" s="35" t="s">
        <v>44</v>
      </c>
      <c r="M4" s="17" t="s">
        <v>45</v>
      </c>
      <c r="N4" s="79"/>
      <c r="P4" s="23" t="s">
        <v>41</v>
      </c>
      <c r="Q4" s="17" t="s">
        <v>43</v>
      </c>
      <c r="R4" s="35" t="s">
        <v>44</v>
      </c>
      <c r="S4" s="17" t="s">
        <v>45</v>
      </c>
      <c r="T4" s="39"/>
      <c r="U4" s="7"/>
      <c r="V4" s="16" t="s">
        <v>41</v>
      </c>
      <c r="W4" s="23" t="s">
        <v>42</v>
      </c>
      <c r="X4" s="17" t="s">
        <v>43</v>
      </c>
      <c r="Y4" s="35" t="s">
        <v>44</v>
      </c>
      <c r="Z4" s="17" t="s">
        <v>45</v>
      </c>
      <c r="AA4" s="79"/>
      <c r="AC4" s="23" t="s">
        <v>41</v>
      </c>
      <c r="AD4" s="17" t="s">
        <v>43</v>
      </c>
      <c r="AE4" s="35" t="s">
        <v>44</v>
      </c>
      <c r="AF4" s="17" t="s">
        <v>45</v>
      </c>
      <c r="AG4" s="39"/>
      <c r="AH4" s="7"/>
      <c r="AI4" s="16" t="s">
        <v>41</v>
      </c>
      <c r="AJ4" s="23" t="s">
        <v>42</v>
      </c>
      <c r="AK4" s="17" t="s">
        <v>43</v>
      </c>
      <c r="AL4" s="35" t="s">
        <v>44</v>
      </c>
      <c r="AM4" s="17" t="s">
        <v>45</v>
      </c>
      <c r="AN4" s="79"/>
      <c r="AP4" s="23" t="s">
        <v>41</v>
      </c>
      <c r="AQ4" s="17" t="s">
        <v>43</v>
      </c>
      <c r="AR4" s="35" t="s">
        <v>44</v>
      </c>
      <c r="AS4" s="17" t="s">
        <v>45</v>
      </c>
      <c r="AT4" s="39"/>
      <c r="AU4" s="7"/>
      <c r="AV4" s="16" t="s">
        <v>41</v>
      </c>
      <c r="AW4" s="23" t="s">
        <v>42</v>
      </c>
      <c r="AX4" s="17" t="s">
        <v>43</v>
      </c>
      <c r="AY4" s="35" t="s">
        <v>44</v>
      </c>
      <c r="AZ4" s="17" t="s">
        <v>45</v>
      </c>
      <c r="BA4" s="79"/>
      <c r="BC4" s="23" t="s">
        <v>41</v>
      </c>
      <c r="BD4" s="17" t="s">
        <v>43</v>
      </c>
      <c r="BE4" s="35" t="s">
        <v>44</v>
      </c>
      <c r="BF4" s="17" t="s">
        <v>45</v>
      </c>
      <c r="BG4" s="39"/>
      <c r="BH4" s="7"/>
      <c r="BI4" s="16" t="s">
        <v>41</v>
      </c>
      <c r="BJ4" s="23" t="s">
        <v>42</v>
      </c>
      <c r="BK4" s="17" t="s">
        <v>43</v>
      </c>
      <c r="BL4" s="35" t="s">
        <v>44</v>
      </c>
      <c r="BM4" s="17" t="s">
        <v>45</v>
      </c>
      <c r="BN4" s="79"/>
      <c r="BP4" s="23" t="s">
        <v>41</v>
      </c>
      <c r="BQ4" s="17" t="s">
        <v>43</v>
      </c>
      <c r="BR4" s="35" t="s">
        <v>44</v>
      </c>
      <c r="BS4" s="17" t="s">
        <v>45</v>
      </c>
      <c r="BV4" s="39"/>
      <c r="BW4" s="7"/>
      <c r="BX4" s="16" t="s">
        <v>41</v>
      </c>
      <c r="BY4" s="23" t="s">
        <v>42</v>
      </c>
      <c r="BZ4" s="17" t="s">
        <v>43</v>
      </c>
      <c r="CA4" s="35" t="s">
        <v>44</v>
      </c>
      <c r="CB4" s="17" t="s">
        <v>45</v>
      </c>
      <c r="CC4" s="79"/>
      <c r="CE4" s="23" t="s">
        <v>41</v>
      </c>
      <c r="CF4" s="17" t="s">
        <v>43</v>
      </c>
      <c r="CG4" s="35" t="s">
        <v>44</v>
      </c>
      <c r="CH4" s="17" t="s">
        <v>45</v>
      </c>
      <c r="CI4" s="39"/>
    </row>
    <row r="5" spans="1:87" x14ac:dyDescent="0.25">
      <c r="A5" s="7" t="s">
        <v>7</v>
      </c>
      <c r="B5" s="23">
        <v>12</v>
      </c>
      <c r="C5" s="16">
        <f t="array" aca="1" ref="C5" ca="1">IFERROR((GEOMEAN(1+OFFSET(C$15,MAX($B$15:$B$505)-$B$5+1,0,$B$5,1)/100)^$B$5-1)*100,"N/A")</f>
        <v>17.859983918730183</v>
      </c>
      <c r="D5" s="16">
        <f t="array" aca="1" ref="D5" ca="1">IFERROR((GEOMEAN(1+OFFSET(D$15,MAX($B$15:$B$505)-$B$5+1,0,$B$5,1)/100)^$B$5-1)*100,"N/A")</f>
        <v>32.030570351607544</v>
      </c>
      <c r="E5" s="16">
        <f t="array" aca="1" ref="E5" ca="1">IFERROR((GEOMEAN(1+OFFSET(E$15,MAX($B$15:$B$505)-$B$5+1,0,$B$5,1)/100)^$B$5-1)*100,"N/A")</f>
        <v>7.3009507401529783</v>
      </c>
      <c r="F5" s="16">
        <f t="array" aca="1" ref="F5" ca="1">IFERROR((GEOMEAN(1+OFFSET(F$15,MAX($B$15:$B$505)-$B$5+1,0,$B$5,1)/100)^$B$5-1)*100,"N/A")</f>
        <v>0</v>
      </c>
      <c r="G5" s="39"/>
      <c r="H5" s="7" t="s">
        <v>7</v>
      </c>
      <c r="I5" s="16">
        <f t="array" aca="1" ref="I5" ca="1">IFERROR((GEOMEAN(1+OFFSET(I$15,MAX($B$15:$B$505)-$B$5+1,0,$B$5,1)/100)^$B$5-1)*100,"N/A")</f>
        <v>12.509186150328366</v>
      </c>
      <c r="J5" s="36">
        <f t="shared" ref="J5:J12" ca="1" si="0">IFERROR(I5-$P5,"N/A")</f>
        <v>-7.729147818168693</v>
      </c>
      <c r="K5" s="16">
        <f ca="1">IFERROR(SLOPE(OFFSET(I$15,MAX($B$15:$B$505)-$B$5+1,0,$B$5,1),OFFSET($P$15,MAX($B$15:$B$505)-$B$5+1,0,$B$5,1)),"N/A")</f>
        <v>0.49364082201365017</v>
      </c>
      <c r="L5" s="16">
        <f t="array" aca="1" ref="L5" ca="1">IFERROR(INTERCEPT(OFFSET(I$15,MAX($B$15:$B$505)-$B$5+1,0,$B$5,1),OFFSET($P$15,MAX($B$15:$B$505)-$B$5+1,0,$B$5,1))*12,"N/A")</f>
        <v>2.6597805006298176</v>
      </c>
      <c r="M5" s="16">
        <f ca="1">IFERROR(STDEVP(OFFSET(I$15,MAX($B$15:$B$505)-$B$5+1,0,$B$5,1))*SQRT(12),"N/A")</f>
        <v>5.956509176540778</v>
      </c>
      <c r="N5" s="79"/>
      <c r="O5" s="7" t="s">
        <v>7</v>
      </c>
      <c r="P5" s="16">
        <f t="array" aca="1" ref="P5" ca="1">IFERROR((GEOMEAN(1+OFFSET(P$15,MAX($B$15:$B$505)-$B$5+1,0,$B$5,1)/100)^$B$5-1)*100,"N/A")</f>
        <v>20.238333968497059</v>
      </c>
      <c r="Q5" s="16">
        <f ca="1">IFERROR(SLOPE(OFFSET(P$15,MAX($B$15:$B$505)-$B$5+1,0,$B$5,1),OFFSET($P$15,MAX($B$15:$B$505)-$B$5+1,0,$B$5,1)),"N/A")</f>
        <v>1</v>
      </c>
      <c r="R5" s="16">
        <f t="array" aca="1" ref="R5" ca="1">IFERROR(INTERCEPT(OFFSET(P$15,MAX($B$15:$B$505)-$B$5+1,0,$B$5,1),OFFSET($C$15,MAX($B$15:$B$505)-$B$5+1,0,$B$5,1))*12,"N/A")</f>
        <v>4.739523467062714</v>
      </c>
      <c r="S5" s="16">
        <f ca="1">IFERROR(STDEVP(OFFSET(P$15,MAX($B$15:$B$505)-$B$5+1,0,$B$5,1))*SQRT(12),"N/A")</f>
        <v>8.8442228929032272</v>
      </c>
      <c r="T5" s="39"/>
      <c r="U5" s="7" t="s">
        <v>7</v>
      </c>
      <c r="V5" s="16">
        <f t="array" aca="1" ref="V5" ca="1">IFERROR((GEOMEAN(1+OFFSET(V$15,MAX($B$15:$B$505)-$B$5+1,0,$B$5,1)/100)^$B$5-1)*100,"N/A")</f>
        <v>11.752289749633427</v>
      </c>
      <c r="W5" s="36">
        <f ca="1">IFERROR(V5-$AC5,"N/A")</f>
        <v>-6.0528592014280633</v>
      </c>
      <c r="X5" s="16">
        <f ca="1">IFERROR(SLOPE(OFFSET(V$15,MAX($B$15:$B$505)-$B$5+1,0,$B$5,1),OFFSET($AC$15,MAX($B$15:$B$505)-$B$5+1,0,$B$5,1)),"N/A")</f>
        <v>0.5352688882122667</v>
      </c>
      <c r="Y5" s="16">
        <f t="array" aca="1" ref="Y5" ca="1">IFERROR(INTERCEPT(OFFSET(V$15,MAX($B$15:$B$505)-$B$5+1,0,$B$5,1),OFFSET($AC$15,MAX($B$15:$B$505)-$B$5+1,0,$B$5,1))*12,"N/A")</f>
        <v>2.3405494917650156</v>
      </c>
      <c r="Z5" s="16">
        <f ca="1">IFERROR(STDEVP(OFFSET(V$15,MAX($B$15:$B$505)-$B$5+1,0,$B$5,1))*SQRT(12),"N/A")</f>
        <v>5.4578415595222953</v>
      </c>
      <c r="AA5" s="79"/>
      <c r="AB5" s="7" t="s">
        <v>7</v>
      </c>
      <c r="AC5" s="16">
        <f t="array" aca="1" ref="AC5" ca="1">IFERROR((GEOMEAN(1+OFFSET(AC$15,MAX($B$15:$B$505)-$B$5+1,0,$B$5,1)/100)^$B$5-1)*100,"N/A")</f>
        <v>17.80514895106149</v>
      </c>
      <c r="AD5" s="16">
        <f ca="1">IFERROR(SLOPE(OFFSET(AC$15,MAX($B$15:$B$505)-$B$5+1,0,$B$5,1),OFFSET($AC$15,MAX($B$15:$B$505)-$B$5+1,0,$B$5,1)),"N/A")</f>
        <v>1</v>
      </c>
      <c r="AE5" s="16">
        <f t="array" aca="1" ref="AE5" ca="1">IFERROR(INTERCEPT(OFFSET(AC$15,MAX($B$15:$B$505)-$B$5+1,0,$B$5,1),OFFSET($C$15,MAX($B$15:$B$505)-$B$5+1,0,$B$5,1))*12,"N/A")</f>
        <v>5.1833179446672588</v>
      </c>
      <c r="AF5" s="16">
        <f ca="1">IFERROR(STDEVP(OFFSET(AC$15,MAX($B$15:$B$505)-$B$5+1,0,$B$5,1))*SQRT(12),"N/A")</f>
        <v>7.2182686835488683</v>
      </c>
      <c r="AG5" s="39"/>
      <c r="AH5" s="7" t="s">
        <v>7</v>
      </c>
      <c r="AI5" s="16">
        <f t="array" aca="1" ref="AI5" ca="1">IFERROR((GEOMEAN(1+OFFSET(AI$15,MAX($B$15:$B$505)-$B$5+1,0,$B$5,1)/100)^$B$5-1)*100,"N/A")</f>
        <v>11.204403948380669</v>
      </c>
      <c r="AJ5" s="36">
        <f ca="1">IFERROR(AI5-$AP5,"N/A")</f>
        <v>-3.9114047990827849</v>
      </c>
      <c r="AK5" s="16">
        <f ca="1">IFERROR(SLOPE(OFFSET(AI$15,MAX($B$15:$B$505)-$B$5+1,0,$B$5,1),OFFSET($AP$15,MAX($B$15:$B$505)-$B$5+1,0,$B$5,1)),"N/A")</f>
        <v>0.50854156357900271</v>
      </c>
      <c r="AL5" s="16">
        <f t="array" aca="1" ref="AL5" ca="1">IFERROR(INTERCEPT(OFFSET(AI$15,MAX($B$15:$B$505)-$B$5+1,0,$B$5,1),OFFSET($AP$15,MAX($B$15:$B$505)-$B$5+1,0,$B$5,1))*12,"N/A")</f>
        <v>3.4864430103724167</v>
      </c>
      <c r="AM5" s="16">
        <f ca="1">IFERROR(STDEVP(OFFSET(AI$15,MAX($B$15:$B$505)-$B$5+1,0,$B$5,1))*SQRT(12),"N/A")</f>
        <v>4.4077899947637045</v>
      </c>
      <c r="AN5" s="79"/>
      <c r="AO5" s="7" t="s">
        <v>7</v>
      </c>
      <c r="AP5" s="16">
        <f t="array" aca="1" ref="AP5" ca="1">IFERROR((GEOMEAN(1+OFFSET(AP$15,MAX($B$15:$B$505)-$B$5+1,0,$B$5,1)/100)^$B$5-1)*100,"N/A")</f>
        <v>15.115808747463454</v>
      </c>
      <c r="AQ5" s="16">
        <f ca="1">IFERROR(SLOPE(OFFSET(AP$15,MAX($B$15:$B$505)-$B$5+1,0,$B$5,1),OFFSET($AP$15,MAX($B$15:$B$505)-$B$5+1,0,$B$5,1)),"N/A")</f>
        <v>1</v>
      </c>
      <c r="AR5" s="16">
        <f t="array" aca="1" ref="AR5" ca="1">IFERROR(INTERCEPT(OFFSET(AP$15,MAX($B$15:$B$505)-$B$5+1,0,$B$5,1),OFFSET($AP$15,MAX($B$15:$B$505)-$B$5+1,0,$B$5,1))*12,"N/A")</f>
        <v>0</v>
      </c>
      <c r="AS5" s="16">
        <f ca="1">IFERROR(STDEVP(OFFSET(AP$15,MAX($B$15:$B$505)-$B$5+1,0,$B$5,1))*SQRT(12),"N/A")</f>
        <v>5.4752573379100218</v>
      </c>
      <c r="AT5" s="39"/>
      <c r="AU5" s="7" t="s">
        <v>7</v>
      </c>
      <c r="AV5" s="16">
        <f t="array" aca="1" ref="AV5" ca="1">IFERROR((GEOMEAN(1+OFFSET(AV$15,MAX($B$15:$B$505)-$B$5+1,0,$B$5,1)/100)^$B$5-1)*100,"N/A")</f>
        <v>9.7435197186225722</v>
      </c>
      <c r="AW5" s="36">
        <f t="shared" ref="AW5:AW12" ca="1" si="1">IFERROR(AV5-$P5,"N/A")</f>
        <v>-10.494814249874487</v>
      </c>
      <c r="AX5" s="16">
        <f ca="1">IFERROR(SLOPE(OFFSET(AV$15,MAX($B$15:$B$505)-$B$5+1,0,$B$5,1),OFFSET($BC$15,MAX($B$15:$B$505)-$B$5+1,0,$B$5,1)),"N/A")</f>
        <v>0.67208458102359214</v>
      </c>
      <c r="AY5" s="16">
        <f t="array" aca="1" ref="AY5" ca="1">IFERROR(INTERCEPT(OFFSET(AV$15,MAX($B$15:$B$505)-$B$5+1,0,$B$5,1),OFFSET($C$15,MAX($B$15:$B$505)-$B$5+1,0,$B$5,1))*12,"N/A")</f>
        <v>6.487768602400763</v>
      </c>
      <c r="AZ5" s="16">
        <f ca="1">IFERROR(STDEVP(OFFSET(AV$15,MAX($B$15:$B$505)-$B$5+1,0,$B$5,1))*SQRT(12),"N/A")</f>
        <v>3.5815224837562289</v>
      </c>
      <c r="BA5" s="79"/>
      <c r="BB5" s="7" t="s">
        <v>7</v>
      </c>
      <c r="BC5" s="16">
        <f t="array" aca="1" ref="BC5" ca="1">IFERROR((GEOMEAN(1+OFFSET(BC$15,MAX($B$15:$B$505)-$B$5+1,0,$B$5,1)/100)^$B$5-1)*100,"N/A")</f>
        <v>11.112805947305837</v>
      </c>
      <c r="BD5" s="16">
        <f ca="1">IFERROR(SLOPE(OFFSET(BC$15,MAX($B$15:$B$505)-$B$5+1,0,$B$5,1),OFFSET($C$15,MAX($B$15:$B$505)-$B$5+1,0,$B$5,1)),"N/A")</f>
        <v>0.24678176513495789</v>
      </c>
      <c r="BE5" s="16">
        <f t="array" aca="1" ref="BE5" ca="1">IFERROR(INTERCEPT(OFFSET(BC$15,MAX($B$15:$B$505)-$B$5+1,0,$B$5,1),OFFSET($C$15,MAX($B$15:$B$505)-$B$5+1,0,$B$5,1))*12,"N/A")</f>
        <v>6.4160803824576593</v>
      </c>
      <c r="BF5" s="16">
        <f ca="1">IFERROR(STDEVP(OFFSET(BC$15,MAX($B$15:$B$505)-$B$5+1,0,$B$5,1))*SQRT(12),"N/A")</f>
        <v>3.2244642301945201</v>
      </c>
      <c r="BG5" s="39"/>
      <c r="BH5" s="7" t="s">
        <v>7</v>
      </c>
      <c r="BI5" s="16">
        <f t="array" aca="1" ref="BI5" ca="1">IFERROR((GEOMEAN(1+OFFSET(BI$15,MAX($B$15:$B$505)-$B$5+1,0,$B$5,1)/100)^$B$5-1)*100,"N/A")</f>
        <v>8.4952351105426196</v>
      </c>
      <c r="BJ5" s="36">
        <f t="shared" ref="BJ5:BJ6" ca="1" si="2">IFERROR(BI5-$P5,"N/A")</f>
        <v>-11.74309885795444</v>
      </c>
      <c r="BK5" s="16">
        <f ca="1">IFERROR(SLOPE(OFFSET(BI$15,MAX($B$15:$B$505)-$B$5+1,0,$B$5,1),OFFSET($BP$15,MAX($B$15:$B$505)-$B$5+1,0,$B$5,1)),"N/A")</f>
        <v>0.65107009740584798</v>
      </c>
      <c r="BL5" s="16">
        <f ca="1">IFERROR(INTERCEPT(OFFSET(BI$15,MAX($B$15:$B$505)-$B$5+1,0,$B$5,1),OFFSET($BP$15,MAX($B$15:$B$505)-$B$5+1,0,$B$5,1))*12,"N/A")</f>
        <v>2.4798211352711386</v>
      </c>
      <c r="BM5" s="16">
        <f ca="1">IFERROR(STDEVP(OFFSET(BI$15,MAX($B$15:$B$505)-$B$5+1,0,$B$5,1))*SQRT(12),"N/A")</f>
        <v>2.3435616630598335</v>
      </c>
      <c r="BN5" s="79"/>
      <c r="BO5" s="7" t="s">
        <v>7</v>
      </c>
      <c r="BP5" s="16">
        <f t="array" aca="1" ref="BP5" ca="1">IFERROR((GEOMEAN(1+OFFSET(BP$15,MAX($B$15:$B$505)-$B$5+1,0,$B$5,1)/100)^$B$5-1)*100,"N/A")</f>
        <v>9.1264915932520729</v>
      </c>
      <c r="BQ5" s="16">
        <f ca="1">IFERROR(SLOPE(OFFSET(BP$15,MAX($B$15:$B$505)-$B$5+1,0,$B$5,1),OFFSET($C$15,MAX($B$15:$B$505)-$B$5+1,0,$B$5,1)),"N/A")</f>
        <v>0.11773399200708894</v>
      </c>
      <c r="BR5" s="16">
        <f t="array" aca="1" ref="BR5" ca="1">IFERROR(INTERCEPT(OFFSET(BP$15,MAX($B$15:$B$505)-$B$5+1,0,$B$5,1),OFFSET($C$15,MAX($B$15:$B$505)-$B$5+1,0,$B$5,1))*12,"N/A")</f>
        <v>6.7859091137947756</v>
      </c>
      <c r="BS5" s="16">
        <f ca="1">IFERROR(STDEVP(OFFSET(BP$15,MAX($B$15:$B$505)-$B$5+1,0,$B$5,1))*SQRT(12),"N/A")</f>
        <v>2.5940909405422246</v>
      </c>
      <c r="BV5" s="39"/>
      <c r="BW5" s="7" t="s">
        <v>7</v>
      </c>
      <c r="BX5" s="16">
        <f t="array" aca="1" ref="BX5" ca="1">IFERROR((GEOMEAN(1+OFFSET(BX$15,MAX($B$15:$B$505)-$B$5+1,0,$B$5,1)/100)^$B$5-1)*100,"N/A")</f>
        <v>0</v>
      </c>
      <c r="BY5" s="36">
        <f t="shared" ref="BY5:BY10" ca="1" si="3">IFERROR(BX5-$CE5,"N/A")</f>
        <v>0</v>
      </c>
      <c r="BZ5" s="16" t="str">
        <f ca="1">IFERROR(SLOPE(OFFSET(BX$15,MAX($B$15:$B$505)-$B$5+1,0,$B$5,1),OFFSET($CE$15,MAX($B$15:$B$505)-$B$5+1,0,$B$5,1)),"N/A")</f>
        <v>N/A</v>
      </c>
      <c r="CA5" s="16" t="str">
        <f ca="1">IFERROR(INTERCEPT(OFFSET(BX$15,MAX($B$15:$B$505)-$B$5+1,0,$B$5,1),OFFSET($CE$15,MAX($B$15:$B$505)-$B$5+1,0,$B$5,1))*12,"N/A")</f>
        <v>N/A</v>
      </c>
      <c r="CB5" s="16" t="str">
        <f ca="1">IFERROR(STDEVP(OFFSET(BX$15,MAX($B$15:$B$505)-$B$5+1,0,$B$5,1))*SQRT(12),"N/A")</f>
        <v>N/A</v>
      </c>
      <c r="CC5" s="79"/>
      <c r="CD5" s="7" t="s">
        <v>7</v>
      </c>
      <c r="CE5" s="16">
        <f t="array" aca="1" ref="CE5" ca="1">IFERROR((GEOMEAN(1+OFFSET(CE$15,MAX($B$15:$B$505)-$B$5+1,0,$B$5,1)/100)^$B$5-1)*100,"N/A")</f>
        <v>0</v>
      </c>
      <c r="CF5" s="16" t="str">
        <f ca="1">IFERROR(SLOPE(OFFSET(CE$15,MAX($B$15:$B$505)-$B$5+1,0,$B$5,1),OFFSET($C$15,MAX($B$15:$B$505)-$B$5+1,0,$B$5,1)),"N/A")</f>
        <v>N/A</v>
      </c>
      <c r="CG5" s="16" t="str">
        <f t="array" aca="1" ref="CG5" ca="1">IFERROR(INTERCEPT(OFFSET(CE$15,MAX($B$15:$B$505)-$B$5+1,0,$B$5,1),OFFSET($C$15,MAX($B$15:$B$505)-$B$5+1,0,$B$5,1))*12,"N/A")</f>
        <v>N/A</v>
      </c>
      <c r="CH5" s="16" t="str">
        <f ca="1">IFERROR(STDEVP(OFFSET(CE$15,MAX($B$15:$B$505)-$B$5+1,0,$B$5,1))*SQRT(12),"N/A")</f>
        <v>N/A</v>
      </c>
      <c r="CI5" s="39"/>
    </row>
    <row r="6" spans="1:87" x14ac:dyDescent="0.25">
      <c r="A6" s="7" t="s">
        <v>46</v>
      </c>
      <c r="C6" s="16">
        <f t="array" aca="1" ref="C6" ca="1">IFERROR((GEOMEAN(1+OFFSET(C$15,MAX($B$15:$B$505)-11,0,12,1)/100)^12-1)*100,"N/A")</f>
        <v>17.859983918730183</v>
      </c>
      <c r="D6" s="16">
        <f t="array" aca="1" ref="D6" ca="1">IFERROR((GEOMEAN(1+OFFSET(D$15,MAX($B$15:$B$505)-11,0,12,1)/100)^12-1)*100,"N/A")</f>
        <v>32.030570351607544</v>
      </c>
      <c r="E6" s="16">
        <f t="array" aca="1" ref="E6" ca="1">IFERROR((GEOMEAN(1+OFFSET(E$15,MAX($B$15:$B$505)-11,0,12,1)/100)^12-1)*100,"N/A")</f>
        <v>7.3009507401529783</v>
      </c>
      <c r="F6" s="16">
        <f t="array" aca="1" ref="F6" ca="1">IFERROR((GEOMEAN(1+OFFSET(F$15,MAX($B$15:$B$505)-11,0,12,1)/100)^12-1)*100,"N/A")</f>
        <v>0</v>
      </c>
      <c r="G6" s="39"/>
      <c r="H6" s="7" t="s">
        <v>46</v>
      </c>
      <c r="I6" s="16">
        <f t="array" aca="1" ref="I6" ca="1">IFERROR((GEOMEAN(1+OFFSET(I$15,MAX($B$15:$B$505)-11,0,12,1)/100)^12-1)*100,"N/A")</f>
        <v>12.509186150328366</v>
      </c>
      <c r="J6" s="36">
        <f t="shared" ca="1" si="0"/>
        <v>-7.729147818168693</v>
      </c>
      <c r="K6" s="16">
        <f ca="1">IFERROR(SLOPE(OFFSET(I$15,MAX($B$15:$B$505)-11,0,12,1),OFFSET($P$15,MAX($B$15:$B$505)-11,0,12,1)),"N/A")</f>
        <v>0.49364082201365017</v>
      </c>
      <c r="L6" s="16">
        <f ca="1">IFERROR(INTERCEPT(OFFSET(I$15,MAX($B$15:$B$505)-11,0,12,1),OFFSET($P$15,MAX($B$15:$B$505)-11,0,12,1))*12,"N/A")</f>
        <v>2.6597805006298176</v>
      </c>
      <c r="M6" s="16">
        <f ca="1">IFERROR(STDEVP(OFFSET(I$15,MAX($B$15:$B$505)-11,0,12,1))*SQRT(12),"N/A")</f>
        <v>5.956509176540778</v>
      </c>
      <c r="N6" s="79"/>
      <c r="O6" s="7" t="s">
        <v>46</v>
      </c>
      <c r="P6" s="16">
        <f t="array" aca="1" ref="P6" ca="1">IFERROR((GEOMEAN(1+OFFSET(P$15,MAX($B$15:$B$505)-11,0,12,1)/100)^12-1)*100,"N/A")</f>
        <v>20.238333968497059</v>
      </c>
      <c r="Q6" s="16">
        <f ca="1">IFERROR(SLOPE(OFFSET(P$15,MAX($B$15:$B$505)-11,0,12,1),OFFSET($P$15,MAX($B$15:$B$505)-11,0,12,1)),"N/A")</f>
        <v>1</v>
      </c>
      <c r="R6" s="16">
        <f ca="1">IFERROR(INTERCEPT(OFFSET(P$15,MAX($B$15:$B$505)-11,0,12,1),OFFSET($C$15,MAX($B$15:$B$505)-11,0,12,1))*12,"N/A")</f>
        <v>4.739523467062714</v>
      </c>
      <c r="S6" s="16">
        <f ca="1">IFERROR(STDEVP(OFFSET(P$15,MAX($B$15:$B$505)-11,0,12,1))*SQRT(12),"N/A")</f>
        <v>8.8442228929032272</v>
      </c>
      <c r="T6" s="39"/>
      <c r="U6" s="7" t="s">
        <v>46</v>
      </c>
      <c r="V6" s="16">
        <f t="array" aca="1" ref="V6" ca="1">IFERROR((GEOMEAN(1+OFFSET(V$15,MAX($B$15:$B$505)-11,0,12,1)/100)^12-1)*100,"N/A")</f>
        <v>11.752289749633427</v>
      </c>
      <c r="W6" s="36">
        <f ca="1">IFERROR(V6-$AC6,"N/A")</f>
        <v>-6.0528592014280633</v>
      </c>
      <c r="X6" s="16">
        <f ca="1">IFERROR(SLOPE(OFFSET(V$15,MAX($B$15:$B$505)-11,0,12,1),OFFSET($AC$15,MAX($B$15:$B$505)-11,0,12,1)),"N/A")</f>
        <v>0.5352688882122667</v>
      </c>
      <c r="Y6" s="16">
        <f ca="1">IFERROR(INTERCEPT(OFFSET(V$15,MAX($B$15:$B$505)-11,0,12,1),OFFSET($AC$15,MAX($B$15:$B$505)-11,0,12,1))*12,"N/A")</f>
        <v>2.3405494917650156</v>
      </c>
      <c r="Z6" s="16">
        <f ca="1">IFERROR(STDEVP(OFFSET(V$15,MAX($B$15:$B$505)-11,0,12,1))*SQRT(12),"N/A")</f>
        <v>5.4578415595222953</v>
      </c>
      <c r="AA6" s="79"/>
      <c r="AB6" s="7" t="s">
        <v>46</v>
      </c>
      <c r="AC6" s="16">
        <f t="array" aca="1" ref="AC6" ca="1">IFERROR((GEOMEAN(1+OFFSET(AC$15,MAX($B$15:$B$505)-11,0,12,1)/100)^12-1)*100,"N/A")</f>
        <v>17.80514895106149</v>
      </c>
      <c r="AD6" s="16">
        <f ca="1">IFERROR(SLOPE(OFFSET(AC$15,MAX($B$15:$B$505)-11,0,12,1),OFFSET($AC$15,MAX($B$15:$B$505)-11,0,12,1)),"N/A")</f>
        <v>1</v>
      </c>
      <c r="AE6" s="16">
        <f ca="1">IFERROR(INTERCEPT(OFFSET(AC$15,MAX($B$15:$B$505)-11,0,12,1),OFFSET($C$15,MAX($B$15:$B$505)-11,0,12,1))*12,"N/A")</f>
        <v>5.1833179446672588</v>
      </c>
      <c r="AF6" s="16">
        <f ca="1">IFERROR(STDEVP(OFFSET(AC$15,MAX($B$15:$B$505)-11,0,12,1))*SQRT(12),"N/A")</f>
        <v>7.2182686835488683</v>
      </c>
      <c r="AG6" s="39"/>
      <c r="AH6" s="7" t="s">
        <v>46</v>
      </c>
      <c r="AI6" s="16">
        <f t="array" aca="1" ref="AI6" ca="1">IFERROR((GEOMEAN(1+OFFSET(AI$15,MAX($B$15:$B$505)-11,0,12,1)/100)^12-1)*100,"N/A")</f>
        <v>11.204403948380669</v>
      </c>
      <c r="AJ6" s="36">
        <f t="shared" ref="AJ6:AJ10" ca="1" si="4">IFERROR(AI6-$AP6,"N/A")</f>
        <v>-3.9114047990827849</v>
      </c>
      <c r="AK6" s="16">
        <f ca="1">IFERROR(SLOPE(OFFSET(AI$15,MAX($B$15:$B$505)-11,0,12,1),OFFSET($AP$15,MAX($B$15:$B$505)-11,0,12,1)),"N/A")</f>
        <v>0.50854156357900271</v>
      </c>
      <c r="AL6" s="16">
        <f ca="1">IFERROR(INTERCEPT(OFFSET(AI$15,MAX($B$15:$B$505)-11,0,12,1),OFFSET($AP$15,MAX($B$15:$B$505)-11,0,12,1))*12,"N/A")</f>
        <v>3.4864430103724167</v>
      </c>
      <c r="AM6" s="16">
        <f ca="1">IFERROR(STDEVP(OFFSET(AI$15,MAX($B$15:$B$505)-11,0,12,1))*SQRT(12),"N/A")</f>
        <v>4.4077899947637045</v>
      </c>
      <c r="AN6" s="79"/>
      <c r="AO6" s="7" t="s">
        <v>46</v>
      </c>
      <c r="AP6" s="16">
        <f t="array" aca="1" ref="AP6" ca="1">IFERROR((GEOMEAN(1+OFFSET(AP$15,MAX($B$15:$B$505)-11,0,12,1)/100)^12-1)*100,"N/A")</f>
        <v>15.115808747463454</v>
      </c>
      <c r="AQ6" s="16">
        <f ca="1">IFERROR(SLOPE(OFFSET(AP$15,MAX($B$15:$B$505)-11,0,12,1),OFFSET($AP$15,MAX($B$15:$B$505)-11,0,12,1)),"N/A")</f>
        <v>1</v>
      </c>
      <c r="AR6" s="16">
        <f ca="1">IFERROR(INTERCEPT(OFFSET(AP$15,MAX($B$15:$B$505)-11,0,12,1),OFFSET($AP$15,MAX($B$15:$B$505)-11,0,12,1))*12,"N/A")</f>
        <v>0</v>
      </c>
      <c r="AS6" s="16">
        <f ca="1">IFERROR(STDEVP(OFFSET(AP$15,MAX($B$15:$B$505)-11,0,12,1))*SQRT(12),"N/A")</f>
        <v>5.4752573379100218</v>
      </c>
      <c r="AT6" s="39"/>
      <c r="AU6" s="7" t="s">
        <v>46</v>
      </c>
      <c r="AV6" s="16">
        <f t="array" aca="1" ref="AV6" ca="1">IFERROR((GEOMEAN(1+OFFSET(AV$15,MAX($B$15:$B$505)-11,0,12,1)/100)^12-1)*100,"N/A")</f>
        <v>9.7435197186225722</v>
      </c>
      <c r="AW6" s="36">
        <f t="shared" ca="1" si="1"/>
        <v>-10.494814249874487</v>
      </c>
      <c r="AX6" s="16">
        <f ca="1">IFERROR(SLOPE(OFFSET(AV$15,MAX($B$15:$B$505)-11,0,12,1),OFFSET($BC$15,MAX($B$15:$B$505)-11,0,12,1)),"N/A")</f>
        <v>0.67208458102359214</v>
      </c>
      <c r="AY6" s="16">
        <f ca="1">IFERROR(INTERCEPT(OFFSET(AV$15,MAX($B$15:$B$505)-11,0,12,1),OFFSET($C$15,MAX($B$15:$B$505)-11,0,12,1))*12,"N/A")</f>
        <v>6.487768602400763</v>
      </c>
      <c r="AZ6" s="16">
        <f ca="1">IFERROR(STDEVP(OFFSET(AV$15,MAX($B$15:$B$505)-11,0,12,1))*SQRT(12),"N/A")</f>
        <v>3.5815224837562289</v>
      </c>
      <c r="BA6" s="79"/>
      <c r="BB6" s="7" t="s">
        <v>46</v>
      </c>
      <c r="BC6" s="16">
        <f t="array" aca="1" ref="BC6" ca="1">IFERROR((GEOMEAN(1+OFFSET(BC$15,MAX($B$15:$B$505)-11,0,12,1)/100)^12-1)*100,"N/A")</f>
        <v>11.112805947305837</v>
      </c>
      <c r="BD6" s="16">
        <f ca="1">IFERROR(SLOPE(OFFSET(BC$15,MAX($B$15:$B$505)-11,0,12,1),OFFSET($C$15,MAX($B$15:$B$505)-11,0,12,1)),"N/A")</f>
        <v>0.24678176513495789</v>
      </c>
      <c r="BE6" s="16">
        <f ca="1">IFERROR(INTERCEPT(OFFSET(BC$15,MAX($B$15:$B$505)-11,0,12,1),OFFSET($C$15,MAX($B$15:$B$505)-11,0,12,1))*12,"N/A")</f>
        <v>6.4160803824576593</v>
      </c>
      <c r="BF6" s="16">
        <f ca="1">IFERROR(STDEVP(OFFSET(BC$15,MAX($B$15:$B$505)-11,0,12,1))*SQRT(12),"N/A")</f>
        <v>3.2244642301945201</v>
      </c>
      <c r="BG6" s="39"/>
      <c r="BH6" s="7" t="s">
        <v>46</v>
      </c>
      <c r="BI6" s="16">
        <f t="array" aca="1" ref="BI6" ca="1">IFERROR((GEOMEAN(1+OFFSET(BI$15,MAX($B$15:$B$505)-11,0,12,1)/100)^12-1)*100,"N/A")</f>
        <v>8.4952351105426196</v>
      </c>
      <c r="BJ6" s="36">
        <f t="shared" ca="1" si="2"/>
        <v>-11.74309885795444</v>
      </c>
      <c r="BK6" s="16">
        <f ca="1">IFERROR(SLOPE(OFFSET(BI$15,MAX($B$15:$B$505)-11,0,12,1),OFFSET($BP$15,MAX($B$15:$B$505)-11,0,12,1)),"N/A")</f>
        <v>0.65107009740584798</v>
      </c>
      <c r="BL6" s="16">
        <f ca="1">IFERROR(INTERCEPT(OFFSET(BI$15,MAX($B$15:$B$505)-11,0,12,1),OFFSET($BP$15,MAX($B$15:$B$505)-11,0,12,1))*12,"N/A")</f>
        <v>2.4798211352711386</v>
      </c>
      <c r="BM6" s="16">
        <f ca="1">IFERROR(STDEVP(OFFSET(BI$15,MAX($B$15:$B$505)-11,0,12,1))*SQRT(12),"N/A")</f>
        <v>2.3435616630598335</v>
      </c>
      <c r="BN6" s="79"/>
      <c r="BO6" s="7" t="s">
        <v>46</v>
      </c>
      <c r="BP6" s="16">
        <f t="array" aca="1" ref="BP6" ca="1">IFERROR((GEOMEAN(1+OFFSET(BP$15,MAX($B$15:$B$505)-11,0,12,1)/100)^12-1)*100,"N/A")</f>
        <v>9.1264915932520729</v>
      </c>
      <c r="BQ6" s="16">
        <f ca="1">IFERROR(SLOPE(OFFSET(BP$15,MAX($B$15:$B$505)-11,0,12,1),OFFSET($C$15,MAX($B$15:$B$505)-11,0,12,1)),"N/A")</f>
        <v>0.11773399200708894</v>
      </c>
      <c r="BR6" s="16">
        <f ca="1">IFERROR(INTERCEPT(OFFSET(BP$15,MAX($B$15:$B$505)-11,0,12,1),OFFSET($C$15,MAX($B$15:$B$505)-11,0,12,1))*12,"N/A")</f>
        <v>6.7859091137947756</v>
      </c>
      <c r="BS6" s="16">
        <f ca="1">IFERROR(STDEVP(OFFSET(BP$15,MAX($B$15:$B$505)-11,0,12,1))*SQRT(12),"N/A")</f>
        <v>2.5940909405422246</v>
      </c>
      <c r="BV6" s="39"/>
      <c r="BW6" s="7" t="s">
        <v>46</v>
      </c>
      <c r="BX6" s="16">
        <f t="array" aca="1" ref="BX6" ca="1">IFERROR((GEOMEAN(1+OFFSET(BX$15,MAX($B$15:$B$505)-11,0,12,1)/100)^12-1)*100,"N/A")</f>
        <v>0</v>
      </c>
      <c r="BY6" s="36">
        <f t="shared" ca="1" si="3"/>
        <v>0</v>
      </c>
      <c r="BZ6" s="16" t="str">
        <f ca="1">IFERROR(SLOPE(OFFSET(BX$15,MAX($B$15:$B$505)-11,0,12,1),OFFSET($CE$15,MAX($B$15:$B$505)-11,0,12,1)),"N/A")</f>
        <v>N/A</v>
      </c>
      <c r="CA6" s="16" t="str">
        <f ca="1">IFERROR(INTERCEPT(OFFSET(BX$15,MAX($B$15:$B$505)-11,0,12,1),OFFSET($CE$15,MAX($B$15:$B$505)-11,0,12,1))*12,"N/A")</f>
        <v>N/A</v>
      </c>
      <c r="CB6" s="16" t="str">
        <f ca="1">IFERROR(STDEVP(OFFSET(BX$15,MAX($B$15:$B$505)-11,0,12,1))*SQRT(12),"N/A")</f>
        <v>N/A</v>
      </c>
      <c r="CC6" s="79"/>
      <c r="CD6" s="7" t="s">
        <v>46</v>
      </c>
      <c r="CE6" s="16">
        <f t="array" aca="1" ref="CE6" ca="1">IFERROR((GEOMEAN(1+OFFSET(CE$15,MAX($B$15:$B$505)-11,0,12,1)/100)^12-1)*100,"N/A")</f>
        <v>0</v>
      </c>
      <c r="CF6" s="16" t="str">
        <f ca="1">IFERROR(SLOPE(OFFSET(CE$15,MAX($B$15:$B$505)-11,0,12,1),OFFSET($C$15,MAX($B$15:$B$505)-11,0,12,1)),"N/A")</f>
        <v>N/A</v>
      </c>
      <c r="CG6" s="16" t="str">
        <f ca="1">IFERROR(INTERCEPT(OFFSET(CE$15,MAX($B$15:$B$505)-11,0,12,1),OFFSET($C$15,MAX($B$15:$B$505)-11,0,12,1))*12,"N/A")</f>
        <v>N/A</v>
      </c>
      <c r="CH6" s="16" t="str">
        <f ca="1">IFERROR(STDEVP(OFFSET(CE$15,MAX($B$15:$B$505)-11,0,12,1))*SQRT(12),"N/A")</f>
        <v>N/A</v>
      </c>
      <c r="CI6" s="39"/>
    </row>
    <row r="7" spans="1:87" x14ac:dyDescent="0.25">
      <c r="A7" s="7" t="s">
        <v>47</v>
      </c>
      <c r="C7" s="16">
        <f t="array" aca="1" ref="C7" ca="1">IFERROR((GEOMEAN(1+OFFSET(C$15,MAX($B$15:$B$505)-23,0,24,1)/100)^12-1)*100,"N/A")</f>
        <v>21.376272089348426</v>
      </c>
      <c r="D7" s="36">
        <f t="shared" ref="D7" ca="1" si="5">IFERROR(C7-$P7,"N/A")</f>
        <v>1.1327920607125286</v>
      </c>
      <c r="E7" s="16">
        <f ca="1">IFERROR(SLOPE(OFFSET(C$15,MAX($B$15:$B$505)-23,0,24,1),OFFSET($C$15,MAX($B$15:$B$505)-23,0,24,1)),"N/A")</f>
        <v>1</v>
      </c>
      <c r="F7" s="16">
        <f ca="1">IFERROR(INTERCEPT(OFFSET(C$15,MAX($B$15:$B$505)-23,0,24,1),OFFSET($C$15,MAX($B$15:$B$505)-23,0,24,1))*12,"N/A")</f>
        <v>0</v>
      </c>
      <c r="G7" s="39"/>
      <c r="H7" s="7" t="s">
        <v>47</v>
      </c>
      <c r="I7" s="16">
        <f t="array" aca="1" ref="I7" ca="1">IFERROR((GEOMEAN(1+OFFSET(I$15,MAX($B$15:$B$505)-23,0,24,1)/100)^12-1)*100,"N/A")</f>
        <v>11.721215550445763</v>
      </c>
      <c r="J7" s="36">
        <f t="shared" ca="1" si="0"/>
        <v>-8.5222644781901344</v>
      </c>
      <c r="K7" s="16">
        <f ca="1">IFERROR(SLOPE(OFFSET(I$15,MAX($B$15:$B$505)-23,0,24,1),OFFSET($P$15,MAX($B$15:$B$505)-23,0,24,1)),"N/A")</f>
        <v>0.83610456496702179</v>
      </c>
      <c r="L7" s="16">
        <f ca="1">IFERROR(INTERCEPT(OFFSET(I$15,MAX($B$15:$B$505)-23,0,24,1),OFFSET($P$15,MAX($B$15:$B$505)-23,0,24,1))*12,"N/A")</f>
        <v>-4.3282756438405059</v>
      </c>
      <c r="M7" s="16">
        <f ca="1">IFERROR(STDEVP(OFFSET(I$15,MAX($B$15:$B$505)-23,0,24,1))*SQRT(12),"N/A")</f>
        <v>9.0506531278329128</v>
      </c>
      <c r="N7" s="79"/>
      <c r="O7" s="7" t="s">
        <v>47</v>
      </c>
      <c r="P7" s="16">
        <f t="array" aca="1" ref="P7" ca="1">IFERROR((GEOMEAN(1+OFFSET(P$15,MAX($B$15:$B$505)-23,0,24,1)/100)^12-1)*100,"N/A")</f>
        <v>20.243480028635897</v>
      </c>
      <c r="Q7" s="16">
        <f ca="1">IFERROR(SLOPE(OFFSET(P$15,MAX($B$15:$B$505)-23,0,24,1),OFFSET($P$15,MAX($B$15:$B$505)-23,0,24,1)),"N/A")</f>
        <v>1</v>
      </c>
      <c r="R7" s="16">
        <f ca="1">IFERROR(INTERCEPT(OFFSET(P$15,MAX($B$15:$B$505)-23,0,24,1),OFFSET($C$15,MAX($B$15:$B$505)-23,0,24,1))*12,"N/A")</f>
        <v>1.8199808380435778</v>
      </c>
      <c r="S7" s="16">
        <f ca="1">IFERROR(STDEVP(OFFSET(P$15,MAX($B$15:$B$505)-23,0,24,1))*SQRT(12),"N/A")</f>
        <v>9.0490934951316806</v>
      </c>
      <c r="T7" s="39"/>
      <c r="U7" s="7" t="s">
        <v>47</v>
      </c>
      <c r="V7" s="16">
        <f t="array" aca="1" ref="V7" ca="1">IFERROR((GEOMEAN(1+OFFSET(V$15,MAX($B$15:$B$505)-23,0,24,1)/100)^12-1)*100,"N/A")</f>
        <v>11.408155503335916</v>
      </c>
      <c r="W7" s="36">
        <f ca="1">IFERROR(V7-$AC7,"N/A")</f>
        <v>-5.775217885448523</v>
      </c>
      <c r="X7" s="16">
        <f ca="1">IFERROR(SLOPE(OFFSET(V$15,MAX($B$15:$B$505)-23,0,24,1),OFFSET($AC$15,MAX($B$15:$B$505)-23,0,24,1)),"N/A")</f>
        <v>0.89182931525739517</v>
      </c>
      <c r="Y7" s="16">
        <f ca="1">IFERROR(INTERCEPT(OFFSET(V$15,MAX($B$15:$B$505)-23,0,24,1),OFFSET($AC$15,MAX($B$15:$B$505)-23,0,24,1))*12,"N/A")</f>
        <v>-3.3174375767954869</v>
      </c>
      <c r="Z7" s="16">
        <f ca="1">IFERROR(STDEVP(OFFSET(V$15,MAX($B$15:$B$505)-23,0,24,1))*SQRT(12),"N/A")</f>
        <v>8.1847919261833706</v>
      </c>
      <c r="AA7" s="79"/>
      <c r="AB7" s="7" t="s">
        <v>47</v>
      </c>
      <c r="AC7" s="16">
        <f t="array" aca="1" ref="AC7" ca="1">IFERROR((GEOMEAN(1+OFFSET(AC$15,MAX($B$15:$B$505)-23,0,24,1)/100)^12-1)*100,"N/A")</f>
        <v>17.183373388784439</v>
      </c>
      <c r="AD7" s="16">
        <f ca="1">IFERROR(SLOPE(OFFSET(AC$15,MAX($B$15:$B$505)-23,0,24,1),OFFSET($AC$15,MAX($B$15:$B$505)-23,0,24,1)),"N/A")</f>
        <v>1</v>
      </c>
      <c r="AE7" s="16">
        <f ca="1">IFERROR(INTERCEPT(OFFSET(AC$15,MAX($B$15:$B$505)-23,0,24,1),OFFSET($C$15,MAX($B$15:$B$505)-23,0,24,1))*12,"N/A")</f>
        <v>1.6967012178264547</v>
      </c>
      <c r="AF7" s="16">
        <f ca="1">IFERROR(STDEVP(OFFSET(AC$15,MAX($B$15:$B$505)-23,0,24,1))*SQRT(12),"N/A")</f>
        <v>7.7728649050048917</v>
      </c>
      <c r="AG7" s="39"/>
      <c r="AH7" s="7" t="s">
        <v>47</v>
      </c>
      <c r="AI7" s="16">
        <f t="array" aca="1" ref="AI7" ca="1">IFERROR((GEOMEAN(1+OFFSET(AI$15,MAX($B$15:$B$505)-23,0,24,1)/100)^12-1)*100,"N/A")</f>
        <v>10.582213398301388</v>
      </c>
      <c r="AJ7" s="36">
        <f t="shared" ca="1" si="4"/>
        <v>-3.2556523230393921</v>
      </c>
      <c r="AK7" s="16">
        <f ca="1">IFERROR(SLOPE(OFFSET(AI$15,MAX($B$15:$B$505)-23,0,24,1),OFFSET($AP$15,MAX($B$15:$B$505)-23,0,24,1)),"N/A")</f>
        <v>0.96723220829699674</v>
      </c>
      <c r="AL7" s="16">
        <f ca="1">IFERROR(INTERCEPT(OFFSET(AI$15,MAX($B$15:$B$505)-23,0,24,1),OFFSET($AP$15,MAX($B$15:$B$505)-23,0,24,1))*12,"N/A")</f>
        <v>-2.4375195555193359</v>
      </c>
      <c r="AM7" s="16">
        <f ca="1">IFERROR(STDEVP(OFFSET(AI$15,MAX($B$15:$B$505)-23,0,24,1))*SQRT(12),"N/A")</f>
        <v>7.3073526324748856</v>
      </c>
      <c r="AN7" s="79"/>
      <c r="AO7" s="7" t="s">
        <v>47</v>
      </c>
      <c r="AP7" s="16">
        <f t="array" aca="1" ref="AP7" ca="1">IFERROR((GEOMEAN(1+OFFSET(AP$15,MAX($B$15:$B$505)-23,0,24,1)/100)^12-1)*100,"N/A")</f>
        <v>13.83786572134078</v>
      </c>
      <c r="AQ7" s="16">
        <f ca="1">IFERROR(SLOPE(OFFSET(AP$15,MAX($B$15:$B$505)-23,0,24,1),OFFSET($AP$15,MAX($B$15:$B$505)-23,0,24,1)),"N/A")</f>
        <v>1</v>
      </c>
      <c r="AR7" s="16">
        <f ca="1">IFERROR(INTERCEPT(OFFSET(AP$15,MAX($B$15:$B$505)-23,0,24,1),OFFSET($AP$15,MAX($B$15:$B$505)-23,0,24,1))*12,"N/A")</f>
        <v>0</v>
      </c>
      <c r="AS7" s="16">
        <f ca="1">IFERROR(STDEVP(OFFSET(AP$15,MAX($B$15:$B$505)-23,0,24,1))*SQRT(12),"N/A")</f>
        <v>6.4701533903785675</v>
      </c>
      <c r="AT7" s="39"/>
      <c r="AU7" s="7" t="s">
        <v>47</v>
      </c>
      <c r="AV7" s="16">
        <f t="array" aca="1" ref="AV7" ca="1">IFERROR((GEOMEAN(1+OFFSET(AV$15,MAX($B$15:$B$505)-23,0,24,1)/100)^12-1)*100,"N/A")</f>
        <v>8.2949522298521252</v>
      </c>
      <c r="AW7" s="36">
        <f t="shared" ca="1" si="1"/>
        <v>-11.948527798783772</v>
      </c>
      <c r="AX7" s="16">
        <f ca="1">IFERROR(SLOPE(OFFSET(AV$15,MAX($B$15:$B$505)-23,0,24,1),OFFSET($BC$15,MAX($B$15:$B$505)-23,0,24,1)),"N/A")</f>
        <v>1.0046380849242427</v>
      </c>
      <c r="AY7" s="16">
        <f ca="1">IFERROR(INTERCEPT(OFFSET(AV$15,MAX($B$15:$B$505)-23,0,24,1),OFFSET($C$15,MAX($B$15:$B$505)-23,0,24,1))*12,"N/A")</f>
        <v>0.41432842340007126</v>
      </c>
      <c r="AZ7" s="16">
        <f ca="1">IFERROR(STDEVP(OFFSET(AV$15,MAX($B$15:$B$505)-23,0,24,1))*SQRT(12),"N/A")</f>
        <v>5.7048166065118879</v>
      </c>
      <c r="BA7" s="79"/>
      <c r="BB7" s="7" t="s">
        <v>47</v>
      </c>
      <c r="BC7" s="16">
        <f t="array" aca="1" ref="BC7" ca="1">IFERROR((GEOMEAN(1+OFFSET(BC$15,MAX($B$15:$B$505)-23,0,24,1)/100)^12-1)*100,"N/A")</f>
        <v>8.9277103302473968</v>
      </c>
      <c r="BD7" s="16">
        <f ca="1">IFERROR(SLOPE(OFFSET(BC$15,MAX($B$15:$B$505)-23,0,24,1),OFFSET($C$15,MAX($B$15:$B$505)-23,0,24,1)),"N/A")</f>
        <v>0.36625641791416369</v>
      </c>
      <c r="BE7" s="16">
        <f ca="1">IFERROR(INTERCEPT(OFFSET(BC$15,MAX($B$15:$B$505)-23,0,24,1),OFFSET($C$15,MAX($B$15:$B$505)-23,0,24,1))*12,"N/A")</f>
        <v>1.3542578283344517</v>
      </c>
      <c r="BF7" s="16">
        <f ca="1">IFERROR(STDEVP(OFFSET(BC$15,MAX($B$15:$B$505)-23,0,24,1))*SQRT(12),"N/A")</f>
        <v>4.9488041637681546</v>
      </c>
      <c r="BG7" s="39"/>
      <c r="BH7" s="7" t="s">
        <v>47</v>
      </c>
      <c r="BI7" s="16">
        <f t="array" aca="1" ref="BI7" ca="1">IFERROR((GEOMEAN(1+OFFSET(BI$15,MAX($B$15:$B$505)-23,0,24,1)/100)^12-1)*100,"N/A")</f>
        <v>6.9870178649904968</v>
      </c>
      <c r="BJ7" s="36">
        <f ca="1">IFERROR(BI7-$BP7,"N/A")</f>
        <v>0.46564153033963329</v>
      </c>
      <c r="BK7" s="16">
        <f ca="1">IFERROR(SLOPE(OFFSET(BI$15,MAX($B$15:$B$505)-23,0,24,1),OFFSET($BC$15,MAX($B$15:$B$505)-23,0,24,1)),"N/A")</f>
        <v>0.86245979546739926</v>
      </c>
      <c r="BL7" s="16">
        <f ca="1">IFERROR(INTERCEPT(OFFSET(BI$15,MAX($B$15:$B$505)-23,0,24,1),OFFSET($C$15,MAX($B$15:$B$505)-23,0,24,1))*12,"N/A")</f>
        <v>1.1770624663328666</v>
      </c>
      <c r="BM7" s="16">
        <f ca="1">IFERROR(STDEVP(OFFSET(BI$15,MAX($B$15:$B$505)-23,0,24,1))*SQRT(12),"N/A")</f>
        <v>4.6995299066545302</v>
      </c>
      <c r="BN7" s="79"/>
      <c r="BO7" s="7" t="s">
        <v>47</v>
      </c>
      <c r="BP7" s="16">
        <f t="array" aca="1" ref="BP7" ca="1">IFERROR((GEOMEAN(1+OFFSET(BP$15,MAX($B$15:$B$505)-23,0,24,1)/100)^12-1)*100,"N/A")</f>
        <v>6.5213763346508635</v>
      </c>
      <c r="BQ7" s="16">
        <f ca="1">IFERROR(SLOPE(OFFSET(BP$15,MAX($B$15:$B$505)-23,0,24,1),OFFSET($BC$15,MAX($B$15:$B$505)-23,0,24,1)),"N/A")</f>
        <v>0.88672758466042778</v>
      </c>
      <c r="BR7" s="16">
        <f ca="1">IFERROR(INTERCEPT(OFFSET(BP$15,MAX($B$15:$B$505)-23,0,24,1),OFFSET($C$15,MAX($B$15:$B$505)-23,0,24,1))*12,"N/A")</f>
        <v>1.2515248114868478</v>
      </c>
      <c r="BS7" s="16">
        <f ca="1">IFERROR(STDEVP(OFFSET(BP$15,MAX($B$15:$B$505)-23,0,24,1))*SQRT(12),"N/A")</f>
        <v>4.5289478553970506</v>
      </c>
      <c r="BV7" s="39"/>
      <c r="BW7" s="7" t="s">
        <v>47</v>
      </c>
      <c r="BX7" s="16">
        <f t="array" aca="1" ref="BX7" ca="1">IFERROR((GEOMEAN(1+OFFSET(BX$15,MAX($B$15:$B$505)-23,0,24,1)/100)^12-1)*100,"N/A")</f>
        <v>4.0851209522387633</v>
      </c>
      <c r="BY7" s="36">
        <f t="shared" ca="1" si="3"/>
        <v>-0.62902730705023391</v>
      </c>
      <c r="BZ7" s="16">
        <f ca="1">IFERROR(SLOPE(OFFSET(BX$15,MAX($B$15:$B$505)-23,0,24,1),OFFSET($CE$15,MAX($B$15:$B$505)-23,0,24,1)),"N/A")</f>
        <v>1.1943906396636037</v>
      </c>
      <c r="CA7" s="16">
        <f ca="1">IFERROR(INTERCEPT(OFFSET(BX$15,MAX($B$15:$B$505)-23,0,24,1),OFFSET($CE$15,MAX($B$15:$B$505)-23,0,24,1))*12,"N/A")</f>
        <v>-2.925190321672686</v>
      </c>
      <c r="CB7" s="16">
        <f ca="1">IFERROR(STDEVP(OFFSET(BX$15,MAX($B$15:$B$505)-23,0,24,1))*SQRT(12),"N/A")</f>
        <v>8.3892650092654328</v>
      </c>
      <c r="CC7" s="79"/>
      <c r="CD7" s="7" t="s">
        <v>47</v>
      </c>
      <c r="CE7" s="16">
        <f t="array" aca="1" ref="CE7" ca="1">IFERROR((GEOMEAN(1+OFFSET(CE$15,MAX($B$15:$B$505)-23,0,24,1)/100)^12-1)*100,"N/A")</f>
        <v>4.7141482592889972</v>
      </c>
      <c r="CF7" s="16">
        <f ca="1">IFERROR(SLOPE(OFFSET(CE$15,MAX($B$15:$B$505)-23,0,24,1),OFFSET($C$15,MAX($B$15:$B$505)-23,0,24,1)),"N/A")</f>
        <v>0.59200704431015472</v>
      </c>
      <c r="CG7" s="16">
        <f ca="1">IFERROR(INTERCEPT(OFFSET(CE$15,MAX($B$15:$B$505)-23,0,24,1),OFFSET($C$15,MAX($B$15:$B$505)-23,0,24,1))*12,"N/A")</f>
        <v>-4.1673234328604636</v>
      </c>
      <c r="CH7" s="16">
        <f ca="1">IFERROR(STDEVP(OFFSET(CE$15,MAX($B$15:$B$505)-23,0,24,1))*SQRT(12),"N/A")</f>
        <v>6.685343312759751</v>
      </c>
      <c r="CI7" s="39"/>
    </row>
    <row r="8" spans="1:87" x14ac:dyDescent="0.25">
      <c r="A8" s="7" t="s">
        <v>48</v>
      </c>
      <c r="C8" s="45">
        <f t="array" aca="1" ref="C8" ca="1">IFERROR((GEOMEAN(1+OFFSET(C$15,MAX($B$15:$B$505)-35,0,36,1)/100)^12-1)*100,"N/A")</f>
        <v>22.982388961227262</v>
      </c>
      <c r="D8" s="36">
        <f t="shared" ref="D8" ca="1" si="6">IFERROR(C8-$P8,"N/A")</f>
        <v>1.4077148536554063</v>
      </c>
      <c r="E8" s="16">
        <f ca="1">IFERROR(SLOPE(OFFSET(C$15,MAX($B$15:$B$505)-35,0,36,1),OFFSET($C$15,MAX($B$15:$B$505)-35,0,36,1)),"N/A")</f>
        <v>1</v>
      </c>
      <c r="F8" s="16">
        <f ca="1">IFERROR(INTERCEPT(OFFSET(C$15,MAX($B$15:$B$505)-35,0,36,1),OFFSET($C$15,MAX($B$15:$B$505)-35,0,36,1))*12,"N/A")</f>
        <v>0</v>
      </c>
      <c r="G8" s="39">
        <f ca="1">IFERROR(STDEVP(OFFSET(C$15,MAX($B$15:$B$505)-35,0,36,1))*SQRT(12),"N/A")</f>
        <v>11.787718554142021</v>
      </c>
      <c r="H8" s="7" t="s">
        <v>48</v>
      </c>
      <c r="I8" s="45">
        <f t="array" aca="1" ref="I8" ca="1">IFERROR((GEOMEAN(1+OFFSET(I$15,MAX($B$15:$B$505)-35,0,36,1)/100)^12-1)*100,"N/A")</f>
        <v>12.876474314802898</v>
      </c>
      <c r="J8" s="36">
        <f t="shared" ca="1" si="0"/>
        <v>-8.6981997927689569</v>
      </c>
      <c r="K8" s="16">
        <f ca="1">IFERROR(SLOPE(OFFSET(I$15,MAX($B$15:$B$505)-35,0,36,1),OFFSET($P$15,MAX($B$15:$B$505)-35,0,36,1)),"N/A")</f>
        <v>0.87008502840176827</v>
      </c>
      <c r="L8" s="16">
        <f ca="1">IFERROR(INTERCEPT(OFFSET(I$15,MAX($B$15:$B$505)-35,0,36,1),OFFSET($P$15,MAX($B$15:$B$505)-35,0,36,1))*12,"N/A")</f>
        <v>-4.9189539027027624</v>
      </c>
      <c r="M8" s="16">
        <f ca="1">IFERROR(STDEVP(OFFSET(I$15,MAX($B$15:$B$505)-35,0,36,1))*SQRT(12),"N/A")</f>
        <v>10.65222598850856</v>
      </c>
      <c r="N8" s="79"/>
      <c r="O8" s="7" t="s">
        <v>48</v>
      </c>
      <c r="P8" s="45">
        <f t="array" aca="1" ref="P8" ca="1">IFERROR((GEOMEAN(1+OFFSET(P$15,MAX($B$15:$B$505)-35,0,36,1)/100)^12-1)*100,"N/A")</f>
        <v>21.574674107571855</v>
      </c>
      <c r="Q8" s="16">
        <f ca="1">IFERROR(SLOPE(OFFSET(P$15,MAX($B$15:$B$505)-35,0,36,1),OFFSET($P$15,MAX($B$15:$B$505)-35,0,36,1)),"N/A")</f>
        <v>1</v>
      </c>
      <c r="R8" s="16">
        <f ca="1">IFERROR(INTERCEPT(OFFSET(P$15,MAX($B$15:$B$505)-35,0,36,1),OFFSET($C$15,MAX($B$15:$B$505)-35,0,36,1))*12,"N/A")</f>
        <v>0.45526920327527609</v>
      </c>
      <c r="S8" s="16">
        <f ca="1">IFERROR(STDEVP(OFFSET(P$15,MAX($B$15:$B$505)-35,0,36,1))*SQRT(12),"N/A")</f>
        <v>10.981076619506812</v>
      </c>
      <c r="T8" s="39"/>
      <c r="U8" s="7" t="s">
        <v>48</v>
      </c>
      <c r="V8" s="45">
        <f t="array" aca="1" ref="V8" ca="1">IFERROR((GEOMEAN(1+OFFSET(V$15,MAX($B$15:$B$505)-35,0,36,1)/100)^12-1)*100,"N/A")</f>
        <v>12.374863810197102</v>
      </c>
      <c r="W8" s="36">
        <f ca="1">IFERROR(V8-$AC8,"N/A")</f>
        <v>-5.9561248732018726</v>
      </c>
      <c r="X8" s="16">
        <f ca="1">IFERROR(SLOPE(OFFSET(V$15,MAX($B$15:$B$505)-35,0,36,1),OFFSET($AC$15,MAX($B$15:$B$505)-35,0,36,1)),"N/A")</f>
        <v>0.91685901957828964</v>
      </c>
      <c r="Y8" s="16">
        <f ca="1">IFERROR(INTERCEPT(OFFSET(V$15,MAX($B$15:$B$505)-35,0,36,1),OFFSET($AC$15,MAX($B$15:$B$505)-35,0,36,1))*12,"N/A")</f>
        <v>-3.770425872855693</v>
      </c>
      <c r="Z8" s="16">
        <f ca="1">IFERROR(STDEVP(OFFSET(V$15,MAX($B$15:$B$505)-35,0,36,1))*SQRT(12),"N/A")</f>
        <v>9.7931250304482536</v>
      </c>
      <c r="AA8" s="79"/>
      <c r="AB8" s="7" t="s">
        <v>48</v>
      </c>
      <c r="AC8" s="45">
        <f t="array" aca="1" ref="AC8" ca="1">IFERROR((GEOMEAN(1+OFFSET(AC$15,MAX($B$15:$B$505)-35,0,36,1)/100)^12-1)*100,"N/A")</f>
        <v>18.330988683398974</v>
      </c>
      <c r="AD8" s="16">
        <f ca="1">IFERROR(SLOPE(OFFSET(AC$15,MAX($B$15:$B$505)-35,0,36,1),OFFSET($AC$15,MAX($B$15:$B$505)-35,0,36,1)),"N/A")</f>
        <v>1</v>
      </c>
      <c r="AE8" s="16">
        <f ca="1">IFERROR(INTERCEPT(OFFSET(AC$15,MAX($B$15:$B$505)-35,0,36,1),OFFSET($C$15,MAX($B$15:$B$505)-35,0,36,1))*12,"N/A")</f>
        <v>1.57099494836066E-2</v>
      </c>
      <c r="AF8" s="16">
        <f ca="1">IFERROR(STDEVP(OFFSET(AC$15,MAX($B$15:$B$505)-35,0,36,1))*SQRT(12),"N/A")</f>
        <v>9.7240632257276651</v>
      </c>
      <c r="AG8" s="39"/>
      <c r="AH8" s="7" t="s">
        <v>48</v>
      </c>
      <c r="AI8" s="45">
        <f t="array" aca="1" ref="AI8" ca="1">IFERROR((GEOMEAN(1+OFFSET(AI$15,MAX($B$15:$B$505)-35,0,36,1)/100)^12-1)*100,"N/A")</f>
        <v>11.210203859030399</v>
      </c>
      <c r="AJ8" s="36">
        <f t="shared" ca="1" si="4"/>
        <v>-3.5804303423932371</v>
      </c>
      <c r="AK8" s="16">
        <f ca="1">IFERROR(SLOPE(OFFSET(AI$15,MAX($B$15:$B$505)-35,0,36,1),OFFSET($AP$15,MAX($B$15:$B$505)-35,0,36,1)),"N/A")</f>
        <v>0.92980811024706878</v>
      </c>
      <c r="AL8" s="16">
        <f ca="1">IFERROR(INTERCEPT(OFFSET(AI$15,MAX($B$15:$B$505)-35,0,36,1),OFFSET($AP$15,MAX($B$15:$B$505)-35,0,36,1))*12,"N/A")</f>
        <v>-2.1922693647396225</v>
      </c>
      <c r="AM8" s="16">
        <f ca="1">IFERROR(STDEVP(OFFSET(AI$15,MAX($B$15:$B$505)-35,0,36,1))*SQRT(12),"N/A")</f>
        <v>8.5370203931082731</v>
      </c>
      <c r="AN8" s="79"/>
      <c r="AO8" s="7" t="s">
        <v>48</v>
      </c>
      <c r="AP8" s="45">
        <f t="array" aca="1" ref="AP8" ca="1">IFERROR((GEOMEAN(1+OFFSET(AP$15,MAX($B$15:$B$505)-35,0,36,1)/100)^12-1)*100,"N/A")</f>
        <v>14.790634201423636</v>
      </c>
      <c r="AQ8" s="16">
        <f ca="1">IFERROR(SLOPE(OFFSET(AP$15,MAX($B$15:$B$505)-35,0,36,1),OFFSET($AP$15,MAX($B$15:$B$505)-35,0,36,1)),"N/A")</f>
        <v>1</v>
      </c>
      <c r="AR8" s="16">
        <f ca="1">IFERROR(INTERCEPT(OFFSET(AP$15,MAX($B$15:$B$505)-35,0,36,1),OFFSET($AP$15,MAX($B$15:$B$505)-35,0,36,1))*12,"N/A")</f>
        <v>0</v>
      </c>
      <c r="AS8" s="16">
        <f ca="1">IFERROR(STDEVP(OFFSET(AP$15,MAX($B$15:$B$505)-35,0,36,1))*SQRT(12),"N/A")</f>
        <v>8.4268270466961592</v>
      </c>
      <c r="AT8" s="39"/>
      <c r="AU8" s="7" t="s">
        <v>48</v>
      </c>
      <c r="AV8" s="45">
        <f t="array" aca="1" ref="AV8" ca="1">IFERROR((GEOMEAN(1+OFFSET(AV$15,MAX($B$15:$B$505)-35,0,36,1)/100)^12-1)*100,"N/A")</f>
        <v>8.5486085733039729</v>
      </c>
      <c r="AW8" s="36">
        <f ca="1">IFERROR(AV8-$BC8,"N/A")</f>
        <v>-1.0570193724654064</v>
      </c>
      <c r="AX8" s="16">
        <f ca="1">IFERROR(SLOPE(OFFSET(AV$15,MAX($B$15:$B$505)-35,0,36,1),OFFSET($BC$15,MAX($B$15:$B$505)-35,0,36,1)),"N/A")</f>
        <v>0.90764219635791166</v>
      </c>
      <c r="AY8" s="16">
        <f ca="1">IFERROR(INTERCEPT(OFFSET(AV$15,MAX($B$15:$B$505)-35,0,36,1),OFFSET($C$15,MAX($B$15:$B$505)-35,0,36,1))*12,"N/A")</f>
        <v>-1.6322666294414963</v>
      </c>
      <c r="AZ8" s="16">
        <f ca="1">IFERROR(STDEVP(OFFSET(AV$15,MAX($B$15:$B$505)-35,0,36,1))*SQRT(12),"N/A")</f>
        <v>6.6567329934817021</v>
      </c>
      <c r="BA8" s="79"/>
      <c r="BB8" s="7" t="s">
        <v>48</v>
      </c>
      <c r="BC8" s="45">
        <f t="array" aca="1" ref="BC8" ca="1">IFERROR((GEOMEAN(1+OFFSET(BC$15,MAX($B$15:$B$505)-35,0,36,1)/100)^12-1)*100,"N/A")</f>
        <v>9.6056279457693794</v>
      </c>
      <c r="BD8" s="16">
        <f ca="1">IFERROR(SLOPE(OFFSET(BC$15,MAX($B$15:$B$505)-35,0,36,1),OFFSET($C$15,MAX($B$15:$B$505)-35,0,36,1)),"N/A")</f>
        <v>0.49376199251023151</v>
      </c>
      <c r="BE8" s="16">
        <f ca="1">IFERROR(INTERCEPT(OFFSET(BC$15,MAX($B$15:$B$505)-35,0,36,1),OFFSET($C$15,MAX($B$15:$B$505)-35,0,36,1))*12,"N/A")</f>
        <v>-1.2052879777154679</v>
      </c>
      <c r="BF8" s="16">
        <f ca="1">IFERROR(STDEVP(OFFSET(BC$15,MAX($B$15:$B$505)-35,0,36,1))*SQRT(12),"N/A")</f>
        <v>6.804119031035488</v>
      </c>
      <c r="BG8" s="39"/>
      <c r="BH8" s="7" t="s">
        <v>48</v>
      </c>
      <c r="BI8" s="16" cm="1">
        <f t="array" aca="1" ref="BI8" ca="1">IFERROR((GEOMEAN(1+OFFSET(BI$15,MAX($B$15:$B$505)-35,0,36,1)/100)^12-1)*100,"N/A")</f>
        <v>7.1643687011480051</v>
      </c>
      <c r="BJ8" s="36">
        <f ca="1">IFERROR(BI8-$BP8,"N/A")</f>
        <v>9.4912924054013637E-2</v>
      </c>
      <c r="BK8" s="16">
        <f ca="1">IFERROR(SLOPE(OFFSET(BI$15,MAX($B$15:$B$505)-35,0,36,1),OFFSET($BP$15,MAX($B$15:$B$505)-35,0,36,1)),"N/A")</f>
        <v>0.85731556700733413</v>
      </c>
      <c r="BL8" s="16">
        <f ca="1">IFERROR(INTERCEPT(OFFSET(BI$15,MAX($B$15:$B$505)-35,0,36,1),OFFSET($C$15,MAX($B$15:$B$505)-35,0,36,1))*12,"N/A")</f>
        <v>-1.0116017671726847</v>
      </c>
      <c r="BM8" s="16">
        <f ca="1">IFERROR(STDEVP(OFFSET(BI$15,MAX($B$15:$B$505)-35,0,36,1))*SQRT(12),"N/A")</f>
        <v>5.6388197888964289</v>
      </c>
      <c r="BN8" s="79"/>
      <c r="BO8" s="7" t="s">
        <v>48</v>
      </c>
      <c r="BP8" s="16" cm="1">
        <f t="array" aca="1" ref="BP8" ca="1">IFERROR((GEOMEAN(1+OFFSET(BP$15,MAX($B$15:$B$505)-35,0,36,1)/100)^12-1)*100,"N/A")</f>
        <v>7.0694557770939914</v>
      </c>
      <c r="BQ8" s="16">
        <f ca="1">IFERROR(SLOPE(OFFSET(BP$15,MAX($B$15:$B$505)-35,0,36,1),OFFSET($C$15,MAX($B$15:$B$505)-35,0,36,1)),"N/A")</f>
        <v>0.39967060870499194</v>
      </c>
      <c r="BR8" s="16">
        <f ca="1">IFERROR(INTERCEPT(OFFSET(BP$15,MAX($B$15:$B$505)-35,0,36,1),OFFSET($C$15,MAX($B$15:$B$505)-35,0,36,1))*12,"N/A")</f>
        <v>-1.5715873558751823</v>
      </c>
      <c r="BS8" s="16">
        <f ca="1">IFERROR(STDEVP(OFFSET(BP$15,MAX($B$15:$B$505)-35,0,36,1))*SQRT(12),"N/A")</f>
        <v>6.2217337381093492</v>
      </c>
      <c r="BV8" s="39"/>
      <c r="BW8" s="7" t="s">
        <v>48</v>
      </c>
      <c r="BX8" s="45">
        <f t="array" aca="1" ref="BX8" ca="1">IFERROR((GEOMEAN(1+OFFSET(BX$15,MAX($B$15:$B$505)-35,0,36,1)/100)^12-1)*100,"N/A")</f>
        <v>6.257281162206052</v>
      </c>
      <c r="BY8" s="36">
        <f t="shared" ca="1" si="3"/>
        <v>-1.4090448829408242</v>
      </c>
      <c r="BZ8" s="16">
        <f ca="1">IFERROR(SLOPE(OFFSET(BX$15,MAX($B$15:$B$505)-35,0,36,1),OFFSET($CE$15,MAX($B$15:$B$505)-35,0,36,1)),"N/A")</f>
        <v>0.97651238892668668</v>
      </c>
      <c r="CA8" s="16">
        <f ca="1">IFERROR(INTERCEPT(OFFSET(BX$15,MAX($B$15:$B$505)-35,0,36,1),OFFSET($CE$15,MAX($B$15:$B$505)-35,0,36,1))*12,"N/A")</f>
        <v>-1.7026862414333683</v>
      </c>
      <c r="CB8" s="16">
        <f ca="1">IFERROR(STDEVP(OFFSET(BX$15,MAX($B$15:$B$505)-35,0,36,1))*SQRT(12),"N/A")</f>
        <v>8.9478681623836742</v>
      </c>
      <c r="CC8" s="79"/>
      <c r="CD8" s="7" t="s">
        <v>48</v>
      </c>
      <c r="CE8" s="45">
        <f t="array" aca="1" ref="CE8" ca="1">IFERROR((GEOMEAN(1+OFFSET(CE$15,MAX($B$15:$B$505)-35,0,36,1)/100)^12-1)*100,"N/A")</f>
        <v>7.6663260451468762</v>
      </c>
      <c r="CF8" s="16">
        <f ca="1">IFERROR(SLOPE(OFFSET(CE$15,MAX($B$15:$B$505)-35,0,36,1),OFFSET($C$15,MAX($B$15:$B$505)-35,0,36,1)),"N/A")</f>
        <v>0.67111342830258247</v>
      </c>
      <c r="CG8" s="16">
        <f ca="1">IFERROR(INTERCEPT(OFFSET(CE$15,MAX($B$15:$B$505)-35,0,36,1),OFFSET($C$15,MAX($B$15:$B$505)-35,0,36,1))*12,"N/A")</f>
        <v>-4.4488659310368899</v>
      </c>
      <c r="CH8" s="16">
        <f ca="1">IFERROR(STDEVP(OFFSET(CE$15,MAX($B$15:$B$505)-35,0,36,1))*SQRT(12),"N/A")</f>
        <v>8.7461773277546833</v>
      </c>
      <c r="CI8" s="39"/>
    </row>
    <row r="9" spans="1:87" x14ac:dyDescent="0.25">
      <c r="A9" s="7" t="s">
        <v>49</v>
      </c>
      <c r="C9" s="45">
        <f t="array" aca="1" ref="C9" ca="1">IFERROR((GEOMEAN(1+OFFSET(C$15,MAX($B$15:$B$505)-47,0,48,1)/100)^12-1)*100,"N/A")</f>
        <v>11.085465970777797</v>
      </c>
      <c r="D9" s="45">
        <f t="array" aca="1" ref="D9" ca="1">IFERROR((GEOMEAN(1+OFFSET(D$15,MAX($B$15:$B$505)-47,0,48,1)/100)^12-1)*100,"N/A")</f>
        <v>9.0077840542976517</v>
      </c>
      <c r="E9" s="45">
        <f t="array" aca="1" ref="E9" ca="1">IFERROR((GEOMEAN(1+OFFSET(E$15,MAX($B$15:$B$505)-47,0,48,1)/100)^12-1)*100,"N/A")</f>
        <v>-6.6836227800559644E-2</v>
      </c>
      <c r="F9" s="45">
        <f t="array" aca="1" ref="F9" ca="1">IFERROR((GEOMEAN(1+OFFSET(F$15,MAX($B$15:$B$505)-47,0,48,1)/100)^12-1)*100,"N/A")</f>
        <v>0</v>
      </c>
      <c r="G9" s="39"/>
      <c r="H9" s="7" t="s">
        <v>49</v>
      </c>
      <c r="I9" s="45">
        <f t="array" aca="1" ref="I9" ca="1">IFERROR((GEOMEAN(1+OFFSET(I$15,MAX($B$15:$B$505)-47,0,48,1)/100)^12-1)*100,"N/A")</f>
        <v>5.8837978024755877</v>
      </c>
      <c r="J9" s="36">
        <f t="shared" ca="1" si="0"/>
        <v>-4.6650732162682562</v>
      </c>
      <c r="K9" s="16">
        <f ca="1">IFERROR(SLOPE(OFFSET(I$15,MAX($B$15:$B$505)-47,0,48,1),OFFSET($P$15,MAX($B$15:$B$505)-47,0,48,1)),"N/A")</f>
        <v>0.83157663120948477</v>
      </c>
      <c r="L9" s="16">
        <f ca="1">IFERROR(INTERCEPT(OFFSET(I$15,MAX($B$15:$B$505)-59,0,36,1),OFFSET($P$15,MAX($B$15:$B$505)-35,0,36,1))*12,"N/A")</f>
        <v>4.520620202377641</v>
      </c>
      <c r="M9" s="16">
        <f ca="1">IFERROR(STDEVP(OFFSET(I$15,MAX($B$15:$B$505)-47,0,48,1))*SQRT(12),"N/A")</f>
        <v>13.153172755639096</v>
      </c>
      <c r="N9" s="79"/>
      <c r="O9" s="7" t="s">
        <v>49</v>
      </c>
      <c r="P9" s="45">
        <f t="array" aca="1" ref="P9" ca="1">IFERROR((GEOMEAN(1+OFFSET(P$15,MAX($B$15:$B$505)-47,0,48,1)/100)^12-1)*100,"N/A")</f>
        <v>10.548871018743844</v>
      </c>
      <c r="Q9" s="16">
        <f ca="1">IFERROR(SLOPE(OFFSET(P$15,MAX($B$15:$B$505)-47,0,48,1),OFFSET($P$15,MAX($B$15:$B$505)-47,0,48,1)),"N/A")</f>
        <v>1</v>
      </c>
      <c r="R9" s="16">
        <f ca="1">IFERROR(INTERCEPT(OFFSET(P$15,MAX($B$15:$B$505)-47,0,48,1),OFFSET($C$15,MAX($B$15:$B$505)-47,0,48,1))*12,"N/A")</f>
        <v>0.14001924057787685</v>
      </c>
      <c r="S9" s="16">
        <f ca="1">IFERROR(STDEVP(OFFSET(P$15,MAX($B$15:$B$505)-47,0,48,1))*SQRT(12),"N/A")</f>
        <v>14.863295194272123</v>
      </c>
      <c r="T9" s="39"/>
      <c r="U9" s="7" t="s">
        <v>49</v>
      </c>
      <c r="V9" s="45">
        <f t="array" aca="1" ref="V9" ca="1">IFERROR((GEOMEAN(1+OFFSET(V$15,MAX($B$15:$B$505)-47,0,48,1)/100)^12-1)*100,"N/A")</f>
        <v>5.4756400206547706</v>
      </c>
      <c r="W9" s="36">
        <f t="shared" ref="W9:W10" ca="1" si="7">IFERROR(V9-$AC9,"N/A")</f>
        <v>-3.1500723015220675</v>
      </c>
      <c r="X9" s="16">
        <f ca="1">IFERROR(SLOPE(OFFSET(V$15,MAX($B$15:$B$505)-47,0,48,1),OFFSET($AC$15,MAX($B$15:$B$505)-47,0,48,1)),"N/A")</f>
        <v>0.89217362272257261</v>
      </c>
      <c r="Y9" s="16">
        <f ca="1">IFERROR(INTERCEPT(OFFSET(V$15,MAX($B$15:$B$505)-47,0,48,1),OFFSET($AC$15,MAX($B$15:$B$505)-47,0,48,1))*12,"N/A")</f>
        <v>-2.0718188933763497</v>
      </c>
      <c r="Z9" s="16">
        <f ca="1">IFERROR(STDEVP(OFFSET(V$15,MAX($B$15:$B$505)-47,0,48,1))*SQRT(12),"N/A")</f>
        <v>12.292949456497029</v>
      </c>
      <c r="AA9" s="79"/>
      <c r="AB9" s="7" t="s">
        <v>49</v>
      </c>
      <c r="AC9" s="45">
        <f t="array" aca="1" ref="AC9" ca="1">IFERROR((GEOMEAN(1+OFFSET(AC$15,MAX($B$15:$B$505)-47,0,48,1)/100)^12-1)*100,"N/A")</f>
        <v>8.6257123221768381</v>
      </c>
      <c r="AD9" s="16">
        <f ca="1">IFERROR(SLOPE(OFFSET(AC$15,MAX($B$15:$B$505)-47,0,48,1),OFFSET($AC$15,MAX($B$15:$B$505)-47,0,48,1)),"N/A")</f>
        <v>1</v>
      </c>
      <c r="AE9" s="16">
        <f ca="1">IFERROR(INTERCEPT(OFFSET(AC$15,MAX($B$15:$B$505)-59,0,36,1),OFFSET($C$15,MAX($B$15:$B$505)-35,0,36,1))*12,"N/A")</f>
        <v>6.8711885417301657</v>
      </c>
      <c r="AF9" s="16">
        <f ca="1">IFERROR(STDEVP(OFFSET(AC$15,MAX($B$15:$B$505)-47,0,48,1))*SQRT(12),"N/A")</f>
        <v>13.050395096757148</v>
      </c>
      <c r="AG9" s="39"/>
      <c r="AH9" s="7" t="s">
        <v>49</v>
      </c>
      <c r="AI9" s="45">
        <f t="array" aca="1" ref="AI9" ca="1">IFERROR((GEOMEAN(1+OFFSET(AI$15,MAX($B$15:$B$505)-47,0,48,1)/100)^12-1)*100,"N/A")</f>
        <v>4.9591855754466119</v>
      </c>
      <c r="AJ9" s="36">
        <f t="shared" ca="1" si="4"/>
        <v>-1.5141518549542266</v>
      </c>
      <c r="AK9" s="16">
        <f ca="1">IFERROR(SLOPE(OFFSET(AI$15,MAX($B$15:$B$505)-47,0,48,1),OFFSET($AP$15,MAX($B$15:$B$505)-47,0,48,1)),"N/A")</f>
        <v>0.88379605287699858</v>
      </c>
      <c r="AL9" s="16">
        <f ca="1">IFERROR(INTERCEPT(OFFSET(AI$15,MAX($B$15:$B$505)-47,0,48,1),OFFSET($AP$15,MAX($B$15:$B$505)-47,0,48,1))*12,"N/A")</f>
        <v>-0.71822945082510814</v>
      </c>
      <c r="AM9" s="16">
        <f ca="1">IFERROR(STDEVP(OFFSET(AI$15,MAX($B$15:$B$505)-47,0,48,1))*SQRT(12),"N/A")</f>
        <v>10.382122767686246</v>
      </c>
      <c r="AN9" s="79"/>
      <c r="AO9" s="7" t="s">
        <v>49</v>
      </c>
      <c r="AP9" s="45">
        <f t="array" aca="1" ref="AP9" ca="1">IFERROR((GEOMEAN(1+OFFSET(AP$15,MAX($B$15:$B$505)-47,0,48,1)/100)^12-1)*100,"N/A")</f>
        <v>6.4733374304008384</v>
      </c>
      <c r="AQ9" s="16">
        <f ca="1">IFERROR(SLOPE(OFFSET(AP$15,MAX($B$15:$B$505)-47,0,48,1),OFFSET($AP$15,MAX($B$15:$B$505)-47,0,48,1)),"N/A")</f>
        <v>1</v>
      </c>
      <c r="AR9" s="16">
        <f ca="1">IFERROR(INTERCEPT(OFFSET(AP$15,MAX($B$15:$B$505)-47,0,48,1),OFFSET($AP$15,MAX($B$15:$B$505)-47,0,48,1))*12,"N/A")</f>
        <v>0</v>
      </c>
      <c r="AS9" s="16">
        <f ca="1">IFERROR(STDEVP(OFFSET(AP$15,MAX($B$15:$B$505)-47,0,48,1))*SQRT(12),"N/A")</f>
        <v>11.128312986646339</v>
      </c>
      <c r="AT9" s="39"/>
      <c r="AU9" s="7" t="s">
        <v>49</v>
      </c>
      <c r="AV9" s="45">
        <f t="array" aca="1" ref="AV9" ca="1">IFERROR((GEOMEAN(1+OFFSET(AV$15,MAX($B$15:$B$505)-47,0,48,1)/100)^12-1)*100,"N/A")</f>
        <v>3.2861587644964496</v>
      </c>
      <c r="AW9" s="16">
        <f ca="1">IFERROR(SLOPE(OFFSET(AV$15,MAX($B$15:$B$505)-47,0,48,1),OFFSET($C$15,MAX($B$15:$B$505)-47,0,48,1)),"N/A")</f>
        <v>0.44276760798672193</v>
      </c>
      <c r="AX9" s="16">
        <f ca="1">IFERROR(SLOPE(OFFSET(AV$15,MAX($B$15:$B$505)-47,0,48,1),OFFSET($BC$15,MAX($B$15:$B$505)-47,0,48,1)),"N/A")</f>
        <v>0.8727107570996061</v>
      </c>
      <c r="AY9" s="16">
        <f ca="1">IFERROR(INTERCEPT(OFFSET(AV$15,MAX($B$15:$B$505)-47,0,48,1),OFFSET($C$15,MAX($B$15:$B$505)-47,0,48,1))*12,"N/A")</f>
        <v>-1.6802541708328402</v>
      </c>
      <c r="AZ9" s="16">
        <f ca="1">IFERROR(STDEVP(OFFSET(AV$15,MAX($B$15:$B$505)-47,0,48,1))*SQRT(12),"N/A")</f>
        <v>7.8836055870684483</v>
      </c>
      <c r="BA9" s="79"/>
      <c r="BB9" s="7" t="s">
        <v>49</v>
      </c>
      <c r="BC9" s="45">
        <f t="array" aca="1" ref="BC9" ca="1">IFERROR((GEOMEAN(1+OFFSET(BC$15,MAX($B$15:$B$505)-47,0,48,1)/100)^12-1)*100,"N/A")</f>
        <v>3.2187195583305073</v>
      </c>
      <c r="BD9" s="16">
        <f ca="1">IFERROR(SLOPE(OFFSET(BC$15,MAX($B$15:$B$505)-47,0,48,1),OFFSET($C$15,MAX($B$15:$B$505)-47,0,48,1)),"N/A")</f>
        <v>0.48513205167749995</v>
      </c>
      <c r="BE9" s="16">
        <f ca="1">IFERROR(INTERCEPT(OFFSET(BC$15,MAX($B$15:$B$505)-47,0,48,1),OFFSET($C$15,MAX($B$15:$B$505)-47,0,48,1))*12,"N/A")</f>
        <v>-2.1897226484843211</v>
      </c>
      <c r="BF9" s="16">
        <f ca="1">IFERROR(STDEVP(OFFSET(BC$15,MAX($B$15:$B$505)-47,0,48,1))*SQRT(12),"N/A")</f>
        <v>8.5662422939779255</v>
      </c>
      <c r="BG9" s="39"/>
      <c r="BH9" s="7" t="s">
        <v>49</v>
      </c>
      <c r="BI9" s="16" cm="1">
        <f t="array" aca="1" ref="BI9" ca="1">IFERROR((GEOMEAN(1+OFFSET(BI$15,MAX($B$15:$B$505)-47,0,48,1)/100)^12-1)*100,"N/A")</f>
        <v>2.4072037907631127</v>
      </c>
      <c r="BJ9" s="36">
        <f t="shared" ref="BJ9:BJ10" ca="1" si="8">IFERROR(BI9-$BP9,"N/A")</f>
        <v>0.82557488772285748</v>
      </c>
      <c r="BK9" s="16"/>
      <c r="BL9" s="16"/>
      <c r="BM9" s="16"/>
      <c r="BN9" s="79"/>
      <c r="BO9" s="7" t="s">
        <v>49</v>
      </c>
      <c r="BP9" s="16" cm="1">
        <f t="array" aca="1" ref="BP9" ca="1">IFERROR((GEOMEAN(1+OFFSET(BP$15,MAX($B$15:$B$505)-47,0,48,1)/100)^12-1)*100,"N/A")</f>
        <v>1.5816289030402553</v>
      </c>
      <c r="BQ9" s="16"/>
      <c r="BR9" s="16"/>
      <c r="BS9" s="16"/>
      <c r="BV9" s="39"/>
      <c r="BW9" s="7" t="s">
        <v>49</v>
      </c>
      <c r="BX9" s="45">
        <f t="array" aca="1" ref="BX9" ca="1">IFERROR((GEOMEAN(1+OFFSET(BX$15,MAX($B$15:$B$505)-47,0,48,1)/100)^12-1)*100,"N/A")</f>
        <v>1.5218533097306919</v>
      </c>
      <c r="BY9" s="36">
        <f t="shared" ca="1" si="3"/>
        <v>-0.14795713462891769</v>
      </c>
      <c r="BZ9" s="16">
        <f ca="1">IFERROR(SLOPE(OFFSET(BX$15,MAX($B$15:$B$505)-47,0,48,1),OFFSET($CE$15,MAX($B$15:$B$505)-47,0,48,1)),"N/A")</f>
        <v>0.90965700676988304</v>
      </c>
      <c r="CA9" s="16">
        <f ca="1">IFERROR(INTERCEPT(OFFSET(BX$15,MAX($B$15:$B$505)-47,0,48,1),OFFSET($CE$15,MAX($B$15:$B$505)-47,0,48,1))*12,"N/A")</f>
        <v>-3.9906355932761706E-3</v>
      </c>
      <c r="CB9" s="16">
        <f ca="1">IFERROR(STDEVP(OFFSET(BX$15,MAX($B$15:$B$505)-47,0,48,1))*SQRT(12),"N/A")</f>
        <v>10.350678371348859</v>
      </c>
      <c r="CC9" s="79"/>
      <c r="CD9" s="7" t="s">
        <v>49</v>
      </c>
      <c r="CE9" s="45">
        <f t="array" aca="1" ref="CE9" ca="1">IFERROR((GEOMEAN(1+OFFSET(CE$15,MAX($B$15:$B$505)-47,0,48,1)/100)^12-1)*100,"N/A")</f>
        <v>1.6698104443596096</v>
      </c>
      <c r="CF9" s="16">
        <f ca="1">IFERROR(SLOPE(OFFSET(CE$15,MAX($B$15:$B$505)-47,0,48,1),OFFSET($C$15,MAX($B$15:$B$505)-47,0,48,1)),"N/A")</f>
        <v>0.60767763791198648</v>
      </c>
      <c r="CG9" s="16">
        <f ca="1">IFERROR(INTERCEPT(OFFSET(CE$15,MAX($B$15:$B$505)-47,0,48,1),OFFSET($C$15,MAX($B$15:$B$505)-47,0,48,1))*12,"N/A")</f>
        <v>-3.296273038315531</v>
      </c>
      <c r="CH9" s="16">
        <f ca="1">IFERROR(STDEVP(OFFSET(CE$15,MAX($B$15:$B$505)-47,0,48,1))*SQRT(12),"N/A")</f>
        <v>10.937791294344001</v>
      </c>
      <c r="CI9" s="39"/>
    </row>
    <row r="10" spans="1:87" x14ac:dyDescent="0.25">
      <c r="A10" s="7" t="s">
        <v>50</v>
      </c>
      <c r="C10" s="45">
        <f t="array" aca="1" ref="C10" ca="1">IFERROR((GEOMEAN(1+OFFSET(C$15,MAX($B$15:$B$505)-49,0,60,1)/100)^12-1)*100,"N/A")</f>
        <v>9.5776010122965225</v>
      </c>
      <c r="D10" s="45" t="str">
        <f t="array" aca="1" ref="D10" ca="1">IFERROR((GEOMEAN(1+OFFSET(D$15,MAX($B$15:$B$505)-49,0,60,1)/100)^12-1)*100,"N/A")</f>
        <v>N/A</v>
      </c>
      <c r="E10" s="45">
        <f t="array" aca="1" ref="E10" ca="1">IFERROR((GEOMEAN(1+OFFSET(E$15,MAX($B$15:$B$505)-49,0,60,1)/100)^12-1)*100,"N/A")</f>
        <v>2.039869998363697</v>
      </c>
      <c r="F10" s="45">
        <f t="array" aca="1" ref="F10" ca="1">IFERROR((GEOMEAN(1+OFFSET(F$15,MAX($B$15:$B$505)-49,0,60,1)/100)^12-1)*100,"N/A")</f>
        <v>0</v>
      </c>
      <c r="G10" s="39"/>
      <c r="H10" s="7" t="s">
        <v>50</v>
      </c>
      <c r="I10" s="45" cm="1">
        <f t="array" aca="1" ref="I10" ca="1">IFERROR((GEOMEAN(1+OFFSET(I$15,MAX($B$15:$B$505)-59,0,60,1)/100)^12-1)*100,"N/A")</f>
        <v>7.3067779556395651</v>
      </c>
      <c r="J10" s="36">
        <f t="shared" ca="1" si="0"/>
        <v>-5.9263394952340454</v>
      </c>
      <c r="K10" s="16">
        <f ca="1">IFERROR(SLOPE(OFFSET(I$15,MAX($B$15:$B$505)-59,0,60,1),OFFSET($P$15,MAX($B$15:$B$505)-59,0,60,1)),"N/A")</f>
        <v>0.83227963032172203</v>
      </c>
      <c r="L10" s="16">
        <f ca="1">IFERROR(INTERCEPT(OFFSET(I$15,MAX($B$15:$B$505)-59,0,60,1),OFFSET($P$15,MAX($B$15:$B$505)-59,0,60,1))*12,"N/A")</f>
        <v>-3.3782496463873435</v>
      </c>
      <c r="M10" s="16">
        <f ca="1">IFERROR(STDEVP(OFFSET(I$15,MAX($B$15:$B$505)-59,0,60,1))*SQRT(12),"N/A")</f>
        <v>12.419906148882594</v>
      </c>
      <c r="N10" s="79"/>
      <c r="O10" s="7" t="s">
        <v>50</v>
      </c>
      <c r="P10" s="45" cm="1">
        <f t="array" aca="1" ref="P10" ca="1">IFERROR((GEOMEAN(1+OFFSET(P$15,MAX($B$15:$B$505)-59,0,60,1)/100)^12-1)*100,"N/A")</f>
        <v>13.23311745087361</v>
      </c>
      <c r="Q10" s="16">
        <f ca="1">IFERROR(SLOPE(OFFSET(P$15,MAX($B$15:$B$505)-59,0,60,1),OFFSET($P$15,MAX($B$15:$B$505)-59,0,60,1)),"N/A")</f>
        <v>1</v>
      </c>
      <c r="R10" s="16">
        <f ca="1">IFERROR(INTERCEPT(OFFSET(P$15,MAX($B$15:$B$505)-59,0,60,1),OFFSET($C$15,MAX($B$15:$B$505)-59,0,60,1))*12,"N/A")</f>
        <v>-0.15932302983988222</v>
      </c>
      <c r="S10" s="16">
        <f ca="1">IFERROR(STDEVP(OFFSET(P$15,MAX($B$15:$B$505)-59,0,60,1))*SQRT(12),"N/A")</f>
        <v>14.049229645000139</v>
      </c>
      <c r="T10" s="39"/>
      <c r="U10" s="7" t="s">
        <v>50</v>
      </c>
      <c r="V10" s="45" cm="1">
        <f t="array" aca="1" ref="V10" ca="1">IFERROR((GEOMEAN(1+OFFSET(V$15,MAX($B$15:$B$505)-59,0,60,1)/100)^12-1)*100,"N/A")</f>
        <v>6.7040014914230728</v>
      </c>
      <c r="W10" s="36">
        <f t="shared" ca="1" si="7"/>
        <v>-4.0116338481064329</v>
      </c>
      <c r="X10" s="16">
        <f ca="1">IFERROR(SLOPE(OFFSET(V$15,MAX($B$15:$B$505)-59,0,60,1),OFFSET($AC$15,MAX($B$15:$B$505)-59,0,60,1)),"N/A")</f>
        <v>0.897158776078406</v>
      </c>
      <c r="Y10" s="16">
        <f ca="1">IFERROR(INTERCEPT(OFFSET(V$15,MAX($B$15:$B$505)-59,0,60,1),OFFSET($AC$15,MAX($B$15:$B$505)-59,0,60,1))*12,"N/A")</f>
        <v>-2.669229297787326</v>
      </c>
      <c r="Z10" s="16">
        <f ca="1">IFERROR(STDEVP(OFFSET(V$15,MAX($B$15:$B$505)-59,0,60,1))*SQRT(12),"N/A")</f>
        <v>11.59861452545751</v>
      </c>
      <c r="AA10" s="79"/>
      <c r="AB10" s="7" t="s">
        <v>50</v>
      </c>
      <c r="AC10" s="45" cm="1">
        <f t="array" aca="1" ref="AC10" ca="1">IFERROR((GEOMEAN(1+OFFSET(AC$15,MAX($B$15:$B$505)-59,0,60,1)/100)^12-1)*100,"N/A")</f>
        <v>10.715635339529506</v>
      </c>
      <c r="AD10" s="16">
        <f ca="1">IFERROR(SLOPE(OFFSET(AC$15,MAX($B$15:$B$505)-59,0,60,1),OFFSET($AC$15,MAX($B$15:$B$505)-59,0,60,1)),"N/A")</f>
        <v>1</v>
      </c>
      <c r="AE10" s="16">
        <f ca="1">IFERROR(INTERCEPT(OFFSET(AC$15,MAX($B$15:$B$505)-59,0,60,1),OFFSET($C$15,MAX($B$15:$B$505)-59,0,60,1))*12,"N/A")</f>
        <v>-0.85397074101784742</v>
      </c>
      <c r="AF10" s="16">
        <f ca="1">IFERROR(STDEVP(OFFSET(AC$15,MAX($B$15:$B$505)-59,0,60,1))*SQRT(12),"N/A")</f>
        <v>12.25601024500688</v>
      </c>
      <c r="AG10" s="39"/>
      <c r="AH10" s="7" t="s">
        <v>50</v>
      </c>
      <c r="AI10" s="45" cm="1">
        <f t="array" aca="1" ref="AI10" ca="1">IFERROR((GEOMEAN(1+OFFSET(AI$15,MAX($B$15:$B$505)-59,0,60,1)/100)^12-1)*100,"N/A")</f>
        <v>5.8246844828719446</v>
      </c>
      <c r="AJ10" s="36">
        <f t="shared" ca="1" si="4"/>
        <v>-2.1034082285550371</v>
      </c>
      <c r="AK10" s="16">
        <f ca="1">IFERROR(SLOPE(OFFSET(AI$15,MAX($B$15:$B$505)-59,0,60,1),OFFSET($AP$15,MAX($B$15:$B$505)-59,0,60,1)),"N/A")</f>
        <v>0.89320244873071819</v>
      </c>
      <c r="AL10" s="16">
        <f ca="1">IFERROR(INTERCEPT(OFFSET(AI$15,MAX($B$15:$B$505)-59,0,60,1),OFFSET($AP$15,MAX($B$15:$B$505)-59,0,60,1))*12,"N/A")</f>
        <v>-1.1664024820825296</v>
      </c>
      <c r="AM10" s="16">
        <f ca="1">IFERROR(STDEVP(OFFSET(AI$15,MAX($B$15:$B$505)-59,0,60,1))*SQRT(12),"N/A")</f>
        <v>9.7568883223085692</v>
      </c>
      <c r="AN10" s="79"/>
      <c r="AO10" s="7" t="s">
        <v>50</v>
      </c>
      <c r="AP10" s="45" cm="1">
        <f t="array" aca="1" ref="AP10" ca="1">IFERROR((GEOMEAN(1+OFFSET(AP$15,MAX($B$15:$B$505)-59,0,60,1)/100)^12-1)*100,"N/A")</f>
        <v>7.9280927114269817</v>
      </c>
      <c r="AQ10" s="16">
        <f ca="1">IFERROR(SLOPE(OFFSET(AP$15,MAX($B$15:$B$505)-59,0,60,1),OFFSET($AP$15,MAX($B$15:$B$505)-59,0,60,1)),"N/A")</f>
        <v>1</v>
      </c>
      <c r="AR10" s="16">
        <f ca="1">IFERROR(INTERCEPT(OFFSET(AP$15,MAX($B$15:$B$505)-59,0,60,1),OFFSET($AP$15,MAX($B$15:$B$505)-59,0,60,1))*12,"N/A")</f>
        <v>0</v>
      </c>
      <c r="AS10" s="16">
        <f ca="1">IFERROR(STDEVP(OFFSET(AP$15,MAX($B$15:$B$505)-59,0,60,1))*SQRT(12),"N/A")</f>
        <v>10.357104514647228</v>
      </c>
      <c r="AT10" s="39"/>
      <c r="AU10" s="7" t="s">
        <v>50</v>
      </c>
      <c r="AV10" s="45" cm="1">
        <f t="array" aca="1" ref="AV10" ca="1">IFERROR((GEOMEAN(1+OFFSET(AV$15,MAX($B$15:$B$505)-59,0,60,1)/100)^12-1)*100,"N/A")</f>
        <v>3.6489168104456571</v>
      </c>
      <c r="AW10" s="16">
        <f ca="1">IFERROR(SLOPE(OFFSET(AV$15,MAX($B$15:$B$505)-59,0,60,1),OFFSET($C$15,MAX($B$15:$B$505)-59,0,60,1)),"N/A")</f>
        <v>0.43051781469258471</v>
      </c>
      <c r="AX10" s="16">
        <f ca="1">IFERROR(SLOPE(OFFSET(AV$15,MAX($B$15:$B$505)-59,0,60,1),OFFSET($BC$15,MAX($B$15:$B$505)-59,0,60,1)),"N/A")</f>
        <v>0.88283375945919951</v>
      </c>
      <c r="AY10" s="16">
        <f ca="1">IFERROR(INTERCEPT(OFFSET(AV$15,MAX($B$15:$B$505)-59,0,60,1),OFFSET($C$15,MAX($B$15:$B$505)-59,0,60,1))*12,"N/A")</f>
        <v>-2.4529395502304414</v>
      </c>
      <c r="AZ10" s="16">
        <f ca="1">IFERROR(STDEVP(OFFSET(AV$15,MAX($B$15:$B$505)-59,0,60,1))*SQRT(12),"N/A")</f>
        <v>7.3042058144641899</v>
      </c>
      <c r="BA10" s="79"/>
      <c r="BB10" s="7" t="s">
        <v>50</v>
      </c>
      <c r="BC10" s="45" cm="1">
        <f t="array" aca="1" ref="BC10" ca="1">IFERROR((GEOMEAN(1+OFFSET(BC$15,MAX($B$15:$B$505)-59,0,60,1)/100)^12-1)*100,"N/A")</f>
        <v>3.7704766867499462</v>
      </c>
      <c r="BD10" s="16">
        <f ca="1">IFERROR(SLOPE(OFFSET(BC$15,MAX($B$15:$B$505)-59,0,60,1),OFFSET($C$15,MAX($B$15:$B$505)-59,0,60,1)),"N/A")</f>
        <v>0.46391286870825232</v>
      </c>
      <c r="BE10" s="16">
        <f ca="1">IFERROR(INTERCEPT(OFFSET(BC$15,MAX($B$15:$B$505)-59,0,60,1),OFFSET($C$15,MAX($B$15:$B$505)-59,0,60,1))*12,"N/A")</f>
        <v>-2.7835477165122056</v>
      </c>
      <c r="BF10" s="16">
        <f ca="1">IFERROR(STDEVP(OFFSET(BC$15,MAX($B$15:$B$505)-59,0,60,1))*SQRT(12),"N/A")</f>
        <v>7.8456569862394376</v>
      </c>
      <c r="BG10" s="39"/>
      <c r="BH10" s="7" t="s">
        <v>50</v>
      </c>
      <c r="BI10" s="16" cm="1">
        <f t="array" aca="1" ref="BI10" ca="1">IFERROR((GEOMEAN(1+OFFSET(BI$15,MAX($B$15:$B$505)-59,0,60,1)/100)^12-1)*100,"N/A")</f>
        <v>2.5519056356016367</v>
      </c>
      <c r="BJ10" s="36">
        <f t="shared" ca="1" si="8"/>
        <v>0.84765074854911138</v>
      </c>
      <c r="BK10" s="16"/>
      <c r="BL10" s="16"/>
      <c r="BM10" s="16"/>
      <c r="BN10" s="79"/>
      <c r="BO10" s="7" t="s">
        <v>50</v>
      </c>
      <c r="BP10" s="16" cm="1">
        <f t="array" aca="1" ref="BP10" ca="1">IFERROR((GEOMEAN(1+OFFSET(BP$15,MAX($B$15:$B$505)-59,0,60,1)/100)^12-1)*100,"N/A")</f>
        <v>1.7042548870525254</v>
      </c>
      <c r="BQ10" s="16"/>
      <c r="BR10" s="16"/>
      <c r="BS10" s="16"/>
      <c r="BV10" s="39"/>
      <c r="BW10" s="7" t="s">
        <v>50</v>
      </c>
      <c r="BX10" s="45" cm="1">
        <f t="array" aca="1" ref="BX10" ca="1">IFERROR((GEOMEAN(1+OFFSET(BX$15,MAX($B$15:$B$505)-59,0,60,1)/100)^12-1)*100,"N/A")</f>
        <v>2.6543722767142786</v>
      </c>
      <c r="BY10" s="36">
        <f t="shared" ca="1" si="3"/>
        <v>-0.61514435504304021</v>
      </c>
      <c r="BZ10" s="16">
        <f ca="1">IFERROR(SLOPE(OFFSET(BX$15,MAX($B$15:$B$505)-59,0,60,1),OFFSET($CE$15,MAX($B$15:$B$505)-59,0,60,1)),"N/A")</f>
        <v>0.92018158382460591</v>
      </c>
      <c r="CA10" s="16">
        <f ca="1">IFERROR(INTERCEPT(OFFSET(BX$15,MAX($B$15:$B$505)-59,0,60,1),OFFSET($CE$15,MAX($B$15:$B$505)-59,0,60,1))*12,"N/A")</f>
        <v>-0.42955703382231092</v>
      </c>
      <c r="CB10" s="16">
        <f ca="1">IFERROR(STDEVP(OFFSET(BX$15,MAX($B$15:$B$505)-59,0,60,1))*SQRT(12),"N/A")</f>
        <v>9.4059679609186908</v>
      </c>
      <c r="CC10" s="79"/>
      <c r="CD10" s="7" t="s">
        <v>50</v>
      </c>
      <c r="CE10" s="45" cm="1">
        <f t="array" aca="1" ref="CE10" ca="1">IFERROR((GEOMEAN(1+OFFSET(CE$15,MAX($B$15:$B$505)-59,0,60,1)/100)^12-1)*100,"N/A")</f>
        <v>3.2695166317573188</v>
      </c>
      <c r="CF10" s="16">
        <f ca="1">IFERROR(SLOPE(OFFSET(CE$15,MAX($B$15:$B$505)-59,0,60,1),OFFSET($C$15,MAX($B$15:$B$505)-59,0,60,1)),"N/A")</f>
        <v>0.58658726191562993</v>
      </c>
      <c r="CG10" s="16">
        <f ca="1">IFERROR(INTERCEPT(OFFSET(CE$15,MAX($B$15:$B$505)-59,0,60,1),OFFSET($C$15,MAX($B$15:$B$505)-59,0,60,1))*12,"N/A")</f>
        <v>-3.7267461348887556</v>
      </c>
      <c r="CH10" s="16">
        <f ca="1">IFERROR(STDEVP(OFFSET(CE$15,MAX($B$15:$B$505)-59,0,60,1))*SQRT(12),"N/A")</f>
        <v>9.8191984714109406</v>
      </c>
      <c r="CI10" s="39"/>
    </row>
    <row r="11" spans="1:87" x14ac:dyDescent="0.25">
      <c r="A11" s="7" t="s">
        <v>51</v>
      </c>
      <c r="C11" s="103" t="s">
        <v>150</v>
      </c>
      <c r="D11" s="16"/>
      <c r="E11" s="16"/>
      <c r="F11" s="16"/>
      <c r="G11" s="39"/>
      <c r="H11" s="7" t="s">
        <v>51</v>
      </c>
      <c r="I11" s="45" cm="1">
        <f t="array" aca="1" ref="I11" ca="1">IFERROR((GEOMEAN(1+OFFSET(I$15,MAX($B$15:$B$505)-119,0,120,1)/100)^12-1)*100,"N/A")</f>
        <v>8.6697797660914677</v>
      </c>
      <c r="J11" s="36">
        <f t="shared" ca="1" si="0"/>
        <v>-3.4159847317559713</v>
      </c>
      <c r="K11" s="16">
        <f ca="1">IFERROR(SLOPE(OFFSET(I$15,MAX($B$15:$B$505)-119,0,120,1),OFFSET($P$15,MAX($B$15:$B$505)-119,0,120,1)),"N/A")</f>
        <v>0.87928844465637668</v>
      </c>
      <c r="L11" s="16">
        <f ca="1">IFERROR(INTERCEPT(OFFSET(I$15,MAX($B$15:$B$505)-119,0,120,1),OFFSET($P$15,MAX($B$15:$B$505)-119,0,120,1))*12,"N/A")</f>
        <v>-1.6966319716249818</v>
      </c>
      <c r="M11" s="16">
        <f ca="1">IFERROR(STDEVP(OFFSET(I$15,MAX($B$15:$B$505)-119,0,120,1))*SQRT(12),"N/A")</f>
        <v>12.88701349669198</v>
      </c>
      <c r="N11" s="79"/>
      <c r="O11" s="7" t="s">
        <v>51</v>
      </c>
      <c r="P11" s="45" cm="1">
        <f t="array" aca="1" ref="P11" ca="1">IFERROR((GEOMEAN(1+OFFSET(P$15,MAX($B$15:$B$505)-119,0,120,1)/100)^12-1)*100,"N/A")</f>
        <v>12.085764497847439</v>
      </c>
      <c r="Q11" s="16">
        <f ca="1">IFERROR(SLOPE(OFFSET(P$15,MAX($B$15:$B$505)-119,0,120,1),OFFSET($P$15,MAX($B$15:$B$505)-119,0,120,1)),"N/A")</f>
        <v>1</v>
      </c>
      <c r="R11" s="16">
        <f ca="1">IFERROR(INTERCEPT(OFFSET(P$15,MAX($B$15:$B$505)-119,0,120,1),OFFSET($C$15,MAX($B$15:$B$505)-119,0,120,1))*12,"N/A")</f>
        <v>-0.88819114457291981</v>
      </c>
      <c r="S11" s="16">
        <f ca="1">IFERROR(STDEVP(OFFSET(P$15,MAX($B$15:$B$505)-119,0,120,1))*SQRT(12),"N/A")</f>
        <v>13.496187437707192</v>
      </c>
      <c r="T11" s="39"/>
      <c r="U11" s="7" t="s">
        <v>51</v>
      </c>
      <c r="V11" s="45" cm="1">
        <f t="array" aca="1" ref="V11" ca="1">IFERROR((GEOMEAN(1+OFFSET(V$15,MAX($B$15:$B$505)-119,0,120,1)/100)^12-1)*100,"N/A")</f>
        <v>8.2064688456578097</v>
      </c>
      <c r="W11" s="36"/>
      <c r="X11" s="16"/>
      <c r="Y11" s="16"/>
      <c r="Z11" s="16"/>
      <c r="AA11" s="79"/>
      <c r="AB11" s="7" t="s">
        <v>51</v>
      </c>
      <c r="AC11" s="45" cm="1">
        <f t="array" aca="1" ref="AC11" ca="1">IFERROR((GEOMEAN(1+OFFSET(AC$15,MAX($B$15:$B$505)-119,0,120,1)/100)^12-1)*100,"N/A")</f>
        <v>10.18432485461549</v>
      </c>
      <c r="AD11" s="16"/>
      <c r="AE11" s="16"/>
      <c r="AF11" s="16"/>
      <c r="AG11" s="39"/>
      <c r="AH11" s="7" t="s">
        <v>51</v>
      </c>
      <c r="AI11" s="45" cm="1">
        <f t="array" aca="1" ref="AI11" ca="1">IFERROR((GEOMEAN(1+OFFSET(AI$15,MAX($B$15:$B$505)-119,0,120,1)/100)^12-1)*100,"N/A")</f>
        <v>7.2848595938601379</v>
      </c>
      <c r="AJ11" s="36"/>
      <c r="AK11" s="16"/>
      <c r="AL11" s="16"/>
      <c r="AM11" s="16"/>
      <c r="AN11" s="79"/>
      <c r="AO11" s="7" t="s">
        <v>51</v>
      </c>
      <c r="AP11" s="45" cm="1">
        <f t="array" aca="1" ref="AP11" ca="1">IFERROR((GEOMEAN(1+OFFSET(AP$15,MAX($B$15:$B$505)-119,0,120,1)/100)^12-1)*100,"N/A")</f>
        <v>8.3187935719670989</v>
      </c>
      <c r="AQ11" s="16"/>
      <c r="AR11" s="16"/>
      <c r="AS11" s="16"/>
      <c r="AT11" s="39"/>
      <c r="AU11" s="7" t="s">
        <v>51</v>
      </c>
      <c r="AV11" s="103" t="s">
        <v>150</v>
      </c>
      <c r="AW11" s="36"/>
      <c r="AX11" s="16"/>
      <c r="AY11" s="16"/>
      <c r="AZ11" s="16"/>
      <c r="BA11" s="79"/>
      <c r="BB11" s="7" t="s">
        <v>51</v>
      </c>
      <c r="BC11" s="103" t="s">
        <v>150</v>
      </c>
      <c r="BD11" s="16"/>
      <c r="BE11" s="16"/>
      <c r="BF11" s="16"/>
      <c r="BG11" s="39"/>
      <c r="BH11" s="7" t="s">
        <v>51</v>
      </c>
      <c r="BI11" s="103" t="s">
        <v>150</v>
      </c>
      <c r="BJ11" s="36"/>
      <c r="BK11" s="16"/>
      <c r="BL11" s="16"/>
      <c r="BM11" s="16"/>
      <c r="BN11" s="79"/>
      <c r="BO11" s="7" t="s">
        <v>51</v>
      </c>
      <c r="BP11" s="103" t="s">
        <v>150</v>
      </c>
      <c r="BQ11" s="16"/>
      <c r="BR11" s="16"/>
      <c r="BS11" s="16"/>
      <c r="BV11" s="39"/>
      <c r="BW11" s="7" t="s">
        <v>51</v>
      </c>
      <c r="BX11" s="103" t="s">
        <v>150</v>
      </c>
      <c r="BY11" s="36"/>
      <c r="BZ11" s="16"/>
      <c r="CA11" s="16"/>
      <c r="CB11" s="16"/>
      <c r="CC11" s="79"/>
      <c r="CD11" s="7" t="s">
        <v>51</v>
      </c>
      <c r="CE11" s="103" t="s">
        <v>150</v>
      </c>
      <c r="CF11" s="16"/>
      <c r="CG11" s="16"/>
      <c r="CH11" s="16"/>
      <c r="CI11" s="39"/>
    </row>
    <row r="12" spans="1:87" x14ac:dyDescent="0.25">
      <c r="A12" s="7" t="s">
        <v>53</v>
      </c>
      <c r="C12" s="16">
        <f t="array" aca="1" ref="C12" ca="1">IFERROR((GEOMEAN(1+OFFSET(C$15,1,0,MAX($B$15:$B$505),1)/100)^12-1)*100,"N/A")</f>
        <v>14.100290137850212</v>
      </c>
      <c r="D12" s="16">
        <f t="array" aca="1" ref="D12" ca="1">IFERROR((GEOMEAN(1+OFFSET(D$15,1,0,MAX($B$15:$B$505),1)/100)^12-1)*100,"N/A")</f>
        <v>7.3864833929059071</v>
      </c>
      <c r="E12" s="16">
        <f t="array" aca="1" ref="E12" ca="1">IFERROR((GEOMEAN(1+OFFSET(E$15,1,0,MAX($B$15:$B$505),1)/100)^12-1)*100,"N/A")</f>
        <v>2.0141718713833967</v>
      </c>
      <c r="F12" s="16">
        <f t="array" aca="1" ref="F12" ca="1">IFERROR((GEOMEAN(1+OFFSET(F$15,1,0,MAX($B$15:$B$505),1)/100)^12-1)*100,"N/A")</f>
        <v>0.39226915501775483</v>
      </c>
      <c r="G12" s="39"/>
      <c r="H12" s="7" t="s">
        <v>53</v>
      </c>
      <c r="I12" s="16" cm="1">
        <f t="array" aca="1" ref="I12" ca="1">IFERROR((GEOMEAN(1+OFFSET(I$15,1,0,MAX($B$15:$B$505),1)/100)^12-1)*100,"N/A")</f>
        <v>8.6629637437509963</v>
      </c>
      <c r="J12" s="36">
        <f t="shared" ca="1" si="0"/>
        <v>-2.2261626772161129</v>
      </c>
      <c r="K12" s="16">
        <f ca="1">IFERROR(SLOPE(OFFSET(I$15,1,0,MAX($B$15:$B$505),1),OFFSET($P$15,1,0,MAX($B$15:$B$505),1)),"N/A")</f>
        <v>0.88210063376828052</v>
      </c>
      <c r="L12" s="16">
        <f ca="1">IFERROR(INTERCEPT(OFFSET(I$15,1,0,MAX($B$15:$B$505),1),OFFSET($P$15,1,0,MAX($B$15:$B$505),1))*12,"N/A")</f>
        <v>-0.77569896314235143</v>
      </c>
      <c r="M12" s="16">
        <f ca="1">IFERROR(STDEVP(OFFSET(I$15,1,0,MAX($B$15:$B$505),1))*SQRT(12),"N/A")</f>
        <v>12.067651383013903</v>
      </c>
      <c r="N12" s="79"/>
      <c r="O12" s="7" t="s">
        <v>53</v>
      </c>
      <c r="P12" s="16" cm="1">
        <f t="array" aca="1" ref="P12" ca="1">IFERROR((GEOMEAN(1+OFFSET(P$15,1,0,MAX($B$15:$B$505),1)/100)^12-1)*100,"N/A")</f>
        <v>10.889126420967109</v>
      </c>
      <c r="Q12" s="16">
        <f ca="1">IFERROR(SLOPE(OFFSET(P$15,1,0,MAX($B$15:$B$505),1),OFFSET($P$15,1,0,MAX($B$15:$B$505),1)),"N/A")</f>
        <v>1</v>
      </c>
      <c r="R12" s="16">
        <f ca="1">IFERROR(INTERCEPT(OFFSET(P$15,1,0,MAX($B$15:$B$505),1),OFFSET($C$15,1,0,MAX($B$15:$B$505),1))*12,"N/A")</f>
        <v>-1.1428064153770157</v>
      </c>
      <c r="S12" s="16">
        <f ca="1">IFERROR(STDEVP(OFFSET(P$15,1,0,MAX($B$15:$B$505),1))*SQRT(12),"N/A")</f>
        <v>12.533824468810725</v>
      </c>
      <c r="T12" s="39"/>
      <c r="U12" s="7" t="s">
        <v>53</v>
      </c>
      <c r="V12" s="16" cm="1">
        <f t="array" aca="1" ref="V12" ca="1">IFERROR((GEOMEAN(1+OFFSET(V$15,1,0,MAX($B$15:$B$505),1)/100)^12-1)*100,"N/A")</f>
        <v>7.9902203177826925</v>
      </c>
      <c r="W12" s="36">
        <f t="shared" ref="W12" ca="1" si="9">IFERROR(V12-$P12,"N/A")</f>
        <v>-2.8989061031844168</v>
      </c>
      <c r="X12" s="16">
        <f ca="1">IFERROR(SLOPE(OFFSET(V$15,1,0,MAX($B$15:$B$505),1),OFFSET($AC$15,1,0,MAX($B$15:$B$505),1)),"N/A")</f>
        <v>0.94889286866555445</v>
      </c>
      <c r="Y12" s="16">
        <f ca="1">IFERROR(INTERCEPT(OFFSET(V$15,1,0,MAX($B$15:$B$505),1),OFFSET($AC$15,1,0,MAX($B$15:$B$505),1))*12,"N/A")</f>
        <v>-0.61679618020337701</v>
      </c>
      <c r="Z12" s="16">
        <f ca="1">IFERROR(STDEVP(OFFSET(V$15,1,0,MAX($B$15:$B$505),1))*SQRT(12),"N/A")</f>
        <v>10.844093349357204</v>
      </c>
      <c r="AA12" s="79"/>
      <c r="AB12" s="7" t="s">
        <v>53</v>
      </c>
      <c r="AC12" s="16">
        <f t="array" aca="1" ref="AC12" ca="1">IFERROR((GEOMEAN(1+OFFSET(AC$15,1,0,MAX($B$15:$B$505),1)/100)^12-1)*100,"N/A")</f>
        <v>9.2149398771579349</v>
      </c>
      <c r="AD12" s="16">
        <f ca="1">IFERROR(SLOPE(OFFSET(AC$15,1,0,MAX($B$15:$B$505),1),OFFSET($C$15,1,0,MAX($B$15:$B$505),1)),"N/A")</f>
        <v>0.71851374523517209</v>
      </c>
      <c r="AE12" s="16">
        <f ca="1">IFERROR(INTERCEPT(OFFSET(AC$15,1,0,MAX($B$15:$B$505),1),OFFSET($C$15,1,0,MAX($B$15:$B$505),1))*12,"N/A")</f>
        <v>-0.86289560460887182</v>
      </c>
      <c r="AF12" s="16">
        <f ca="1">IFERROR(STDEVP(OFFSET(AC$15,1,0,MAX($B$15:$B$505),1))*SQRT(12),"N/A")</f>
        <v>10.5387993933168</v>
      </c>
      <c r="AG12" s="39"/>
      <c r="AH12" s="7" t="s">
        <v>53</v>
      </c>
      <c r="AI12" s="16">
        <f t="array" aca="1" ref="AI12" ca="1">IFERROR((GEOMEAN(1+OFFSET(AI$15,1,0,MAX($B$15:$B$505),1)/100)^12-1)*100,"N/A")</f>
        <v>6.8881582142364506</v>
      </c>
      <c r="AJ12" s="36">
        <f t="shared" ref="AJ12" ca="1" si="10">IFERROR(AI12-$P12,"N/A")</f>
        <v>-4.0009682067306587</v>
      </c>
      <c r="AK12" s="16">
        <f ca="1">IFERROR(SLOPE(OFFSET(AI$15,1,0,MAX($B$15:$B$505),1),OFFSET($AP$15,1,0,MAX($B$15:$B$505),1)),"N/A")</f>
        <v>0.96879958726711879</v>
      </c>
      <c r="AL12" s="16">
        <f ca="1">IFERROR(INTERCEPT(OFFSET(AI$15,1,0,MAX($B$15:$B$505),1),OFFSET($AP$15,1,0,MAX($B$15:$B$505),1))*12,"N/A")</f>
        <v>-0.38056083086126424</v>
      </c>
      <c r="AM12" s="16">
        <f ca="1">IFERROR(STDEVP(OFFSET(AI$15,1,0,MAX($B$15:$B$505),1))*SQRT(12),"N/A")</f>
        <v>9.0417747893876435</v>
      </c>
      <c r="AN12" s="79"/>
      <c r="AO12" s="7" t="s">
        <v>53</v>
      </c>
      <c r="AP12" s="16">
        <f t="array" aca="1" ref="AP12" ca="1">IFERROR((GEOMEAN(1+OFFSET(AP$15,1,0,MAX($B$15:$B$505),1)/100)^12-1)*100,"N/A")</f>
        <v>7.5928967070255871</v>
      </c>
      <c r="AQ12" s="16">
        <f ca="1">IFERROR(SLOPE(OFFSET(AP$15,1,0,MAX($B$15:$B$505),1),OFFSET($AP$15,1,0,MAX($B$15:$B$505),1)),"N/A")</f>
        <v>1</v>
      </c>
      <c r="AR12" s="16">
        <f ca="1">IFERROR(INTERCEPT(OFFSET(AP$15,1,0,MAX($B$15:$B$505),1),OFFSET($AP$15,1,0,MAX($B$15:$B$505),1))*12,"N/A")</f>
        <v>0</v>
      </c>
      <c r="AS12" s="16">
        <f ca="1">IFERROR(STDEVP(OFFSET(AP$15,1,0,MAX($B$15:$B$505),1))*SQRT(12),"N/A")</f>
        <v>8.6270299172967988</v>
      </c>
      <c r="AT12" s="39"/>
      <c r="AU12" s="7" t="s">
        <v>53</v>
      </c>
      <c r="AV12" s="16" cm="1">
        <f t="array" aca="1" ref="AV12" ca="1">IFERROR((GEOMEAN(1+OFFSET(AV$43,1,0,MAX($B$43:$B$505)-28,1)/100)^12-1)*100,"N/A")</f>
        <v>4.8922620117568094</v>
      </c>
      <c r="AW12" s="36">
        <f t="shared" ca="1" si="1"/>
        <v>-5.9968644092102998</v>
      </c>
      <c r="AX12" s="16">
        <f ca="1">IFERROR(SLOPE(OFFSET(AV$43,1,0,MAX($B$43:$B$505)-28,1),OFFSET($BC$43,1,0,MAX($B$43:$B$505)-28,1)),"N/A")</f>
        <v>0.89241175563409214</v>
      </c>
      <c r="AY12" s="16">
        <f ca="1">IFERROR(INTERCEPT(OFFSET(AV$43,1,0,MAX($B$43:$B$505)-28,1),OFFSET($BC$43,1,0,MAX($B$43:$B$505)-28,1))*12,"N/A")</f>
        <v>0.66146239956163555</v>
      </c>
      <c r="AZ12" s="16">
        <f ca="1">IFERROR(STDEVP(OFFSET(AV$43,1,0,MAX($B$43:$B$505)-28,1))*SQRT(12),"N/A")</f>
        <v>6.2494330415825452</v>
      </c>
      <c r="BA12" s="79"/>
      <c r="BB12" s="7" t="s">
        <v>53</v>
      </c>
      <c r="BC12" s="16" cm="1">
        <f t="array" aca="1" ref="BC12" ca="1">IFERROR((GEOMEAN(1+OFFSET(BC$43,1,0,MAX($B$43:$B$505)-28,1)/100)^12-1)*100,"N/A")</f>
        <v>4.7429322065197788</v>
      </c>
      <c r="BD12" s="16">
        <f ca="1">IFERROR(SLOPE(OFFSET(BC$43,1,0,MAX($B$43:$B$505)-28,1),OFFSET($C$43,1,0,MAX($B$43:$B$505)-28,1)),"N/A")</f>
        <v>0.33886920733727616</v>
      </c>
      <c r="BE12" s="16">
        <f ca="1">IFERROR(INTERCEPT(OFFSET(BC$18,1,0,MAX($B$18:$B$505)-28,1),OFFSET($C$18,1,0,MAX($B$18:$B$505)-28,1))*12,"N/A")</f>
        <v>-0.61096196820461968</v>
      </c>
      <c r="BF12" s="16">
        <f ca="1">IFERROR(STDEVP(OFFSET(BC$18,1,0,MAX($B$18:$B$505)-28,1))*SQRT(12),"N/A")</f>
        <v>5.8659206542036193</v>
      </c>
      <c r="BG12" s="39"/>
      <c r="BH12" s="7" t="s">
        <v>53</v>
      </c>
      <c r="BI12" s="16" cm="1">
        <f t="array" aca="1" ref="BI12" ca="1">IFERROR((GEOMEAN(1+OFFSET(BI$97,1,0,MAX($B$97:$B$505)-82,1)/100)^12-1)*100,"N/A")</f>
        <v>3.6683220338104006</v>
      </c>
      <c r="BJ12" s="36">
        <f t="shared" ref="BJ12" ca="1" si="11">IFERROR(BI12-$P12,"N/A")</f>
        <v>-7.2208043871567087</v>
      </c>
      <c r="BK12" s="16">
        <f ca="1">IFERROR(SLOPE(OFFSET(BI$97,1,0,MAX($B$97:$B$505)-82,1),OFFSET($BP$97,1,0,MAX($B$97:$B$505)-82,1)),"N/A")</f>
        <v>0.85097730673093119</v>
      </c>
      <c r="BL12" s="16">
        <f ca="1">IFERROR(INTERCEPT(OFFSET(BI$97,1,0,MAX($B$97:$B$505)-82,1),OFFSET($C$97,1,0,MAX($B$97:$B$505)-82,1))*12,"N/A")</f>
        <v>-2.3764719839579431</v>
      </c>
      <c r="BM12" s="16">
        <f ca="1">IFERROR(STDEVP(OFFSET(BI$97,1,0,MAX($B$97:$B$505)-82,1))*SQRT(12),"N/A")</f>
        <v>5.9637089077033707</v>
      </c>
      <c r="BN12" s="79"/>
      <c r="BO12" s="7" t="s">
        <v>53</v>
      </c>
      <c r="BP12" s="16" cm="1">
        <f t="array" aca="1" ref="BP12" ca="1">IFERROR((GEOMEAN(1+OFFSET(BP$97,1,0,MAX($B$97:$B$505)-82,1)/100)^12-1)*100,"N/A")</f>
        <v>3.1356973949469014</v>
      </c>
      <c r="BQ12" s="16">
        <f ca="1">IFERROR(SLOPE(OFFSET(BP$97,1,0,MAX($B$97:$B$505)-82,1),OFFSET($C$18,1,0,MAX($B$97:$B$505)-82,1)),"N/A")</f>
        <v>8.6439480833997884E-2</v>
      </c>
      <c r="BR12" s="16">
        <f ca="1">IFERROR(INTERCEPT(OFFSET(BP$97,1,0,MAX($B$97:$B$505)-82,1),OFFSET($C$18,1,0,MAX($B$97:$B$505)-82,1))*12,"N/A")</f>
        <v>2.2924344998948012</v>
      </c>
      <c r="BS12" s="16">
        <f ca="1">IFERROR(STDEVP(OFFSET(BP$97,1,0,MAX($B$97:$B$505)-82,1))*SQRT(12),"N/A")</f>
        <v>6.6774093965119627</v>
      </c>
      <c r="BV12" s="39"/>
      <c r="BW12" s="7" t="s">
        <v>53</v>
      </c>
      <c r="BX12" s="16">
        <f t="array" aca="1" ref="BX12" ca="1">IFERROR((GEOMEAN(1+OFFSET(BX$18,1,0,MAX($B$18:$B$505)-3,1)/100)^12-1)*100,"N/A")</f>
        <v>5.1891227555782793</v>
      </c>
      <c r="BY12" s="36">
        <f ca="1">IFERROR(BX12-$P12,"N/A")</f>
        <v>-5.70000366538883</v>
      </c>
      <c r="BZ12" s="16">
        <f ca="1">IFERROR(SLOPE(OFFSET(BX$18,1,0,MAX($B$18:$B$505)-3,1),OFFSET($CE$18,1,0,MAX($B$18:$B$505)-3,1)),"N/A")</f>
        <v>0.9278209794351846</v>
      </c>
      <c r="CA12" s="16">
        <f ca="1">IFERROR(INTERCEPT(OFFSET(BX$18,1,0,MAX($B$18:$B$505)-3,1),OFFSET($C$18,1,0,MAX($B$18:$B$505)-3,1))*12,"N/A")</f>
        <v>-0.63643917577244058</v>
      </c>
      <c r="CB12" s="16">
        <f ca="1">IFERROR(STDEVP(OFFSET(BX$18,1,0,MAX($B$18:$B$505)-3,1))*SQRT(12),"N/A")</f>
        <v>7.326835844729918</v>
      </c>
      <c r="CC12" s="79"/>
      <c r="CD12" s="7" t="s">
        <v>53</v>
      </c>
      <c r="CE12" s="16">
        <f t="array" aca="1" ref="CE12" ca="1">IFERROR((GEOMEAN(1+OFFSET(CE$18,1,0,MAX($B$18:$B$505)-3,1)/100)^12-1)*100,"N/A")</f>
        <v>5.1951672442381636</v>
      </c>
      <c r="CF12" s="16">
        <f ca="1">IFERROR(SLOPE(OFFSET(CE$18,1,0,MAX($B$18:$B$505)-3,1),OFFSET($C$18,1,0,MAX($B$18:$B$505)-3,1)),"N/A")</f>
        <v>0.45537034748577271</v>
      </c>
      <c r="CG12" s="16">
        <f ca="1">IFERROR(INTERCEPT(OFFSET(CE$18,1,0,MAX($B$18:$B$505)-3,1),OFFSET($C$18,1,0,MAX($B$18:$B$505)-3,1))*12,"N/A")</f>
        <v>-0.71289682135191668</v>
      </c>
      <c r="CH12" s="16">
        <f ca="1">IFERROR(STDEVP(OFFSET(CE$18,1,0,MAX($B$18:$B$505)-3,1))*SQRT(12),"N/A")</f>
        <v>7.2873534773318287</v>
      </c>
      <c r="CI12" s="39"/>
    </row>
    <row r="13" spans="1:87" x14ac:dyDescent="0.25">
      <c r="A13" s="7"/>
      <c r="C13" s="24" t="s">
        <v>151</v>
      </c>
      <c r="D13" s="24" t="s">
        <v>152</v>
      </c>
      <c r="E13" s="24" t="s">
        <v>153</v>
      </c>
      <c r="F13" s="24" t="s">
        <v>154</v>
      </c>
      <c r="G13" s="39"/>
      <c r="H13" s="7"/>
      <c r="I13" s="25"/>
      <c r="J13" s="18"/>
      <c r="K13" s="8"/>
      <c r="M13" s="17"/>
      <c r="N13" s="79"/>
      <c r="O13" s="7"/>
      <c r="P13" s="16"/>
      <c r="Q13" s="16"/>
      <c r="R13" s="18"/>
      <c r="S13" s="10"/>
      <c r="T13" s="39"/>
      <c r="U13" s="7"/>
      <c r="V13" s="25"/>
      <c r="W13" s="18"/>
      <c r="X13" s="8"/>
      <c r="Z13" s="17"/>
      <c r="AA13" s="79"/>
      <c r="AB13" s="7"/>
      <c r="AC13" s="16"/>
      <c r="AD13" s="16"/>
      <c r="AE13" s="18"/>
      <c r="AF13" s="10"/>
      <c r="AG13" s="39"/>
      <c r="AH13" s="7"/>
      <c r="AI13" s="25"/>
      <c r="AJ13" s="18"/>
      <c r="AK13" s="8"/>
      <c r="AM13" s="17"/>
      <c r="AN13" s="79"/>
      <c r="AO13" s="7"/>
      <c r="AP13" s="16"/>
      <c r="AQ13" s="16"/>
      <c r="AR13" s="18"/>
      <c r="AS13" s="10"/>
      <c r="AT13" s="39"/>
      <c r="AU13" s="7"/>
      <c r="AV13" s="25"/>
      <c r="AW13" s="18"/>
      <c r="AX13" s="8"/>
      <c r="AZ13" s="17"/>
      <c r="BA13" s="79"/>
      <c r="BB13" s="7"/>
      <c r="BC13" s="16"/>
      <c r="BD13" s="16"/>
      <c r="BE13" s="18"/>
      <c r="BF13" s="10"/>
      <c r="BG13" s="39"/>
      <c r="BH13" s="7"/>
      <c r="BI13" s="25"/>
      <c r="BJ13" s="18"/>
      <c r="BK13" s="8"/>
      <c r="BM13" s="17"/>
      <c r="BN13" s="79"/>
      <c r="BO13" s="7"/>
      <c r="BP13" s="16"/>
      <c r="BQ13" s="16"/>
      <c r="BR13" s="18"/>
      <c r="BS13" s="10"/>
      <c r="BV13" s="39"/>
      <c r="BW13" s="7"/>
      <c r="BX13" s="25"/>
      <c r="BY13" s="18"/>
      <c r="BZ13" s="8"/>
      <c r="CB13" s="17"/>
      <c r="CC13" s="79"/>
      <c r="CD13" s="7"/>
      <c r="CE13" s="16"/>
      <c r="CF13" s="16"/>
      <c r="CG13" s="18"/>
      <c r="CH13" s="10"/>
      <c r="CI13" s="39"/>
    </row>
    <row r="14" spans="1:87" x14ac:dyDescent="0.25">
      <c r="A14" s="7" t="s">
        <v>69</v>
      </c>
      <c r="B14" s="23" t="s">
        <v>70</v>
      </c>
      <c r="C14" s="296" t="s">
        <v>151</v>
      </c>
      <c r="D14" s="296" t="s">
        <v>302</v>
      </c>
      <c r="E14" s="296" t="s">
        <v>153</v>
      </c>
      <c r="F14" s="296" t="s">
        <v>303</v>
      </c>
      <c r="G14" s="44"/>
      <c r="H14" s="7" t="s">
        <v>69</v>
      </c>
      <c r="I14" s="33" t="s">
        <v>72</v>
      </c>
      <c r="J14" s="13" t="s">
        <v>155</v>
      </c>
      <c r="K14" s="9" t="s">
        <v>74</v>
      </c>
      <c r="L14" s="9" t="s">
        <v>75</v>
      </c>
      <c r="M14" s="33"/>
      <c r="N14" s="80"/>
      <c r="O14" s="7" t="s">
        <v>69</v>
      </c>
      <c r="P14" s="33" t="s">
        <v>41</v>
      </c>
      <c r="Q14" s="13" t="s">
        <v>73</v>
      </c>
      <c r="R14" s="9" t="s">
        <v>74</v>
      </c>
      <c r="S14" s="9" t="s">
        <v>75</v>
      </c>
      <c r="T14" s="44"/>
      <c r="U14" s="7" t="s">
        <v>69</v>
      </c>
      <c r="V14" s="33" t="s">
        <v>72</v>
      </c>
      <c r="W14" s="13" t="s">
        <v>155</v>
      </c>
      <c r="X14" s="9" t="s">
        <v>74</v>
      </c>
      <c r="Y14" s="9" t="s">
        <v>75</v>
      </c>
      <c r="Z14" s="33"/>
      <c r="AA14" s="80"/>
      <c r="AB14" s="7" t="s">
        <v>69</v>
      </c>
      <c r="AC14" s="33" t="s">
        <v>41</v>
      </c>
      <c r="AD14" s="13" t="s">
        <v>73</v>
      </c>
      <c r="AE14" s="9" t="s">
        <v>74</v>
      </c>
      <c r="AF14" s="9" t="s">
        <v>75</v>
      </c>
      <c r="AG14" s="44"/>
      <c r="AH14" s="7" t="s">
        <v>69</v>
      </c>
      <c r="AI14" s="33" t="s">
        <v>72</v>
      </c>
      <c r="AJ14" s="13" t="s">
        <v>155</v>
      </c>
      <c r="AK14" s="9" t="s">
        <v>74</v>
      </c>
      <c r="AL14" s="9" t="s">
        <v>75</v>
      </c>
      <c r="AM14" s="33"/>
      <c r="AN14" s="80"/>
      <c r="AO14" s="7" t="s">
        <v>69</v>
      </c>
      <c r="AP14" s="33" t="s">
        <v>41</v>
      </c>
      <c r="AQ14" s="13" t="s">
        <v>73</v>
      </c>
      <c r="AR14" s="9" t="s">
        <v>74</v>
      </c>
      <c r="AS14" s="9" t="s">
        <v>75</v>
      </c>
      <c r="AT14" s="44"/>
      <c r="AU14" s="7" t="s">
        <v>69</v>
      </c>
      <c r="AV14" s="33" t="s">
        <v>72</v>
      </c>
      <c r="AW14" s="13" t="s">
        <v>155</v>
      </c>
      <c r="AX14" s="9" t="s">
        <v>74</v>
      </c>
      <c r="AY14" s="9" t="s">
        <v>75</v>
      </c>
      <c r="AZ14" s="33"/>
      <c r="BA14" s="80"/>
      <c r="BB14" s="7" t="s">
        <v>69</v>
      </c>
      <c r="BC14" s="33" t="s">
        <v>41</v>
      </c>
      <c r="BD14" s="13" t="s">
        <v>97</v>
      </c>
      <c r="BE14" s="9" t="s">
        <v>74</v>
      </c>
      <c r="BF14" s="9" t="s">
        <v>75</v>
      </c>
      <c r="BG14" s="44"/>
      <c r="BH14" s="7" t="s">
        <v>69</v>
      </c>
      <c r="BI14" s="33" t="s">
        <v>72</v>
      </c>
      <c r="BJ14" s="13" t="s">
        <v>155</v>
      </c>
      <c r="BK14" s="9" t="s">
        <v>74</v>
      </c>
      <c r="BL14" s="9" t="s">
        <v>75</v>
      </c>
      <c r="BM14" s="33"/>
      <c r="BN14" s="80"/>
      <c r="BO14" s="7" t="s">
        <v>69</v>
      </c>
      <c r="BP14" s="33" t="s">
        <v>41</v>
      </c>
      <c r="BQ14" s="13" t="s">
        <v>97</v>
      </c>
      <c r="BR14" s="9" t="s">
        <v>74</v>
      </c>
      <c r="BS14" s="9" t="s">
        <v>75</v>
      </c>
      <c r="BV14" s="44"/>
      <c r="BW14" s="7" t="s">
        <v>69</v>
      </c>
      <c r="BX14" s="33" t="s">
        <v>72</v>
      </c>
      <c r="BY14" s="13" t="s">
        <v>155</v>
      </c>
      <c r="BZ14" s="9" t="s">
        <v>74</v>
      </c>
      <c r="CA14" s="9" t="s">
        <v>75</v>
      </c>
      <c r="CB14" s="33"/>
      <c r="CC14" s="80"/>
      <c r="CD14" s="7" t="s">
        <v>69</v>
      </c>
      <c r="CE14" s="33" t="s">
        <v>41</v>
      </c>
      <c r="CF14" s="13" t="s">
        <v>73</v>
      </c>
      <c r="CG14" s="9" t="s">
        <v>74</v>
      </c>
      <c r="CH14" s="9" t="s">
        <v>75</v>
      </c>
      <c r="CI14" s="44"/>
    </row>
    <row r="15" spans="1:87" x14ac:dyDescent="0.25">
      <c r="A15" s="20">
        <v>41425</v>
      </c>
      <c r="B15" s="23">
        <v>0</v>
      </c>
      <c r="D15" s="23">
        <v>100</v>
      </c>
      <c r="G15" s="39"/>
      <c r="H15" s="20">
        <f>$A15</f>
        <v>41425</v>
      </c>
      <c r="I15" s="11"/>
      <c r="J15" s="48">
        <v>1000000</v>
      </c>
      <c r="K15" s="8"/>
      <c r="M15" s="17"/>
      <c r="N15" s="79"/>
      <c r="O15" s="20">
        <f>$A15</f>
        <v>41425</v>
      </c>
      <c r="P15" s="27"/>
      <c r="Q15" s="48">
        <v>1000000</v>
      </c>
      <c r="R15" s="8"/>
      <c r="T15" s="39"/>
      <c r="U15" s="20">
        <f>$A15</f>
        <v>41425</v>
      </c>
      <c r="V15" s="11"/>
      <c r="W15" s="48">
        <v>1000000</v>
      </c>
      <c r="X15" s="8"/>
      <c r="Z15" s="17"/>
      <c r="AA15" s="79"/>
      <c r="AB15" s="20">
        <f>$A15</f>
        <v>41425</v>
      </c>
      <c r="AC15" s="27"/>
      <c r="AD15" s="48">
        <v>1000000</v>
      </c>
      <c r="AE15" s="8"/>
      <c r="AG15" s="44"/>
      <c r="AH15" s="20">
        <f>$A15</f>
        <v>41425</v>
      </c>
      <c r="AI15" s="11"/>
      <c r="AJ15" s="48">
        <v>1000000</v>
      </c>
      <c r="AK15" s="8"/>
      <c r="AM15" s="17"/>
      <c r="AN15" s="79"/>
      <c r="AO15" s="20">
        <f>$A15</f>
        <v>41425</v>
      </c>
      <c r="AP15" s="27"/>
      <c r="AQ15" s="48">
        <v>1000000</v>
      </c>
      <c r="AR15" s="8"/>
      <c r="AT15" s="39"/>
      <c r="AU15" s="20">
        <f>$A15</f>
        <v>41425</v>
      </c>
      <c r="AV15" s="11"/>
      <c r="AW15" s="48">
        <v>1000000</v>
      </c>
      <c r="AX15" s="8"/>
      <c r="AZ15" s="17"/>
      <c r="BA15" s="79"/>
      <c r="BB15" s="20">
        <f>$A15</f>
        <v>41425</v>
      </c>
      <c r="BC15" s="27"/>
      <c r="BD15" s="48">
        <v>1000000</v>
      </c>
      <c r="BE15" s="8"/>
      <c r="BG15" s="39"/>
      <c r="BH15" s="20">
        <f>$A15</f>
        <v>41425</v>
      </c>
      <c r="BI15" s="11"/>
      <c r="BJ15" s="48">
        <v>1000000</v>
      </c>
      <c r="BK15" s="8"/>
      <c r="BM15" s="17"/>
      <c r="BN15" s="79"/>
      <c r="BO15" s="20">
        <f>$A15</f>
        <v>41425</v>
      </c>
      <c r="BP15" s="27"/>
      <c r="BQ15" s="48">
        <v>1000000</v>
      </c>
      <c r="BR15" s="8"/>
      <c r="BV15" s="39"/>
      <c r="BW15" s="20">
        <f>$A15</f>
        <v>41425</v>
      </c>
      <c r="BX15" s="11"/>
      <c r="BY15" s="48">
        <v>1000000</v>
      </c>
      <c r="BZ15" s="8"/>
      <c r="CB15" s="17"/>
      <c r="CC15" s="79"/>
      <c r="CD15" s="20">
        <f>$A15</f>
        <v>41425</v>
      </c>
      <c r="CE15" s="27"/>
      <c r="CF15" s="48">
        <v>1000000</v>
      </c>
      <c r="CG15" s="8"/>
      <c r="CI15" s="39"/>
    </row>
    <row r="16" spans="1:87" x14ac:dyDescent="0.25">
      <c r="A16" s="20">
        <v>41455</v>
      </c>
      <c r="B16" s="24">
        <f>IF(A16&gt;A15,1+B15,"-")</f>
        <v>1</v>
      </c>
      <c r="C16" s="301">
        <f>'LC (Gross)'!K178</f>
        <v>-1.3426216140609801</v>
      </c>
      <c r="D16" s="301">
        <f>ITL!K118</f>
        <v>-4.4542730385821674</v>
      </c>
      <c r="E16" s="301">
        <v>-1.5468543100712409</v>
      </c>
      <c r="F16" s="301">
        <v>0</v>
      </c>
      <c r="G16" s="39"/>
      <c r="H16" s="20">
        <f t="shared" ref="H16:H89" si="12">$A16</f>
        <v>41455</v>
      </c>
      <c r="I16" s="27">
        <v>-0.38</v>
      </c>
      <c r="J16" s="46">
        <f t="shared" ref="J16:J57" si="13">J15*I16/100+J15</f>
        <v>996200</v>
      </c>
      <c r="K16" s="54"/>
      <c r="L16" s="49"/>
      <c r="M16" s="13"/>
      <c r="N16" s="79"/>
      <c r="O16" s="20">
        <f t="shared" ref="O16:O89" si="14">$A16</f>
        <v>41455</v>
      </c>
      <c r="P16" s="78">
        <f>55%*$C16+15%*$D16+0%*$E16+30%*$F16</f>
        <v>-1.4065828435208643</v>
      </c>
      <c r="Q16" s="46">
        <f t="shared" ref="Q16:Q38" si="15">Q15*P16/100+Q15</f>
        <v>985934.17156479135</v>
      </c>
      <c r="R16" s="8"/>
      <c r="S16" s="5"/>
      <c r="T16" s="39"/>
      <c r="U16" s="20">
        <f t="shared" ref="U16:U89" si="16">$A16</f>
        <v>41455</v>
      </c>
      <c r="V16" s="27">
        <v>-0.70000000000000007</v>
      </c>
      <c r="W16" s="46">
        <f t="shared" ref="W16:W52" si="17">W15*V16/100+W15</f>
        <v>993000</v>
      </c>
      <c r="X16" s="54"/>
      <c r="Y16" s="49"/>
      <c r="Z16" s="13"/>
      <c r="AA16" s="79"/>
      <c r="AB16" s="20">
        <f t="shared" ref="AB16:AB89" si="18">$A16</f>
        <v>41455</v>
      </c>
      <c r="AC16" s="78">
        <f>45%*$C16+10%*$D16+15%*$E16+30%*$F16</f>
        <v>-1.2816351766963441</v>
      </c>
      <c r="AD16" s="46">
        <f t="shared" ref="AD16:AD38" si="19">AD15*AC16/100+AD15</f>
        <v>987183.64823303651</v>
      </c>
      <c r="AE16" s="8"/>
      <c r="AF16" s="5"/>
      <c r="AG16" s="44"/>
      <c r="AH16" s="20">
        <f t="shared" ref="AH16:AH81" si="20">$A16</f>
        <v>41455</v>
      </c>
      <c r="AI16" s="27">
        <v>-1.0999999999999999</v>
      </c>
      <c r="AJ16" s="46">
        <f t="shared" ref="AJ16:AJ52" si="21">AJ15*AI16/100+AJ15</f>
        <v>989000</v>
      </c>
      <c r="AK16" s="54"/>
      <c r="AL16" s="49"/>
      <c r="AM16" s="13"/>
      <c r="AN16" s="79"/>
      <c r="AO16" s="20">
        <f t="shared" ref="AO16:AO81" si="22">$A16</f>
        <v>41455</v>
      </c>
      <c r="AP16" s="78">
        <f>35%*$C16+10%*$D16+35%*$E16+20%*$F16</f>
        <v>-1.4567438773044941</v>
      </c>
      <c r="AQ16" s="46">
        <f t="shared" ref="AQ16:AQ38" si="23">AQ15*AP16/100+AQ15</f>
        <v>985432.56122695503</v>
      </c>
      <c r="AR16" s="8"/>
      <c r="AS16" s="5"/>
      <c r="AT16" s="39"/>
      <c r="AU16" s="20">
        <f t="shared" ref="AU16:AU81" si="24">$A16</f>
        <v>41455</v>
      </c>
      <c r="AV16" s="27"/>
      <c r="AW16" s="46">
        <f t="shared" ref="AW16:AW52" si="25">AW15*AV16/100+AW15</f>
        <v>1000000</v>
      </c>
      <c r="AX16" s="54"/>
      <c r="AY16" s="49"/>
      <c r="AZ16" s="13"/>
      <c r="BA16" s="79"/>
      <c r="BB16" s="20">
        <f t="shared" ref="BB16:BB81" si="26">$A16</f>
        <v>41455</v>
      </c>
      <c r="BC16" s="78">
        <f>10%*$C16+5%*$D16+70%*$E16+15%*$F16</f>
        <v>-1.4397738303850749</v>
      </c>
      <c r="BD16" s="46">
        <f t="shared" ref="BD16:BD38" si="27">BD15*BC16/100+BD15</f>
        <v>985602.26169614925</v>
      </c>
      <c r="BE16" s="8"/>
      <c r="BF16" s="5"/>
      <c r="BG16" s="39"/>
      <c r="BH16" s="20">
        <f t="shared" ref="BH16:BH81" si="28">$A16</f>
        <v>41455</v>
      </c>
      <c r="BI16" s="27"/>
      <c r="BJ16" s="46">
        <f t="shared" ref="BJ16:BJ79" si="29">BJ15*BI16/100+BJ15</f>
        <v>1000000</v>
      </c>
      <c r="BK16" s="54"/>
      <c r="BL16" s="49"/>
      <c r="BM16" s="13"/>
      <c r="BN16" s="79"/>
      <c r="BO16" s="20">
        <f t="shared" ref="BO16:BO81" si="30">$A16</f>
        <v>41455</v>
      </c>
      <c r="BP16" s="78"/>
      <c r="BQ16" s="46">
        <f t="shared" ref="BQ16:BQ48" si="31">BQ15*BP16/100+BQ15</f>
        <v>1000000</v>
      </c>
      <c r="BR16" s="8"/>
      <c r="BS16" s="5"/>
      <c r="BV16" s="39"/>
      <c r="BW16" s="20">
        <f t="shared" ref="BW16:BW81" si="32">$A16</f>
        <v>41455</v>
      </c>
      <c r="BX16" s="27"/>
      <c r="BY16" s="46">
        <f t="shared" ref="BY16:BY52" si="33">BY15*BX16/100+BY15</f>
        <v>1000000</v>
      </c>
      <c r="BZ16" s="54"/>
      <c r="CA16" s="49"/>
      <c r="CB16" s="13"/>
      <c r="CC16" s="79"/>
      <c r="CD16" s="20">
        <f t="shared" ref="CD16:CD81" si="34">$A16</f>
        <v>41455</v>
      </c>
      <c r="CE16" s="78"/>
      <c r="CF16" s="46">
        <f t="shared" ref="CF16:CF38" si="35">CF15*CE16/100+CF15</f>
        <v>1000000</v>
      </c>
      <c r="CG16" s="8"/>
      <c r="CH16" s="5"/>
      <c r="CI16" s="39"/>
    </row>
    <row r="17" spans="1:87" x14ac:dyDescent="0.25">
      <c r="A17" s="20">
        <v>41486</v>
      </c>
      <c r="B17" s="24">
        <f t="shared" ref="B17:B80" si="36">IF(A17&gt;A16,1+B16,"-")</f>
        <v>2</v>
      </c>
      <c r="C17" s="301">
        <f>'LC (Gross)'!K179</f>
        <v>5.0883842905535053</v>
      </c>
      <c r="D17" s="301">
        <f>ITL!K119</f>
        <v>4.4260098001578907</v>
      </c>
      <c r="E17" s="301">
        <v>0.13671907564566621</v>
      </c>
      <c r="F17" s="301">
        <v>0</v>
      </c>
      <c r="G17" s="39"/>
      <c r="H17" s="20">
        <f t="shared" si="12"/>
        <v>41486</v>
      </c>
      <c r="I17" s="27">
        <v>3.95</v>
      </c>
      <c r="J17" s="46">
        <f t="shared" si="13"/>
        <v>1035549.9</v>
      </c>
      <c r="M17" s="17"/>
      <c r="N17" s="79"/>
      <c r="O17" s="20">
        <f t="shared" si="14"/>
        <v>41486</v>
      </c>
      <c r="P17" s="78">
        <f t="shared" ref="P17:P81" si="37">55%*$C17+15%*$D17+0%*$E17+30%*$F17</f>
        <v>3.4625128298281118</v>
      </c>
      <c r="Q17" s="46">
        <f t="shared" si="15"/>
        <v>1020072.2687488818</v>
      </c>
      <c r="R17" s="8"/>
      <c r="T17" s="39"/>
      <c r="U17" s="20">
        <f t="shared" si="16"/>
        <v>41486</v>
      </c>
      <c r="V17" s="27">
        <v>3.2399999999999998</v>
      </c>
      <c r="W17" s="46">
        <f t="shared" si="17"/>
        <v>1025173.2</v>
      </c>
      <c r="Z17" s="17"/>
      <c r="AA17" s="79"/>
      <c r="AB17" s="20">
        <f t="shared" si="18"/>
        <v>41486</v>
      </c>
      <c r="AC17" s="78">
        <f t="shared" ref="AC17:AC94" si="38">45%*$C17+10%*$D17+15%*$E17+30%*$F17</f>
        <v>2.7528817721117167</v>
      </c>
      <c r="AD17" s="46">
        <f t="shared" si="19"/>
        <v>1014359.6469425112</v>
      </c>
      <c r="AE17" s="8"/>
      <c r="AG17" s="44"/>
      <c r="AH17" s="20">
        <f t="shared" si="20"/>
        <v>41486</v>
      </c>
      <c r="AI17" s="27">
        <v>2.69</v>
      </c>
      <c r="AJ17" s="46">
        <f t="shared" si="21"/>
        <v>1015604.1</v>
      </c>
      <c r="AM17" s="17"/>
      <c r="AN17" s="79"/>
      <c r="AO17" s="20">
        <f t="shared" si="22"/>
        <v>41486</v>
      </c>
      <c r="AP17" s="78">
        <f t="shared" ref="AP17:AP94" si="39">35%*$C17+10%*$D17+35%*$E17+20%*$F17</f>
        <v>2.2713871581854992</v>
      </c>
      <c r="AQ17" s="46">
        <f t="shared" si="23"/>
        <v>1007815.5498752425</v>
      </c>
      <c r="AR17" s="8"/>
      <c r="AT17" s="39"/>
      <c r="AU17" s="20">
        <f t="shared" si="24"/>
        <v>41486</v>
      </c>
      <c r="AV17" s="27"/>
      <c r="AW17" s="46">
        <f t="shared" si="25"/>
        <v>1000000</v>
      </c>
      <c r="AZ17" s="17"/>
      <c r="BA17" s="79"/>
      <c r="BB17" s="20">
        <f t="shared" si="26"/>
        <v>41486</v>
      </c>
      <c r="BC17" s="78">
        <f>10%*$C17+5%*$D17+70%*$E17+15%*$F17</f>
        <v>0.82584227201521143</v>
      </c>
      <c r="BD17" s="46">
        <f t="shared" si="27"/>
        <v>993741.78180717409</v>
      </c>
      <c r="BE17" s="8"/>
      <c r="BG17" s="39"/>
      <c r="BH17" s="20">
        <f t="shared" si="28"/>
        <v>41486</v>
      </c>
      <c r="BI17" s="27"/>
      <c r="BJ17" s="46">
        <f t="shared" si="29"/>
        <v>1000000</v>
      </c>
      <c r="BM17" s="17"/>
      <c r="BN17" s="79"/>
      <c r="BO17" s="20">
        <f t="shared" si="30"/>
        <v>41486</v>
      </c>
      <c r="BP17" s="78"/>
      <c r="BQ17" s="46">
        <f t="shared" si="31"/>
        <v>1000000</v>
      </c>
      <c r="BR17" s="8"/>
      <c r="BV17" s="39"/>
      <c r="BW17" s="20">
        <f t="shared" si="32"/>
        <v>41486</v>
      </c>
      <c r="BX17" s="27"/>
      <c r="BY17" s="46">
        <f t="shared" si="33"/>
        <v>1000000</v>
      </c>
      <c r="CB17" s="17"/>
      <c r="CC17" s="79"/>
      <c r="CD17" s="20">
        <f t="shared" si="34"/>
        <v>41486</v>
      </c>
      <c r="CE17" s="78"/>
      <c r="CF17" s="46">
        <f t="shared" si="35"/>
        <v>1000000</v>
      </c>
      <c r="CG17" s="8"/>
      <c r="CI17" s="39"/>
    </row>
    <row r="18" spans="1:87" x14ac:dyDescent="0.25">
      <c r="A18" s="20">
        <v>41517</v>
      </c>
      <c r="B18" s="24">
        <f t="shared" si="36"/>
        <v>3</v>
      </c>
      <c r="C18" s="301">
        <f>'LC (Gross)'!K180</f>
        <v>-2.897235282454881</v>
      </c>
      <c r="D18" s="301">
        <f>ITL!K120</f>
        <v>-1.3476451028008833</v>
      </c>
      <c r="E18" s="301">
        <v>-0.51116402204499112</v>
      </c>
      <c r="F18" s="301">
        <v>0</v>
      </c>
      <c r="G18" s="39"/>
      <c r="H18" s="20">
        <f t="shared" si="12"/>
        <v>41517</v>
      </c>
      <c r="I18" s="27">
        <v>-3.53</v>
      </c>
      <c r="J18" s="46">
        <f t="shared" si="13"/>
        <v>998994.98852999997</v>
      </c>
      <c r="M18" s="17"/>
      <c r="N18" s="79"/>
      <c r="O18" s="20">
        <f t="shared" si="14"/>
        <v>41517</v>
      </c>
      <c r="P18" s="78">
        <f t="shared" si="37"/>
        <v>-1.7956261707703172</v>
      </c>
      <c r="Q18" s="46">
        <f t="shared" si="15"/>
        <v>1001755.5841304563</v>
      </c>
      <c r="R18" s="8"/>
      <c r="T18" s="39"/>
      <c r="U18" s="20">
        <f t="shared" si="16"/>
        <v>41517</v>
      </c>
      <c r="V18" s="27">
        <v>-2.76</v>
      </c>
      <c r="W18" s="46">
        <f t="shared" si="17"/>
        <v>996878.41967999993</v>
      </c>
      <c r="Z18" s="17"/>
      <c r="AA18" s="79"/>
      <c r="AB18" s="20">
        <f t="shared" si="18"/>
        <v>41517</v>
      </c>
      <c r="AC18" s="78">
        <f t="shared" si="38"/>
        <v>-1.5151949906915334</v>
      </c>
      <c r="AD18" s="46">
        <f t="shared" si="19"/>
        <v>998990.12038444192</v>
      </c>
      <c r="AE18" s="8"/>
      <c r="AG18" s="44"/>
      <c r="AH18" s="20">
        <f t="shared" si="20"/>
        <v>41517</v>
      </c>
      <c r="AI18" s="27">
        <v>-2.44</v>
      </c>
      <c r="AJ18" s="46">
        <f t="shared" si="21"/>
        <v>990823.35996000003</v>
      </c>
      <c r="AM18" s="17"/>
      <c r="AN18" s="79"/>
      <c r="AO18" s="20">
        <f t="shared" si="22"/>
        <v>41517</v>
      </c>
      <c r="AP18" s="78">
        <f t="shared" si="39"/>
        <v>-1.3277042668550434</v>
      </c>
      <c r="AQ18" s="46">
        <f t="shared" si="23"/>
        <v>994434.73981752025</v>
      </c>
      <c r="AR18" s="8"/>
      <c r="AT18" s="39"/>
      <c r="AU18" s="20">
        <f t="shared" si="24"/>
        <v>41517</v>
      </c>
      <c r="AV18" s="27"/>
      <c r="AW18" s="46">
        <f t="shared" si="25"/>
        <v>1000000</v>
      </c>
      <c r="AZ18" s="17"/>
      <c r="BA18" s="79"/>
      <c r="BB18" s="20">
        <f t="shared" si="26"/>
        <v>41517</v>
      </c>
      <c r="BC18" s="78">
        <f>10%*$C18+5%*$D18+70%*$E18+15%*$F18</f>
        <v>-0.71492059881702608</v>
      </c>
      <c r="BD18" s="46">
        <f t="shared" si="27"/>
        <v>986637.3171099833</v>
      </c>
      <c r="BE18" s="8"/>
      <c r="BG18" s="39"/>
      <c r="BH18" s="20">
        <f t="shared" si="28"/>
        <v>41517</v>
      </c>
      <c r="BI18" s="27"/>
      <c r="BJ18" s="46">
        <f t="shared" si="29"/>
        <v>1000000</v>
      </c>
      <c r="BM18" s="17"/>
      <c r="BN18" s="79"/>
      <c r="BO18" s="20">
        <f t="shared" si="30"/>
        <v>41517</v>
      </c>
      <c r="BP18" s="78"/>
      <c r="BQ18" s="46">
        <f t="shared" si="31"/>
        <v>1000000</v>
      </c>
      <c r="BR18" s="8"/>
      <c r="BV18" s="39"/>
      <c r="BW18" s="20">
        <f t="shared" si="32"/>
        <v>41517</v>
      </c>
      <c r="BX18" s="27"/>
      <c r="BY18" s="46">
        <f t="shared" si="33"/>
        <v>1000000</v>
      </c>
      <c r="CB18" s="17"/>
      <c r="CC18" s="79"/>
      <c r="CD18" s="20">
        <f t="shared" si="34"/>
        <v>41517</v>
      </c>
      <c r="CE18" s="78"/>
      <c r="CF18" s="46">
        <f t="shared" si="35"/>
        <v>1000000</v>
      </c>
      <c r="CG18" s="8"/>
      <c r="CI18" s="39"/>
    </row>
    <row r="19" spans="1:87" x14ac:dyDescent="0.25">
      <c r="A19" s="20">
        <v>41547</v>
      </c>
      <c r="B19" s="24">
        <f t="shared" si="36"/>
        <v>4</v>
      </c>
      <c r="C19" s="301">
        <f>'LC (Gross)'!K181</f>
        <v>3.1362227634925532</v>
      </c>
      <c r="D19" s="301">
        <f>ITL!K121</f>
        <v>7.0022078776230767</v>
      </c>
      <c r="E19" s="301">
        <v>0.94669076627839666</v>
      </c>
      <c r="F19" s="301">
        <v>0</v>
      </c>
      <c r="G19" s="39"/>
      <c r="H19" s="20">
        <f t="shared" si="12"/>
        <v>41547</v>
      </c>
      <c r="I19" s="27">
        <v>2.93</v>
      </c>
      <c r="J19" s="46">
        <f t="shared" si="13"/>
        <v>1028265.541693929</v>
      </c>
      <c r="K19" s="54"/>
      <c r="L19" s="49">
        <f>(J19/J16-1)*100</f>
        <v>3.2187855544999922</v>
      </c>
      <c r="M19" s="17"/>
      <c r="N19" s="79"/>
      <c r="O19" s="20">
        <f t="shared" si="14"/>
        <v>41547</v>
      </c>
      <c r="P19" s="78">
        <f t="shared" si="37"/>
        <v>2.7752537015643659</v>
      </c>
      <c r="Q19" s="46">
        <f t="shared" si="15"/>
        <v>1029556.8430596646</v>
      </c>
      <c r="R19" s="8"/>
      <c r="S19" s="5">
        <f>(Q19/Q16-1)*100</f>
        <v>4.4245014274775674</v>
      </c>
      <c r="T19" s="39"/>
      <c r="U19" s="20">
        <f t="shared" si="16"/>
        <v>41547</v>
      </c>
      <c r="V19" s="27">
        <v>2.54</v>
      </c>
      <c r="W19" s="46">
        <f t="shared" si="17"/>
        <v>1022199.1315398719</v>
      </c>
      <c r="X19" s="54"/>
      <c r="Y19" s="49">
        <f>(W19/W16-1)*100</f>
        <v>2.9404966303999913</v>
      </c>
      <c r="Z19" s="17"/>
      <c r="AA19" s="79"/>
      <c r="AB19" s="20">
        <f t="shared" si="18"/>
        <v>41547</v>
      </c>
      <c r="AC19" s="78">
        <f t="shared" si="38"/>
        <v>2.2535246462757161</v>
      </c>
      <c r="AD19" s="46">
        <f t="shared" si="19"/>
        <v>1021502.6089611647</v>
      </c>
      <c r="AE19" s="8"/>
      <c r="AF19" s="5">
        <f>(AD19/AD16-1)*100</f>
        <v>3.4764514981134198</v>
      </c>
      <c r="AG19" s="44"/>
      <c r="AH19" s="20">
        <f t="shared" si="20"/>
        <v>41547</v>
      </c>
      <c r="AI19" s="27">
        <v>2.0699999999999998</v>
      </c>
      <c r="AJ19" s="46">
        <f t="shared" si="21"/>
        <v>1011333.403511172</v>
      </c>
      <c r="AK19" s="54"/>
      <c r="AL19" s="49">
        <f>(AJ19/AJ16-1)*100</f>
        <v>2.2581803348000085</v>
      </c>
      <c r="AM19" s="17"/>
      <c r="AN19" s="79"/>
      <c r="AO19" s="20">
        <f t="shared" si="22"/>
        <v>41547</v>
      </c>
      <c r="AP19" s="78">
        <f t="shared" si="39"/>
        <v>2.1292405231821401</v>
      </c>
      <c r="AQ19" s="46">
        <f t="shared" si="23"/>
        <v>1015608.6472743158</v>
      </c>
      <c r="AR19" s="8"/>
      <c r="AS19" s="5">
        <f>(AQ19/AQ16-1)*100</f>
        <v>3.0622172672870374</v>
      </c>
      <c r="AT19" s="39"/>
      <c r="AU19" s="20">
        <f t="shared" si="24"/>
        <v>41547</v>
      </c>
      <c r="AV19" s="27"/>
      <c r="AW19" s="46">
        <f t="shared" si="25"/>
        <v>1000000</v>
      </c>
      <c r="AX19" s="54"/>
      <c r="AY19" s="49"/>
      <c r="AZ19" s="17"/>
      <c r="BA19" s="79"/>
      <c r="BB19" s="20">
        <f t="shared" si="26"/>
        <v>41547</v>
      </c>
      <c r="BC19" s="78">
        <f>10%*$C19+5%*$D19+70%*$E19+15%*$F19</f>
        <v>1.3264162066252867</v>
      </c>
      <c r="BD19" s="46">
        <f t="shared" si="27"/>
        <v>999724.23438474303</v>
      </c>
      <c r="BE19" s="8"/>
      <c r="BF19" s="49">
        <f>(BD19/BD16-1)*100</f>
        <v>1.4328267331987332</v>
      </c>
      <c r="BG19" s="39"/>
      <c r="BH19" s="20">
        <f t="shared" si="28"/>
        <v>41547</v>
      </c>
      <c r="BI19" s="27"/>
      <c r="BJ19" s="46">
        <f t="shared" si="29"/>
        <v>1000000</v>
      </c>
      <c r="BK19" s="54"/>
      <c r="BL19" s="49"/>
      <c r="BM19" s="17"/>
      <c r="BN19" s="79"/>
      <c r="BO19" s="20">
        <f t="shared" si="30"/>
        <v>41547</v>
      </c>
      <c r="BP19" s="78"/>
      <c r="BQ19" s="46">
        <f t="shared" si="31"/>
        <v>1000000</v>
      </c>
      <c r="BR19" s="8"/>
      <c r="BS19" s="49">
        <f>(BQ19/BQ16-1)*100</f>
        <v>0</v>
      </c>
      <c r="BV19" s="39"/>
      <c r="BW19" s="20">
        <f t="shared" si="32"/>
        <v>41547</v>
      </c>
      <c r="BX19" s="27">
        <v>1.38</v>
      </c>
      <c r="BY19" s="46">
        <f t="shared" si="33"/>
        <v>1013800</v>
      </c>
      <c r="BZ19" s="54"/>
      <c r="CA19" s="49"/>
      <c r="CB19" s="17"/>
      <c r="CC19" s="79"/>
      <c r="CD19" s="20">
        <f t="shared" si="34"/>
        <v>41547</v>
      </c>
      <c r="CE19" s="78">
        <f t="shared" ref="CE19:CE94" si="40">25%*$C19+5%*$D19+50%*$E19+20%*$F19</f>
        <v>1.6075114678934903</v>
      </c>
      <c r="CF19" s="46">
        <f t="shared" si="35"/>
        <v>1016075.1146789349</v>
      </c>
      <c r="CG19" s="8"/>
      <c r="CH19" s="5"/>
      <c r="CI19" s="39"/>
    </row>
    <row r="20" spans="1:87" x14ac:dyDescent="0.25">
      <c r="A20" s="20">
        <v>41578</v>
      </c>
      <c r="B20" s="24">
        <f t="shared" si="36"/>
        <v>5</v>
      </c>
      <c r="C20" s="301">
        <f>'LC (Gross)'!K182</f>
        <v>4.5962932762223021</v>
      </c>
      <c r="D20" s="301">
        <f>ITL!K122</f>
        <v>3.6919148131748929</v>
      </c>
      <c r="E20" s="301">
        <v>0.80849723408841578</v>
      </c>
      <c r="F20" s="301">
        <v>0</v>
      </c>
      <c r="G20" s="39"/>
      <c r="H20" s="20">
        <f t="shared" si="12"/>
        <v>41578</v>
      </c>
      <c r="I20" s="27">
        <v>3.5900000000000003</v>
      </c>
      <c r="J20" s="46">
        <f t="shared" si="13"/>
        <v>1065180.2746407411</v>
      </c>
      <c r="K20" s="54"/>
      <c r="M20" s="17"/>
      <c r="N20" s="79"/>
      <c r="O20" s="20">
        <f t="shared" si="14"/>
        <v>41578</v>
      </c>
      <c r="P20" s="78">
        <f t="shared" si="37"/>
        <v>3.0817485238984998</v>
      </c>
      <c r="Q20" s="46">
        <f t="shared" si="15"/>
        <v>1061285.1958733518</v>
      </c>
      <c r="R20" s="8"/>
      <c r="T20" s="39"/>
      <c r="U20" s="20">
        <f t="shared" si="16"/>
        <v>41578</v>
      </c>
      <c r="V20" s="27">
        <v>2.9899999999999998</v>
      </c>
      <c r="W20" s="46">
        <f t="shared" si="17"/>
        <v>1052762.885572914</v>
      </c>
      <c r="X20" s="54"/>
      <c r="Z20" s="17"/>
      <c r="AA20" s="79"/>
      <c r="AB20" s="20">
        <f t="shared" si="18"/>
        <v>41578</v>
      </c>
      <c r="AC20" s="78">
        <f t="shared" si="38"/>
        <v>2.5587980407307875</v>
      </c>
      <c r="AD20" s="46">
        <f t="shared" si="19"/>
        <v>1047640.7977052769</v>
      </c>
      <c r="AE20" s="7"/>
      <c r="AG20" s="44"/>
      <c r="AH20" s="20">
        <f t="shared" si="20"/>
        <v>41578</v>
      </c>
      <c r="AI20" s="27">
        <v>2.42</v>
      </c>
      <c r="AJ20" s="46">
        <f t="shared" si="21"/>
        <v>1035807.6718761424</v>
      </c>
      <c r="AK20" s="54"/>
      <c r="AM20" s="17"/>
      <c r="AN20" s="79"/>
      <c r="AO20" s="20">
        <f t="shared" si="22"/>
        <v>41578</v>
      </c>
      <c r="AP20" s="78">
        <f t="shared" si="39"/>
        <v>2.2608681599262406</v>
      </c>
      <c r="AQ20" s="46">
        <f t="shared" si="23"/>
        <v>1038570.2198099984</v>
      </c>
      <c r="AR20" s="8"/>
      <c r="AT20" s="39"/>
      <c r="AU20" s="20">
        <f t="shared" si="24"/>
        <v>41578</v>
      </c>
      <c r="AV20" s="27"/>
      <c r="AW20" s="46">
        <f t="shared" si="25"/>
        <v>1000000</v>
      </c>
      <c r="AX20" s="4"/>
      <c r="AZ20" s="17"/>
      <c r="BA20" s="79"/>
      <c r="BB20" s="20">
        <f t="shared" si="26"/>
        <v>41578</v>
      </c>
      <c r="BC20" s="78">
        <f t="shared" ref="BC20:BC94" si="41">10%*$C20+5%*$D20+70%*$E20+15%*$F20</f>
        <v>1.2101731321428659</v>
      </c>
      <c r="BD20" s="46">
        <f t="shared" si="27"/>
        <v>1011822.6284647882</v>
      </c>
      <c r="BE20" s="7"/>
      <c r="BG20" s="39"/>
      <c r="BH20" s="20">
        <f t="shared" si="28"/>
        <v>41578</v>
      </c>
      <c r="BI20" s="27"/>
      <c r="BJ20" s="46">
        <f t="shared" si="29"/>
        <v>1000000</v>
      </c>
      <c r="BK20" s="4"/>
      <c r="BM20" s="17"/>
      <c r="BN20" s="79"/>
      <c r="BO20" s="20">
        <f t="shared" si="30"/>
        <v>41578</v>
      </c>
      <c r="BP20" s="78"/>
      <c r="BQ20" s="46">
        <f t="shared" si="31"/>
        <v>1000000</v>
      </c>
      <c r="BR20" s="7"/>
      <c r="BV20" s="39"/>
      <c r="BW20" s="20">
        <f t="shared" si="32"/>
        <v>41578</v>
      </c>
      <c r="BX20" s="27">
        <v>1.8900000000000001</v>
      </c>
      <c r="BY20" s="46">
        <f t="shared" si="33"/>
        <v>1032960.82</v>
      </c>
      <c r="BZ20" s="54"/>
      <c r="CB20" s="17"/>
      <c r="CC20" s="79"/>
      <c r="CD20" s="20">
        <f t="shared" si="34"/>
        <v>41578</v>
      </c>
      <c r="CE20" s="78">
        <f t="shared" si="40"/>
        <v>1.737917676758528</v>
      </c>
      <c r="CF20" s="46">
        <f t="shared" si="35"/>
        <v>1033733.6637060846</v>
      </c>
      <c r="CG20" s="8"/>
      <c r="CI20" s="39"/>
    </row>
    <row r="21" spans="1:87" x14ac:dyDescent="0.25">
      <c r="A21" s="20">
        <v>41608</v>
      </c>
      <c r="B21" s="24">
        <f t="shared" si="36"/>
        <v>6</v>
      </c>
      <c r="C21" s="301">
        <f>'LC (Gross)'!K183</f>
        <v>3.0467850036079138</v>
      </c>
      <c r="D21" s="301">
        <f>ITL!K123</f>
        <v>0.19815179501816207</v>
      </c>
      <c r="E21" s="301">
        <v>-0.37441891062188376</v>
      </c>
      <c r="F21" s="301">
        <v>0</v>
      </c>
      <c r="G21" s="39"/>
      <c r="H21" s="20">
        <f t="shared" si="12"/>
        <v>41608</v>
      </c>
      <c r="I21" s="27">
        <v>0.75</v>
      </c>
      <c r="J21" s="46">
        <f t="shared" si="13"/>
        <v>1073169.1267005466</v>
      </c>
      <c r="K21" s="54"/>
      <c r="M21" s="17"/>
      <c r="N21" s="79"/>
      <c r="O21" s="20">
        <f t="shared" si="14"/>
        <v>41608</v>
      </c>
      <c r="P21" s="78">
        <f t="shared" si="37"/>
        <v>1.7054545212370769</v>
      </c>
      <c r="Q21" s="46">
        <f t="shared" si="15"/>
        <v>1079384.9322295936</v>
      </c>
      <c r="R21" s="8"/>
      <c r="T21" s="39"/>
      <c r="U21" s="20">
        <f t="shared" si="16"/>
        <v>41608</v>
      </c>
      <c r="V21" s="27">
        <v>0.47000000000000003</v>
      </c>
      <c r="W21" s="46">
        <f t="shared" si="17"/>
        <v>1057710.8711351068</v>
      </c>
      <c r="X21" s="54"/>
      <c r="Z21" s="17"/>
      <c r="AA21" s="79"/>
      <c r="AB21" s="20">
        <f t="shared" si="18"/>
        <v>41608</v>
      </c>
      <c r="AC21" s="78">
        <f t="shared" si="38"/>
        <v>1.3347055945320949</v>
      </c>
      <c r="AD21" s="46">
        <f t="shared" si="19"/>
        <v>1061623.7180428498</v>
      </c>
      <c r="AE21" s="7"/>
      <c r="AG21" s="44"/>
      <c r="AH21" s="20">
        <f t="shared" si="20"/>
        <v>41608</v>
      </c>
      <c r="AI21" s="27">
        <v>0.28000000000000003</v>
      </c>
      <c r="AJ21" s="46">
        <f t="shared" si="21"/>
        <v>1038707.9333573956</v>
      </c>
      <c r="AK21" s="54"/>
      <c r="AM21" s="17"/>
      <c r="AN21" s="79"/>
      <c r="AO21" s="20">
        <f t="shared" si="22"/>
        <v>41608</v>
      </c>
      <c r="AP21" s="78">
        <f t="shared" si="39"/>
        <v>0.9551433120469266</v>
      </c>
      <c r="AQ21" s="46">
        <f t="shared" si="23"/>
        <v>1048490.0538054247</v>
      </c>
      <c r="AR21" s="8"/>
      <c r="AT21" s="39"/>
      <c r="AU21" s="20">
        <f t="shared" si="24"/>
        <v>41608</v>
      </c>
      <c r="AV21" s="27"/>
      <c r="AW21" s="46">
        <f t="shared" si="25"/>
        <v>1000000</v>
      </c>
      <c r="AX21" s="4"/>
      <c r="AZ21" s="17"/>
      <c r="BA21" s="79"/>
      <c r="BB21" s="20">
        <f t="shared" si="26"/>
        <v>41608</v>
      </c>
      <c r="BC21" s="78">
        <f t="shared" si="41"/>
        <v>5.249285267638093E-2</v>
      </c>
      <c r="BD21" s="46">
        <f t="shared" si="27"/>
        <v>1012353.7630264945</v>
      </c>
      <c r="BE21" s="7"/>
      <c r="BG21" s="39"/>
      <c r="BH21" s="20">
        <f t="shared" si="28"/>
        <v>41608</v>
      </c>
      <c r="BI21" s="27"/>
      <c r="BJ21" s="46">
        <f t="shared" si="29"/>
        <v>1000000</v>
      </c>
      <c r="BK21" s="4"/>
      <c r="BM21" s="17"/>
      <c r="BN21" s="79"/>
      <c r="BO21" s="20">
        <f t="shared" si="30"/>
        <v>41608</v>
      </c>
      <c r="BP21" s="78"/>
      <c r="BQ21" s="46">
        <f t="shared" si="31"/>
        <v>1000000</v>
      </c>
      <c r="BR21" s="7"/>
      <c r="BV21" s="39"/>
      <c r="BW21" s="20">
        <f t="shared" si="32"/>
        <v>41608</v>
      </c>
      <c r="BX21" s="27">
        <v>0.57999999999999996</v>
      </c>
      <c r="BY21" s="46">
        <f t="shared" si="33"/>
        <v>1038951.9927559999</v>
      </c>
      <c r="BZ21" s="54"/>
      <c r="CB21" s="17"/>
      <c r="CC21" s="79"/>
      <c r="CD21" s="20">
        <f t="shared" si="34"/>
        <v>41608</v>
      </c>
      <c r="CE21" s="78">
        <f t="shared" si="40"/>
        <v>0.58439438534194466</v>
      </c>
      <c r="CF21" s="46">
        <f t="shared" si="35"/>
        <v>1039774.7451961725</v>
      </c>
      <c r="CG21" s="8"/>
      <c r="CI21" s="39"/>
    </row>
    <row r="22" spans="1:87" x14ac:dyDescent="0.25">
      <c r="A22" s="20">
        <v>41639</v>
      </c>
      <c r="B22" s="24">
        <f t="shared" si="36"/>
        <v>7</v>
      </c>
      <c r="C22" s="301">
        <f>'LC (Gross)'!K184</f>
        <v>2.5247921308159684</v>
      </c>
      <c r="D22" s="301">
        <f>ITL!K124</f>
        <v>0.93494635112080826</v>
      </c>
      <c r="E22" s="301">
        <v>-0.56511475626330843</v>
      </c>
      <c r="F22" s="301">
        <v>0</v>
      </c>
      <c r="G22" s="39"/>
      <c r="H22" s="20">
        <f t="shared" si="12"/>
        <v>41639</v>
      </c>
      <c r="I22" s="27">
        <v>1.48</v>
      </c>
      <c r="J22" s="46">
        <f t="shared" si="13"/>
        <v>1089052.0297757147</v>
      </c>
      <c r="K22" s="100">
        <f>(J22-J15)/J15*100</f>
        <v>8.9052029775714736</v>
      </c>
      <c r="L22" s="49">
        <f>(J22/J19-1)*100</f>
        <v>5.9115554899999978</v>
      </c>
      <c r="M22" s="17"/>
      <c r="N22" s="79"/>
      <c r="O22" s="20">
        <f t="shared" si="14"/>
        <v>41639</v>
      </c>
      <c r="P22" s="78">
        <f t="shared" si="37"/>
        <v>1.528877624616904</v>
      </c>
      <c r="Q22" s="46">
        <f t="shared" si="15"/>
        <v>1095887.4069419382</v>
      </c>
      <c r="R22" s="100">
        <f>(Q22-Q15)/Q15*100</f>
        <v>9.588740694193822</v>
      </c>
      <c r="S22" s="5">
        <f>(Q22/Q19-1)*100</f>
        <v>6.4426325102313609</v>
      </c>
      <c r="T22" s="39"/>
      <c r="U22" s="20">
        <f t="shared" si="16"/>
        <v>41639</v>
      </c>
      <c r="V22" s="27">
        <v>1.04</v>
      </c>
      <c r="W22" s="46">
        <f t="shared" si="17"/>
        <v>1068711.0641949119</v>
      </c>
      <c r="X22" s="100">
        <f>(W22-W15)/W15*100</f>
        <v>6.8711064194911851</v>
      </c>
      <c r="Y22" s="49">
        <f>(W22/W19-1)*100</f>
        <v>4.5501831511999935</v>
      </c>
      <c r="Z22" s="17"/>
      <c r="AA22" s="79"/>
      <c r="AB22" s="20">
        <f t="shared" si="18"/>
        <v>41639</v>
      </c>
      <c r="AC22" s="78">
        <f t="shared" si="38"/>
        <v>1.1448838805397703</v>
      </c>
      <c r="AD22" s="46">
        <f t="shared" si="19"/>
        <v>1073778.0768627094</v>
      </c>
      <c r="AE22" s="84">
        <f>(AD22-AD15)/AD15*100</f>
        <v>7.3778076862709359</v>
      </c>
      <c r="AF22" s="49">
        <f>(AD22/AD19-1)*100</f>
        <v>5.1175070374716913</v>
      </c>
      <c r="AG22" s="44"/>
      <c r="AH22" s="20">
        <f t="shared" si="20"/>
        <v>41639</v>
      </c>
      <c r="AI22" s="27">
        <v>0.63</v>
      </c>
      <c r="AJ22" s="46">
        <f t="shared" si="21"/>
        <v>1045251.7933375472</v>
      </c>
      <c r="AK22" s="100">
        <f>(AJ22-AJ15)/AJ15*100</f>
        <v>4.5251793337547221</v>
      </c>
      <c r="AL22" s="49">
        <f>(AJ22/AJ19-1)*100</f>
        <v>3.3538286888000091</v>
      </c>
      <c r="AM22" s="17"/>
      <c r="AN22" s="79"/>
      <c r="AO22" s="20">
        <f t="shared" si="22"/>
        <v>41639</v>
      </c>
      <c r="AP22" s="78">
        <f t="shared" si="39"/>
        <v>0.77938171620551178</v>
      </c>
      <c r="AQ22" s="46">
        <f t="shared" si="23"/>
        <v>1056661.7935810175</v>
      </c>
      <c r="AR22" s="100">
        <f>(AQ22-AQ15)/AQ15*100</f>
        <v>5.6661793581017523</v>
      </c>
      <c r="AS22" s="5">
        <f>(AQ22/AQ19-1)*100</f>
        <v>4.0422210284325466</v>
      </c>
      <c r="AT22" s="39"/>
      <c r="AU22" s="20">
        <f t="shared" si="24"/>
        <v>41639</v>
      </c>
      <c r="AV22" s="27"/>
      <c r="AW22" s="46">
        <f t="shared" si="25"/>
        <v>1000000</v>
      </c>
      <c r="AX22" s="12"/>
      <c r="AY22" s="49"/>
      <c r="AZ22" s="17"/>
      <c r="BA22" s="79"/>
      <c r="BB22" s="20">
        <f t="shared" si="26"/>
        <v>41639</v>
      </c>
      <c r="BC22" s="78">
        <f t="shared" si="41"/>
        <v>-9.6353798746678598E-2</v>
      </c>
      <c r="BD22" s="46">
        <f t="shared" si="27"/>
        <v>1011378.3217190636</v>
      </c>
      <c r="BE22" s="12">
        <f>(BD22-BD15)/BD15*100</f>
        <v>1.1378321719063562</v>
      </c>
      <c r="BF22" s="49">
        <f>(BD22/BD19-1)*100</f>
        <v>1.1657302017383575</v>
      </c>
      <c r="BG22" s="39"/>
      <c r="BH22" s="20">
        <f t="shared" si="28"/>
        <v>41639</v>
      </c>
      <c r="BI22" s="27"/>
      <c r="BJ22" s="46">
        <f t="shared" si="29"/>
        <v>1000000</v>
      </c>
      <c r="BK22" s="12"/>
      <c r="BL22" s="49"/>
      <c r="BM22" s="17"/>
      <c r="BN22" s="79"/>
      <c r="BO22" s="20">
        <f t="shared" si="30"/>
        <v>41639</v>
      </c>
      <c r="BP22" s="78"/>
      <c r="BQ22" s="46">
        <f t="shared" si="31"/>
        <v>1000000</v>
      </c>
      <c r="BR22" s="12">
        <f>(BQ22-BQ15)/BQ15*100</f>
        <v>0</v>
      </c>
      <c r="BS22" s="49">
        <f>(BQ22/BQ19-1)*100</f>
        <v>0</v>
      </c>
      <c r="BV22" s="39"/>
      <c r="BW22" s="20">
        <f t="shared" si="32"/>
        <v>41639</v>
      </c>
      <c r="BX22" s="27">
        <v>0.48</v>
      </c>
      <c r="BY22" s="46">
        <f t="shared" si="33"/>
        <v>1043938.9623212287</v>
      </c>
      <c r="BZ22" s="100">
        <f>(BY22-BY18)/BY18*100</f>
        <v>4.3938962321228692</v>
      </c>
      <c r="CA22" s="49">
        <f>(BY22/BY19-1)*100</f>
        <v>2.9728706175999875</v>
      </c>
      <c r="CB22" s="17"/>
      <c r="CC22" s="79"/>
      <c r="CD22" s="20">
        <f t="shared" si="34"/>
        <v>41639</v>
      </c>
      <c r="CE22" s="78">
        <f t="shared" si="40"/>
        <v>0.39538797212837834</v>
      </c>
      <c r="CF22" s="46">
        <f t="shared" si="35"/>
        <v>1043885.8894759066</v>
      </c>
      <c r="CG22" s="100">
        <f>(CF22-CF18)/CF18*100</f>
        <v>4.3885889475906614</v>
      </c>
      <c r="CH22" s="49">
        <f>(CF22/CF19-1)*100</f>
        <v>2.7370786268847258</v>
      </c>
      <c r="CI22" s="39"/>
    </row>
    <row r="23" spans="1:87" x14ac:dyDescent="0.25">
      <c r="A23" s="20">
        <v>41670</v>
      </c>
      <c r="B23" s="24">
        <f t="shared" si="36"/>
        <v>8</v>
      </c>
      <c r="C23" s="301">
        <f>'LC (Gross)'!K185</f>
        <v>-3.4574234097127894</v>
      </c>
      <c r="D23" s="301">
        <f>ITL!K125</f>
        <v>-4.5266528215096082</v>
      </c>
      <c r="E23" s="301">
        <v>1.477538100561135</v>
      </c>
      <c r="F23" s="301">
        <v>0</v>
      </c>
      <c r="G23" s="39"/>
      <c r="H23" s="20">
        <f t="shared" si="12"/>
        <v>41670</v>
      </c>
      <c r="I23" s="27">
        <v>-3.19</v>
      </c>
      <c r="J23" s="46">
        <f t="shared" si="13"/>
        <v>1054311.2700258694</v>
      </c>
      <c r="M23" s="17"/>
      <c r="N23" s="79"/>
      <c r="O23" s="20">
        <f t="shared" si="14"/>
        <v>41670</v>
      </c>
      <c r="P23" s="78">
        <f t="shared" si="37"/>
        <v>-2.5805807985684757</v>
      </c>
      <c r="Q23" s="46">
        <f t="shared" si="15"/>
        <v>1067607.1469444647</v>
      </c>
      <c r="R23" s="10"/>
      <c r="T23" s="39"/>
      <c r="U23" s="20">
        <f t="shared" si="16"/>
        <v>41670</v>
      </c>
      <c r="V23" s="27">
        <v>-2.46</v>
      </c>
      <c r="W23" s="46">
        <f t="shared" si="17"/>
        <v>1042420.772015717</v>
      </c>
      <c r="Z23" s="17"/>
      <c r="AA23" s="79"/>
      <c r="AB23" s="20">
        <f t="shared" si="18"/>
        <v>41670</v>
      </c>
      <c r="AC23" s="78">
        <f t="shared" si="38"/>
        <v>-1.7868751014375457</v>
      </c>
      <c r="AD23" s="46">
        <f t="shared" si="19"/>
        <v>1054591.0037625546</v>
      </c>
      <c r="AE23" s="15"/>
      <c r="AG23" s="44"/>
      <c r="AH23" s="20">
        <f t="shared" si="20"/>
        <v>41670</v>
      </c>
      <c r="AI23" s="27">
        <v>-1.52</v>
      </c>
      <c r="AJ23" s="46">
        <f t="shared" si="21"/>
        <v>1029363.9660788164</v>
      </c>
      <c r="AM23" s="17"/>
      <c r="AN23" s="79"/>
      <c r="AO23" s="20">
        <f t="shared" si="22"/>
        <v>41670</v>
      </c>
      <c r="AP23" s="78">
        <f t="shared" si="39"/>
        <v>-1.1456251403540398</v>
      </c>
      <c r="AQ23" s="46">
        <f t="shared" si="23"/>
        <v>1044556.4104252375</v>
      </c>
      <c r="AR23" s="10"/>
      <c r="AT23" s="39"/>
      <c r="AU23" s="20">
        <f t="shared" si="24"/>
        <v>41670</v>
      </c>
      <c r="AV23" s="27"/>
      <c r="AW23" s="46">
        <f t="shared" si="25"/>
        <v>1000000</v>
      </c>
      <c r="AX23" s="3"/>
      <c r="AZ23" s="17"/>
      <c r="BA23" s="79"/>
      <c r="BB23" s="20">
        <f t="shared" si="26"/>
        <v>41670</v>
      </c>
      <c r="BC23" s="78">
        <f t="shared" si="41"/>
        <v>0.46220168834603492</v>
      </c>
      <c r="BD23" s="46">
        <f t="shared" si="27"/>
        <v>1016052.9293976149</v>
      </c>
      <c r="BE23" s="15"/>
      <c r="BG23" s="39"/>
      <c r="BH23" s="20">
        <f t="shared" si="28"/>
        <v>41670</v>
      </c>
      <c r="BI23" s="27"/>
      <c r="BJ23" s="46">
        <f t="shared" si="29"/>
        <v>1000000</v>
      </c>
      <c r="BK23" s="3"/>
      <c r="BM23" s="17"/>
      <c r="BN23" s="79"/>
      <c r="BO23" s="20">
        <f t="shared" si="30"/>
        <v>41670</v>
      </c>
      <c r="BP23" s="78"/>
      <c r="BQ23" s="46">
        <f t="shared" si="31"/>
        <v>1000000</v>
      </c>
      <c r="BR23" s="15"/>
      <c r="BV23" s="39"/>
      <c r="BW23" s="20">
        <f t="shared" si="32"/>
        <v>41670</v>
      </c>
      <c r="BX23" s="27">
        <v>-0.37</v>
      </c>
      <c r="BY23" s="46">
        <f t="shared" si="33"/>
        <v>1040076.3881606401</v>
      </c>
      <c r="CB23" s="17"/>
      <c r="CC23" s="79"/>
      <c r="CD23" s="20">
        <f t="shared" si="34"/>
        <v>41670</v>
      </c>
      <c r="CE23" s="78">
        <f t="shared" si="40"/>
        <v>-0.35191944322311031</v>
      </c>
      <c r="CF23" s="46">
        <f t="shared" si="35"/>
        <v>1040212.2520657784</v>
      </c>
      <c r="CG23" s="10"/>
      <c r="CI23" s="39"/>
    </row>
    <row r="24" spans="1:87" x14ac:dyDescent="0.25">
      <c r="A24" s="20">
        <v>41698</v>
      </c>
      <c r="B24" s="24">
        <f t="shared" si="36"/>
        <v>9</v>
      </c>
      <c r="C24" s="301">
        <f>'LC (Gross)'!K186</f>
        <v>4.5734913571781322</v>
      </c>
      <c r="D24" s="301">
        <f>ITL!K126</f>
        <v>5.0482292255817329</v>
      </c>
      <c r="E24" s="301">
        <v>0.5316944420207661</v>
      </c>
      <c r="F24" s="301">
        <v>0</v>
      </c>
      <c r="G24" s="39"/>
      <c r="H24" s="20">
        <f t="shared" si="12"/>
        <v>41698</v>
      </c>
      <c r="I24" s="27">
        <v>3.38</v>
      </c>
      <c r="J24" s="46">
        <f t="shared" si="13"/>
        <v>1089946.9909527437</v>
      </c>
      <c r="M24" s="17"/>
      <c r="N24" s="79"/>
      <c r="O24" s="20">
        <f t="shared" si="14"/>
        <v>41698</v>
      </c>
      <c r="P24" s="78">
        <f t="shared" si="37"/>
        <v>3.2726546302852331</v>
      </c>
      <c r="Q24" s="46">
        <f t="shared" si="15"/>
        <v>1102546.2416721988</v>
      </c>
      <c r="R24" s="8"/>
      <c r="T24" s="39"/>
      <c r="U24" s="20">
        <f t="shared" si="16"/>
        <v>41698</v>
      </c>
      <c r="V24" s="27">
        <v>3.02</v>
      </c>
      <c r="W24" s="46">
        <f t="shared" si="17"/>
        <v>1073901.8793305918</v>
      </c>
      <c r="Z24" s="17"/>
      <c r="AA24" s="79"/>
      <c r="AB24" s="20">
        <f t="shared" si="18"/>
        <v>41698</v>
      </c>
      <c r="AC24" s="78">
        <f t="shared" si="38"/>
        <v>2.6426481995914477</v>
      </c>
      <c r="AD24" s="46">
        <f t="shared" si="19"/>
        <v>1082460.1339365391</v>
      </c>
      <c r="AE24" s="7"/>
      <c r="AG24" s="44"/>
      <c r="AH24" s="20">
        <f t="shared" si="20"/>
        <v>41698</v>
      </c>
      <c r="AI24" s="27">
        <v>2.2999999999999998</v>
      </c>
      <c r="AJ24" s="46">
        <f t="shared" si="21"/>
        <v>1053039.3372986293</v>
      </c>
      <c r="AM24" s="17"/>
      <c r="AN24" s="79"/>
      <c r="AO24" s="20">
        <f t="shared" si="22"/>
        <v>41698</v>
      </c>
      <c r="AP24" s="78">
        <f t="shared" si="39"/>
        <v>2.2916379522777874</v>
      </c>
      <c r="AQ24" s="46">
        <f t="shared" si="23"/>
        <v>1068493.8615594928</v>
      </c>
      <c r="AR24" s="8"/>
      <c r="AT24" s="39"/>
      <c r="AU24" s="20">
        <f t="shared" si="24"/>
        <v>41698</v>
      </c>
      <c r="AV24" s="27"/>
      <c r="AW24" s="46">
        <f t="shared" si="25"/>
        <v>1000000</v>
      </c>
      <c r="AX24" s="3"/>
      <c r="AZ24" s="17"/>
      <c r="BA24" s="79"/>
      <c r="BB24" s="20">
        <f t="shared" si="26"/>
        <v>41698</v>
      </c>
      <c r="BC24" s="78">
        <f t="shared" si="41"/>
        <v>1.0819467064114361</v>
      </c>
      <c r="BD24" s="46">
        <f t="shared" si="27"/>
        <v>1027046.0806026293</v>
      </c>
      <c r="BE24" s="7"/>
      <c r="BG24" s="39"/>
      <c r="BH24" s="20">
        <f t="shared" si="28"/>
        <v>41698</v>
      </c>
      <c r="BI24" s="27"/>
      <c r="BJ24" s="46">
        <f t="shared" si="29"/>
        <v>1000000</v>
      </c>
      <c r="BK24" s="3"/>
      <c r="BM24" s="17"/>
      <c r="BN24" s="79"/>
      <c r="BO24" s="20">
        <f t="shared" si="30"/>
        <v>41698</v>
      </c>
      <c r="BP24" s="78"/>
      <c r="BQ24" s="46">
        <f t="shared" si="31"/>
        <v>1000000</v>
      </c>
      <c r="BR24" s="7"/>
      <c r="BV24" s="39"/>
      <c r="BW24" s="20">
        <f t="shared" si="32"/>
        <v>41698</v>
      </c>
      <c r="BX24" s="27">
        <v>1.5599999999999998</v>
      </c>
      <c r="BY24" s="46">
        <f t="shared" si="33"/>
        <v>1056301.5798159461</v>
      </c>
      <c r="CB24" s="17"/>
      <c r="CC24" s="79"/>
      <c r="CD24" s="20">
        <f t="shared" si="34"/>
        <v>41698</v>
      </c>
      <c r="CE24" s="78">
        <f t="shared" si="40"/>
        <v>1.6616315215840027</v>
      </c>
      <c r="CF24" s="46">
        <f t="shared" si="35"/>
        <v>1057496.7467374823</v>
      </c>
      <c r="CG24" s="8"/>
      <c r="CI24" s="39"/>
    </row>
    <row r="25" spans="1:87" x14ac:dyDescent="0.25">
      <c r="A25" s="20">
        <v>41729</v>
      </c>
      <c r="B25" s="24">
        <f t="shared" si="36"/>
        <v>10</v>
      </c>
      <c r="C25" s="301">
        <f>'LC (Gross)'!K187</f>
        <v>0.84079821406014832</v>
      </c>
      <c r="D25" s="301">
        <f>ITL!K127</f>
        <v>0.34783673899513284</v>
      </c>
      <c r="E25" s="301">
        <v>-0.17032725615809516</v>
      </c>
      <c r="F25" s="301">
        <v>0</v>
      </c>
      <c r="G25" s="39"/>
      <c r="H25" s="20">
        <f t="shared" si="12"/>
        <v>41729</v>
      </c>
      <c r="I25" s="27">
        <v>1.51</v>
      </c>
      <c r="J25" s="46">
        <f t="shared" si="13"/>
        <v>1106405.1905161301</v>
      </c>
      <c r="K25" s="54"/>
      <c r="L25" s="49">
        <f>(J25/J22-1)*100</f>
        <v>1.59341888779998</v>
      </c>
      <c r="M25" s="17"/>
      <c r="N25" s="79"/>
      <c r="O25" s="20">
        <f t="shared" si="14"/>
        <v>41729</v>
      </c>
      <c r="P25" s="78">
        <f t="shared" si="37"/>
        <v>0.51461452858235157</v>
      </c>
      <c r="Q25" s="46">
        <f t="shared" si="15"/>
        <v>1108220.1048161825</v>
      </c>
      <c r="R25" s="8"/>
      <c r="S25" s="5">
        <f>(Q25/Q22-1)*100</f>
        <v>1.125361765827626</v>
      </c>
      <c r="T25" s="39"/>
      <c r="U25" s="20">
        <f t="shared" si="16"/>
        <v>41729</v>
      </c>
      <c r="V25" s="27">
        <v>1.23</v>
      </c>
      <c r="W25" s="46">
        <f t="shared" si="17"/>
        <v>1087110.872446358</v>
      </c>
      <c r="X25" s="54"/>
      <c r="Y25" s="49">
        <f>(W25/W22-1)*100</f>
        <v>1.7216822084000105</v>
      </c>
      <c r="Z25" s="17"/>
      <c r="AA25" s="79"/>
      <c r="AB25" s="20">
        <f t="shared" si="18"/>
        <v>41729</v>
      </c>
      <c r="AC25" s="78">
        <f t="shared" si="38"/>
        <v>0.38759378180286574</v>
      </c>
      <c r="AD25" s="46">
        <f t="shared" si="19"/>
        <v>1086655.682106172</v>
      </c>
      <c r="AE25" s="7"/>
      <c r="AF25" s="49">
        <f>(AD25/AD22-1)*100</f>
        <v>1.1992799556019618</v>
      </c>
      <c r="AG25" s="44"/>
      <c r="AH25" s="20">
        <f t="shared" si="20"/>
        <v>41729</v>
      </c>
      <c r="AI25" s="27">
        <v>0.88</v>
      </c>
      <c r="AJ25" s="46">
        <f t="shared" si="21"/>
        <v>1062306.0834668572</v>
      </c>
      <c r="AK25" s="54"/>
      <c r="AL25" s="49">
        <f>(AJ25/AJ22-1)*100</f>
        <v>1.6315963520000087</v>
      </c>
      <c r="AM25" s="17"/>
      <c r="AN25" s="79"/>
      <c r="AO25" s="20">
        <f t="shared" si="22"/>
        <v>41729</v>
      </c>
      <c r="AP25" s="78">
        <f t="shared" si="39"/>
        <v>0.26944850916523183</v>
      </c>
      <c r="AQ25" s="46">
        <f t="shared" si="23"/>
        <v>1071372.9023399868</v>
      </c>
      <c r="AR25" s="7"/>
      <c r="AS25" s="5">
        <f>(AQ25/AQ22-1)*100</f>
        <v>1.3922249151370858</v>
      </c>
      <c r="AT25" s="39"/>
      <c r="AU25" s="20">
        <f t="shared" si="24"/>
        <v>41729</v>
      </c>
      <c r="AV25" s="27"/>
      <c r="AW25" s="46">
        <f t="shared" si="25"/>
        <v>1000000</v>
      </c>
      <c r="AX25" s="4"/>
      <c r="AY25" s="49"/>
      <c r="AZ25" s="17"/>
      <c r="BA25" s="79"/>
      <c r="BB25" s="20">
        <f t="shared" si="26"/>
        <v>41729</v>
      </c>
      <c r="BC25" s="78">
        <f t="shared" si="41"/>
        <v>-1.7757420954895131E-2</v>
      </c>
      <c r="BD25" s="46">
        <f t="shared" si="27"/>
        <v>1026863.7037066959</v>
      </c>
      <c r="BE25" s="7"/>
      <c r="BF25" s="49">
        <f>(BD25/BD22-1)*100</f>
        <v>1.5311166608071636</v>
      </c>
      <c r="BG25" s="39"/>
      <c r="BH25" s="20">
        <f t="shared" si="28"/>
        <v>41729</v>
      </c>
      <c r="BI25" s="27"/>
      <c r="BJ25" s="46">
        <f t="shared" si="29"/>
        <v>1000000</v>
      </c>
      <c r="BK25" s="4"/>
      <c r="BL25" s="49"/>
      <c r="BM25" s="17"/>
      <c r="BN25" s="79"/>
      <c r="BO25" s="20">
        <f t="shared" si="30"/>
        <v>41729</v>
      </c>
      <c r="BP25" s="78"/>
      <c r="BQ25" s="46">
        <f t="shared" si="31"/>
        <v>1000000</v>
      </c>
      <c r="BR25" s="7"/>
      <c r="BS25" s="49">
        <f>(BQ25/BQ22-1)*100</f>
        <v>0</v>
      </c>
      <c r="BV25" s="39"/>
      <c r="BW25" s="20">
        <f t="shared" si="32"/>
        <v>41729</v>
      </c>
      <c r="BX25" s="27">
        <v>0.49</v>
      </c>
      <c r="BY25" s="46">
        <f t="shared" si="33"/>
        <v>1061477.4575570442</v>
      </c>
      <c r="BZ25" s="4"/>
      <c r="CA25" s="49">
        <f>(BY25/BY22-1)*100</f>
        <v>1.6800307171999984</v>
      </c>
      <c r="CB25" s="17"/>
      <c r="CC25" s="79"/>
      <c r="CD25" s="20">
        <f t="shared" si="34"/>
        <v>41729</v>
      </c>
      <c r="CE25" s="78">
        <f t="shared" si="40"/>
        <v>0.14242776238574612</v>
      </c>
      <c r="CF25" s="46">
        <f t="shared" si="35"/>
        <v>1059002.9156911625</v>
      </c>
      <c r="CG25" s="8"/>
      <c r="CH25" s="49">
        <f>(CF25/CF22-1)*100</f>
        <v>1.4481493013422719</v>
      </c>
      <c r="CI25" s="39"/>
    </row>
    <row r="26" spans="1:87" x14ac:dyDescent="0.25">
      <c r="A26" s="20">
        <v>41759</v>
      </c>
      <c r="B26" s="24">
        <f t="shared" si="36"/>
        <v>11</v>
      </c>
      <c r="C26" s="301">
        <f>'LC (Gross)'!K188</f>
        <v>0.73893574420213537</v>
      </c>
      <c r="D26" s="301">
        <f>ITL!K128</f>
        <v>1.3725042832453977</v>
      </c>
      <c r="E26" s="301">
        <v>0.84385205148965703</v>
      </c>
      <c r="F26" s="301">
        <v>0</v>
      </c>
      <c r="G26" s="39"/>
      <c r="H26" s="20">
        <f t="shared" si="12"/>
        <v>41759</v>
      </c>
      <c r="I26" s="27">
        <v>0.88</v>
      </c>
      <c r="J26" s="46">
        <f t="shared" si="13"/>
        <v>1116141.5561926721</v>
      </c>
      <c r="M26" s="17"/>
      <c r="N26" s="79"/>
      <c r="O26" s="20">
        <f t="shared" si="14"/>
        <v>41759</v>
      </c>
      <c r="P26" s="78">
        <f t="shared" si="37"/>
        <v>0.61229030179798416</v>
      </c>
      <c r="Q26" s="46">
        <f t="shared" si="15"/>
        <v>1115005.6290405474</v>
      </c>
      <c r="R26" s="8"/>
      <c r="T26" s="39"/>
      <c r="U26" s="20">
        <f t="shared" si="16"/>
        <v>41759</v>
      </c>
      <c r="V26" s="27">
        <v>0.83</v>
      </c>
      <c r="W26" s="46">
        <f t="shared" si="17"/>
        <v>1096133.8926876627</v>
      </c>
      <c r="Z26" s="17"/>
      <c r="AA26" s="79"/>
      <c r="AB26" s="20">
        <f t="shared" si="18"/>
        <v>41759</v>
      </c>
      <c r="AC26" s="78">
        <f t="shared" si="38"/>
        <v>0.59634932093894921</v>
      </c>
      <c r="AD26" s="46">
        <f t="shared" si="19"/>
        <v>1093135.9458873565</v>
      </c>
      <c r="AE26" s="7"/>
      <c r="AG26" s="44"/>
      <c r="AH26" s="20">
        <f t="shared" si="20"/>
        <v>41759</v>
      </c>
      <c r="AI26" s="27">
        <v>0.74</v>
      </c>
      <c r="AJ26" s="46">
        <f t="shared" si="21"/>
        <v>1070167.148484512</v>
      </c>
      <c r="AM26" s="17"/>
      <c r="AN26" s="79"/>
      <c r="AO26" s="20">
        <f t="shared" si="22"/>
        <v>41759</v>
      </c>
      <c r="AP26" s="78">
        <f t="shared" si="39"/>
        <v>0.6912261568166671</v>
      </c>
      <c r="AQ26" s="46">
        <f t="shared" si="23"/>
        <v>1078778.5120780065</v>
      </c>
      <c r="AR26" s="7"/>
      <c r="AT26" s="39"/>
      <c r="AU26" s="20">
        <f t="shared" si="24"/>
        <v>41759</v>
      </c>
      <c r="AV26" s="27"/>
      <c r="AW26" s="46">
        <f t="shared" si="25"/>
        <v>1000000</v>
      </c>
      <c r="AX26" s="3"/>
      <c r="AZ26" s="17"/>
      <c r="BA26" s="79"/>
      <c r="BB26" s="20">
        <f t="shared" si="26"/>
        <v>41759</v>
      </c>
      <c r="BC26" s="78">
        <f t="shared" si="41"/>
        <v>0.73321522462524336</v>
      </c>
      <c r="BD26" s="46">
        <f t="shared" si="27"/>
        <v>1034392.8247184241</v>
      </c>
      <c r="BE26" s="7"/>
      <c r="BG26" s="39"/>
      <c r="BH26" s="20">
        <f t="shared" si="28"/>
        <v>41759</v>
      </c>
      <c r="BI26" s="27"/>
      <c r="BJ26" s="46">
        <f t="shared" si="29"/>
        <v>1000000</v>
      </c>
      <c r="BK26" s="3"/>
      <c r="BM26" s="17"/>
      <c r="BN26" s="79"/>
      <c r="BO26" s="20">
        <f t="shared" si="30"/>
        <v>41759</v>
      </c>
      <c r="BP26" s="78"/>
      <c r="BQ26" s="46">
        <f t="shared" si="31"/>
        <v>1000000</v>
      </c>
      <c r="BR26" s="7"/>
      <c r="BV26" s="39"/>
      <c r="BW26" s="20">
        <f t="shared" si="32"/>
        <v>41759</v>
      </c>
      <c r="BX26" s="27">
        <v>0.62</v>
      </c>
      <c r="BY26" s="46">
        <f t="shared" si="33"/>
        <v>1068058.6177938979</v>
      </c>
      <c r="BZ26" s="3"/>
      <c r="CB26" s="17"/>
      <c r="CC26" s="79"/>
      <c r="CD26" s="20">
        <f t="shared" si="34"/>
        <v>41759</v>
      </c>
      <c r="CE26" s="78">
        <f t="shared" si="40"/>
        <v>0.67528517595763227</v>
      </c>
      <c r="CF26" s="46">
        <f t="shared" si="35"/>
        <v>1066154.205393784</v>
      </c>
      <c r="CG26" s="8"/>
      <c r="CI26" s="39"/>
    </row>
    <row r="27" spans="1:87" x14ac:dyDescent="0.25">
      <c r="A27" s="20">
        <v>41790</v>
      </c>
      <c r="B27" s="24">
        <f t="shared" si="36"/>
        <v>12</v>
      </c>
      <c r="C27" s="301">
        <f>'LC (Gross)'!K189</f>
        <v>2.3465618221986664</v>
      </c>
      <c r="D27" s="301">
        <f>ITL!K129</f>
        <v>2.0304092054262086</v>
      </c>
      <c r="E27" s="301">
        <v>1.1385311708604926</v>
      </c>
      <c r="F27" s="301">
        <v>0</v>
      </c>
      <c r="G27" s="39"/>
      <c r="H27" s="20">
        <f t="shared" si="12"/>
        <v>41790</v>
      </c>
      <c r="I27" s="27">
        <v>1.1900000000000002</v>
      </c>
      <c r="J27" s="46">
        <f t="shared" si="13"/>
        <v>1129423.6407113648</v>
      </c>
      <c r="M27" s="17"/>
      <c r="N27" s="79"/>
      <c r="O27" s="20">
        <f t="shared" si="14"/>
        <v>41790</v>
      </c>
      <c r="P27" s="78">
        <f t="shared" si="37"/>
        <v>1.595170383023198</v>
      </c>
      <c r="Q27" s="46">
        <f t="shared" si="15"/>
        <v>1132791.8686040437</v>
      </c>
      <c r="R27" s="8"/>
      <c r="T27" s="39"/>
      <c r="U27" s="20">
        <f t="shared" si="16"/>
        <v>41790</v>
      </c>
      <c r="V27" s="27">
        <v>1.1199999999999999</v>
      </c>
      <c r="W27" s="46">
        <f t="shared" si="17"/>
        <v>1108410.5922857646</v>
      </c>
      <c r="Z27" s="17"/>
      <c r="AA27" s="79"/>
      <c r="AB27" s="20">
        <f t="shared" si="18"/>
        <v>41790</v>
      </c>
      <c r="AC27" s="78">
        <f t="shared" si="38"/>
        <v>1.4297734161610947</v>
      </c>
      <c r="AD27" s="46">
        <f t="shared" si="19"/>
        <v>1108765.313044155</v>
      </c>
      <c r="AE27" s="7"/>
      <c r="AG27" s="44"/>
      <c r="AH27" s="20">
        <f t="shared" si="20"/>
        <v>41790</v>
      </c>
      <c r="AI27" s="27">
        <v>1.03</v>
      </c>
      <c r="AJ27" s="46">
        <f t="shared" si="21"/>
        <v>1081189.8701139025</v>
      </c>
      <c r="AM27" s="17"/>
      <c r="AN27" s="79"/>
      <c r="AO27" s="20">
        <f t="shared" si="22"/>
        <v>41790</v>
      </c>
      <c r="AP27" s="78">
        <f t="shared" si="39"/>
        <v>1.4228234681133265</v>
      </c>
      <c r="AQ27" s="46">
        <f t="shared" si="23"/>
        <v>1094127.6259168161</v>
      </c>
      <c r="AR27" s="7"/>
      <c r="AT27" s="39"/>
      <c r="AU27" s="20">
        <f t="shared" si="24"/>
        <v>41790</v>
      </c>
      <c r="AV27" s="27"/>
      <c r="AW27" s="46">
        <f t="shared" si="25"/>
        <v>1000000</v>
      </c>
      <c r="AX27" s="3"/>
      <c r="AZ27" s="17"/>
      <c r="BA27" s="79"/>
      <c r="BB27" s="20">
        <f t="shared" si="26"/>
        <v>41790</v>
      </c>
      <c r="BC27" s="78">
        <f t="shared" si="41"/>
        <v>1.1331484620935219</v>
      </c>
      <c r="BD27" s="46">
        <f t="shared" si="27"/>
        <v>1046114.0311037267</v>
      </c>
      <c r="BE27" s="7"/>
      <c r="BG27" s="39"/>
      <c r="BH27" s="20">
        <f t="shared" si="28"/>
        <v>41790</v>
      </c>
      <c r="BI27" s="27"/>
      <c r="BJ27" s="46">
        <f t="shared" si="29"/>
        <v>1000000</v>
      </c>
      <c r="BK27" s="3"/>
      <c r="BM27" s="17"/>
      <c r="BN27" s="79"/>
      <c r="BO27" s="20">
        <f t="shared" si="30"/>
        <v>41790</v>
      </c>
      <c r="BP27" s="78"/>
      <c r="BQ27" s="46">
        <f t="shared" si="31"/>
        <v>1000000</v>
      </c>
      <c r="BR27" s="7"/>
      <c r="BV27" s="39"/>
      <c r="BW27" s="20">
        <f t="shared" si="32"/>
        <v>41790</v>
      </c>
      <c r="BX27" s="27">
        <v>0.96</v>
      </c>
      <c r="BY27" s="46">
        <f t="shared" si="33"/>
        <v>1078311.9805247192</v>
      </c>
      <c r="BZ27" s="3"/>
      <c r="CB27" s="17"/>
      <c r="CC27" s="79"/>
      <c r="CD27" s="20">
        <f t="shared" si="34"/>
        <v>41790</v>
      </c>
      <c r="CE27" s="78">
        <f t="shared" si="40"/>
        <v>1.2574265012512233</v>
      </c>
      <c r="CF27" s="46">
        <f t="shared" si="35"/>
        <v>1079560.3109166098</v>
      </c>
      <c r="CG27" s="7"/>
      <c r="CI27" s="39"/>
    </row>
    <row r="28" spans="1:87" x14ac:dyDescent="0.25">
      <c r="A28" s="20">
        <v>41820</v>
      </c>
      <c r="B28" s="24">
        <f t="shared" si="36"/>
        <v>13</v>
      </c>
      <c r="C28" s="301">
        <f>'LC (Gross)'!K190</f>
        <v>2.0658252562913795</v>
      </c>
      <c r="D28" s="301">
        <f>ITL!K130</f>
        <v>1.7121306414434068</v>
      </c>
      <c r="E28" s="301">
        <v>5.1677383952309086E-2</v>
      </c>
      <c r="F28" s="301">
        <v>0</v>
      </c>
      <c r="G28" s="39"/>
      <c r="H28" s="20">
        <f t="shared" si="12"/>
        <v>41820</v>
      </c>
      <c r="I28" s="27">
        <v>1.1599999999999999</v>
      </c>
      <c r="J28" s="46">
        <f t="shared" si="13"/>
        <v>1142524.9549436166</v>
      </c>
      <c r="K28" s="54"/>
      <c r="L28" s="49">
        <f>(J28/J25-1)*100</f>
        <v>3.2646054751999998</v>
      </c>
      <c r="M28" s="17"/>
      <c r="N28" s="79"/>
      <c r="O28" s="20">
        <f t="shared" si="14"/>
        <v>41820</v>
      </c>
      <c r="P28" s="78">
        <f t="shared" si="37"/>
        <v>1.3930234871767697</v>
      </c>
      <c r="Q28" s="46">
        <f t="shared" si="15"/>
        <v>1148571.9253945267</v>
      </c>
      <c r="R28" s="8"/>
      <c r="S28" s="5">
        <f>(Q28/Q25-1)*100</f>
        <v>3.6411377489887098</v>
      </c>
      <c r="T28" s="39"/>
      <c r="U28" s="20">
        <f t="shared" si="16"/>
        <v>41820</v>
      </c>
      <c r="V28" s="27">
        <v>0.97</v>
      </c>
      <c r="W28" s="46">
        <f t="shared" si="17"/>
        <v>1119162.1750309365</v>
      </c>
      <c r="X28" s="54"/>
      <c r="Y28" s="49">
        <f>(W28/W25-1)*100</f>
        <v>2.9483011711999962</v>
      </c>
      <c r="Z28" s="17"/>
      <c r="AA28" s="79"/>
      <c r="AB28" s="20">
        <f t="shared" si="18"/>
        <v>41820</v>
      </c>
      <c r="AC28" s="78">
        <f t="shared" si="38"/>
        <v>1.1085860370683078</v>
      </c>
      <c r="AD28" s="46">
        <f t="shared" si="19"/>
        <v>1121056.9304884193</v>
      </c>
      <c r="AE28" s="7"/>
      <c r="AF28" s="49">
        <f>(AD28/AD25-1)*100</f>
        <v>3.1657910549522272</v>
      </c>
      <c r="AG28" s="44"/>
      <c r="AH28" s="20">
        <f t="shared" si="20"/>
        <v>41820</v>
      </c>
      <c r="AI28" s="27">
        <v>0.74</v>
      </c>
      <c r="AJ28" s="46">
        <f t="shared" si="21"/>
        <v>1089190.6751527453</v>
      </c>
      <c r="AK28" s="54"/>
      <c r="AL28" s="49">
        <f>(AJ28/AJ25-1)*100</f>
        <v>2.5307764027999946</v>
      </c>
      <c r="AM28" s="17"/>
      <c r="AN28" s="79"/>
      <c r="AO28" s="20">
        <f t="shared" si="22"/>
        <v>41820</v>
      </c>
      <c r="AP28" s="78">
        <f t="shared" si="39"/>
        <v>0.91233898822963166</v>
      </c>
      <c r="AQ28" s="46">
        <f t="shared" si="23"/>
        <v>1104109.7788290465</v>
      </c>
      <c r="AR28" s="7"/>
      <c r="AS28" s="5">
        <f>(AQ28/AQ25-1)*100</f>
        <v>3.0556005679776899</v>
      </c>
      <c r="AT28" s="39"/>
      <c r="AU28" s="20">
        <f t="shared" si="24"/>
        <v>41820</v>
      </c>
      <c r="AV28" s="27"/>
      <c r="AW28" s="46">
        <f t="shared" si="25"/>
        <v>1000000</v>
      </c>
      <c r="AX28" s="4"/>
      <c r="AY28" s="49"/>
      <c r="AZ28" s="17"/>
      <c r="BA28" s="79"/>
      <c r="BB28" s="20">
        <f t="shared" si="26"/>
        <v>41820</v>
      </c>
      <c r="BC28" s="78">
        <f t="shared" si="41"/>
        <v>0.32836322646792471</v>
      </c>
      <c r="BD28" s="46">
        <f t="shared" si="27"/>
        <v>1049549.0848887926</v>
      </c>
      <c r="BE28" s="7"/>
      <c r="BF28" s="49">
        <f>(BD28/BD25-1)*100</f>
        <v>2.2091910640339885</v>
      </c>
      <c r="BG28" s="39"/>
      <c r="BH28" s="20">
        <f t="shared" si="28"/>
        <v>41820</v>
      </c>
      <c r="BI28" s="27"/>
      <c r="BJ28" s="46">
        <f t="shared" si="29"/>
        <v>1000000</v>
      </c>
      <c r="BK28" s="4"/>
      <c r="BL28" s="49"/>
      <c r="BM28" s="17"/>
      <c r="BN28" s="79"/>
      <c r="BO28" s="20">
        <f t="shared" si="30"/>
        <v>41820</v>
      </c>
      <c r="BP28" s="78"/>
      <c r="BQ28" s="46">
        <f t="shared" si="31"/>
        <v>1000000</v>
      </c>
      <c r="BR28" s="7"/>
      <c r="BS28" s="49">
        <f>(BQ28/BQ25-1)*100</f>
        <v>0</v>
      </c>
      <c r="BV28" s="39"/>
      <c r="BW28" s="20">
        <f t="shared" si="32"/>
        <v>41820</v>
      </c>
      <c r="BX28" s="27">
        <v>0.5</v>
      </c>
      <c r="BY28" s="46">
        <f t="shared" si="33"/>
        <v>1083703.5404273428</v>
      </c>
      <c r="BZ28" s="4"/>
      <c r="CA28" s="49">
        <f>(BY28/BY25-1)*100</f>
        <v>2.0938817599999826</v>
      </c>
      <c r="CB28" s="17"/>
      <c r="CC28" s="79"/>
      <c r="CD28" s="20">
        <f t="shared" si="34"/>
        <v>41820</v>
      </c>
      <c r="CE28" s="78">
        <f t="shared" si="40"/>
        <v>0.62790153812116978</v>
      </c>
      <c r="CF28" s="46">
        <f t="shared" si="35"/>
        <v>1086338.886713801</v>
      </c>
      <c r="CG28" s="7"/>
      <c r="CH28" s="49">
        <f>(CF28/CF25-1)*100</f>
        <v>2.5812932729082805</v>
      </c>
      <c r="CI28" s="39"/>
    </row>
    <row r="29" spans="1:87" x14ac:dyDescent="0.25">
      <c r="A29" s="20">
        <v>41851</v>
      </c>
      <c r="B29" s="24">
        <f t="shared" si="36"/>
        <v>14</v>
      </c>
      <c r="C29" s="301">
        <f>'LC (Gross)'!K191</f>
        <v>-1.379228117077598</v>
      </c>
      <c r="D29" s="301">
        <f>ITL!K131</f>
        <v>-0.95310724515041867</v>
      </c>
      <c r="E29" s="301">
        <v>-0.25079872204473036</v>
      </c>
      <c r="F29" s="301">
        <v>0</v>
      </c>
      <c r="G29" s="39"/>
      <c r="H29" s="20">
        <f t="shared" si="12"/>
        <v>41851</v>
      </c>
      <c r="I29" s="27">
        <v>-0.97</v>
      </c>
      <c r="J29" s="46">
        <f t="shared" si="13"/>
        <v>1131442.4628806636</v>
      </c>
      <c r="M29" s="17"/>
      <c r="N29" s="79"/>
      <c r="O29" s="20">
        <f t="shared" si="14"/>
        <v>41851</v>
      </c>
      <c r="P29" s="78">
        <f t="shared" si="37"/>
        <v>-0.90154155116524182</v>
      </c>
      <c r="Q29" s="46">
        <f t="shared" si="15"/>
        <v>1138217.0722420763</v>
      </c>
      <c r="R29" s="8"/>
      <c r="T29" s="39"/>
      <c r="U29" s="20">
        <f t="shared" si="16"/>
        <v>41851</v>
      </c>
      <c r="V29" s="27">
        <v>-0.85</v>
      </c>
      <c r="W29" s="46">
        <f t="shared" si="17"/>
        <v>1109649.2965431735</v>
      </c>
      <c r="Z29" s="17"/>
      <c r="AA29" s="79"/>
      <c r="AB29" s="20">
        <f t="shared" si="18"/>
        <v>41851</v>
      </c>
      <c r="AC29" s="78">
        <f t="shared" si="38"/>
        <v>-0.75358318550667047</v>
      </c>
      <c r="AD29" s="46">
        <f t="shared" si="19"/>
        <v>1112608.8339603012</v>
      </c>
      <c r="AE29" s="7"/>
      <c r="AG29" s="44"/>
      <c r="AH29" s="20">
        <f t="shared" si="20"/>
        <v>41851</v>
      </c>
      <c r="AI29" s="27">
        <v>-0.72</v>
      </c>
      <c r="AJ29" s="46">
        <f t="shared" si="21"/>
        <v>1081348.5022916456</v>
      </c>
      <c r="AM29" s="17"/>
      <c r="AN29" s="79"/>
      <c r="AO29" s="20">
        <f t="shared" si="22"/>
        <v>41851</v>
      </c>
      <c r="AP29" s="78">
        <f t="shared" si="39"/>
        <v>-0.6658201182078568</v>
      </c>
      <c r="AQ29" s="46">
        <f t="shared" si="23"/>
        <v>1096758.3937945024</v>
      </c>
      <c r="AR29" s="7"/>
      <c r="AT29" s="39"/>
      <c r="AU29" s="20">
        <f t="shared" si="24"/>
        <v>41851</v>
      </c>
      <c r="AV29" s="27"/>
      <c r="AW29" s="46">
        <f t="shared" si="25"/>
        <v>1000000</v>
      </c>
      <c r="AX29" s="3"/>
      <c r="AZ29" s="17"/>
      <c r="BA29" s="79"/>
      <c r="BB29" s="20">
        <f t="shared" si="26"/>
        <v>41851</v>
      </c>
      <c r="BC29" s="78">
        <f t="shared" si="41"/>
        <v>-0.36113727939659196</v>
      </c>
      <c r="BD29" s="46">
        <f t="shared" si="27"/>
        <v>1045758.7718776934</v>
      </c>
      <c r="BE29" s="7"/>
      <c r="BG29" s="39"/>
      <c r="BH29" s="20">
        <f t="shared" si="28"/>
        <v>41851</v>
      </c>
      <c r="BI29" s="27"/>
      <c r="BJ29" s="46">
        <f t="shared" si="29"/>
        <v>1000000</v>
      </c>
      <c r="BK29" s="3"/>
      <c r="BM29" s="17"/>
      <c r="BN29" s="79"/>
      <c r="BO29" s="20">
        <f t="shared" si="30"/>
        <v>41851</v>
      </c>
      <c r="BP29" s="78"/>
      <c r="BQ29" s="46">
        <f t="shared" si="31"/>
        <v>1000000</v>
      </c>
      <c r="BR29" s="7"/>
      <c r="BV29" s="39"/>
      <c r="BW29" s="20">
        <f t="shared" si="32"/>
        <v>41851</v>
      </c>
      <c r="BX29" s="27">
        <v>-0.57000000000000006</v>
      </c>
      <c r="BY29" s="46">
        <f t="shared" si="33"/>
        <v>1077526.4302469068</v>
      </c>
      <c r="BZ29" s="3"/>
      <c r="CB29" s="17"/>
      <c r="CC29" s="79"/>
      <c r="CD29" s="20">
        <f t="shared" si="34"/>
        <v>41851</v>
      </c>
      <c r="CE29" s="78">
        <f t="shared" si="40"/>
        <v>-0.51786175254928557</v>
      </c>
      <c r="CF29" s="46">
        <f t="shared" si="35"/>
        <v>1080713.1531164404</v>
      </c>
      <c r="CG29" s="7"/>
      <c r="CI29" s="39"/>
    </row>
    <row r="30" spans="1:87" x14ac:dyDescent="0.25">
      <c r="A30" s="20">
        <v>41882</v>
      </c>
      <c r="B30" s="24">
        <f t="shared" si="36"/>
        <v>15</v>
      </c>
      <c r="C30" s="301">
        <f>'LC (Gross)'!K192</f>
        <v>4.0001307171931559</v>
      </c>
      <c r="D30" s="301">
        <f>ITL!K132</f>
        <v>0.59022358101033001</v>
      </c>
      <c r="E30" s="301">
        <v>1.1039401267289135</v>
      </c>
      <c r="F30" s="301">
        <v>0</v>
      </c>
      <c r="G30" s="39"/>
      <c r="H30" s="20">
        <f t="shared" si="12"/>
        <v>41882</v>
      </c>
      <c r="I30" s="27">
        <v>3.03</v>
      </c>
      <c r="J30" s="46">
        <f t="shared" si="13"/>
        <v>1165725.1695059477</v>
      </c>
      <c r="K30" s="54"/>
      <c r="M30" s="17"/>
      <c r="N30" s="79"/>
      <c r="O30" s="20">
        <f t="shared" si="14"/>
        <v>41882</v>
      </c>
      <c r="P30" s="78">
        <f t="shared" si="37"/>
        <v>2.2886054316077855</v>
      </c>
      <c r="Q30" s="46">
        <f t="shared" si="15"/>
        <v>1164266.3699808957</v>
      </c>
      <c r="R30" s="8"/>
      <c r="T30" s="39"/>
      <c r="U30" s="20">
        <f t="shared" si="16"/>
        <v>41882</v>
      </c>
      <c r="V30" s="27">
        <v>2.67</v>
      </c>
      <c r="W30" s="46">
        <f t="shared" si="17"/>
        <v>1139276.9327608761</v>
      </c>
      <c r="X30" s="54"/>
      <c r="Z30" s="17"/>
      <c r="AA30" s="79"/>
      <c r="AB30" s="20">
        <f t="shared" si="18"/>
        <v>41882</v>
      </c>
      <c r="AC30" s="78">
        <f t="shared" si="38"/>
        <v>2.0246721998472901</v>
      </c>
      <c r="AD30" s="46">
        <f t="shared" si="19"/>
        <v>1135135.5157145406</v>
      </c>
      <c r="AE30" s="7"/>
      <c r="AG30" s="44"/>
      <c r="AH30" s="20">
        <f t="shared" si="20"/>
        <v>41882</v>
      </c>
      <c r="AI30" s="27">
        <v>2.2399999999999998</v>
      </c>
      <c r="AJ30" s="46">
        <f t="shared" si="21"/>
        <v>1105570.7087429785</v>
      </c>
      <c r="AK30" s="54"/>
      <c r="AM30" s="17"/>
      <c r="AN30" s="79"/>
      <c r="AO30" s="20">
        <f t="shared" si="22"/>
        <v>41882</v>
      </c>
      <c r="AP30" s="78">
        <f t="shared" si="39"/>
        <v>1.8454471534737573</v>
      </c>
      <c r="AQ30" s="46">
        <f t="shared" si="23"/>
        <v>1116998.4903532674</v>
      </c>
      <c r="AR30" s="7"/>
      <c r="AT30" s="39"/>
      <c r="AU30" s="20">
        <f t="shared" si="24"/>
        <v>41882</v>
      </c>
      <c r="AV30" s="27"/>
      <c r="AW30" s="46">
        <f t="shared" si="25"/>
        <v>1000000</v>
      </c>
      <c r="AX30" s="4"/>
      <c r="AZ30" s="17"/>
      <c r="BA30" s="79"/>
      <c r="BB30" s="20">
        <f t="shared" si="26"/>
        <v>41882</v>
      </c>
      <c r="BC30" s="78">
        <f t="shared" si="41"/>
        <v>1.2022823394800715</v>
      </c>
      <c r="BD30" s="46">
        <f t="shared" si="27"/>
        <v>1058331.7449055426</v>
      </c>
      <c r="BE30" s="7"/>
      <c r="BG30" s="39"/>
      <c r="BH30" s="20">
        <f t="shared" si="28"/>
        <v>41882</v>
      </c>
      <c r="BI30" s="27"/>
      <c r="BJ30" s="46">
        <f t="shared" si="29"/>
        <v>1000000</v>
      </c>
      <c r="BK30" s="4"/>
      <c r="BM30" s="17"/>
      <c r="BN30" s="79"/>
      <c r="BO30" s="20">
        <f t="shared" si="30"/>
        <v>41882</v>
      </c>
      <c r="BP30" s="78"/>
      <c r="BQ30" s="46">
        <f t="shared" si="31"/>
        <v>1000000</v>
      </c>
      <c r="BR30" s="7"/>
      <c r="BV30" s="39"/>
      <c r="BW30" s="20">
        <f t="shared" si="32"/>
        <v>41882</v>
      </c>
      <c r="BX30" s="27">
        <v>1.77</v>
      </c>
      <c r="BY30" s="46">
        <f t="shared" si="33"/>
        <v>1096598.6480622771</v>
      </c>
      <c r="BZ30" s="4"/>
      <c r="CB30" s="17"/>
      <c r="CC30" s="79"/>
      <c r="CD30" s="20">
        <f t="shared" si="34"/>
        <v>41882</v>
      </c>
      <c r="CE30" s="78">
        <f t="shared" si="40"/>
        <v>1.5815139217132623</v>
      </c>
      <c r="CF30" s="46">
        <f t="shared" si="35"/>
        <v>1097804.7820867633</v>
      </c>
      <c r="CG30" s="7"/>
      <c r="CI30" s="39"/>
    </row>
    <row r="31" spans="1:87" x14ac:dyDescent="0.25">
      <c r="A31" s="20">
        <v>41912</v>
      </c>
      <c r="B31" s="24">
        <f t="shared" si="36"/>
        <v>16</v>
      </c>
      <c r="C31" s="301">
        <f>'LC (Gross)'!K193</f>
        <v>-1.4020945270779435</v>
      </c>
      <c r="D31" s="301">
        <f>ITL!K133</f>
        <v>-4.7938175789077544</v>
      </c>
      <c r="E31" s="301">
        <v>-0.6789970274080438</v>
      </c>
      <c r="F31" s="301">
        <v>0</v>
      </c>
      <c r="G31" s="39"/>
      <c r="H31" s="20">
        <f t="shared" si="12"/>
        <v>41912</v>
      </c>
      <c r="I31" s="27">
        <v>-1.93</v>
      </c>
      <c r="J31" s="46">
        <f t="shared" si="13"/>
        <v>1143226.6737344828</v>
      </c>
      <c r="K31" s="6"/>
      <c r="L31" s="49">
        <f>(J31/J28-1)*100</f>
        <v>6.1418246299993484E-2</v>
      </c>
      <c r="M31" s="17"/>
      <c r="N31" s="79"/>
      <c r="O31" s="20">
        <f t="shared" si="14"/>
        <v>41912</v>
      </c>
      <c r="P31" s="78">
        <f t="shared" si="37"/>
        <v>-1.4902246267290322</v>
      </c>
      <c r="Q31" s="46">
        <f t="shared" si="15"/>
        <v>1146916.1858147162</v>
      </c>
      <c r="R31" s="8"/>
      <c r="S31" s="5">
        <f>(Q31/Q28-1)*100</f>
        <v>-0.14415636872212589</v>
      </c>
      <c r="T31" s="39"/>
      <c r="U31" s="20">
        <f t="shared" si="16"/>
        <v>41912</v>
      </c>
      <c r="V31" s="27">
        <v>-1.8</v>
      </c>
      <c r="W31" s="46">
        <f t="shared" si="17"/>
        <v>1118769.9479711803</v>
      </c>
      <c r="X31" s="49"/>
      <c r="Y31" s="49">
        <f>(W31/W28-1)*100</f>
        <v>-3.5046490000012476E-2</v>
      </c>
      <c r="Z31" s="17"/>
      <c r="AA31" s="79"/>
      <c r="AB31" s="20">
        <f t="shared" si="18"/>
        <v>41912</v>
      </c>
      <c r="AC31" s="78">
        <f t="shared" si="38"/>
        <v>-1.2121738491870566</v>
      </c>
      <c r="AD31" s="46">
        <f t="shared" si="19"/>
        <v>1121375.6998402143</v>
      </c>
      <c r="AE31" s="7"/>
      <c r="AF31" s="49">
        <f>(AD31/AD28-1)*100</f>
        <v>2.8434715769187768E-2</v>
      </c>
      <c r="AG31" s="44"/>
      <c r="AH31" s="20">
        <f t="shared" si="20"/>
        <v>41912</v>
      </c>
      <c r="AI31" s="27">
        <v>-1.66</v>
      </c>
      <c r="AJ31" s="46">
        <f t="shared" si="21"/>
        <v>1087218.2349778451</v>
      </c>
      <c r="AK31" s="49"/>
      <c r="AL31" s="49">
        <f>(AJ31/AJ28-1)*100</f>
        <v>-0.18109227519998994</v>
      </c>
      <c r="AM31" s="17"/>
      <c r="AN31" s="79"/>
      <c r="AO31" s="20">
        <f t="shared" si="22"/>
        <v>41912</v>
      </c>
      <c r="AP31" s="78">
        <f t="shared" si="39"/>
        <v>-1.207763801960871</v>
      </c>
      <c r="AQ31" s="46">
        <f t="shared" si="23"/>
        <v>1103507.7869183312</v>
      </c>
      <c r="AR31" s="7"/>
      <c r="AS31" s="49">
        <f>(AQ31/AQ28-1)*100</f>
        <v>-5.4522831176606612E-2</v>
      </c>
      <c r="AT31" s="39"/>
      <c r="AU31" s="20">
        <f t="shared" si="24"/>
        <v>41912</v>
      </c>
      <c r="AV31" s="27"/>
      <c r="AW31" s="46">
        <f t="shared" si="25"/>
        <v>1000000</v>
      </c>
      <c r="AX31" s="6"/>
      <c r="AY31" s="49"/>
      <c r="AZ31" s="17"/>
      <c r="BA31" s="79"/>
      <c r="BB31" s="20">
        <f t="shared" si="26"/>
        <v>41912</v>
      </c>
      <c r="BC31" s="78">
        <f t="shared" si="41"/>
        <v>-0.85519825083881273</v>
      </c>
      <c r="BD31" s="46">
        <f t="shared" si="27"/>
        <v>1049280.9103350386</v>
      </c>
      <c r="BE31" s="7"/>
      <c r="BF31" s="49">
        <f>(BD31/BD28-1)*100</f>
        <v>-2.5551406562607237E-2</v>
      </c>
      <c r="BG31" s="39"/>
      <c r="BH31" s="20">
        <f t="shared" si="28"/>
        <v>41912</v>
      </c>
      <c r="BI31" s="27"/>
      <c r="BJ31" s="46">
        <f t="shared" si="29"/>
        <v>1000000</v>
      </c>
      <c r="BK31" s="6"/>
      <c r="BL31" s="49"/>
      <c r="BM31" s="17"/>
      <c r="BN31" s="79"/>
      <c r="BO31" s="20">
        <f t="shared" si="30"/>
        <v>41912</v>
      </c>
      <c r="BP31" s="78"/>
      <c r="BQ31" s="46">
        <f t="shared" si="31"/>
        <v>1000000</v>
      </c>
      <c r="BR31" s="7"/>
      <c r="BS31" s="49">
        <f>(BQ31/BQ28-1)*100</f>
        <v>0</v>
      </c>
      <c r="BV31" s="39"/>
      <c r="BW31" s="20">
        <f t="shared" si="32"/>
        <v>41912</v>
      </c>
      <c r="BX31" s="27">
        <v>-1.4000000000000001</v>
      </c>
      <c r="BY31" s="46">
        <f t="shared" si="33"/>
        <v>1081246.2669894053</v>
      </c>
      <c r="BZ31" s="6"/>
      <c r="CA31" s="49">
        <f>(BY31/BY28-1)*100</f>
        <v>-0.22674775400000069</v>
      </c>
      <c r="CB31" s="17"/>
      <c r="CC31" s="79"/>
      <c r="CD31" s="20">
        <f t="shared" si="34"/>
        <v>41912</v>
      </c>
      <c r="CE31" s="78">
        <f t="shared" si="40"/>
        <v>-0.92971302441889558</v>
      </c>
      <c r="CF31" s="46">
        <f t="shared" si="35"/>
        <v>1087598.3480450092</v>
      </c>
      <c r="CG31" s="7"/>
      <c r="CH31" s="49">
        <f>(CF31/CF28-1)*100</f>
        <v>0.11593632029671674</v>
      </c>
      <c r="CI31" s="39"/>
    </row>
    <row r="32" spans="1:87" x14ac:dyDescent="0.25">
      <c r="A32" s="20">
        <v>41943</v>
      </c>
      <c r="B32" s="24">
        <f t="shared" si="36"/>
        <v>17</v>
      </c>
      <c r="C32" s="301">
        <f>'LC (Gross)'!K194</f>
        <v>2.4420309995375749</v>
      </c>
      <c r="D32" s="301">
        <f>ITL!K134</f>
        <v>-0.9690362469771151</v>
      </c>
      <c r="E32" s="301">
        <v>0.98293029115788078</v>
      </c>
      <c r="F32" s="301">
        <v>0</v>
      </c>
      <c r="G32" s="39"/>
      <c r="H32" s="20">
        <f t="shared" si="12"/>
        <v>41943</v>
      </c>
      <c r="I32" s="27">
        <v>3.02</v>
      </c>
      <c r="J32" s="46">
        <f t="shared" si="13"/>
        <v>1177752.1192812643</v>
      </c>
      <c r="K32" s="6"/>
      <c r="L32" s="49"/>
      <c r="M32" s="17"/>
      <c r="N32" s="79"/>
      <c r="O32" s="20">
        <f t="shared" si="14"/>
        <v>41943</v>
      </c>
      <c r="P32" s="78">
        <f t="shared" si="37"/>
        <v>1.1977616126990991</v>
      </c>
      <c r="Q32" s="46">
        <f t="shared" si="15"/>
        <v>1160653.5076182375</v>
      </c>
      <c r="R32" s="49"/>
      <c r="T32" s="39"/>
      <c r="U32" s="20">
        <f t="shared" si="16"/>
        <v>41943</v>
      </c>
      <c r="V32" s="27">
        <v>2.65</v>
      </c>
      <c r="W32" s="46">
        <f t="shared" si="17"/>
        <v>1148417.3515924166</v>
      </c>
      <c r="X32" s="6"/>
      <c r="Y32" s="49"/>
      <c r="Z32" s="17"/>
      <c r="AA32" s="79"/>
      <c r="AB32" s="20">
        <f t="shared" si="18"/>
        <v>41943</v>
      </c>
      <c r="AC32" s="78">
        <f t="shared" si="38"/>
        <v>1.1494498687678794</v>
      </c>
      <c r="AD32" s="46">
        <f t="shared" si="19"/>
        <v>1134265.3513504225</v>
      </c>
      <c r="AE32" s="6"/>
      <c r="AG32" s="44"/>
      <c r="AH32" s="20">
        <f t="shared" si="20"/>
        <v>41943</v>
      </c>
      <c r="AI32" s="27">
        <v>2.2000000000000002</v>
      </c>
      <c r="AJ32" s="46">
        <f t="shared" si="21"/>
        <v>1111137.0361473577</v>
      </c>
      <c r="AK32" s="6"/>
      <c r="AL32" s="49"/>
      <c r="AM32" s="17"/>
      <c r="AN32" s="79"/>
      <c r="AO32" s="20">
        <f t="shared" si="22"/>
        <v>41943</v>
      </c>
      <c r="AP32" s="78">
        <f t="shared" si="39"/>
        <v>1.1018328270456978</v>
      </c>
      <c r="AQ32" s="46">
        <f t="shared" si="23"/>
        <v>1115666.5979636027</v>
      </c>
      <c r="AR32" s="6"/>
      <c r="AT32" s="39"/>
      <c r="AU32" s="20">
        <f t="shared" si="24"/>
        <v>41943</v>
      </c>
      <c r="AV32" s="27"/>
      <c r="AW32" s="46">
        <f t="shared" si="25"/>
        <v>1000000</v>
      </c>
      <c r="AX32" s="6"/>
      <c r="AY32" s="49"/>
      <c r="AZ32" s="17"/>
      <c r="BA32" s="79"/>
      <c r="BB32" s="20">
        <f t="shared" si="26"/>
        <v>41943</v>
      </c>
      <c r="BC32" s="78">
        <f t="shared" si="41"/>
        <v>0.88380249141541833</v>
      </c>
      <c r="BD32" s="46">
        <f t="shared" si="27"/>
        <v>1058554.4811625259</v>
      </c>
      <c r="BE32" s="6"/>
      <c r="BG32" s="39"/>
      <c r="BH32" s="20">
        <f t="shared" si="28"/>
        <v>41943</v>
      </c>
      <c r="BI32" s="27"/>
      <c r="BJ32" s="46">
        <f t="shared" si="29"/>
        <v>1000000</v>
      </c>
      <c r="BK32" s="6"/>
      <c r="BL32" s="49"/>
      <c r="BM32" s="17"/>
      <c r="BN32" s="79"/>
      <c r="BO32" s="20">
        <f t="shared" si="30"/>
        <v>41943</v>
      </c>
      <c r="BP32" s="78"/>
      <c r="BQ32" s="46">
        <f t="shared" si="31"/>
        <v>1000000</v>
      </c>
      <c r="BR32" s="6"/>
      <c r="BV32" s="39"/>
      <c r="BW32" s="20">
        <f t="shared" si="32"/>
        <v>41943</v>
      </c>
      <c r="BX32" s="27">
        <v>1.7500000000000002</v>
      </c>
      <c r="BY32" s="46">
        <f t="shared" si="33"/>
        <v>1100168.0766617199</v>
      </c>
      <c r="BZ32" s="6"/>
      <c r="CA32" s="49"/>
      <c r="CB32" s="17"/>
      <c r="CC32" s="79"/>
      <c r="CD32" s="20">
        <f t="shared" si="34"/>
        <v>41943</v>
      </c>
      <c r="CE32" s="78">
        <f t="shared" si="40"/>
        <v>1.0535210831144783</v>
      </c>
      <c r="CF32" s="46">
        <f t="shared" si="35"/>
        <v>1099056.4259412682</v>
      </c>
      <c r="CG32" s="6"/>
      <c r="CI32" s="39"/>
    </row>
    <row r="33" spans="1:87" x14ac:dyDescent="0.25">
      <c r="A33" s="20">
        <v>41973</v>
      </c>
      <c r="B33" s="24">
        <f t="shared" si="36"/>
        <v>18</v>
      </c>
      <c r="C33" s="301">
        <f>'LC (Gross)'!K195</f>
        <v>2.6882268432619147</v>
      </c>
      <c r="D33" s="301">
        <f>ITL!K135</f>
        <v>0.76242446015613374</v>
      </c>
      <c r="E33" s="301">
        <v>0.70962307854285211</v>
      </c>
      <c r="F33" s="301">
        <v>0</v>
      </c>
      <c r="G33" s="39"/>
      <c r="H33" s="20">
        <f t="shared" si="12"/>
        <v>41973</v>
      </c>
      <c r="I33" s="27">
        <v>3.2300000000000004</v>
      </c>
      <c r="J33" s="46">
        <f t="shared" si="13"/>
        <v>1215793.512734049</v>
      </c>
      <c r="K33" s="6"/>
      <c r="M33" s="17"/>
      <c r="N33" s="79"/>
      <c r="O33" s="20">
        <f t="shared" si="14"/>
        <v>41973</v>
      </c>
      <c r="P33" s="78">
        <f t="shared" si="37"/>
        <v>1.5928884328174733</v>
      </c>
      <c r="Q33" s="46">
        <f t="shared" si="15"/>
        <v>1179141.4230861787</v>
      </c>
      <c r="R33" s="6"/>
      <c r="S33" s="8"/>
      <c r="T33" s="39"/>
      <c r="U33" s="20">
        <f t="shared" si="16"/>
        <v>41973</v>
      </c>
      <c r="V33" s="27">
        <v>2.75</v>
      </c>
      <c r="W33" s="46">
        <f t="shared" si="17"/>
        <v>1179998.8287612081</v>
      </c>
      <c r="X33" s="6"/>
      <c r="Z33" s="17"/>
      <c r="AA33" s="79"/>
      <c r="AB33" s="20">
        <f t="shared" si="18"/>
        <v>41973</v>
      </c>
      <c r="AC33" s="78">
        <f t="shared" si="38"/>
        <v>1.392387987264903</v>
      </c>
      <c r="AD33" s="46">
        <f t="shared" si="19"/>
        <v>1150058.7258463339</v>
      </c>
      <c r="AE33" s="6"/>
      <c r="AF33" s="8"/>
      <c r="AG33" s="44"/>
      <c r="AH33" s="20">
        <f t="shared" si="20"/>
        <v>41973</v>
      </c>
      <c r="AI33" s="27">
        <v>2.1800000000000002</v>
      </c>
      <c r="AJ33" s="46">
        <f t="shared" si="21"/>
        <v>1135359.8235353702</v>
      </c>
      <c r="AK33" s="6"/>
      <c r="AM33" s="17"/>
      <c r="AN33" s="79"/>
      <c r="AO33" s="20">
        <f t="shared" si="22"/>
        <v>41973</v>
      </c>
      <c r="AP33" s="78">
        <f t="shared" si="39"/>
        <v>1.2654899186472819</v>
      </c>
      <c r="AQ33" s="46">
        <f t="shared" si="23"/>
        <v>1129785.2462865473</v>
      </c>
      <c r="AR33" s="6"/>
      <c r="AS33" s="8"/>
      <c r="AT33" s="39"/>
      <c r="AU33" s="20">
        <f t="shared" si="24"/>
        <v>41973</v>
      </c>
      <c r="AV33" s="27"/>
      <c r="AW33" s="46">
        <f t="shared" si="25"/>
        <v>1000000</v>
      </c>
      <c r="AX33" s="6"/>
      <c r="AZ33" s="17"/>
      <c r="BA33" s="79"/>
      <c r="BB33" s="20">
        <f t="shared" si="26"/>
        <v>41973</v>
      </c>
      <c r="BC33" s="78">
        <f t="shared" si="41"/>
        <v>0.80368006231399458</v>
      </c>
      <c r="BD33" s="46">
        <f t="shared" si="27"/>
        <v>1067061.8724763605</v>
      </c>
      <c r="BE33" s="6"/>
      <c r="BF33" s="8"/>
      <c r="BG33" s="39"/>
      <c r="BH33" s="20">
        <f t="shared" si="28"/>
        <v>41973</v>
      </c>
      <c r="BI33" s="27"/>
      <c r="BJ33" s="46">
        <f t="shared" si="29"/>
        <v>1000000</v>
      </c>
      <c r="BK33" s="6"/>
      <c r="BM33" s="17"/>
      <c r="BN33" s="79"/>
      <c r="BO33" s="20">
        <f t="shared" si="30"/>
        <v>41973</v>
      </c>
      <c r="BP33" s="78"/>
      <c r="BQ33" s="46">
        <f t="shared" si="31"/>
        <v>1000000</v>
      </c>
      <c r="BR33" s="6"/>
      <c r="BS33" s="8"/>
      <c r="BV33" s="39"/>
      <c r="BW33" s="20">
        <f t="shared" si="32"/>
        <v>41973</v>
      </c>
      <c r="BX33" s="27">
        <v>1.6199999999999999</v>
      </c>
      <c r="BY33" s="46">
        <f t="shared" si="33"/>
        <v>1117990.7995036398</v>
      </c>
      <c r="BZ33" s="6"/>
      <c r="CB33" s="17"/>
      <c r="CC33" s="79"/>
      <c r="CD33" s="20">
        <f t="shared" si="34"/>
        <v>41973</v>
      </c>
      <c r="CE33" s="78">
        <f t="shared" si="40"/>
        <v>1.0649894730947116</v>
      </c>
      <c r="CF33" s="46">
        <f t="shared" si="35"/>
        <v>1110761.2611809138</v>
      </c>
      <c r="CG33" s="6"/>
      <c r="CH33" s="8"/>
      <c r="CI33" s="39"/>
    </row>
    <row r="34" spans="1:87" x14ac:dyDescent="0.25">
      <c r="A34" s="20">
        <v>42004</v>
      </c>
      <c r="B34" s="24">
        <f t="shared" si="36"/>
        <v>19</v>
      </c>
      <c r="C34" s="301">
        <f>'LC (Gross)'!K196</f>
        <v>-0.25732260110186045</v>
      </c>
      <c r="D34" s="301">
        <f>ITL!K136</f>
        <v>-3.5495463760675476</v>
      </c>
      <c r="E34" s="301">
        <v>9.3566395550628498E-2</v>
      </c>
      <c r="F34" s="301">
        <v>0</v>
      </c>
      <c r="G34" s="39"/>
      <c r="H34" s="20">
        <f t="shared" si="12"/>
        <v>42004</v>
      </c>
      <c r="I34" s="27">
        <v>-0.01</v>
      </c>
      <c r="J34" s="46">
        <f t="shared" si="13"/>
        <v>1215671.9333827756</v>
      </c>
      <c r="K34" s="6">
        <f>(J34-J22)/J22*100</f>
        <v>11.626616556891014</v>
      </c>
      <c r="L34" s="49">
        <f>(J34/J31-1)*100</f>
        <v>6.3369112453999898</v>
      </c>
      <c r="M34" s="17"/>
      <c r="N34" s="79"/>
      <c r="O34" s="20">
        <f t="shared" si="14"/>
        <v>42004</v>
      </c>
      <c r="P34" s="78">
        <f t="shared" si="37"/>
        <v>-0.67395938701615532</v>
      </c>
      <c r="Q34" s="46">
        <f t="shared" si="15"/>
        <v>1171194.4887790936</v>
      </c>
      <c r="R34" s="6">
        <f>(Q34-Q22)/Q22*100</f>
        <v>6.871790054354121</v>
      </c>
      <c r="S34" s="5">
        <f>(Q34/Q31-1)*100</f>
        <v>2.1168332319881911</v>
      </c>
      <c r="T34" s="39"/>
      <c r="U34" s="20">
        <f t="shared" si="16"/>
        <v>42004</v>
      </c>
      <c r="V34" s="27">
        <v>-0.08</v>
      </c>
      <c r="W34" s="46">
        <f t="shared" si="17"/>
        <v>1179054.8296981992</v>
      </c>
      <c r="X34" s="6">
        <f>(W34-W22)/W22*100</f>
        <v>10.324939003641004</v>
      </c>
      <c r="Y34" s="49">
        <f>(W34/W31-1)*100</f>
        <v>5.3884967000000117</v>
      </c>
      <c r="Z34" s="17"/>
      <c r="AA34" s="79"/>
      <c r="AB34" s="20">
        <f t="shared" si="18"/>
        <v>42004</v>
      </c>
      <c r="AC34" s="78">
        <f t="shared" si="38"/>
        <v>-0.45671484876999768</v>
      </c>
      <c r="AD34" s="46">
        <f t="shared" si="19"/>
        <v>1144806.2368758186</v>
      </c>
      <c r="AE34" s="6">
        <f>(AD34-AD22)/AD22*100</f>
        <v>6.614789549497452</v>
      </c>
      <c r="AF34" s="49">
        <f>(AD34/AD31-1)*100</f>
        <v>2.0894457619282214</v>
      </c>
      <c r="AG34" s="44"/>
      <c r="AH34" s="20">
        <f t="shared" si="20"/>
        <v>42004</v>
      </c>
      <c r="AI34" s="27">
        <v>-0.13</v>
      </c>
      <c r="AJ34" s="46">
        <f t="shared" si="21"/>
        <v>1133883.8557647741</v>
      </c>
      <c r="AK34" s="6">
        <f>(AJ34-AJ22)/AJ22*100</f>
        <v>8.4794939355444487</v>
      </c>
      <c r="AL34" s="49">
        <f>(AJ34/AJ31-1)*100</f>
        <v>4.292203652000004</v>
      </c>
      <c r="AM34" s="17"/>
      <c r="AN34" s="79"/>
      <c r="AO34" s="20">
        <f t="shared" si="22"/>
        <v>42004</v>
      </c>
      <c r="AP34" s="78">
        <f t="shared" si="39"/>
        <v>-0.41226930954968594</v>
      </c>
      <c r="AQ34" s="46">
        <f t="shared" si="23"/>
        <v>1125127.4884522876</v>
      </c>
      <c r="AR34" s="6">
        <f>(AQ34-AQ22)/AQ22*100</f>
        <v>6.4794331816654855</v>
      </c>
      <c r="AS34" s="49">
        <f>(AQ34/AQ31-1)*100</f>
        <v>1.9591797892366314</v>
      </c>
      <c r="AT34" s="39"/>
      <c r="AU34" s="20">
        <f t="shared" si="24"/>
        <v>42004</v>
      </c>
      <c r="AV34" s="27"/>
      <c r="AW34" s="46">
        <f t="shared" si="25"/>
        <v>1000000</v>
      </c>
      <c r="AX34" s="6"/>
      <c r="AY34" s="49"/>
      <c r="AZ34" s="17"/>
      <c r="BA34" s="79"/>
      <c r="BB34" s="20">
        <f t="shared" si="26"/>
        <v>42004</v>
      </c>
      <c r="BC34" s="78">
        <f t="shared" si="41"/>
        <v>-0.13771310202812351</v>
      </c>
      <c r="BD34" s="46">
        <f t="shared" si="27"/>
        <v>1065592.3884712139</v>
      </c>
      <c r="BE34" s="6">
        <f>(BD34-BD22)/BD22*100</f>
        <v>5.360414158373632</v>
      </c>
      <c r="BF34" s="49">
        <f>(BD34/BD31-1)*100</f>
        <v>1.5545387298590008</v>
      </c>
      <c r="BG34" s="39"/>
      <c r="BH34" s="20">
        <f t="shared" si="28"/>
        <v>42004</v>
      </c>
      <c r="BI34" s="27"/>
      <c r="BJ34" s="46">
        <f t="shared" si="29"/>
        <v>1000000</v>
      </c>
      <c r="BK34" s="6"/>
      <c r="BL34" s="49"/>
      <c r="BM34" s="17"/>
      <c r="BN34" s="79"/>
      <c r="BO34" s="20">
        <f t="shared" si="30"/>
        <v>42004</v>
      </c>
      <c r="BP34" s="78"/>
      <c r="BQ34" s="46">
        <f t="shared" si="31"/>
        <v>1000000</v>
      </c>
      <c r="BR34" s="6">
        <f>(BQ34-BQ22)/BQ22*100</f>
        <v>0</v>
      </c>
      <c r="BS34" s="49">
        <f>(BQ34/BQ31-1)*100</f>
        <v>0</v>
      </c>
      <c r="BV34" s="39"/>
      <c r="BW34" s="20">
        <f t="shared" si="32"/>
        <v>42004</v>
      </c>
      <c r="BX34" s="27">
        <v>-0.13</v>
      </c>
      <c r="BY34" s="46">
        <f t="shared" si="33"/>
        <v>1116537.4114642851</v>
      </c>
      <c r="BZ34" s="6">
        <f>(BY34-BY22)/BY22*100</f>
        <v>6.9542810224873337</v>
      </c>
      <c r="CA34" s="49">
        <f>(BY34/BY31-1)*100</f>
        <v>3.2639321450000036</v>
      </c>
      <c r="CB34" s="17"/>
      <c r="CC34" s="79"/>
      <c r="CD34" s="20">
        <f t="shared" si="34"/>
        <v>42004</v>
      </c>
      <c r="CE34" s="78">
        <f t="shared" si="40"/>
        <v>-0.19502477130352824</v>
      </c>
      <c r="CF34" s="46">
        <f t="shared" si="35"/>
        <v>1108595.0015715675</v>
      </c>
      <c r="CG34" s="6">
        <f>(CF34-CF22)/CF22*100</f>
        <v>6.1988683579340975</v>
      </c>
      <c r="CH34" s="49">
        <f>(CF34/CF31-1)*100</f>
        <v>1.9305521716082463</v>
      </c>
      <c r="CI34" s="39"/>
    </row>
    <row r="35" spans="1:87" x14ac:dyDescent="0.25">
      <c r="A35" s="20">
        <v>42035</v>
      </c>
      <c r="B35" s="24">
        <f t="shared" si="36"/>
        <v>20</v>
      </c>
      <c r="C35" s="301">
        <f>'LC (Gross)'!K197</f>
        <v>-3.0018337485743869</v>
      </c>
      <c r="D35" s="301">
        <f>ITL!K137</f>
        <v>-0.12691123096401805</v>
      </c>
      <c r="E35" s="301">
        <v>2.0967480821152398</v>
      </c>
      <c r="F35" s="301">
        <v>0</v>
      </c>
      <c r="G35" s="39"/>
      <c r="H35" s="20">
        <f t="shared" si="12"/>
        <v>42035</v>
      </c>
      <c r="I35" s="27">
        <v>-0.28000000000000003</v>
      </c>
      <c r="J35" s="46">
        <f t="shared" si="13"/>
        <v>1212268.0519693037</v>
      </c>
      <c r="K35" s="3"/>
      <c r="M35" s="17"/>
      <c r="N35" s="79"/>
      <c r="O35" s="20">
        <f t="shared" si="14"/>
        <v>42035</v>
      </c>
      <c r="P35" s="78">
        <f t="shared" si="37"/>
        <v>-1.6700452463605155</v>
      </c>
      <c r="Q35" s="46">
        <f t="shared" si="15"/>
        <v>1151635.0108936019</v>
      </c>
      <c r="R35" s="18"/>
      <c r="S35" s="10"/>
      <c r="T35" s="39"/>
      <c r="U35" s="20">
        <f t="shared" si="16"/>
        <v>42035</v>
      </c>
      <c r="V35" s="27">
        <v>0.09</v>
      </c>
      <c r="W35" s="46">
        <f t="shared" si="17"/>
        <v>1180115.9790449275</v>
      </c>
      <c r="X35" s="3"/>
      <c r="Z35" s="17"/>
      <c r="AA35" s="79"/>
      <c r="AB35" s="20">
        <f t="shared" si="18"/>
        <v>42035</v>
      </c>
      <c r="AC35" s="78">
        <f t="shared" si="38"/>
        <v>-1.0490040976375901</v>
      </c>
      <c r="AD35" s="46">
        <f t="shared" si="19"/>
        <v>1132797.1725409806</v>
      </c>
      <c r="AE35" s="14"/>
      <c r="AF35" s="10"/>
      <c r="AG35" s="44"/>
      <c r="AH35" s="20">
        <f t="shared" si="20"/>
        <v>42035</v>
      </c>
      <c r="AI35" s="27">
        <v>0.49</v>
      </c>
      <c r="AJ35" s="46">
        <f t="shared" si="21"/>
        <v>1139439.8866580215</v>
      </c>
      <c r="AK35" s="3"/>
      <c r="AM35" s="17"/>
      <c r="AN35" s="79"/>
      <c r="AO35" s="20">
        <f t="shared" si="22"/>
        <v>42035</v>
      </c>
      <c r="AP35" s="78">
        <f t="shared" si="39"/>
        <v>-0.32947110635710308</v>
      </c>
      <c r="AQ35" s="46">
        <f t="shared" si="23"/>
        <v>1121420.518468156</v>
      </c>
      <c r="AR35" s="14"/>
      <c r="AS35" s="10"/>
      <c r="AT35" s="39"/>
      <c r="AU35" s="20">
        <f t="shared" si="24"/>
        <v>42035</v>
      </c>
      <c r="AV35" s="27"/>
      <c r="AW35" s="46">
        <f t="shared" si="25"/>
        <v>1000000</v>
      </c>
      <c r="AX35" s="3"/>
      <c r="AZ35" s="17"/>
      <c r="BA35" s="79"/>
      <c r="BB35" s="20">
        <f t="shared" si="26"/>
        <v>42035</v>
      </c>
      <c r="BC35" s="78">
        <f t="shared" si="41"/>
        <v>1.1611947210750282</v>
      </c>
      <c r="BD35" s="46">
        <f t="shared" si="27"/>
        <v>1077965.9910343189</v>
      </c>
      <c r="BE35" s="14"/>
      <c r="BF35" s="10"/>
      <c r="BG35" s="39"/>
      <c r="BH35" s="20">
        <f t="shared" si="28"/>
        <v>42035</v>
      </c>
      <c r="BI35" s="27"/>
      <c r="BJ35" s="46">
        <f t="shared" si="29"/>
        <v>1000000</v>
      </c>
      <c r="BK35" s="3"/>
      <c r="BM35" s="17"/>
      <c r="BN35" s="79"/>
      <c r="BO35" s="20">
        <f t="shared" si="30"/>
        <v>42035</v>
      </c>
      <c r="BP35" s="78"/>
      <c r="BQ35" s="46">
        <f t="shared" si="31"/>
        <v>1000000</v>
      </c>
      <c r="BR35" s="14"/>
      <c r="BS35" s="10"/>
      <c r="BV35" s="39"/>
      <c r="BW35" s="20">
        <f t="shared" si="32"/>
        <v>42035</v>
      </c>
      <c r="BX35" s="27">
        <v>0.94000000000000006</v>
      </c>
      <c r="BY35" s="46">
        <f t="shared" si="33"/>
        <v>1127032.8631320493</v>
      </c>
      <c r="BZ35" s="3"/>
      <c r="CB35" s="17"/>
      <c r="CC35" s="79"/>
      <c r="CD35" s="20">
        <f t="shared" si="34"/>
        <v>42035</v>
      </c>
      <c r="CE35" s="78">
        <f t="shared" si="40"/>
        <v>0.29157004236582229</v>
      </c>
      <c r="CF35" s="46">
        <f t="shared" si="35"/>
        <v>1111827.3324873152</v>
      </c>
      <c r="CG35" s="14"/>
      <c r="CH35" s="10"/>
      <c r="CI35" s="39"/>
    </row>
    <row r="36" spans="1:87" x14ac:dyDescent="0.25">
      <c r="A36" s="20">
        <v>42063</v>
      </c>
      <c r="B36" s="24">
        <f t="shared" si="36"/>
        <v>21</v>
      </c>
      <c r="C36" s="301">
        <f>'LC (Gross)'!K198</f>
        <v>5.747011365533143</v>
      </c>
      <c r="D36" s="301">
        <f>ITL!K138</f>
        <v>5.366110795104845</v>
      </c>
      <c r="E36" s="301">
        <v>-0.94014383484567332</v>
      </c>
      <c r="F36" s="301">
        <v>0</v>
      </c>
      <c r="G36" s="39"/>
      <c r="H36" s="20">
        <f t="shared" si="12"/>
        <v>42063</v>
      </c>
      <c r="I36" s="27">
        <v>2.23</v>
      </c>
      <c r="J36" s="46">
        <f t="shared" si="13"/>
        <v>1239301.6295282191</v>
      </c>
      <c r="L36" s="54"/>
      <c r="M36" s="17"/>
      <c r="N36" s="79"/>
      <c r="O36" s="20">
        <f t="shared" si="14"/>
        <v>42063</v>
      </c>
      <c r="P36" s="78">
        <f t="shared" si="37"/>
        <v>3.9657728703089554</v>
      </c>
      <c r="Q36" s="46">
        <f t="shared" si="15"/>
        <v>1197306.2397206</v>
      </c>
      <c r="R36" s="18"/>
      <c r="S36" s="10"/>
      <c r="T36" s="39"/>
      <c r="U36" s="20">
        <f t="shared" si="16"/>
        <v>42063</v>
      </c>
      <c r="V36" s="27">
        <v>1.74</v>
      </c>
      <c r="W36" s="46">
        <f t="shared" si="17"/>
        <v>1200649.9970803093</v>
      </c>
      <c r="X36" s="3"/>
      <c r="Y36" s="54"/>
      <c r="Z36" s="17"/>
      <c r="AA36" s="79"/>
      <c r="AB36" s="20">
        <f t="shared" si="18"/>
        <v>42063</v>
      </c>
      <c r="AC36" s="78">
        <f t="shared" si="38"/>
        <v>2.9817446187735479</v>
      </c>
      <c r="AD36" s="46">
        <f t="shared" si="19"/>
        <v>1166574.2912748402</v>
      </c>
      <c r="AE36" s="14"/>
      <c r="AF36" s="10"/>
      <c r="AG36" s="44"/>
      <c r="AH36" s="20">
        <f t="shared" si="20"/>
        <v>42063</v>
      </c>
      <c r="AI36" s="27">
        <v>1.2</v>
      </c>
      <c r="AJ36" s="46">
        <f t="shared" si="21"/>
        <v>1153113.1652979178</v>
      </c>
      <c r="AK36" s="3"/>
      <c r="AL36" s="54"/>
      <c r="AM36" s="17"/>
      <c r="AN36" s="79"/>
      <c r="AO36" s="20">
        <f t="shared" si="22"/>
        <v>42063</v>
      </c>
      <c r="AP36" s="78">
        <f t="shared" si="39"/>
        <v>2.2190147152510988</v>
      </c>
      <c r="AQ36" s="46">
        <f t="shared" si="23"/>
        <v>1146305.0047928095</v>
      </c>
      <c r="AR36" s="14"/>
      <c r="AS36" s="10"/>
      <c r="AT36" s="39"/>
      <c r="AU36" s="20">
        <f t="shared" si="24"/>
        <v>42063</v>
      </c>
      <c r="AV36" s="27"/>
      <c r="AW36" s="46">
        <f t="shared" si="25"/>
        <v>1000000</v>
      </c>
      <c r="AX36" s="3"/>
      <c r="AY36" s="54"/>
      <c r="AZ36" s="17"/>
      <c r="BA36" s="79"/>
      <c r="BB36" s="20">
        <f t="shared" si="26"/>
        <v>42063</v>
      </c>
      <c r="BC36" s="78">
        <f t="shared" si="41"/>
        <v>0.1849059919165853</v>
      </c>
      <c r="BD36" s="46">
        <f t="shared" si="27"/>
        <v>1079959.2147425644</v>
      </c>
      <c r="BE36" s="14"/>
      <c r="BF36" s="10"/>
      <c r="BG36" s="39"/>
      <c r="BH36" s="20">
        <f t="shared" si="28"/>
        <v>42063</v>
      </c>
      <c r="BI36" s="27"/>
      <c r="BJ36" s="46">
        <f t="shared" si="29"/>
        <v>1000000</v>
      </c>
      <c r="BK36" s="3"/>
      <c r="BL36" s="54"/>
      <c r="BM36" s="17"/>
      <c r="BN36" s="79"/>
      <c r="BO36" s="20">
        <f t="shared" si="30"/>
        <v>42063</v>
      </c>
      <c r="BP36" s="78"/>
      <c r="BQ36" s="46">
        <f t="shared" si="31"/>
        <v>1000000</v>
      </c>
      <c r="BR36" s="14"/>
      <c r="BS36" s="10"/>
      <c r="BV36" s="39"/>
      <c r="BW36" s="20">
        <f t="shared" si="32"/>
        <v>42063</v>
      </c>
      <c r="BX36" s="27">
        <v>0.55000000000000004</v>
      </c>
      <c r="BY36" s="46">
        <f t="shared" si="33"/>
        <v>1133231.5438792757</v>
      </c>
      <c r="BZ36" s="3"/>
      <c r="CA36" s="54"/>
      <c r="CB36" s="17"/>
      <c r="CC36" s="79"/>
      <c r="CD36" s="20">
        <f t="shared" si="34"/>
        <v>42063</v>
      </c>
      <c r="CE36" s="78">
        <f t="shared" si="40"/>
        <v>1.2349864637156913</v>
      </c>
      <c r="CF36" s="46">
        <f t="shared" si="35"/>
        <v>1125558.2495434247</v>
      </c>
      <c r="CG36" s="14"/>
      <c r="CH36" s="10"/>
      <c r="CI36" s="39"/>
    </row>
    <row r="37" spans="1:87" x14ac:dyDescent="0.25">
      <c r="A37" s="20">
        <v>42094</v>
      </c>
      <c r="B37" s="24">
        <f t="shared" si="36"/>
        <v>22</v>
      </c>
      <c r="C37" s="301">
        <f>'LC (Gross)'!K199</f>
        <v>-1.5811659792919264</v>
      </c>
      <c r="D37" s="301">
        <f>ITL!K139</f>
        <v>-1.5147243624146067</v>
      </c>
      <c r="E37" s="301">
        <v>0.46420604758757478</v>
      </c>
      <c r="F37" s="301">
        <v>0</v>
      </c>
      <c r="G37" s="39"/>
      <c r="H37" s="20">
        <f t="shared" si="12"/>
        <v>42094</v>
      </c>
      <c r="I37" s="27">
        <v>-0.66</v>
      </c>
      <c r="J37" s="46">
        <f t="shared" si="13"/>
        <v>1231122.2387733329</v>
      </c>
      <c r="L37" s="49">
        <f>(J37/J34-1)*100</f>
        <v>1.2709272103999858</v>
      </c>
      <c r="M37" s="17"/>
      <c r="N37" s="79"/>
      <c r="O37" s="20">
        <f t="shared" si="14"/>
        <v>42094</v>
      </c>
      <c r="P37" s="78">
        <f t="shared" si="37"/>
        <v>-1.0968499429727505</v>
      </c>
      <c r="Q37" s="46">
        <f t="shared" si="15"/>
        <v>1184173.5869130155</v>
      </c>
      <c r="R37" s="18"/>
      <c r="S37" s="5">
        <f>(Q37/Q34-1)*100</f>
        <v>1.1081932384647608</v>
      </c>
      <c r="T37" s="39"/>
      <c r="U37" s="20">
        <f t="shared" si="16"/>
        <v>42094</v>
      </c>
      <c r="V37" s="27">
        <v>-0.55000000000000004</v>
      </c>
      <c r="W37" s="46">
        <f t="shared" si="17"/>
        <v>1194046.4220963677</v>
      </c>
      <c r="X37" s="3"/>
      <c r="Y37" s="49">
        <f>(W37/W34-1)*100</f>
        <v>1.2714923870000172</v>
      </c>
      <c r="Z37" s="17"/>
      <c r="AA37" s="79"/>
      <c r="AB37" s="20">
        <f t="shared" si="18"/>
        <v>42094</v>
      </c>
      <c r="AC37" s="78">
        <f t="shared" si="38"/>
        <v>-0.79336621978469135</v>
      </c>
      <c r="AD37" s="46">
        <f t="shared" si="19"/>
        <v>1157319.084919173</v>
      </c>
      <c r="AE37" s="14"/>
      <c r="AF37" s="49">
        <f>(AD37/AD34-1)*100</f>
        <v>1.093010121739213</v>
      </c>
      <c r="AG37" s="44"/>
      <c r="AH37" s="20">
        <f t="shared" si="20"/>
        <v>42094</v>
      </c>
      <c r="AI37" s="27">
        <v>-0.38</v>
      </c>
      <c r="AJ37" s="46">
        <f t="shared" si="21"/>
        <v>1148731.3352697857</v>
      </c>
      <c r="AK37" s="3"/>
      <c r="AL37" s="49">
        <f>(AJ37/AJ34-1)*100</f>
        <v>1.3094356559999909</v>
      </c>
      <c r="AM37" s="17"/>
      <c r="AN37" s="79"/>
      <c r="AO37" s="20">
        <f t="shared" si="22"/>
        <v>42094</v>
      </c>
      <c r="AP37" s="78">
        <f t="shared" si="39"/>
        <v>-0.54240841233798365</v>
      </c>
      <c r="AQ37" s="46">
        <f t="shared" si="23"/>
        <v>1140087.350015762</v>
      </c>
      <c r="AR37" s="14"/>
      <c r="AS37" s="49">
        <f>(AQ37/AQ34-1)*100</f>
        <v>1.3296147962799321</v>
      </c>
      <c r="AT37" s="39"/>
      <c r="AU37" s="20">
        <f t="shared" si="24"/>
        <v>42094</v>
      </c>
      <c r="AV37" s="27"/>
      <c r="AW37" s="46">
        <f t="shared" si="25"/>
        <v>1000000</v>
      </c>
      <c r="AX37" s="3"/>
      <c r="AY37" s="49"/>
      <c r="AZ37" s="17"/>
      <c r="BA37" s="79"/>
      <c r="BB37" s="20">
        <f t="shared" si="26"/>
        <v>42094</v>
      </c>
      <c r="BC37" s="78">
        <f t="shared" si="41"/>
        <v>9.109141726137937E-2</v>
      </c>
      <c r="BD37" s="46">
        <f t="shared" si="27"/>
        <v>1080942.9648971183</v>
      </c>
      <c r="BE37" s="14"/>
      <c r="BF37" s="49">
        <f>(BD37/BD34-1)*100</f>
        <v>1.4405673869280822</v>
      </c>
      <c r="BG37" s="39"/>
      <c r="BH37" s="20">
        <f t="shared" si="28"/>
        <v>42094</v>
      </c>
      <c r="BI37" s="27"/>
      <c r="BJ37" s="46">
        <f t="shared" si="29"/>
        <v>1000000</v>
      </c>
      <c r="BK37" s="3"/>
      <c r="BL37" s="49"/>
      <c r="BM37" s="17"/>
      <c r="BN37" s="79"/>
      <c r="BO37" s="20">
        <f t="shared" si="30"/>
        <v>42094</v>
      </c>
      <c r="BP37" s="78"/>
      <c r="BQ37" s="46">
        <f t="shared" si="31"/>
        <v>1000000</v>
      </c>
      <c r="BR37" s="14"/>
      <c r="BS37" s="49">
        <f>(BQ37/BQ34-1)*100</f>
        <v>0</v>
      </c>
      <c r="BV37" s="39"/>
      <c r="BW37" s="20">
        <f t="shared" si="32"/>
        <v>42094</v>
      </c>
      <c r="BX37" s="27">
        <v>-0.21</v>
      </c>
      <c r="BY37" s="46">
        <f t="shared" si="33"/>
        <v>1130851.7576371292</v>
      </c>
      <c r="BZ37" s="3"/>
      <c r="CA37" s="49">
        <f>(BY37/BY34-1)*100</f>
        <v>1.2820301429999903</v>
      </c>
      <c r="CB37" s="17"/>
      <c r="CC37" s="79"/>
      <c r="CD37" s="20">
        <f t="shared" si="34"/>
        <v>42094</v>
      </c>
      <c r="CE37" s="78">
        <f t="shared" si="40"/>
        <v>-0.23892468914992454</v>
      </c>
      <c r="CF37" s="46">
        <f t="shared" si="35"/>
        <v>1122869.0129945017</v>
      </c>
      <c r="CG37" s="14"/>
      <c r="CH37" s="49">
        <f>(CF37/CF34-1)*100</f>
        <v>1.2875767437792174</v>
      </c>
      <c r="CI37" s="39"/>
    </row>
    <row r="38" spans="1:87" x14ac:dyDescent="0.25">
      <c r="A38" s="20">
        <v>42124</v>
      </c>
      <c r="B38" s="24">
        <f t="shared" si="36"/>
        <v>23</v>
      </c>
      <c r="C38" s="301">
        <f>'LC (Gross)'!K200</f>
        <v>0.95901070467064142</v>
      </c>
      <c r="D38" s="301">
        <f>ITL!K140</f>
        <v>5.0836959743830956</v>
      </c>
      <c r="E38" s="301">
        <v>-0.35875269193012121</v>
      </c>
      <c r="F38" s="301">
        <v>0</v>
      </c>
      <c r="G38" s="39"/>
      <c r="H38" s="20">
        <f t="shared" si="12"/>
        <v>42124</v>
      </c>
      <c r="I38" s="27">
        <v>-1.17</v>
      </c>
      <c r="J38" s="46">
        <f t="shared" si="13"/>
        <v>1216718.108579685</v>
      </c>
      <c r="M38" s="17"/>
      <c r="N38" s="79"/>
      <c r="O38" s="20">
        <f t="shared" si="14"/>
        <v>42124</v>
      </c>
      <c r="P38" s="78">
        <f t="shared" si="37"/>
        <v>1.2900102837263172</v>
      </c>
      <c r="Q38" s="46">
        <f t="shared" si="15"/>
        <v>1199449.5479613643</v>
      </c>
      <c r="R38" s="18"/>
      <c r="S38" s="10"/>
      <c r="T38" s="39"/>
      <c r="U38" s="20">
        <f t="shared" si="16"/>
        <v>42124</v>
      </c>
      <c r="V38" s="27">
        <v>-0.91</v>
      </c>
      <c r="W38" s="46">
        <f t="shared" si="17"/>
        <v>1183180.5996552908</v>
      </c>
      <c r="X38" s="3"/>
      <c r="Z38" s="17"/>
      <c r="AA38" s="79"/>
      <c r="AB38" s="20">
        <f t="shared" si="18"/>
        <v>42124</v>
      </c>
      <c r="AC38" s="78">
        <f t="shared" si="38"/>
        <v>0.88611151075058003</v>
      </c>
      <c r="AD38" s="46">
        <f t="shared" si="19"/>
        <v>1167574.2225467551</v>
      </c>
      <c r="AE38" s="14"/>
      <c r="AF38" s="10"/>
      <c r="AG38" s="44"/>
      <c r="AH38" s="20">
        <f t="shared" si="20"/>
        <v>42124</v>
      </c>
      <c r="AI38" s="27">
        <v>-0.63</v>
      </c>
      <c r="AJ38" s="46">
        <f t="shared" si="21"/>
        <v>1141494.3278575861</v>
      </c>
      <c r="AK38" s="3"/>
      <c r="AM38" s="17"/>
      <c r="AN38" s="79"/>
      <c r="AO38" s="20">
        <f t="shared" si="22"/>
        <v>42124</v>
      </c>
      <c r="AP38" s="78">
        <f t="shared" si="39"/>
        <v>0.71845990189749165</v>
      </c>
      <c r="AQ38" s="46">
        <f t="shared" si="23"/>
        <v>1148278.420472231</v>
      </c>
      <c r="AR38" s="14"/>
      <c r="AS38" s="10"/>
      <c r="AT38" s="39"/>
      <c r="AU38" s="20">
        <f t="shared" si="24"/>
        <v>42124</v>
      </c>
      <c r="AV38" s="27"/>
      <c r="AW38" s="46">
        <f t="shared" si="25"/>
        <v>1000000</v>
      </c>
      <c r="AX38" s="3"/>
      <c r="AZ38" s="17"/>
      <c r="BA38" s="79"/>
      <c r="BB38" s="20">
        <f t="shared" si="26"/>
        <v>42124</v>
      </c>
      <c r="BC38" s="78">
        <f t="shared" si="41"/>
        <v>9.8958984835134101E-2</v>
      </c>
      <c r="BD38" s="46">
        <f t="shared" si="27"/>
        <v>1082012.6550818272</v>
      </c>
      <c r="BE38" s="14"/>
      <c r="BF38" s="10"/>
      <c r="BG38" s="39"/>
      <c r="BH38" s="20">
        <f t="shared" si="28"/>
        <v>42124</v>
      </c>
      <c r="BI38" s="27"/>
      <c r="BJ38" s="46">
        <f t="shared" si="29"/>
        <v>1000000</v>
      </c>
      <c r="BK38" s="3"/>
      <c r="BM38" s="17"/>
      <c r="BN38" s="79"/>
      <c r="BO38" s="20">
        <f t="shared" si="30"/>
        <v>42124</v>
      </c>
      <c r="BP38" s="78"/>
      <c r="BQ38" s="46">
        <f t="shared" si="31"/>
        <v>1000000</v>
      </c>
      <c r="BR38" s="14"/>
      <c r="BS38" s="10"/>
      <c r="BV38" s="39"/>
      <c r="BW38" s="20">
        <f t="shared" si="32"/>
        <v>42124</v>
      </c>
      <c r="BX38" s="27">
        <v>-0.44999999999999996</v>
      </c>
      <c r="BY38" s="46">
        <f t="shared" si="33"/>
        <v>1125762.9247277621</v>
      </c>
      <c r="BZ38" s="3"/>
      <c r="CB38" s="17"/>
      <c r="CC38" s="79"/>
      <c r="CD38" s="20">
        <f t="shared" si="34"/>
        <v>42124</v>
      </c>
      <c r="CE38" s="78">
        <f t="shared" si="40"/>
        <v>0.31456112892175458</v>
      </c>
      <c r="CF38" s="46">
        <f t="shared" si="35"/>
        <v>1126401.1224380899</v>
      </c>
      <c r="CG38" s="14"/>
      <c r="CH38" s="10"/>
      <c r="CI38" s="39"/>
    </row>
    <row r="39" spans="1:87" x14ac:dyDescent="0.25">
      <c r="A39" s="20">
        <v>42155</v>
      </c>
      <c r="B39" s="24">
        <f t="shared" si="36"/>
        <v>24</v>
      </c>
      <c r="C39" s="301">
        <f>'LC (Gross)'!K201</f>
        <v>1.2861229340560991</v>
      </c>
      <c r="D39" s="301">
        <f>ITL!K141</f>
        <v>-1.4856577872742764</v>
      </c>
      <c r="E39" s="301">
        <v>-0.24088927862172504</v>
      </c>
      <c r="F39" s="301">
        <v>0</v>
      </c>
      <c r="G39" s="39"/>
      <c r="H39" s="20">
        <f t="shared" si="12"/>
        <v>42155</v>
      </c>
      <c r="I39" s="27">
        <v>0.70000000000000007</v>
      </c>
      <c r="J39" s="46">
        <f t="shared" si="13"/>
        <v>1225235.1353397428</v>
      </c>
      <c r="K39" s="61"/>
      <c r="M39" s="17"/>
      <c r="N39" s="79"/>
      <c r="O39" s="20">
        <f t="shared" si="14"/>
        <v>42155</v>
      </c>
      <c r="P39" s="78">
        <f t="shared" si="37"/>
        <v>0.48451894563971309</v>
      </c>
      <c r="Q39" s="46">
        <f t="shared" ref="Q39:Q48" si="42">Q38*P39/100+Q38</f>
        <v>1205261.1082646269</v>
      </c>
      <c r="R39" s="18"/>
      <c r="S39" s="10"/>
      <c r="T39" s="39"/>
      <c r="U39" s="20">
        <f t="shared" si="16"/>
        <v>42155</v>
      </c>
      <c r="V39" s="27">
        <v>0.47</v>
      </c>
      <c r="W39" s="46">
        <f t="shared" si="17"/>
        <v>1188741.5484736706</v>
      </c>
      <c r="X39" s="62"/>
      <c r="Z39" s="17"/>
      <c r="AA39" s="79"/>
      <c r="AB39" s="20">
        <f t="shared" si="18"/>
        <v>42155</v>
      </c>
      <c r="AC39" s="78">
        <f t="shared" si="38"/>
        <v>0.39405614980455816</v>
      </c>
      <c r="AD39" s="46">
        <f t="shared" ref="AD39:AD48" si="43">AD38*AC39/100+AD38</f>
        <v>1172175.1205742334</v>
      </c>
      <c r="AE39" s="14"/>
      <c r="AF39" s="10"/>
      <c r="AG39" s="44"/>
      <c r="AH39" s="20">
        <f t="shared" si="20"/>
        <v>42155</v>
      </c>
      <c r="AI39" s="27">
        <v>0.24</v>
      </c>
      <c r="AJ39" s="46">
        <f t="shared" si="21"/>
        <v>1144233.9142444443</v>
      </c>
      <c r="AK39" s="62"/>
      <c r="AM39" s="17"/>
      <c r="AN39" s="79"/>
      <c r="AO39" s="20">
        <f t="shared" si="22"/>
        <v>42155</v>
      </c>
      <c r="AP39" s="78">
        <f t="shared" si="39"/>
        <v>0.21726600067460322</v>
      </c>
      <c r="AQ39" s="46">
        <f t="shared" ref="AQ39:AQ48" si="44">AQ38*AP39/100+AQ38</f>
        <v>1150773.2390730006</v>
      </c>
      <c r="AR39" s="14"/>
      <c r="AS39" s="10"/>
      <c r="AT39" s="39"/>
      <c r="AU39" s="20">
        <f t="shared" si="24"/>
        <v>42155</v>
      </c>
      <c r="AV39" s="27"/>
      <c r="AW39" s="46">
        <f t="shared" si="25"/>
        <v>1000000</v>
      </c>
      <c r="AX39" s="62"/>
      <c r="AZ39" s="17"/>
      <c r="BA39" s="79"/>
      <c r="BB39" s="20">
        <f t="shared" si="26"/>
        <v>42155</v>
      </c>
      <c r="BC39" s="78">
        <f t="shared" si="41"/>
        <v>-0.11429309099331142</v>
      </c>
      <c r="BD39" s="46">
        <f t="shared" ref="BD39:BD48" si="45">BD38*BC39/100+BD38</f>
        <v>1080775.9893733955</v>
      </c>
      <c r="BE39" s="14"/>
      <c r="BF39" s="10"/>
      <c r="BG39" s="39"/>
      <c r="BH39" s="20">
        <f t="shared" si="28"/>
        <v>42155</v>
      </c>
      <c r="BI39" s="27"/>
      <c r="BJ39" s="46">
        <f t="shared" si="29"/>
        <v>1000000</v>
      </c>
      <c r="BK39" s="62"/>
      <c r="BM39" s="17"/>
      <c r="BN39" s="79"/>
      <c r="BO39" s="20">
        <f t="shared" si="30"/>
        <v>42155</v>
      </c>
      <c r="BP39" s="78"/>
      <c r="BQ39" s="46">
        <f t="shared" si="31"/>
        <v>1000000</v>
      </c>
      <c r="BR39" s="14"/>
      <c r="BS39" s="10"/>
      <c r="BV39" s="39"/>
      <c r="BW39" s="20">
        <f t="shared" si="32"/>
        <v>42155</v>
      </c>
      <c r="BX39" s="27">
        <v>0.04</v>
      </c>
      <c r="BY39" s="46">
        <f t="shared" si="33"/>
        <v>1126213.2298976532</v>
      </c>
      <c r="BZ39" s="62"/>
      <c r="CB39" s="17"/>
      <c r="CC39" s="79"/>
      <c r="CD39" s="20">
        <f t="shared" si="34"/>
        <v>42155</v>
      </c>
      <c r="CE39" s="78">
        <f t="shared" si="40"/>
        <v>0.12680320483944843</v>
      </c>
      <c r="CF39" s="46">
        <f t="shared" ref="CF39:CF48" si="46">CF38*CE39/100+CF38</f>
        <v>1127829.4351606891</v>
      </c>
      <c r="CG39" s="14"/>
      <c r="CH39" s="10"/>
      <c r="CI39" s="39"/>
    </row>
    <row r="40" spans="1:87" x14ac:dyDescent="0.25">
      <c r="A40" s="20">
        <v>42185</v>
      </c>
      <c r="B40" s="24">
        <f t="shared" si="36"/>
        <v>25</v>
      </c>
      <c r="C40" s="301">
        <f>'LC (Gross)'!K202</f>
        <v>-1.9358188264035552</v>
      </c>
      <c r="D40" s="301">
        <f>ITL!K142</f>
        <v>-2.7422726706008369</v>
      </c>
      <c r="E40" s="301">
        <v>-1.0904973164148501</v>
      </c>
      <c r="F40" s="301">
        <v>0</v>
      </c>
      <c r="G40" s="39"/>
      <c r="H40" s="20">
        <f t="shared" si="12"/>
        <v>42185</v>
      </c>
      <c r="I40" s="27">
        <v>-2.12</v>
      </c>
      <c r="J40" s="46">
        <f t="shared" si="13"/>
        <v>1199260.1504705402</v>
      </c>
      <c r="L40" s="49">
        <f>(J40/J37-1)*100</f>
        <v>-2.5880523720000048</v>
      </c>
      <c r="M40" s="17"/>
      <c r="N40" s="79"/>
      <c r="O40" s="20">
        <f t="shared" si="14"/>
        <v>42185</v>
      </c>
      <c r="P40" s="78">
        <f t="shared" si="37"/>
        <v>-1.4760412551120807</v>
      </c>
      <c r="Q40" s="46">
        <f t="shared" si="42"/>
        <v>1187470.9570748201</v>
      </c>
      <c r="R40" s="18"/>
      <c r="S40" s="5">
        <f>(Q40/Q37-1)*100</f>
        <v>0.27845327731050862</v>
      </c>
      <c r="T40" s="39"/>
      <c r="U40" s="20">
        <f t="shared" si="16"/>
        <v>42185</v>
      </c>
      <c r="V40" s="27">
        <v>-1.94</v>
      </c>
      <c r="W40" s="46">
        <f t="shared" si="17"/>
        <v>1165679.9624332814</v>
      </c>
      <c r="X40" s="3"/>
      <c r="Y40" s="49">
        <f>(W40/W37-1)*100</f>
        <v>-2.3756580262000004</v>
      </c>
      <c r="Z40" s="17"/>
      <c r="AA40" s="79"/>
      <c r="AB40" s="20">
        <f t="shared" si="18"/>
        <v>42185</v>
      </c>
      <c r="AC40" s="78">
        <f t="shared" si="38"/>
        <v>-1.3089203364039113</v>
      </c>
      <c r="AD40" s="46">
        <f t="shared" si="43"/>
        <v>1156832.2820427702</v>
      </c>
      <c r="AE40" s="14"/>
      <c r="AF40" s="49">
        <f>(AD40/AD37-1)*100</f>
        <v>-4.2062978373580417E-2</v>
      </c>
      <c r="AG40" s="44"/>
      <c r="AH40" s="20">
        <f t="shared" si="20"/>
        <v>42185</v>
      </c>
      <c r="AI40" s="27">
        <v>-1.72</v>
      </c>
      <c r="AJ40" s="46">
        <f t="shared" si="21"/>
        <v>1124553.0909194399</v>
      </c>
      <c r="AK40" s="3"/>
      <c r="AL40" s="49">
        <f>(AJ40/AJ37-1)*100</f>
        <v>-2.1047779935999933</v>
      </c>
      <c r="AM40" s="17"/>
      <c r="AN40" s="79"/>
      <c r="AO40" s="20">
        <f t="shared" si="22"/>
        <v>42185</v>
      </c>
      <c r="AP40" s="78">
        <f t="shared" si="39"/>
        <v>-1.3334379170465256</v>
      </c>
      <c r="AQ40" s="46">
        <f t="shared" si="44"/>
        <v>1135428.3923639767</v>
      </c>
      <c r="AR40" s="14"/>
      <c r="AS40" s="49">
        <f>(AQ40/AQ37-1)*100</f>
        <v>-0.4086491839174422</v>
      </c>
      <c r="AT40" s="39"/>
      <c r="AU40" s="20">
        <f t="shared" si="24"/>
        <v>42185</v>
      </c>
      <c r="AV40" s="27"/>
      <c r="AW40" s="46">
        <f t="shared" si="25"/>
        <v>1000000</v>
      </c>
      <c r="AX40" s="3"/>
      <c r="AY40" s="49"/>
      <c r="AZ40" s="17"/>
      <c r="BA40" s="79"/>
      <c r="BB40" s="20">
        <f t="shared" si="26"/>
        <v>42185</v>
      </c>
      <c r="BC40" s="78">
        <f t="shared" si="41"/>
        <v>-1.0940436376607925</v>
      </c>
      <c r="BD40" s="46">
        <f t="shared" si="45"/>
        <v>1068951.8284242903</v>
      </c>
      <c r="BE40" s="14"/>
      <c r="BF40" s="49">
        <f>(BD40/BD37-1)*100</f>
        <v>-1.1093218478894773</v>
      </c>
      <c r="BG40" s="39"/>
      <c r="BH40" s="20">
        <f t="shared" si="28"/>
        <v>42185</v>
      </c>
      <c r="BI40" s="27"/>
      <c r="BJ40" s="46">
        <f t="shared" si="29"/>
        <v>1000000</v>
      </c>
      <c r="BK40" s="3"/>
      <c r="BL40" s="49"/>
      <c r="BM40" s="17"/>
      <c r="BN40" s="79"/>
      <c r="BO40" s="20">
        <f t="shared" si="30"/>
        <v>42185</v>
      </c>
      <c r="BP40" s="78"/>
      <c r="BQ40" s="46">
        <f t="shared" si="31"/>
        <v>1000000</v>
      </c>
      <c r="BR40" s="14"/>
      <c r="BS40" s="49">
        <f>(BQ40/BQ37-1)*100</f>
        <v>0</v>
      </c>
      <c r="BV40" s="39"/>
      <c r="BW40" s="20">
        <f t="shared" si="32"/>
        <v>42185</v>
      </c>
      <c r="BX40" s="27">
        <v>-1.44</v>
      </c>
      <c r="BY40" s="46">
        <f t="shared" si="33"/>
        <v>1109995.7593871271</v>
      </c>
      <c r="BZ40" s="3"/>
      <c r="CA40" s="49">
        <f>(BY40/BY37-1)*100</f>
        <v>-1.8442734079999856</v>
      </c>
      <c r="CB40" s="17"/>
      <c r="CC40" s="79"/>
      <c r="CD40" s="20">
        <f t="shared" si="34"/>
        <v>42185</v>
      </c>
      <c r="CE40" s="78">
        <f t="shared" si="40"/>
        <v>-1.1663169983383557</v>
      </c>
      <c r="CF40" s="46">
        <f t="shared" si="46"/>
        <v>1114675.3687461466</v>
      </c>
      <c r="CG40" s="14"/>
      <c r="CH40" s="49">
        <f>(CF40/CF37-1)*100</f>
        <v>-0.72970615036425102</v>
      </c>
      <c r="CI40" s="39"/>
    </row>
    <row r="41" spans="1:87" x14ac:dyDescent="0.25">
      <c r="A41" s="20">
        <v>42216</v>
      </c>
      <c r="B41" s="24">
        <f t="shared" si="36"/>
        <v>26</v>
      </c>
      <c r="C41" s="301">
        <f>'LC (Gross)'!K203</f>
        <v>2.0954396522417249</v>
      </c>
      <c r="D41" s="301">
        <f>ITL!K143</f>
        <v>-0.25761056229901091</v>
      </c>
      <c r="E41" s="301">
        <v>0.69528305339041729</v>
      </c>
      <c r="F41" s="301">
        <v>0</v>
      </c>
      <c r="G41" s="39"/>
      <c r="H41" s="20">
        <f t="shared" si="12"/>
        <v>42216</v>
      </c>
      <c r="I41" s="27">
        <v>3.58</v>
      </c>
      <c r="J41" s="46">
        <f t="shared" si="13"/>
        <v>1242193.6638573855</v>
      </c>
      <c r="K41" s="61"/>
      <c r="M41" s="17"/>
      <c r="N41" s="79"/>
      <c r="O41" s="20">
        <f t="shared" si="14"/>
        <v>42216</v>
      </c>
      <c r="P41" s="78">
        <f t="shared" si="37"/>
        <v>1.1138502243880972</v>
      </c>
      <c r="Q41" s="46">
        <f t="shared" si="42"/>
        <v>1200697.6049947415</v>
      </c>
      <c r="R41" s="18"/>
      <c r="S41" s="10"/>
      <c r="T41" s="39"/>
      <c r="U41" s="20">
        <f t="shared" si="16"/>
        <v>42216</v>
      </c>
      <c r="V41" s="27">
        <v>2.99</v>
      </c>
      <c r="W41" s="46">
        <f t="shared" si="17"/>
        <v>1200533.7933100364</v>
      </c>
      <c r="X41" s="62"/>
      <c r="Z41" s="17"/>
      <c r="AA41" s="79"/>
      <c r="AB41" s="20">
        <f t="shared" si="18"/>
        <v>42216</v>
      </c>
      <c r="AC41" s="78">
        <f t="shared" si="38"/>
        <v>1.0214792452874377</v>
      </c>
      <c r="AD41" s="46">
        <f t="shared" si="43"/>
        <v>1168649.083706622</v>
      </c>
      <c r="AE41" s="14"/>
      <c r="AF41" s="10"/>
      <c r="AG41" s="44"/>
      <c r="AH41" s="20">
        <f t="shared" si="20"/>
        <v>42216</v>
      </c>
      <c r="AI41" s="27">
        <v>2.36</v>
      </c>
      <c r="AJ41" s="46">
        <f t="shared" si="21"/>
        <v>1151092.5438651387</v>
      </c>
      <c r="AK41" s="62"/>
      <c r="AM41" s="17"/>
      <c r="AN41" s="79"/>
      <c r="AO41" s="20">
        <f t="shared" si="22"/>
        <v>42216</v>
      </c>
      <c r="AP41" s="78">
        <f t="shared" si="39"/>
        <v>0.9509918907413486</v>
      </c>
      <c r="AQ41" s="46">
        <f t="shared" si="44"/>
        <v>1146226.2243005331</v>
      </c>
      <c r="AR41" s="14"/>
      <c r="AS41" s="10"/>
      <c r="AT41" s="39"/>
      <c r="AU41" s="20">
        <f t="shared" si="24"/>
        <v>42216</v>
      </c>
      <c r="AV41" s="27"/>
      <c r="AW41" s="46">
        <f t="shared" si="25"/>
        <v>1000000</v>
      </c>
      <c r="AX41" s="62"/>
      <c r="AZ41" s="17"/>
      <c r="BA41" s="79"/>
      <c r="BB41" s="20">
        <f t="shared" si="26"/>
        <v>42216</v>
      </c>
      <c r="BC41" s="78">
        <f t="shared" si="41"/>
        <v>0.68336157448251411</v>
      </c>
      <c r="BD41" s="46">
        <f t="shared" si="45"/>
        <v>1076256.6344694702</v>
      </c>
      <c r="BE41" s="14"/>
      <c r="BF41" s="10"/>
      <c r="BG41" s="39"/>
      <c r="BH41" s="20">
        <f t="shared" si="28"/>
        <v>42216</v>
      </c>
      <c r="BI41" s="27"/>
      <c r="BJ41" s="46">
        <f t="shared" si="29"/>
        <v>1000000</v>
      </c>
      <c r="BK41" s="62"/>
      <c r="BM41" s="17"/>
      <c r="BN41" s="79"/>
      <c r="BO41" s="20">
        <f t="shared" si="30"/>
        <v>42216</v>
      </c>
      <c r="BP41" s="78"/>
      <c r="BQ41" s="46">
        <f t="shared" si="31"/>
        <v>1000000</v>
      </c>
      <c r="BR41" s="14"/>
      <c r="BS41" s="10"/>
      <c r="BV41" s="39"/>
      <c r="BW41" s="20">
        <f t="shared" si="32"/>
        <v>42216</v>
      </c>
      <c r="BX41" s="27">
        <v>1.83</v>
      </c>
      <c r="BY41" s="46">
        <f t="shared" si="33"/>
        <v>1130308.6817839115</v>
      </c>
      <c r="BZ41" s="62"/>
      <c r="CB41" s="17"/>
      <c r="CC41" s="79"/>
      <c r="CD41" s="20">
        <f t="shared" si="34"/>
        <v>42216</v>
      </c>
      <c r="CE41" s="78">
        <f t="shared" si="40"/>
        <v>0.85862091164068932</v>
      </c>
      <c r="CF41" s="46">
        <f t="shared" si="46"/>
        <v>1124246.2045591089</v>
      </c>
      <c r="CG41" s="14"/>
      <c r="CH41" s="10"/>
      <c r="CI41" s="39"/>
    </row>
    <row r="42" spans="1:87" x14ac:dyDescent="0.25">
      <c r="A42" s="20">
        <v>42247</v>
      </c>
      <c r="B42" s="24">
        <f t="shared" si="36"/>
        <v>27</v>
      </c>
      <c r="C42" s="301">
        <f>'LC (Gross)'!K204</f>
        <v>-6.0338140445487154</v>
      </c>
      <c r="D42" s="301">
        <f>ITL!K144</f>
        <v>-7.6111398350991246</v>
      </c>
      <c r="E42" s="301">
        <v>-0.14380720489671225</v>
      </c>
      <c r="F42" s="301">
        <v>0</v>
      </c>
      <c r="G42" s="39"/>
      <c r="H42" s="20">
        <f t="shared" si="12"/>
        <v>42247</v>
      </c>
      <c r="I42" s="27">
        <v>-4.63</v>
      </c>
      <c r="J42" s="46">
        <f t="shared" si="13"/>
        <v>1184680.0972207885</v>
      </c>
      <c r="K42" s="61"/>
      <c r="L42" s="105"/>
      <c r="M42" s="17"/>
      <c r="N42" s="79"/>
      <c r="O42" s="20">
        <f t="shared" si="14"/>
        <v>42247</v>
      </c>
      <c r="P42" s="78">
        <f t="shared" si="37"/>
        <v>-4.4602686997666625</v>
      </c>
      <c r="Q42" s="46">
        <f t="shared" si="42"/>
        <v>1147143.265540313</v>
      </c>
      <c r="R42" s="18"/>
      <c r="S42" s="65"/>
      <c r="T42" s="39"/>
      <c r="U42" s="20">
        <f t="shared" si="16"/>
        <v>42247</v>
      </c>
      <c r="V42" s="27">
        <v>-3.98</v>
      </c>
      <c r="W42" s="46">
        <f t="shared" si="17"/>
        <v>1152752.548336297</v>
      </c>
      <c r="X42" s="62"/>
      <c r="Y42" s="105"/>
      <c r="Z42" s="17"/>
      <c r="AA42" s="79"/>
      <c r="AB42" s="20">
        <f t="shared" si="18"/>
        <v>42247</v>
      </c>
      <c r="AC42" s="78">
        <f t="shared" si="38"/>
        <v>-3.4979013842913416</v>
      </c>
      <c r="AD42" s="46">
        <f t="shared" si="43"/>
        <v>1127770.8912301401</v>
      </c>
      <c r="AE42" s="14"/>
      <c r="AF42" s="105"/>
      <c r="AG42" s="44"/>
      <c r="AH42" s="20">
        <f t="shared" si="20"/>
        <v>42247</v>
      </c>
      <c r="AI42" s="27">
        <v>-3.27</v>
      </c>
      <c r="AJ42" s="46">
        <f t="shared" si="21"/>
        <v>1113451.8176807486</v>
      </c>
      <c r="AK42" s="62"/>
      <c r="AL42" s="105"/>
      <c r="AM42" s="17"/>
      <c r="AN42" s="79"/>
      <c r="AO42" s="20">
        <f t="shared" si="22"/>
        <v>42247</v>
      </c>
      <c r="AP42" s="78">
        <f t="shared" si="39"/>
        <v>-2.9232814208158122</v>
      </c>
      <c r="AQ42" s="46">
        <f t="shared" si="44"/>
        <v>1112718.806045037</v>
      </c>
      <c r="AR42" s="14"/>
      <c r="AS42" s="105"/>
      <c r="AT42" s="39"/>
      <c r="AU42" s="20">
        <f t="shared" si="24"/>
        <v>42247</v>
      </c>
      <c r="AV42" s="27"/>
      <c r="AW42" s="46">
        <f t="shared" si="25"/>
        <v>1000000</v>
      </c>
      <c r="AX42" s="62"/>
      <c r="AY42" s="105"/>
      <c r="AZ42" s="17"/>
      <c r="BA42" s="79"/>
      <c r="BB42" s="20">
        <f t="shared" si="26"/>
        <v>42247</v>
      </c>
      <c r="BC42" s="78">
        <f t="shared" si="41"/>
        <v>-1.0846034396375264</v>
      </c>
      <c r="BD42" s="46">
        <f t="shared" si="45"/>
        <v>1064583.5179926872</v>
      </c>
      <c r="BE42" s="14"/>
      <c r="BF42" s="105"/>
      <c r="BG42" s="39"/>
      <c r="BH42" s="20">
        <f t="shared" si="28"/>
        <v>42247</v>
      </c>
      <c r="BI42" s="27"/>
      <c r="BJ42" s="46">
        <f t="shared" si="29"/>
        <v>1000000</v>
      </c>
      <c r="BK42" s="62"/>
      <c r="BL42" s="105"/>
      <c r="BM42" s="17"/>
      <c r="BN42" s="79"/>
      <c r="BO42" s="20">
        <f t="shared" si="30"/>
        <v>42247</v>
      </c>
      <c r="BP42" s="78"/>
      <c r="BQ42" s="46">
        <f t="shared" si="31"/>
        <v>1000000</v>
      </c>
      <c r="BR42" s="14"/>
      <c r="BS42" s="105"/>
      <c r="BV42" s="39"/>
      <c r="BW42" s="20">
        <f t="shared" si="32"/>
        <v>42247</v>
      </c>
      <c r="BX42" s="27">
        <v>-2.39</v>
      </c>
      <c r="BY42" s="46">
        <f t="shared" si="33"/>
        <v>1103294.304289276</v>
      </c>
      <c r="BZ42" s="62"/>
      <c r="CA42" s="105"/>
      <c r="CB42" s="17"/>
      <c r="CC42" s="79"/>
      <c r="CD42" s="20">
        <f t="shared" si="34"/>
        <v>42247</v>
      </c>
      <c r="CE42" s="78">
        <f t="shared" si="40"/>
        <v>-1.9609141053404913</v>
      </c>
      <c r="CF42" s="46">
        <f t="shared" si="46"/>
        <v>1102200.7021551542</v>
      </c>
      <c r="CG42" s="14"/>
      <c r="CH42" s="105"/>
      <c r="CI42" s="39"/>
    </row>
    <row r="43" spans="1:87" x14ac:dyDescent="0.25">
      <c r="A43" s="20">
        <v>42277</v>
      </c>
      <c r="B43" s="24">
        <f t="shared" si="36"/>
        <v>28</v>
      </c>
      <c r="C43" s="301">
        <f>'LC (Gross)'!K205</f>
        <v>-2.4739432189367951</v>
      </c>
      <c r="D43" s="301">
        <f>ITL!K145</f>
        <v>-4.576837557896301</v>
      </c>
      <c r="E43" s="301">
        <v>0.67639933035946342</v>
      </c>
      <c r="F43" s="301">
        <v>0</v>
      </c>
      <c r="G43" s="39"/>
      <c r="H43" s="20">
        <f t="shared" si="12"/>
        <v>42277</v>
      </c>
      <c r="I43" s="27">
        <v>0.31</v>
      </c>
      <c r="J43" s="46">
        <f t="shared" si="13"/>
        <v>1188352.605522173</v>
      </c>
      <c r="K43" s="49"/>
      <c r="L43" s="49">
        <f>(J43/J40-1)*100</f>
        <v>-0.90952283740000084</v>
      </c>
      <c r="M43" s="17"/>
      <c r="N43" s="79"/>
      <c r="O43" s="20">
        <f t="shared" si="14"/>
        <v>42277</v>
      </c>
      <c r="P43" s="78">
        <f t="shared" si="37"/>
        <v>-2.0471944040996823</v>
      </c>
      <c r="Q43" s="46">
        <f t="shared" si="42"/>
        <v>1123659.0128011652</v>
      </c>
      <c r="R43" s="6"/>
      <c r="S43" s="5">
        <f>(Q43/Q40-1)*100</f>
        <v>-5.3737688398583838</v>
      </c>
      <c r="T43" s="39"/>
      <c r="U43" s="20">
        <f t="shared" si="16"/>
        <v>42277</v>
      </c>
      <c r="V43" s="27">
        <v>0.31</v>
      </c>
      <c r="W43" s="46">
        <f t="shared" si="17"/>
        <v>1156326.0812361396</v>
      </c>
      <c r="X43" s="6"/>
      <c r="Y43" s="49">
        <f>(W43/W40-1)*100</f>
        <v>-0.80243990619999206</v>
      </c>
      <c r="Z43" s="17"/>
      <c r="AA43" s="79"/>
      <c r="AB43" s="20">
        <f t="shared" si="18"/>
        <v>42277</v>
      </c>
      <c r="AC43" s="78">
        <f t="shared" si="38"/>
        <v>-1.4694983047572683</v>
      </c>
      <c r="AD43" s="46">
        <f t="shared" si="43"/>
        <v>1111198.3171019673</v>
      </c>
      <c r="AE43" s="6"/>
      <c r="AF43" s="49">
        <f>(AD43/AD40-1)*100</f>
        <v>-3.9447347423795076</v>
      </c>
      <c r="AG43" s="44"/>
      <c r="AH43" s="20">
        <f t="shared" si="20"/>
        <v>42277</v>
      </c>
      <c r="AI43" s="27">
        <v>0.33</v>
      </c>
      <c r="AJ43" s="46">
        <f t="shared" si="21"/>
        <v>1117126.2086790951</v>
      </c>
      <c r="AK43" s="6"/>
      <c r="AL43" s="49">
        <f>(AJ43/AJ40-1)*100</f>
        <v>-0.66042966760000432</v>
      </c>
      <c r="AM43" s="17"/>
      <c r="AN43" s="79"/>
      <c r="AO43" s="20">
        <f t="shared" si="22"/>
        <v>42277</v>
      </c>
      <c r="AP43" s="78">
        <f t="shared" si="39"/>
        <v>-1.0868241167916963</v>
      </c>
      <c r="AQ43" s="46">
        <f t="shared" si="44"/>
        <v>1100625.509708863</v>
      </c>
      <c r="AR43" s="6"/>
      <c r="AS43" s="49">
        <f>(AQ43/AQ40-1)*100</f>
        <v>-3.0651763589118697</v>
      </c>
      <c r="AT43" s="39"/>
      <c r="AU43" s="20">
        <f t="shared" si="24"/>
        <v>42277</v>
      </c>
      <c r="AV43" s="27"/>
      <c r="AW43" s="46">
        <f t="shared" si="25"/>
        <v>1000000</v>
      </c>
      <c r="AX43" s="6"/>
      <c r="AY43" s="49"/>
      <c r="AZ43" s="17"/>
      <c r="BA43" s="79"/>
      <c r="BB43" s="20">
        <f t="shared" si="26"/>
        <v>42277</v>
      </c>
      <c r="BC43" s="78">
        <f t="shared" si="41"/>
        <v>-2.7566685368702326E-3</v>
      </c>
      <c r="BD43" s="46">
        <f t="shared" si="45"/>
        <v>1064554.1709537979</v>
      </c>
      <c r="BE43" s="6"/>
      <c r="BF43" s="49">
        <f>(BD43/BD40-1)*100</f>
        <v>-0.41139903160789526</v>
      </c>
      <c r="BG43" s="39"/>
      <c r="BH43" s="20">
        <f t="shared" si="28"/>
        <v>42277</v>
      </c>
      <c r="BI43" s="27"/>
      <c r="BJ43" s="46">
        <f t="shared" si="29"/>
        <v>1000000</v>
      </c>
      <c r="BK43" s="6"/>
      <c r="BL43" s="49"/>
      <c r="BM43" s="17"/>
      <c r="BN43" s="79"/>
      <c r="BO43" s="20">
        <f t="shared" si="30"/>
        <v>42277</v>
      </c>
      <c r="BP43" s="78"/>
      <c r="BQ43" s="46">
        <f t="shared" si="31"/>
        <v>1000000</v>
      </c>
      <c r="BR43" s="6"/>
      <c r="BS43" s="49">
        <f>(BQ43/BQ40-1)*100</f>
        <v>0</v>
      </c>
      <c r="BV43" s="39"/>
      <c r="BW43" s="20">
        <f t="shared" si="32"/>
        <v>42277</v>
      </c>
      <c r="BX43" s="27">
        <v>0.36</v>
      </c>
      <c r="BY43" s="46">
        <f t="shared" si="33"/>
        <v>1107266.1637847174</v>
      </c>
      <c r="BZ43" s="6"/>
      <c r="CA43" s="49">
        <f>(BY43/BY40-1)*100</f>
        <v>-0.24591045320000449</v>
      </c>
      <c r="CB43" s="17"/>
      <c r="CC43" s="79"/>
      <c r="CD43" s="20">
        <f t="shared" si="34"/>
        <v>42277</v>
      </c>
      <c r="CE43" s="78">
        <f t="shared" si="40"/>
        <v>-0.50912801744928204</v>
      </c>
      <c r="CF43" s="46">
        <f t="shared" si="46"/>
        <v>1096589.0895719596</v>
      </c>
      <c r="CG43" s="6"/>
      <c r="CH43" s="49">
        <f>(CF43/CF40-1)*100</f>
        <v>-1.6225602252727178</v>
      </c>
      <c r="CI43" s="39"/>
    </row>
    <row r="44" spans="1:87" x14ac:dyDescent="0.25">
      <c r="A44" s="20">
        <v>42308</v>
      </c>
      <c r="B44" s="24">
        <f t="shared" si="36"/>
        <v>29</v>
      </c>
      <c r="C44" s="301">
        <f>'LC (Gross)'!K206</f>
        <v>8.435220871353371</v>
      </c>
      <c r="D44" s="301">
        <f>ITL!K146</f>
        <v>7.4598705416459916</v>
      </c>
      <c r="E44" s="301">
        <v>1.7041669463906634E-2</v>
      </c>
      <c r="F44" s="301">
        <v>0</v>
      </c>
      <c r="G44" s="39"/>
      <c r="H44" s="20">
        <f t="shared" si="12"/>
        <v>42308</v>
      </c>
      <c r="I44" s="27">
        <v>5.27</v>
      </c>
      <c r="J44" s="46">
        <f t="shared" si="13"/>
        <v>1250978.7878331915</v>
      </c>
      <c r="K44" s="6"/>
      <c r="L44" s="49"/>
      <c r="M44" s="17"/>
      <c r="N44" s="79"/>
      <c r="O44" s="20">
        <f t="shared" si="14"/>
        <v>42308</v>
      </c>
      <c r="P44" s="78">
        <f t="shared" si="37"/>
        <v>5.7583520604912533</v>
      </c>
      <c r="Q44" s="46">
        <f t="shared" si="42"/>
        <v>1188363.2547176967</v>
      </c>
      <c r="R44" s="6"/>
      <c r="S44" s="5"/>
      <c r="T44" s="39"/>
      <c r="U44" s="20">
        <f t="shared" si="16"/>
        <v>42308</v>
      </c>
      <c r="V44" s="27">
        <v>4.41</v>
      </c>
      <c r="W44" s="46">
        <f t="shared" si="17"/>
        <v>1207320.0614186535</v>
      </c>
      <c r="X44" s="6"/>
      <c r="Z44" s="17"/>
      <c r="AA44" s="79"/>
      <c r="AB44" s="20">
        <f t="shared" si="18"/>
        <v>42308</v>
      </c>
      <c r="AC44" s="78">
        <f t="shared" si="38"/>
        <v>4.544392696693202</v>
      </c>
      <c r="AD44" s="46">
        <f t="shared" si="43"/>
        <v>1161695.5322701267</v>
      </c>
      <c r="AE44" s="6"/>
      <c r="AG44" s="44"/>
      <c r="AH44" s="20">
        <f t="shared" si="20"/>
        <v>42308</v>
      </c>
      <c r="AI44" s="27">
        <v>3.49</v>
      </c>
      <c r="AJ44" s="46">
        <f t="shared" si="21"/>
        <v>1156113.9133619955</v>
      </c>
      <c r="AK44" s="6"/>
      <c r="AM44" s="17"/>
      <c r="AN44" s="79"/>
      <c r="AO44" s="20">
        <f t="shared" si="22"/>
        <v>42308</v>
      </c>
      <c r="AP44" s="78">
        <f t="shared" si="39"/>
        <v>3.7042789434506465</v>
      </c>
      <c r="AQ44" s="46">
        <f t="shared" si="44"/>
        <v>1141395.7487112547</v>
      </c>
      <c r="AR44" s="6"/>
      <c r="AT44" s="39"/>
      <c r="AU44" s="20">
        <f t="shared" si="24"/>
        <v>42308</v>
      </c>
      <c r="AV44" s="27">
        <v>1.1599999999999999</v>
      </c>
      <c r="AW44" s="46">
        <f t="shared" si="25"/>
        <v>1011600</v>
      </c>
      <c r="AX44" s="6"/>
      <c r="AZ44" s="17"/>
      <c r="BA44" s="79"/>
      <c r="BB44" s="20">
        <f t="shared" si="26"/>
        <v>42308</v>
      </c>
      <c r="BC44" s="78">
        <f t="shared" si="41"/>
        <v>1.2284447828423715</v>
      </c>
      <c r="BD44" s="46">
        <f t="shared" si="45"/>
        <v>1077631.6311274106</v>
      </c>
      <c r="BE44" s="6"/>
      <c r="BG44" s="39"/>
      <c r="BH44" s="20">
        <f t="shared" si="28"/>
        <v>42308</v>
      </c>
      <c r="BI44" s="27"/>
      <c r="BJ44" s="46">
        <f t="shared" si="29"/>
        <v>1000000</v>
      </c>
      <c r="BK44" s="6"/>
      <c r="BM44" s="17"/>
      <c r="BN44" s="79"/>
      <c r="BO44" s="20">
        <f t="shared" si="30"/>
        <v>42308</v>
      </c>
      <c r="BP44" s="78"/>
      <c r="BQ44" s="46">
        <f t="shared" si="31"/>
        <v>1000000</v>
      </c>
      <c r="BR44" s="6"/>
      <c r="BV44" s="39"/>
      <c r="BW44" s="20">
        <f t="shared" si="32"/>
        <v>42308</v>
      </c>
      <c r="BX44" s="27">
        <v>2.41</v>
      </c>
      <c r="BY44" s="46">
        <f t="shared" si="33"/>
        <v>1133951.2783319291</v>
      </c>
      <c r="BZ44" s="6"/>
      <c r="CB44" s="17"/>
      <c r="CC44" s="79"/>
      <c r="CD44" s="20">
        <f t="shared" si="34"/>
        <v>42308</v>
      </c>
      <c r="CE44" s="78">
        <f t="shared" si="40"/>
        <v>2.4903195796525956</v>
      </c>
      <c r="CF44" s="46">
        <f t="shared" si="46"/>
        <v>1123897.6623779042</v>
      </c>
      <c r="CG44" s="6"/>
      <c r="CH44" s="49"/>
      <c r="CI44" s="39"/>
    </row>
    <row r="45" spans="1:87" x14ac:dyDescent="0.25">
      <c r="A45" s="20">
        <v>42338</v>
      </c>
      <c r="B45" s="24">
        <f t="shared" si="36"/>
        <v>30</v>
      </c>
      <c r="C45" s="301">
        <f>'LC (Gross)'!K207</f>
        <v>0.29752942236979663</v>
      </c>
      <c r="D45" s="301">
        <f>ITL!K147</f>
        <v>-2.0302132524674352</v>
      </c>
      <c r="E45" s="301">
        <v>-0.26435903261115939</v>
      </c>
      <c r="F45" s="301">
        <v>0.01</v>
      </c>
      <c r="G45" s="39"/>
      <c r="H45" s="20">
        <f t="shared" si="12"/>
        <v>42338</v>
      </c>
      <c r="I45" s="27">
        <v>-0.68</v>
      </c>
      <c r="J45" s="46">
        <f t="shared" si="13"/>
        <v>1242472.1320759258</v>
      </c>
      <c r="K45" s="6"/>
      <c r="L45" s="49"/>
      <c r="M45" s="17"/>
      <c r="N45" s="79"/>
      <c r="O45" s="20">
        <f t="shared" si="14"/>
        <v>42338</v>
      </c>
      <c r="P45" s="78">
        <f t="shared" si="37"/>
        <v>-0.13789080556672711</v>
      </c>
      <c r="Q45" s="46">
        <f t="shared" si="42"/>
        <v>1186724.6110527075</v>
      </c>
      <c r="R45" s="6"/>
      <c r="S45" s="5"/>
      <c r="T45" s="39"/>
      <c r="U45" s="20">
        <f t="shared" si="16"/>
        <v>42338</v>
      </c>
      <c r="V45" s="27">
        <v>-0.62</v>
      </c>
      <c r="W45" s="46">
        <f t="shared" si="17"/>
        <v>1199834.6770378577</v>
      </c>
      <c r="X45" s="6"/>
      <c r="Y45" s="49"/>
      <c r="Z45" s="17"/>
      <c r="AA45" s="79"/>
      <c r="AB45" s="20">
        <f t="shared" si="18"/>
        <v>42338</v>
      </c>
      <c r="AC45" s="78">
        <f t="shared" si="38"/>
        <v>-0.10578694007200898</v>
      </c>
      <c r="AD45" s="46">
        <f t="shared" si="43"/>
        <v>1160466.6101135849</v>
      </c>
      <c r="AE45" s="6"/>
      <c r="AG45" s="44"/>
      <c r="AH45" s="20">
        <f t="shared" si="20"/>
        <v>42338</v>
      </c>
      <c r="AI45" s="27">
        <v>-0.6</v>
      </c>
      <c r="AJ45" s="46">
        <f t="shared" si="21"/>
        <v>1149177.2298818235</v>
      </c>
      <c r="AK45" s="6"/>
      <c r="AM45" s="17"/>
      <c r="AN45" s="79"/>
      <c r="AO45" s="20">
        <f t="shared" si="22"/>
        <v>42338</v>
      </c>
      <c r="AP45" s="78">
        <f t="shared" si="39"/>
        <v>-0.1894116888312205</v>
      </c>
      <c r="AQ45" s="46">
        <f t="shared" si="44"/>
        <v>1139233.8117473728</v>
      </c>
      <c r="AR45" s="6"/>
      <c r="AT45" s="39"/>
      <c r="AU45" s="20">
        <f t="shared" si="24"/>
        <v>42338</v>
      </c>
      <c r="AV45" s="27">
        <v>-0.39</v>
      </c>
      <c r="AW45" s="46">
        <f t="shared" si="25"/>
        <v>1007654.76</v>
      </c>
      <c r="AX45" s="6"/>
      <c r="AZ45" s="17"/>
      <c r="BA45" s="79"/>
      <c r="BB45" s="20">
        <f t="shared" si="26"/>
        <v>42338</v>
      </c>
      <c r="BC45" s="78">
        <f t="shared" si="41"/>
        <v>-0.25530904321420367</v>
      </c>
      <c r="BD45" s="46">
        <f t="shared" si="45"/>
        <v>1074880.3401206057</v>
      </c>
      <c r="BE45" s="6"/>
      <c r="BG45" s="39"/>
      <c r="BH45" s="20">
        <f t="shared" si="28"/>
        <v>42338</v>
      </c>
      <c r="BI45" s="27"/>
      <c r="BJ45" s="46">
        <f t="shared" si="29"/>
        <v>1000000</v>
      </c>
      <c r="BK45" s="6"/>
      <c r="BM45" s="17"/>
      <c r="BN45" s="79"/>
      <c r="BO45" s="20">
        <f t="shared" si="30"/>
        <v>42338</v>
      </c>
      <c r="BP45" s="78"/>
      <c r="BQ45" s="46">
        <f t="shared" si="31"/>
        <v>1000000</v>
      </c>
      <c r="BR45" s="6"/>
      <c r="BV45" s="39"/>
      <c r="BW45" s="20">
        <f t="shared" si="32"/>
        <v>42338</v>
      </c>
      <c r="BX45" s="27">
        <v>-0.52</v>
      </c>
      <c r="BY45" s="46">
        <f t="shared" si="33"/>
        <v>1128054.731684603</v>
      </c>
      <c r="BZ45" s="6"/>
      <c r="CB45" s="17"/>
      <c r="CC45" s="79"/>
      <c r="CD45" s="20">
        <f t="shared" si="34"/>
        <v>42338</v>
      </c>
      <c r="CE45" s="78">
        <f t="shared" si="40"/>
        <v>-0.15730782333650231</v>
      </c>
      <c r="CF45" s="46">
        <f t="shared" si="46"/>
        <v>1122129.6834286877</v>
      </c>
      <c r="CG45" s="6"/>
      <c r="CI45" s="39"/>
    </row>
    <row r="46" spans="1:87" x14ac:dyDescent="0.25">
      <c r="A46" s="20">
        <v>42369</v>
      </c>
      <c r="B46" s="24">
        <f t="shared" si="36"/>
        <v>31</v>
      </c>
      <c r="C46" s="301">
        <f>'LC (Gross)'!K208</f>
        <v>-1.5862368127833484</v>
      </c>
      <c r="D46" s="301">
        <f>ITL!K148</f>
        <v>-1.8377377040043443</v>
      </c>
      <c r="E46" s="301">
        <v>-0.32304156053923139</v>
      </c>
      <c r="F46" s="301">
        <v>0.01</v>
      </c>
      <c r="G46" s="39"/>
      <c r="H46" s="20">
        <f t="shared" si="12"/>
        <v>42369</v>
      </c>
      <c r="I46" s="27">
        <v>-0.31</v>
      </c>
      <c r="J46" s="46">
        <f t="shared" si="13"/>
        <v>1238620.4684664905</v>
      </c>
      <c r="K46" s="6">
        <f>(J46-J$34)/J$34*100</f>
        <v>1.8877243484479727</v>
      </c>
      <c r="L46" s="49">
        <f>(J46/J43-1)*100</f>
        <v>4.2300460916000038</v>
      </c>
      <c r="M46" s="17"/>
      <c r="N46" s="79"/>
      <c r="O46" s="20">
        <f t="shared" si="14"/>
        <v>42369</v>
      </c>
      <c r="P46" s="78">
        <f t="shared" si="37"/>
        <v>-1.1450909026314935</v>
      </c>
      <c r="Q46" s="46">
        <f t="shared" si="42"/>
        <v>1173135.535492254</v>
      </c>
      <c r="R46" s="6">
        <f>(Q46-Q$34)/Q$34*100</f>
        <v>0.16573222737615392</v>
      </c>
      <c r="S46" s="49">
        <f>(Q46/Q43-1)*100</f>
        <v>4.4031616466768675</v>
      </c>
      <c r="T46" s="39"/>
      <c r="U46" s="20">
        <f t="shared" si="16"/>
        <v>42369</v>
      </c>
      <c r="V46" s="27">
        <v>-0.36</v>
      </c>
      <c r="W46" s="46">
        <f t="shared" si="17"/>
        <v>1195515.2722005213</v>
      </c>
      <c r="X46" s="6">
        <f>(W46-W$34)/W$34*100</f>
        <v>1.3960709958276913</v>
      </c>
      <c r="Y46" s="49">
        <f>(W46/W43-1)*100</f>
        <v>3.3891124311999921</v>
      </c>
      <c r="Z46" s="17"/>
      <c r="AA46" s="79"/>
      <c r="AB46" s="20">
        <f t="shared" si="18"/>
        <v>42369</v>
      </c>
      <c r="AC46" s="78">
        <f t="shared" si="38"/>
        <v>-0.94303657023382592</v>
      </c>
      <c r="AD46" s="46">
        <f t="shared" si="43"/>
        <v>1149522.985594861</v>
      </c>
      <c r="AE46" s="6">
        <f>(AD46-AD$34)/AD$34*100</f>
        <v>0.41201284261993792</v>
      </c>
      <c r="AF46" s="49">
        <f>(AD46/AD43-1)*100</f>
        <v>3.4489494722099057</v>
      </c>
      <c r="AG46" s="44"/>
      <c r="AH46" s="20">
        <f t="shared" si="20"/>
        <v>42369</v>
      </c>
      <c r="AI46" s="27">
        <v>-0.4</v>
      </c>
      <c r="AJ46" s="46">
        <f t="shared" si="21"/>
        <v>1144580.5209622963</v>
      </c>
      <c r="AK46" s="6">
        <f>(AJ46-AJ$34)/AJ$34*100</f>
        <v>0.94336515535866183</v>
      </c>
      <c r="AL46" s="49">
        <f>(AJ46/AJ43-1)*100</f>
        <v>2.4575837600000039</v>
      </c>
      <c r="AM46" s="17"/>
      <c r="AN46" s="79"/>
      <c r="AO46" s="20">
        <f t="shared" si="22"/>
        <v>42369</v>
      </c>
      <c r="AP46" s="78">
        <f t="shared" si="39"/>
        <v>-0.85002120106333723</v>
      </c>
      <c r="AQ46" s="46">
        <f t="shared" si="44"/>
        <v>1129550.0828178383</v>
      </c>
      <c r="AR46" s="6">
        <f>(AQ46-AQ$34)/AQ$34*100</f>
        <v>0.3930749546999639</v>
      </c>
      <c r="AS46" s="49">
        <f>(AQ46/AQ43-1)*100</f>
        <v>2.6280122397514205</v>
      </c>
      <c r="AT46" s="39"/>
      <c r="AU46" s="20">
        <f t="shared" si="24"/>
        <v>42369</v>
      </c>
      <c r="AV46" s="27">
        <v>-0.43</v>
      </c>
      <c r="AW46" s="46">
        <f t="shared" si="25"/>
        <v>1003321.844532</v>
      </c>
      <c r="AX46" s="6">
        <f>(AW46-AW$34)/AW$34*100</f>
        <v>0.33218445320000173</v>
      </c>
      <c r="AY46" s="49">
        <f>(AW46/AW43-1)*100</f>
        <v>0.33218445320000178</v>
      </c>
      <c r="AZ46" s="17"/>
      <c r="BA46" s="79"/>
      <c r="BB46" s="20">
        <f t="shared" si="26"/>
        <v>42369</v>
      </c>
      <c r="BC46" s="78">
        <f t="shared" si="41"/>
        <v>-0.475139658856014</v>
      </c>
      <c r="BD46" s="46">
        <f t="shared" si="45"/>
        <v>1069773.1573394462</v>
      </c>
      <c r="BE46" s="6">
        <f>(BD46-BD$34)/BD$34*100</f>
        <v>0.39234222329895324</v>
      </c>
      <c r="BF46" s="49">
        <f>(BD46/BD43-1)*100</f>
        <v>0.49025089826779666</v>
      </c>
      <c r="BG46" s="39"/>
      <c r="BH46" s="20">
        <f t="shared" si="28"/>
        <v>42369</v>
      </c>
      <c r="BI46" s="27"/>
      <c r="BJ46" s="46">
        <f t="shared" si="29"/>
        <v>1000000</v>
      </c>
      <c r="BK46" s="6">
        <f>(BJ46-BJ$34)/BJ$34*100</f>
        <v>0</v>
      </c>
      <c r="BL46" s="49">
        <f>(BJ46/BJ43-1)*100</f>
        <v>0</v>
      </c>
      <c r="BM46" s="17"/>
      <c r="BN46" s="79"/>
      <c r="BO46" s="20">
        <f t="shared" si="30"/>
        <v>42369</v>
      </c>
      <c r="BP46" s="78"/>
      <c r="BQ46" s="46">
        <f t="shared" si="31"/>
        <v>1000000</v>
      </c>
      <c r="BR46" s="6">
        <f>(BQ46-BQ$34)/BQ$34*100</f>
        <v>0</v>
      </c>
      <c r="BS46" s="49">
        <f>(BQ46/BQ43-1)*100</f>
        <v>0</v>
      </c>
      <c r="BV46" s="39"/>
      <c r="BW46" s="20">
        <f t="shared" si="32"/>
        <v>42369</v>
      </c>
      <c r="BX46" s="27">
        <v>-0.4</v>
      </c>
      <c r="BY46" s="46">
        <f t="shared" si="33"/>
        <v>1123542.5127578645</v>
      </c>
      <c r="BZ46" s="6">
        <f>(BY46-BY$34)/BY$34*100</f>
        <v>0.6273951254703225</v>
      </c>
      <c r="CA46" s="49">
        <f>(BY46/BY43-1)*100</f>
        <v>1.4699581279999929</v>
      </c>
      <c r="CB46" s="17"/>
      <c r="CC46" s="79"/>
      <c r="CD46" s="20">
        <f t="shared" si="34"/>
        <v>42369</v>
      </c>
      <c r="CE46" s="78">
        <f t="shared" si="40"/>
        <v>-0.64796686866566999</v>
      </c>
      <c r="CF46" s="46">
        <f t="shared" si="46"/>
        <v>1114858.6548566069</v>
      </c>
      <c r="CG46" s="6">
        <f>(CF46-CF$34)/CF$34*100</f>
        <v>0.56500825605021399</v>
      </c>
      <c r="CH46" s="49">
        <f>(CF46/CF43-1)*100</f>
        <v>1.6660356607941962</v>
      </c>
      <c r="CI46" s="39"/>
    </row>
    <row r="47" spans="1:87" x14ac:dyDescent="0.25">
      <c r="A47" s="20">
        <v>42400</v>
      </c>
      <c r="B47" s="24">
        <f t="shared" si="36"/>
        <v>32</v>
      </c>
      <c r="C47" s="301">
        <f>'LC (Gross)'!K209</f>
        <v>-4.96255266998583</v>
      </c>
      <c r="D47" s="301">
        <f>ITL!K149</f>
        <v>-6.7889357816423681</v>
      </c>
      <c r="E47" s="301">
        <v>1.3758180118416956</v>
      </c>
      <c r="F47" s="301">
        <v>0.01</v>
      </c>
      <c r="G47" s="39"/>
      <c r="H47" s="20">
        <f t="shared" si="12"/>
        <v>42400</v>
      </c>
      <c r="I47" s="27">
        <v>-2.66</v>
      </c>
      <c r="J47" s="46">
        <f t="shared" si="13"/>
        <v>1205673.1640052819</v>
      </c>
      <c r="K47" s="7"/>
      <c r="M47" s="17"/>
      <c r="N47" s="79"/>
      <c r="O47" s="20">
        <f t="shared" si="14"/>
        <v>42400</v>
      </c>
      <c r="P47" s="78">
        <f t="shared" si="37"/>
        <v>-3.7447443357385621</v>
      </c>
      <c r="Q47" s="46">
        <f t="shared" si="42"/>
        <v>1129204.6089763716</v>
      </c>
      <c r="R47" s="7"/>
      <c r="T47" s="39"/>
      <c r="U47" s="20">
        <f t="shared" si="16"/>
        <v>42400</v>
      </c>
      <c r="V47" s="27">
        <v>-2.0499999999999998</v>
      </c>
      <c r="W47" s="46">
        <f t="shared" si="17"/>
        <v>1171007.2091204107</v>
      </c>
      <c r="X47" s="7"/>
      <c r="Z47" s="17"/>
      <c r="AA47" s="79"/>
      <c r="AB47" s="20">
        <f t="shared" si="18"/>
        <v>42400</v>
      </c>
      <c r="AC47" s="78">
        <f t="shared" si="38"/>
        <v>-2.7026695778816059</v>
      </c>
      <c r="AD47" s="46">
        <f t="shared" si="43"/>
        <v>1118455.1775724322</v>
      </c>
      <c r="AE47" s="3"/>
      <c r="AG47" s="44"/>
      <c r="AH47" s="20">
        <f t="shared" si="20"/>
        <v>42400</v>
      </c>
      <c r="AI47" s="27">
        <v>-1.38</v>
      </c>
      <c r="AJ47" s="46">
        <f t="shared" si="21"/>
        <v>1128785.3097730165</v>
      </c>
      <c r="AK47" s="3"/>
      <c r="AM47" s="17"/>
      <c r="AN47" s="79"/>
      <c r="AO47" s="20">
        <f t="shared" si="22"/>
        <v>42400</v>
      </c>
      <c r="AP47" s="78">
        <f t="shared" si="39"/>
        <v>-1.9322507085146836</v>
      </c>
      <c r="AQ47" s="46">
        <f t="shared" si="44"/>
        <v>1107724.3433395624</v>
      </c>
      <c r="AR47" s="3"/>
      <c r="AT47" s="39"/>
      <c r="AU47" s="20">
        <f t="shared" si="24"/>
        <v>42400</v>
      </c>
      <c r="AV47" s="27">
        <v>0.28999999999999998</v>
      </c>
      <c r="AW47" s="46">
        <f t="shared" si="25"/>
        <v>1006231.4778811429</v>
      </c>
      <c r="AX47" s="3"/>
      <c r="AZ47" s="17"/>
      <c r="BA47" s="79"/>
      <c r="BB47" s="20">
        <f t="shared" si="26"/>
        <v>42400</v>
      </c>
      <c r="BC47" s="78">
        <f t="shared" si="41"/>
        <v>0.12887055220848537</v>
      </c>
      <c r="BD47" s="46">
        <f t="shared" si="45"/>
        <v>1071151.7799146879</v>
      </c>
      <c r="BE47" s="3"/>
      <c r="BG47" s="39"/>
      <c r="BH47" s="20">
        <f t="shared" si="28"/>
        <v>42400</v>
      </c>
      <c r="BI47" s="27"/>
      <c r="BJ47" s="46">
        <f t="shared" si="29"/>
        <v>1000000</v>
      </c>
      <c r="BK47" s="3"/>
      <c r="BM47" s="17"/>
      <c r="BN47" s="79"/>
      <c r="BO47" s="20">
        <f t="shared" si="30"/>
        <v>42400</v>
      </c>
      <c r="BP47" s="78"/>
      <c r="BQ47" s="46">
        <f t="shared" si="31"/>
        <v>1000000</v>
      </c>
      <c r="BR47" s="3"/>
      <c r="BV47" s="39"/>
      <c r="BW47" s="20">
        <f t="shared" si="32"/>
        <v>42400</v>
      </c>
      <c r="BX47" s="27">
        <v>-0.54</v>
      </c>
      <c r="BY47" s="46">
        <f t="shared" si="33"/>
        <v>1117475.383188972</v>
      </c>
      <c r="BZ47" s="3"/>
      <c r="CB47" s="17"/>
      <c r="CC47" s="79"/>
      <c r="CD47" s="20">
        <f t="shared" si="34"/>
        <v>42400</v>
      </c>
      <c r="CE47" s="78">
        <f t="shared" si="40"/>
        <v>-0.89017595065772814</v>
      </c>
      <c r="CF47" s="46">
        <f t="shared" si="46"/>
        <v>1104934.451227247</v>
      </c>
      <c r="CG47" s="3"/>
      <c r="CI47" s="39"/>
    </row>
    <row r="48" spans="1:87" x14ac:dyDescent="0.25">
      <c r="A48" s="20">
        <v>42429</v>
      </c>
      <c r="B48" s="24">
        <f t="shared" si="36"/>
        <v>33</v>
      </c>
      <c r="C48" s="301">
        <f>'LC (Gross)'!K210</f>
        <v>-0.1347500848582405</v>
      </c>
      <c r="D48" s="301">
        <f>ITL!K150</f>
        <v>-1.1039880784358922</v>
      </c>
      <c r="E48" s="301">
        <v>0.70956867446423255</v>
      </c>
      <c r="F48" s="301">
        <v>0.02</v>
      </c>
      <c r="G48" s="39"/>
      <c r="H48" s="20">
        <f t="shared" si="12"/>
        <v>42429</v>
      </c>
      <c r="I48" s="27">
        <v>1.58</v>
      </c>
      <c r="J48" s="46">
        <f t="shared" si="13"/>
        <v>1224722.7999965653</v>
      </c>
      <c r="K48" s="7"/>
      <c r="L48" s="49"/>
      <c r="M48" s="17"/>
      <c r="N48" s="79"/>
      <c r="O48" s="20">
        <f t="shared" si="14"/>
        <v>42429</v>
      </c>
      <c r="P48" s="78">
        <f t="shared" si="37"/>
        <v>-0.23371075843741612</v>
      </c>
      <c r="Q48" s="46">
        <f t="shared" si="42"/>
        <v>1126565.5363204225</v>
      </c>
      <c r="R48" s="6"/>
      <c r="S48" s="49"/>
      <c r="T48" s="39"/>
      <c r="U48" s="20">
        <f t="shared" si="16"/>
        <v>42429</v>
      </c>
      <c r="V48" s="27">
        <v>1.43</v>
      </c>
      <c r="W48" s="46">
        <f t="shared" si="17"/>
        <v>1187752.6122108325</v>
      </c>
      <c r="X48" s="7"/>
      <c r="Y48" s="49"/>
      <c r="Z48" s="17"/>
      <c r="AA48" s="79"/>
      <c r="AB48" s="20">
        <f t="shared" si="18"/>
        <v>42429</v>
      </c>
      <c r="AC48" s="78">
        <f t="shared" si="38"/>
        <v>-5.8601044860162564E-2</v>
      </c>
      <c r="AD48" s="46">
        <f t="shared" si="43"/>
        <v>1117799.7511520821</v>
      </c>
      <c r="AE48" s="3"/>
      <c r="AG48" s="44"/>
      <c r="AH48" s="20">
        <f t="shared" si="20"/>
        <v>42429</v>
      </c>
      <c r="AI48" s="27">
        <v>1.21</v>
      </c>
      <c r="AJ48" s="46">
        <f t="shared" si="21"/>
        <v>1142443.61202127</v>
      </c>
      <c r="AK48" s="3"/>
      <c r="AM48" s="17"/>
      <c r="AN48" s="79"/>
      <c r="AO48" s="20">
        <f t="shared" si="22"/>
        <v>42429</v>
      </c>
      <c r="AP48" s="78">
        <f t="shared" si="39"/>
        <v>9.478769851850799E-2</v>
      </c>
      <c r="AQ48" s="46">
        <f t="shared" si="44"/>
        <v>1108774.3297505432</v>
      </c>
      <c r="AR48" s="3"/>
      <c r="AT48" s="39"/>
      <c r="AU48" s="20">
        <f t="shared" si="24"/>
        <v>42429</v>
      </c>
      <c r="AV48" s="27">
        <v>0.77</v>
      </c>
      <c r="AW48" s="46">
        <f t="shared" si="25"/>
        <v>1013979.4602608277</v>
      </c>
      <c r="AX48" s="3"/>
      <c r="AZ48" s="17"/>
      <c r="BA48" s="79"/>
      <c r="BB48" s="20">
        <f t="shared" si="26"/>
        <v>42429</v>
      </c>
      <c r="BC48" s="78">
        <f t="shared" si="41"/>
        <v>0.43102365971734408</v>
      </c>
      <c r="BD48" s="46">
        <f t="shared" si="45"/>
        <v>1075768.6975176036</v>
      </c>
      <c r="BE48" s="3"/>
      <c r="BG48" s="39"/>
      <c r="BH48" s="20">
        <f t="shared" si="28"/>
        <v>42429</v>
      </c>
      <c r="BI48" s="27"/>
      <c r="BJ48" s="46">
        <f t="shared" si="29"/>
        <v>1000000</v>
      </c>
      <c r="BK48" s="3"/>
      <c r="BM48" s="17"/>
      <c r="BN48" s="79"/>
      <c r="BO48" s="20">
        <f t="shared" si="30"/>
        <v>42429</v>
      </c>
      <c r="BP48" s="78"/>
      <c r="BQ48" s="46">
        <f t="shared" si="31"/>
        <v>1000000</v>
      </c>
      <c r="BR48" s="3"/>
      <c r="BV48" s="39"/>
      <c r="BW48" s="20">
        <f t="shared" si="32"/>
        <v>42429</v>
      </c>
      <c r="BX48" s="27">
        <v>1.02</v>
      </c>
      <c r="BY48" s="46">
        <f t="shared" si="33"/>
        <v>1128873.6320974994</v>
      </c>
      <c r="BZ48" s="3"/>
      <c r="CB48" s="17"/>
      <c r="CC48" s="79"/>
      <c r="CD48" s="20">
        <f t="shared" si="34"/>
        <v>42429</v>
      </c>
      <c r="CE48" s="78">
        <f t="shared" si="40"/>
        <v>0.26989741209576157</v>
      </c>
      <c r="CF48" s="46">
        <f t="shared" si="46"/>
        <v>1107916.6407164638</v>
      </c>
      <c r="CG48" s="3"/>
      <c r="CI48" s="39"/>
    </row>
    <row r="49" spans="1:87" x14ac:dyDescent="0.25">
      <c r="A49" s="20">
        <v>42460</v>
      </c>
      <c r="B49" s="24">
        <f t="shared" si="36"/>
        <v>34</v>
      </c>
      <c r="C49" s="301">
        <f>'LC (Gross)'!K211</f>
        <v>6.7835590849369094</v>
      </c>
      <c r="D49" s="301">
        <f>ITL!K151</f>
        <v>8.2094335986426437</v>
      </c>
      <c r="E49" s="301">
        <v>0.91721183879861901</v>
      </c>
      <c r="F49" s="301">
        <v>0.02</v>
      </c>
      <c r="G49" s="39"/>
      <c r="H49" s="20">
        <f t="shared" si="12"/>
        <v>42460</v>
      </c>
      <c r="I49" s="27">
        <v>5.99</v>
      </c>
      <c r="J49" s="46">
        <f t="shared" si="13"/>
        <v>1298083.6957163597</v>
      </c>
      <c r="K49" s="7"/>
      <c r="L49" s="49">
        <f>(J49/J46-1)*100</f>
        <v>4.8007625228000173</v>
      </c>
      <c r="M49" s="49"/>
      <c r="N49" s="79"/>
      <c r="O49" s="20">
        <f t="shared" si="14"/>
        <v>42460</v>
      </c>
      <c r="P49" s="78">
        <f t="shared" si="37"/>
        <v>4.9683725365116977</v>
      </c>
      <c r="Q49" s="46">
        <f>Q48*P49/100+Q48</f>
        <v>1182537.5090327722</v>
      </c>
      <c r="R49" s="7"/>
      <c r="S49" s="49">
        <f>(Q49/Q46-1)*100</f>
        <v>0.80143966797263655</v>
      </c>
      <c r="T49" s="39"/>
      <c r="U49" s="20">
        <f t="shared" si="16"/>
        <v>42460</v>
      </c>
      <c r="V49" s="27">
        <v>5.15</v>
      </c>
      <c r="W49" s="46">
        <f t="shared" si="17"/>
        <v>1248921.8717396904</v>
      </c>
      <c r="X49" s="7"/>
      <c r="Y49" s="49">
        <f>(W49/W46-1)*100</f>
        <v>4.4672452774999982</v>
      </c>
      <c r="Z49" s="49"/>
      <c r="AA49" s="79"/>
      <c r="AB49" s="20">
        <f t="shared" si="18"/>
        <v>42460</v>
      </c>
      <c r="AC49" s="78">
        <f t="shared" si="38"/>
        <v>4.0171267239056672</v>
      </c>
      <c r="AD49" s="46">
        <f>AD48*AC49/100+AD48</f>
        <v>1162703.1836753634</v>
      </c>
      <c r="AE49" s="3"/>
      <c r="AF49" s="49">
        <f>(AD49/AD46-1)*100</f>
        <v>1.1465797766263774</v>
      </c>
      <c r="AG49" s="44"/>
      <c r="AH49" s="20">
        <f t="shared" si="20"/>
        <v>42460</v>
      </c>
      <c r="AI49" s="27">
        <v>4.1900000000000004</v>
      </c>
      <c r="AJ49" s="46">
        <f t="shared" si="21"/>
        <v>1190311.9993649612</v>
      </c>
      <c r="AK49" s="3"/>
      <c r="AL49" s="49">
        <f>(AJ49/AJ46-1)*100</f>
        <v>3.99547935379998</v>
      </c>
      <c r="AM49" s="49"/>
      <c r="AN49" s="79"/>
      <c r="AO49" s="20">
        <f t="shared" si="22"/>
        <v>42460</v>
      </c>
      <c r="AP49" s="78">
        <f t="shared" si="39"/>
        <v>3.5202131831716992</v>
      </c>
      <c r="AQ49" s="46">
        <f>AQ48*AP49/100+AQ48</f>
        <v>1147805.5498780455</v>
      </c>
      <c r="AR49" s="3"/>
      <c r="AS49" s="49">
        <f>(AQ49/AQ46-1)*100</f>
        <v>1.6161715481146421</v>
      </c>
      <c r="AT49" s="39"/>
      <c r="AU49" s="20">
        <f t="shared" si="24"/>
        <v>42460</v>
      </c>
      <c r="AV49" s="27">
        <v>1.87</v>
      </c>
      <c r="AW49" s="46">
        <f t="shared" si="25"/>
        <v>1032940.8761677052</v>
      </c>
      <c r="AX49" s="3"/>
      <c r="AY49" s="49">
        <f>(AW49/AW46-1)*100</f>
        <v>2.9520967570999979</v>
      </c>
      <c r="AZ49" s="49"/>
      <c r="BA49" s="79"/>
      <c r="BB49" s="20">
        <f t="shared" si="26"/>
        <v>42460</v>
      </c>
      <c r="BC49" s="78">
        <f t="shared" si="41"/>
        <v>1.7338758755848562</v>
      </c>
      <c r="BD49" s="46">
        <f>BD48*BC49/100+BD48</f>
        <v>1094421.1914409548</v>
      </c>
      <c r="BE49" s="3"/>
      <c r="BF49" s="49">
        <f>(BD49/BD46-1)*100</f>
        <v>2.304043051782001</v>
      </c>
      <c r="BG49" s="39"/>
      <c r="BH49" s="20">
        <f t="shared" si="28"/>
        <v>42460</v>
      </c>
      <c r="BI49" s="27"/>
      <c r="BJ49" s="46">
        <f t="shared" si="29"/>
        <v>1000000</v>
      </c>
      <c r="BK49" s="3"/>
      <c r="BL49" s="49">
        <f>(BJ49/BJ46-1)*100</f>
        <v>0</v>
      </c>
      <c r="BM49" s="49"/>
      <c r="BN49" s="79"/>
      <c r="BO49" s="20">
        <f t="shared" si="30"/>
        <v>42460</v>
      </c>
      <c r="BP49" s="78"/>
      <c r="BQ49" s="46">
        <f>BQ48*BP49/100+BQ48</f>
        <v>1000000</v>
      </c>
      <c r="BR49" s="3"/>
      <c r="BS49" s="49">
        <f>(BQ49/BQ46-1)*100</f>
        <v>0</v>
      </c>
      <c r="BV49" s="39"/>
      <c r="BW49" s="20">
        <f t="shared" si="32"/>
        <v>42460</v>
      </c>
      <c r="BX49" s="27">
        <v>3.1</v>
      </c>
      <c r="BY49" s="46">
        <f t="shared" si="33"/>
        <v>1163868.7146925218</v>
      </c>
      <c r="BZ49" s="3"/>
      <c r="CA49" s="49">
        <f>(BY49/BY46-1)*100</f>
        <v>3.5892012519999739</v>
      </c>
      <c r="CB49" s="49"/>
      <c r="CC49" s="79"/>
      <c r="CD49" s="20">
        <f t="shared" si="34"/>
        <v>42460</v>
      </c>
      <c r="CE49" s="78">
        <f t="shared" si="40"/>
        <v>2.568967370565669</v>
      </c>
      <c r="CF49" s="46">
        <f>CF48*CE49/100+CF48</f>
        <v>1136378.6577095371</v>
      </c>
      <c r="CG49" s="3"/>
      <c r="CH49" s="49">
        <f>(CF49/CF46-1)*100</f>
        <v>1.9302897958574095</v>
      </c>
      <c r="CI49" s="39"/>
    </row>
    <row r="50" spans="1:87" x14ac:dyDescent="0.25">
      <c r="A50" s="20">
        <v>42490</v>
      </c>
      <c r="B50" s="24">
        <f t="shared" si="36"/>
        <v>35</v>
      </c>
      <c r="C50" s="301">
        <f>'LC (Gross)'!K212</f>
        <v>0.3879103552603822</v>
      </c>
      <c r="D50" s="301">
        <f>ITL!K152</f>
        <v>2.6994982140268799</v>
      </c>
      <c r="E50" s="301">
        <v>0.38411711035050022</v>
      </c>
      <c r="F50" s="301">
        <v>0.01</v>
      </c>
      <c r="G50" s="39"/>
      <c r="H50" s="20">
        <f t="shared" si="12"/>
        <v>42490</v>
      </c>
      <c r="I50" s="27">
        <v>-1.1499999999999999</v>
      </c>
      <c r="J50" s="126">
        <f t="shared" si="13"/>
        <v>1283155.7332156214</v>
      </c>
      <c r="K50" s="129"/>
      <c r="M50" s="49"/>
      <c r="N50" s="79"/>
      <c r="O50" s="20">
        <f t="shared" si="14"/>
        <v>42490</v>
      </c>
      <c r="P50" s="78">
        <f t="shared" si="37"/>
        <v>0.62127542749724218</v>
      </c>
      <c r="Q50" s="126">
        <f>Q49*P50/100+Q49</f>
        <v>1189884.3239973309</v>
      </c>
      <c r="R50" s="129"/>
      <c r="T50" s="39"/>
      <c r="U50" s="20">
        <f t="shared" si="16"/>
        <v>42490</v>
      </c>
      <c r="V50" s="27">
        <v>-0.91</v>
      </c>
      <c r="W50" s="126">
        <f t="shared" si="17"/>
        <v>1237556.6827068592</v>
      </c>
      <c r="X50" s="129"/>
      <c r="Z50" s="49"/>
      <c r="AA50" s="79"/>
      <c r="AB50" s="20">
        <f t="shared" si="18"/>
        <v>42490</v>
      </c>
      <c r="AC50" s="78">
        <f t="shared" si="38"/>
        <v>0.505127047822435</v>
      </c>
      <c r="AD50" s="126">
        <f>AD49*AC50/100+AD49</f>
        <v>1168576.3119420002</v>
      </c>
      <c r="AE50" s="129"/>
      <c r="AG50" s="44"/>
      <c r="AH50" s="20">
        <f t="shared" si="20"/>
        <v>42490</v>
      </c>
      <c r="AI50" s="27">
        <v>-0.62</v>
      </c>
      <c r="AJ50" s="126">
        <f t="shared" si="21"/>
        <v>1182932.0649688984</v>
      </c>
      <c r="AK50" s="129"/>
      <c r="AM50" s="127"/>
      <c r="AN50" s="79"/>
      <c r="AO50" s="20">
        <f t="shared" si="22"/>
        <v>42490</v>
      </c>
      <c r="AP50" s="78">
        <f t="shared" si="39"/>
        <v>0.54215943436649683</v>
      </c>
      <c r="AQ50" s="126">
        <f>AQ49*AP50/100+AQ49</f>
        <v>1154028.4859548914</v>
      </c>
      <c r="AR50" s="129"/>
      <c r="AT50" s="39"/>
      <c r="AU50" s="20">
        <f t="shared" si="24"/>
        <v>42490</v>
      </c>
      <c r="AV50" s="27">
        <v>-0.04</v>
      </c>
      <c r="AW50" s="126">
        <f t="shared" si="25"/>
        <v>1032527.699817238</v>
      </c>
      <c r="AX50" s="129"/>
      <c r="AZ50" s="127"/>
      <c r="BA50" s="79"/>
      <c r="BB50" s="20">
        <f t="shared" si="26"/>
        <v>42490</v>
      </c>
      <c r="BC50" s="78">
        <f t="shared" si="41"/>
        <v>0.44414792347273235</v>
      </c>
      <c r="BD50" s="126">
        <f>BD49*BC50/100+BD49</f>
        <v>1099282.0404367854</v>
      </c>
      <c r="BE50" s="129"/>
      <c r="BG50" s="39"/>
      <c r="BH50" s="20">
        <f t="shared" si="28"/>
        <v>42490</v>
      </c>
      <c r="BI50" s="27"/>
      <c r="BJ50" s="126">
        <f t="shared" si="29"/>
        <v>1000000</v>
      </c>
      <c r="BK50" s="129"/>
      <c r="BM50" s="127"/>
      <c r="BN50" s="79"/>
      <c r="BO50" s="20">
        <f t="shared" si="30"/>
        <v>42490</v>
      </c>
      <c r="BP50" s="78"/>
      <c r="BQ50" s="126">
        <f>BQ49*BP50/100+BQ49</f>
        <v>1000000</v>
      </c>
      <c r="BR50" s="129"/>
      <c r="BV50" s="39"/>
      <c r="BW50" s="20">
        <f t="shared" si="32"/>
        <v>42490</v>
      </c>
      <c r="BX50" s="27">
        <v>-0.34</v>
      </c>
      <c r="BY50" s="126">
        <f t="shared" si="33"/>
        <v>1159911.5610625672</v>
      </c>
      <c r="BZ50" s="129"/>
      <c r="CB50" s="127"/>
      <c r="CC50" s="79"/>
      <c r="CD50" s="20">
        <f t="shared" si="34"/>
        <v>42490</v>
      </c>
      <c r="CE50" s="78">
        <f t="shared" si="40"/>
        <v>0.42601105469168965</v>
      </c>
      <c r="CF50" s="126">
        <f>CF49*CE50/100+CF49</f>
        <v>1141219.7564145369</v>
      </c>
      <c r="CG50" s="129"/>
      <c r="CI50" s="39"/>
    </row>
    <row r="51" spans="1:87" x14ac:dyDescent="0.25">
      <c r="A51" s="20">
        <v>42521</v>
      </c>
      <c r="B51" s="24">
        <f t="shared" si="36"/>
        <v>36</v>
      </c>
      <c r="C51" s="301">
        <f>'LC (Gross)'!K213</f>
        <v>1.7954286499449399</v>
      </c>
      <c r="D51" s="301">
        <f>ITL!K153</f>
        <v>-1.597323148100799</v>
      </c>
      <c r="E51" s="301">
        <v>2.5610252135442626E-2</v>
      </c>
      <c r="F51" s="301">
        <v>0.02</v>
      </c>
      <c r="G51" s="39"/>
      <c r="H51" s="20">
        <f t="shared" si="12"/>
        <v>42521</v>
      </c>
      <c r="I51" s="27">
        <v>1.9</v>
      </c>
      <c r="J51" s="126">
        <f t="shared" si="13"/>
        <v>1307535.6921467183</v>
      </c>
      <c r="K51" s="6"/>
      <c r="L51" s="138"/>
      <c r="M51" s="49"/>
      <c r="N51" s="79"/>
      <c r="O51" s="20">
        <f t="shared" si="14"/>
        <v>42521</v>
      </c>
      <c r="P51" s="78">
        <f t="shared" si="37"/>
        <v>0.75388728525459714</v>
      </c>
      <c r="Q51" s="126">
        <f>Q50*P51/100+Q50</f>
        <v>1198854.7106251842</v>
      </c>
      <c r="R51" s="6"/>
      <c r="S51" s="138"/>
      <c r="T51" s="39"/>
      <c r="U51" s="20">
        <f t="shared" si="16"/>
        <v>42521</v>
      </c>
      <c r="V51" s="27">
        <v>1.6</v>
      </c>
      <c r="W51" s="126">
        <f t="shared" si="17"/>
        <v>1257357.5896301689</v>
      </c>
      <c r="X51" s="6"/>
      <c r="Y51" s="138"/>
      <c r="Z51" s="49"/>
      <c r="AA51" s="79"/>
      <c r="AB51" s="20">
        <f t="shared" si="18"/>
        <v>42521</v>
      </c>
      <c r="AC51" s="78">
        <f t="shared" si="38"/>
        <v>0.6580521154854595</v>
      </c>
      <c r="AD51" s="126">
        <f>AD50*AC51/100+AD50</f>
        <v>1176266.1530837964</v>
      </c>
      <c r="AE51" s="6"/>
      <c r="AF51" s="138"/>
      <c r="AG51" s="44"/>
      <c r="AH51" s="20">
        <f t="shared" si="20"/>
        <v>42521</v>
      </c>
      <c r="AI51" s="27">
        <v>1.18</v>
      </c>
      <c r="AJ51" s="126">
        <f t="shared" si="21"/>
        <v>1196890.6633355315</v>
      </c>
      <c r="AK51" s="6"/>
      <c r="AL51" s="138"/>
      <c r="AM51" s="49"/>
      <c r="AN51" s="79"/>
      <c r="AO51" s="20">
        <f t="shared" si="22"/>
        <v>42521</v>
      </c>
      <c r="AP51" s="78">
        <f t="shared" si="39"/>
        <v>0.4816313009180539</v>
      </c>
      <c r="AQ51" s="126">
        <f>AQ50*AP51/100+AQ50</f>
        <v>1159586.6483647609</v>
      </c>
      <c r="AR51" s="6"/>
      <c r="AS51" s="138"/>
      <c r="AT51" s="39"/>
      <c r="AU51" s="20">
        <f t="shared" si="24"/>
        <v>42521</v>
      </c>
      <c r="AV51" s="27">
        <v>0.4</v>
      </c>
      <c r="AW51" s="126">
        <f t="shared" si="25"/>
        <v>1036657.810616507</v>
      </c>
      <c r="AX51" s="6"/>
      <c r="AY51" s="138"/>
      <c r="AZ51" s="49"/>
      <c r="BA51" s="79"/>
      <c r="BB51" s="20">
        <f t="shared" si="26"/>
        <v>42521</v>
      </c>
      <c r="BC51" s="78">
        <f t="shared" si="41"/>
        <v>0.1206038840842639</v>
      </c>
      <c r="BD51" s="126">
        <f>BD50*BC51/100+BD50</f>
        <v>1100607.817274593</v>
      </c>
      <c r="BE51" s="6"/>
      <c r="BF51" s="138"/>
      <c r="BG51" s="39"/>
      <c r="BH51" s="20">
        <f t="shared" si="28"/>
        <v>42521</v>
      </c>
      <c r="BI51" s="27"/>
      <c r="BJ51" s="126">
        <f t="shared" si="29"/>
        <v>1000000</v>
      </c>
      <c r="BK51" s="6"/>
      <c r="BL51" s="138"/>
      <c r="BM51" s="49"/>
      <c r="BN51" s="79"/>
      <c r="BO51" s="20">
        <f t="shared" si="30"/>
        <v>42521</v>
      </c>
      <c r="BP51" s="78"/>
      <c r="BQ51" s="126">
        <f>BQ50*BP51/100+BQ50</f>
        <v>1000000</v>
      </c>
      <c r="BR51" s="6"/>
      <c r="BS51" s="138"/>
      <c r="BV51" s="39"/>
      <c r="BW51" s="20">
        <f t="shared" si="32"/>
        <v>42521</v>
      </c>
      <c r="BX51" s="27">
        <v>0.81</v>
      </c>
      <c r="BY51" s="126">
        <f t="shared" si="33"/>
        <v>1169306.844707174</v>
      </c>
      <c r="BZ51" s="6"/>
      <c r="CA51" s="138"/>
      <c r="CB51" s="49"/>
      <c r="CC51" s="79"/>
      <c r="CD51" s="20">
        <f t="shared" si="34"/>
        <v>42521</v>
      </c>
      <c r="CE51" s="78">
        <f t="shared" si="40"/>
        <v>0.38579613114891637</v>
      </c>
      <c r="CF51" s="126">
        <f>CF50*CE51/100+CF50</f>
        <v>1145622.5380826911</v>
      </c>
      <c r="CG51" s="6"/>
      <c r="CH51" s="138"/>
      <c r="CI51" s="39"/>
    </row>
    <row r="52" spans="1:87" x14ac:dyDescent="0.25">
      <c r="A52" s="20">
        <v>42551</v>
      </c>
      <c r="B52" s="24">
        <f t="shared" si="36"/>
        <v>37</v>
      </c>
      <c r="C52" s="301">
        <f>'LC (Gross)'!K214</f>
        <v>0.25953603335601977</v>
      </c>
      <c r="D52" s="301">
        <f>ITL!K154</f>
        <v>-1.471959204731504</v>
      </c>
      <c r="E52" s="301">
        <v>1.7967769466338652</v>
      </c>
      <c r="F52" s="301">
        <v>0.02</v>
      </c>
      <c r="G52" s="39"/>
      <c r="H52" s="20">
        <f t="shared" si="12"/>
        <v>42551</v>
      </c>
      <c r="I52" s="27">
        <v>2.46</v>
      </c>
      <c r="J52" s="126">
        <f t="shared" si="13"/>
        <v>1339701.0701735276</v>
      </c>
      <c r="K52" s="6"/>
      <c r="L52" s="49">
        <f>(J52/J49-1)*100</f>
        <v>3.2060624899999945</v>
      </c>
      <c r="M52" s="49"/>
      <c r="N52" s="79"/>
      <c r="O52" s="20">
        <f t="shared" si="14"/>
        <v>42551</v>
      </c>
      <c r="P52" s="78">
        <f t="shared" si="37"/>
        <v>-7.2049062363914701E-2</v>
      </c>
      <c r="Q52" s="126">
        <f>Q51*P52/100+Q51</f>
        <v>1197990.9470470732</v>
      </c>
      <c r="R52" s="6"/>
      <c r="S52" s="49">
        <f>(Q52/Q49-1)*100</f>
        <v>1.3068032004279306</v>
      </c>
      <c r="T52" s="39"/>
      <c r="U52" s="20">
        <f t="shared" si="16"/>
        <v>42551</v>
      </c>
      <c r="V52" s="27">
        <v>2.39</v>
      </c>
      <c r="W52" s="126">
        <f t="shared" si="17"/>
        <v>1287408.4360223298</v>
      </c>
      <c r="X52" s="6"/>
      <c r="Y52" s="49">
        <f>(W52/W49-1)*100</f>
        <v>3.0815830159999891</v>
      </c>
      <c r="Z52" s="49"/>
      <c r="AA52" s="79"/>
      <c r="AB52" s="20">
        <f t="shared" si="18"/>
        <v>42551</v>
      </c>
      <c r="AC52" s="78">
        <f t="shared" si="38"/>
        <v>0.24511183653213828</v>
      </c>
      <c r="AD52" s="126">
        <f>AD51*AC52/100+AD51</f>
        <v>1179149.3206541261</v>
      </c>
      <c r="AE52" s="6"/>
      <c r="AF52" s="49">
        <f>(AD52/AD49-1)*100</f>
        <v>1.4144742363890073</v>
      </c>
      <c r="AG52" s="44"/>
      <c r="AH52" s="20">
        <f t="shared" si="20"/>
        <v>42551</v>
      </c>
      <c r="AI52" s="27">
        <v>2.2000000000000002</v>
      </c>
      <c r="AJ52" s="126">
        <f t="shared" si="21"/>
        <v>1223222.2579289132</v>
      </c>
      <c r="AK52" s="6"/>
      <c r="AL52" s="49">
        <f>(AJ52/AJ49-1)*100</f>
        <v>2.7648430480000208</v>
      </c>
      <c r="AM52" s="49"/>
      <c r="AN52" s="79"/>
      <c r="AO52" s="20">
        <f t="shared" si="22"/>
        <v>42551</v>
      </c>
      <c r="AP52" s="78">
        <f t="shared" si="39"/>
        <v>0.57651362252330929</v>
      </c>
      <c r="AQ52" s="126">
        <f>AQ51*AP52/100+AQ51</f>
        <v>1166271.8233575453</v>
      </c>
      <c r="AR52" s="6"/>
      <c r="AS52" s="49">
        <f>(AQ52/AQ49-1)*100</f>
        <v>1.6088329143783886</v>
      </c>
      <c r="AT52" s="39"/>
      <c r="AU52" s="20">
        <f t="shared" si="24"/>
        <v>42551</v>
      </c>
      <c r="AV52" s="27">
        <v>1.79</v>
      </c>
      <c r="AW52" s="126">
        <f t="shared" si="25"/>
        <v>1055213.9854265423</v>
      </c>
      <c r="AX52" s="6"/>
      <c r="AY52" s="49">
        <f>(AW52/AW49-1)*100</f>
        <v>2.1562811359999934</v>
      </c>
      <c r="AZ52" s="49"/>
      <c r="BA52" s="79"/>
      <c r="BB52" s="20">
        <f t="shared" si="26"/>
        <v>42551</v>
      </c>
      <c r="BC52" s="78">
        <f t="shared" si="41"/>
        <v>1.2130995057427323</v>
      </c>
      <c r="BD52" s="126">
        <f>BD51*BC52/100+BD51</f>
        <v>1113959.285266117</v>
      </c>
      <c r="BE52" s="6"/>
      <c r="BF52" s="49">
        <f>(BD52/BD49-1)*100</f>
        <v>1.7852444724172134</v>
      </c>
      <c r="BG52" s="39"/>
      <c r="BH52" s="20">
        <f t="shared" si="28"/>
        <v>42551</v>
      </c>
      <c r="BI52" s="27"/>
      <c r="BJ52" s="126">
        <f t="shared" si="29"/>
        <v>1000000</v>
      </c>
      <c r="BK52" s="6"/>
      <c r="BL52" s="49">
        <f>(BJ52/BJ49-1)*100</f>
        <v>0</v>
      </c>
      <c r="BM52" s="49"/>
      <c r="BN52" s="79"/>
      <c r="BO52" s="20">
        <f t="shared" si="30"/>
        <v>42551</v>
      </c>
      <c r="BP52" s="78"/>
      <c r="BQ52" s="126">
        <f>BQ51*BP52/100+BQ51</f>
        <v>1000000</v>
      </c>
      <c r="BR52" s="6"/>
      <c r="BS52" s="49">
        <f>(BQ52/BQ49-1)*100</f>
        <v>0</v>
      </c>
      <c r="BV52" s="39"/>
      <c r="BW52" s="20">
        <f t="shared" si="32"/>
        <v>42551</v>
      </c>
      <c r="BX52" s="27">
        <v>2.0699999999999998</v>
      </c>
      <c r="BY52" s="126">
        <f t="shared" si="33"/>
        <v>1193511.4963926126</v>
      </c>
      <c r="BZ52" s="6"/>
      <c r="CA52" s="49">
        <f>(BY52/BY49-1)*100</f>
        <v>2.5469179921999929</v>
      </c>
      <c r="CB52" s="49"/>
      <c r="CC52" s="79"/>
      <c r="CD52" s="20">
        <f t="shared" si="34"/>
        <v>42551</v>
      </c>
      <c r="CE52" s="78">
        <f t="shared" si="40"/>
        <v>0.89367452141936232</v>
      </c>
      <c r="CF52" s="126">
        <f>CF51*CE52/100+CF51</f>
        <v>1155860.674817174</v>
      </c>
      <c r="CG52" s="6"/>
      <c r="CH52" s="49">
        <f>(CF52/CF49-1)*100</f>
        <v>1.7143948432562395</v>
      </c>
      <c r="CI52" s="39"/>
    </row>
    <row r="53" spans="1:87" x14ac:dyDescent="0.25">
      <c r="A53" s="20">
        <v>42582</v>
      </c>
      <c r="B53" s="24">
        <f t="shared" si="36"/>
        <v>38</v>
      </c>
      <c r="C53" s="301">
        <f>'LC (Gross)'!K215</f>
        <v>3.6864546457923151</v>
      </c>
      <c r="D53" s="301">
        <f>ITL!K155</f>
        <v>5.0075995499793597</v>
      </c>
      <c r="E53" s="301">
        <v>0.63224654656283441</v>
      </c>
      <c r="F53" s="301">
        <v>0.02</v>
      </c>
      <c r="G53" s="39"/>
      <c r="H53" s="20">
        <f t="shared" si="12"/>
        <v>42582</v>
      </c>
      <c r="I53" s="27">
        <v>1.73</v>
      </c>
      <c r="J53" s="126">
        <f t="shared" si="13"/>
        <v>1362877.8986875296</v>
      </c>
      <c r="K53" s="6"/>
      <c r="M53" s="49"/>
      <c r="N53" s="79"/>
      <c r="O53" s="20">
        <f t="shared" si="14"/>
        <v>42582</v>
      </c>
      <c r="P53" s="78">
        <f t="shared" si="37"/>
        <v>2.7846899876826772</v>
      </c>
      <c r="Q53" s="126">
        <f>Q52*P53/100+Q52</f>
        <v>1231351.2810028379</v>
      </c>
      <c r="R53" s="6"/>
      <c r="T53" s="39"/>
      <c r="U53" s="20">
        <f t="shared" si="16"/>
        <v>42582</v>
      </c>
      <c r="V53" s="27">
        <v>1.53</v>
      </c>
      <c r="W53" s="126">
        <f t="shared" ref="W53:W57" si="47">W52*V53/100+W52</f>
        <v>1307105.7850934714</v>
      </c>
      <c r="X53" s="6"/>
      <c r="Z53" s="49"/>
      <c r="AA53" s="79"/>
      <c r="AB53" s="20">
        <f t="shared" si="18"/>
        <v>42582</v>
      </c>
      <c r="AC53" s="78">
        <f t="shared" si="38"/>
        <v>2.2605015275889029</v>
      </c>
      <c r="AD53" s="126">
        <f>AD52*AC53/100+AD52</f>
        <v>1205804.0090600669</v>
      </c>
      <c r="AE53" s="6"/>
      <c r="AG53" s="44"/>
      <c r="AH53" s="20">
        <f t="shared" si="20"/>
        <v>42582</v>
      </c>
      <c r="AI53" s="27">
        <v>1.31</v>
      </c>
      <c r="AJ53" s="126">
        <f t="shared" ref="AJ53:AJ57" si="48">AJ52*AI53/100+AJ52</f>
        <v>1239246.469507782</v>
      </c>
      <c r="AK53" s="6"/>
      <c r="AM53" s="49"/>
      <c r="AN53" s="79"/>
      <c r="AO53" s="20">
        <f t="shared" si="22"/>
        <v>42582</v>
      </c>
      <c r="AP53" s="78">
        <f t="shared" si="39"/>
        <v>2.0163053723222384</v>
      </c>
      <c r="AQ53" s="126">
        <f>AQ52*AP53/100+AQ52</f>
        <v>1189787.424787784</v>
      </c>
      <c r="AR53" s="6"/>
      <c r="AT53" s="39"/>
      <c r="AU53" s="20">
        <f t="shared" si="24"/>
        <v>42582</v>
      </c>
      <c r="AV53" s="27">
        <v>0.95</v>
      </c>
      <c r="AW53" s="126">
        <f t="shared" ref="AW53:AW57" si="49">AW52*AV53/100+AW52</f>
        <v>1065238.5182880946</v>
      </c>
      <c r="AX53" s="6"/>
      <c r="AZ53" s="49"/>
      <c r="BA53" s="79"/>
      <c r="BB53" s="20">
        <f t="shared" si="26"/>
        <v>42582</v>
      </c>
      <c r="BC53" s="78">
        <f t="shared" si="41"/>
        <v>1.0645980246721836</v>
      </c>
      <c r="BD53" s="126">
        <f>BD52*BC53/100+BD52</f>
        <v>1125818.4738127124</v>
      </c>
      <c r="BE53" s="6"/>
      <c r="BG53" s="39"/>
      <c r="BH53" s="20">
        <f t="shared" si="28"/>
        <v>42582</v>
      </c>
      <c r="BI53" s="27"/>
      <c r="BJ53" s="126">
        <f t="shared" si="29"/>
        <v>1000000</v>
      </c>
      <c r="BK53" s="6"/>
      <c r="BM53" s="49"/>
      <c r="BN53" s="79"/>
      <c r="BO53" s="20">
        <f t="shared" si="30"/>
        <v>42582</v>
      </c>
      <c r="BP53" s="78"/>
      <c r="BQ53" s="126">
        <f>BQ52*BP53/100+BQ52</f>
        <v>1000000</v>
      </c>
      <c r="BR53" s="6"/>
      <c r="BV53" s="39"/>
      <c r="BW53" s="20">
        <f t="shared" si="32"/>
        <v>42582</v>
      </c>
      <c r="BX53" s="27">
        <v>1.1599999999999999</v>
      </c>
      <c r="BY53" s="126">
        <f t="shared" ref="BY53:BY57" si="50">BY52*BX53/100+BY52</f>
        <v>1207356.2297507669</v>
      </c>
      <c r="BZ53" s="6"/>
      <c r="CB53" s="49"/>
      <c r="CC53" s="79"/>
      <c r="CD53" s="20">
        <f t="shared" si="34"/>
        <v>42582</v>
      </c>
      <c r="CE53" s="78">
        <f t="shared" si="40"/>
        <v>1.4921169122284641</v>
      </c>
      <c r="CF53" s="126">
        <f>CF52*CE53/100+CF52</f>
        <v>1173107.4674279192</v>
      </c>
      <c r="CG53" s="6"/>
      <c r="CI53" s="39"/>
    </row>
    <row r="54" spans="1:87" x14ac:dyDescent="0.25">
      <c r="A54" s="20">
        <v>42613</v>
      </c>
      <c r="B54" s="24">
        <f t="shared" si="36"/>
        <v>39</v>
      </c>
      <c r="C54" s="301">
        <f>'LC (Gross)'!K216</f>
        <v>0.1407212996798694</v>
      </c>
      <c r="D54" s="301">
        <f>ITL!K156</f>
        <v>0.66296044883192806</v>
      </c>
      <c r="E54" s="301">
        <v>-0.11418713948963383</v>
      </c>
      <c r="F54" s="301">
        <v>0.02</v>
      </c>
      <c r="G54" s="39"/>
      <c r="H54" s="20">
        <f t="shared" si="12"/>
        <v>42613</v>
      </c>
      <c r="I54" s="27">
        <v>-1.31</v>
      </c>
      <c r="J54" s="126">
        <f t="shared" si="13"/>
        <v>1345024.198214723</v>
      </c>
      <c r="K54" s="6"/>
      <c r="L54" s="49"/>
      <c r="M54" s="49"/>
      <c r="N54" s="79"/>
      <c r="O54" s="20">
        <f t="shared" si="14"/>
        <v>42613</v>
      </c>
      <c r="P54" s="78">
        <f t="shared" si="37"/>
        <v>0.18284078214871741</v>
      </c>
      <c r="Q54" s="126">
        <f t="shared" ref="Q54:Q57" si="51">Q53*P54/100+Q53</f>
        <v>1233602.6933160217</v>
      </c>
      <c r="R54" s="7"/>
      <c r="S54" s="49"/>
      <c r="T54" s="39"/>
      <c r="U54" s="20">
        <f t="shared" si="16"/>
        <v>42613</v>
      </c>
      <c r="V54" s="27">
        <v>-1.26</v>
      </c>
      <c r="W54" s="126">
        <f t="shared" si="47"/>
        <v>1290636.2522012936</v>
      </c>
      <c r="X54" s="6"/>
      <c r="Y54" s="49"/>
      <c r="Z54" s="49"/>
      <c r="AA54" s="79"/>
      <c r="AB54" s="20">
        <f t="shared" si="18"/>
        <v>42613</v>
      </c>
      <c r="AC54" s="78">
        <f t="shared" si="38"/>
        <v>0.11849255881568899</v>
      </c>
      <c r="AD54" s="126">
        <f t="shared" ref="AD54:AD57" si="52">AD53*AC54/100+AD53</f>
        <v>1207232.7970847043</v>
      </c>
      <c r="AE54" s="3"/>
      <c r="AG54" s="44"/>
      <c r="AH54" s="20">
        <f t="shared" si="20"/>
        <v>42613</v>
      </c>
      <c r="AI54" s="27">
        <v>-1.1200000000000001</v>
      </c>
      <c r="AJ54" s="126">
        <f t="shared" si="48"/>
        <v>1225366.9090492949</v>
      </c>
      <c r="AK54" s="6"/>
      <c r="AM54" s="49"/>
      <c r="AN54" s="79"/>
      <c r="AO54" s="20">
        <f t="shared" si="22"/>
        <v>42613</v>
      </c>
      <c r="AP54" s="78">
        <f t="shared" si="39"/>
        <v>7.9583000949775259E-2</v>
      </c>
      <c r="AQ54" s="126">
        <f t="shared" ref="AQ54:AQ57" si="53">AQ53*AP54/100+AQ53</f>
        <v>1190734.2933253532</v>
      </c>
      <c r="AR54" s="3"/>
      <c r="AT54" s="39"/>
      <c r="AU54" s="20">
        <f t="shared" si="24"/>
        <v>42613</v>
      </c>
      <c r="AV54" s="27">
        <v>-0.63</v>
      </c>
      <c r="AW54" s="126">
        <f t="shared" si="49"/>
        <v>1058527.5156228796</v>
      </c>
      <c r="AX54" s="6"/>
      <c r="AZ54" s="49"/>
      <c r="BA54" s="79"/>
      <c r="BB54" s="20">
        <f t="shared" si="26"/>
        <v>42613</v>
      </c>
      <c r="BC54" s="78">
        <f t="shared" si="41"/>
        <v>-2.9710845233160321E-2</v>
      </c>
      <c r="BD54" s="126">
        <f t="shared" ref="BD54:BD57" si="54">BD53*BC54/100+BD53</f>
        <v>1125483.9836283515</v>
      </c>
      <c r="BE54" s="3"/>
      <c r="BG54" s="39"/>
      <c r="BH54" s="20">
        <f t="shared" si="28"/>
        <v>42613</v>
      </c>
      <c r="BI54" s="27"/>
      <c r="BJ54" s="126">
        <f t="shared" si="29"/>
        <v>1000000</v>
      </c>
      <c r="BK54" s="6"/>
      <c r="BM54" s="49"/>
      <c r="BN54" s="79"/>
      <c r="BO54" s="20">
        <f t="shared" si="30"/>
        <v>42613</v>
      </c>
      <c r="BP54" s="78"/>
      <c r="BQ54" s="126">
        <f t="shared" ref="BQ54:BQ112" si="55">BQ53*BP54/100+BQ53</f>
        <v>1000000</v>
      </c>
      <c r="BR54" s="3"/>
      <c r="BV54" s="39"/>
      <c r="BW54" s="20">
        <f t="shared" si="32"/>
        <v>42613</v>
      </c>
      <c r="BX54" s="27">
        <v>-0.82</v>
      </c>
      <c r="BY54" s="126">
        <f t="shared" si="50"/>
        <v>1197455.9086668105</v>
      </c>
      <c r="BZ54" s="6"/>
      <c r="CB54" s="49"/>
      <c r="CC54" s="79"/>
      <c r="CD54" s="20">
        <f t="shared" si="34"/>
        <v>42613</v>
      </c>
      <c r="CE54" s="78">
        <f t="shared" si="40"/>
        <v>1.5234777616746849E-2</v>
      </c>
      <c r="CF54" s="126">
        <f t="shared" ref="CF54:CF57" si="56">CF53*CE54/100+CF53</f>
        <v>1173286.1877417872</v>
      </c>
      <c r="CG54" s="3"/>
      <c r="CI54" s="39"/>
    </row>
    <row r="55" spans="1:87" x14ac:dyDescent="0.25">
      <c r="A55" s="20">
        <v>42643</v>
      </c>
      <c r="B55" s="24">
        <f t="shared" si="36"/>
        <v>40</v>
      </c>
      <c r="C55" s="301">
        <f>'LC (Gross)'!K217</f>
        <v>1.867100831628743E-2</v>
      </c>
      <c r="D55" s="301">
        <f>ITL!K157</f>
        <v>1.2826767276634126</v>
      </c>
      <c r="E55" s="301">
        <v>-5.8876056089258333E-2</v>
      </c>
      <c r="F55" s="301">
        <v>0.02</v>
      </c>
      <c r="G55" s="39"/>
      <c r="H55" s="20">
        <f t="shared" si="12"/>
        <v>42643</v>
      </c>
      <c r="I55" s="27">
        <v>-0.92</v>
      </c>
      <c r="J55" s="126">
        <f t="shared" si="13"/>
        <v>1332649.9755911476</v>
      </c>
      <c r="K55" s="6"/>
      <c r="L55" s="49">
        <f>(J55/J52-1)*100</f>
        <v>-0.52631850040000261</v>
      </c>
      <c r="M55" s="49"/>
      <c r="N55" s="79"/>
      <c r="O55" s="20">
        <f t="shared" si="14"/>
        <v>42643</v>
      </c>
      <c r="P55" s="78">
        <f t="shared" si="37"/>
        <v>0.20867056372346995</v>
      </c>
      <c r="Q55" s="126">
        <f t="shared" si="51"/>
        <v>1236176.8590102722</v>
      </c>
      <c r="R55" s="6"/>
      <c r="S55" s="49">
        <f>(Q55/Q52-1)*100</f>
        <v>3.1874958702587497</v>
      </c>
      <c r="T55" s="39"/>
      <c r="U55" s="20">
        <f t="shared" si="16"/>
        <v>42643</v>
      </c>
      <c r="V55" s="27">
        <v>-0.85</v>
      </c>
      <c r="W55" s="126">
        <f t="shared" si="47"/>
        <v>1279665.8440575826</v>
      </c>
      <c r="X55" s="6"/>
      <c r="Y55" s="49">
        <f>(W55/W52-1)*100</f>
        <v>-0.60140913700001963</v>
      </c>
      <c r="Z55" s="49"/>
      <c r="AA55" s="79"/>
      <c r="AB55" s="20">
        <f t="shared" si="18"/>
        <v>42643</v>
      </c>
      <c r="AC55" s="78">
        <f t="shared" si="38"/>
        <v>0.13383821809528187</v>
      </c>
      <c r="AD55" s="126">
        <f t="shared" si="52"/>
        <v>1208848.5359485843</v>
      </c>
      <c r="AE55" s="6"/>
      <c r="AF55" s="49">
        <f>(AD55/AD52-1)*100</f>
        <v>2.518698418787424</v>
      </c>
      <c r="AG55" s="44"/>
      <c r="AH55" s="20">
        <f t="shared" si="20"/>
        <v>42643</v>
      </c>
      <c r="AI55" s="27">
        <v>-0.73</v>
      </c>
      <c r="AJ55" s="126">
        <f t="shared" si="48"/>
        <v>1216421.7306132352</v>
      </c>
      <c r="AK55" s="6"/>
      <c r="AL55" s="49">
        <f>(AJ55/AJ52-1)*100</f>
        <v>-0.55595189439998638</v>
      </c>
      <c r="AM55" s="49"/>
      <c r="AN55" s="79"/>
      <c r="AO55" s="20">
        <f t="shared" si="22"/>
        <v>42643</v>
      </c>
      <c r="AP55" s="78">
        <f t="shared" si="39"/>
        <v>0.11819590604580146</v>
      </c>
      <c r="AQ55" s="126">
        <f t="shared" si="53"/>
        <v>1192141.6925119471</v>
      </c>
      <c r="AR55" s="6"/>
      <c r="AS55" s="49">
        <f>(AQ55/AQ52-1)*100</f>
        <v>2.2181680665083636</v>
      </c>
      <c r="AT55" s="39"/>
      <c r="AU55" s="20">
        <f t="shared" si="24"/>
        <v>42643</v>
      </c>
      <c r="AV55" s="27">
        <v>-0.09</v>
      </c>
      <c r="AW55" s="126">
        <f t="shared" si="49"/>
        <v>1057574.840858819</v>
      </c>
      <c r="AX55" s="6"/>
      <c r="AY55" s="49">
        <f>(AW55/AW52-1)*100</f>
        <v>0.22373238649999738</v>
      </c>
      <c r="AZ55" s="49"/>
      <c r="BA55" s="79"/>
      <c r="BB55" s="20">
        <f t="shared" si="26"/>
        <v>42643</v>
      </c>
      <c r="BC55" s="78">
        <f t="shared" si="41"/>
        <v>2.7787697952318554E-2</v>
      </c>
      <c r="BD55" s="126">
        <f t="shared" si="54"/>
        <v>1125796.7297182239</v>
      </c>
      <c r="BE55" s="6"/>
      <c r="BF55" s="49">
        <f>(BD55/BD52-1)*100</f>
        <v>1.0626460597506604</v>
      </c>
      <c r="BG55" s="39"/>
      <c r="BH55" s="20">
        <f t="shared" si="28"/>
        <v>42643</v>
      </c>
      <c r="BI55" s="27"/>
      <c r="BJ55" s="126">
        <f t="shared" si="29"/>
        <v>1000000</v>
      </c>
      <c r="BK55" s="6"/>
      <c r="BL55" s="49">
        <f>(BJ55/BJ52-1)*100</f>
        <v>0</v>
      </c>
      <c r="BM55" s="49"/>
      <c r="BN55" s="79"/>
      <c r="BO55" s="20">
        <f t="shared" si="30"/>
        <v>42643</v>
      </c>
      <c r="BP55" s="78"/>
      <c r="BQ55" s="126">
        <f t="shared" si="55"/>
        <v>1000000</v>
      </c>
      <c r="BR55" s="6"/>
      <c r="BS55" s="49">
        <f>(BQ55/BQ52-1)*100</f>
        <v>0</v>
      </c>
      <c r="BV55" s="39"/>
      <c r="BW55" s="20">
        <f t="shared" si="32"/>
        <v>42643</v>
      </c>
      <c r="BX55" s="27">
        <v>-0.41</v>
      </c>
      <c r="BY55" s="126">
        <f t="shared" si="50"/>
        <v>1192546.3394412766</v>
      </c>
      <c r="BZ55" s="6"/>
      <c r="CA55" s="49">
        <f>(BY55/BY52-1)*100</f>
        <v>-8.0867000800000088E-2</v>
      </c>
      <c r="CB55" s="49"/>
      <c r="CC55" s="79"/>
      <c r="CD55" s="20">
        <f t="shared" si="34"/>
        <v>42643</v>
      </c>
      <c r="CE55" s="78">
        <f t="shared" si="40"/>
        <v>4.3363560417613328E-2</v>
      </c>
      <c r="CF55" s="126">
        <f t="shared" si="56"/>
        <v>1173794.9664066802</v>
      </c>
      <c r="CG55" s="6"/>
      <c r="CH55" s="49">
        <f>(CF55/CF52-1)*100</f>
        <v>1.5515963108912789</v>
      </c>
      <c r="CI55" s="39"/>
    </row>
    <row r="56" spans="1:87" x14ac:dyDescent="0.25">
      <c r="A56" s="20">
        <v>42674</v>
      </c>
      <c r="B56" s="24">
        <f t="shared" si="36"/>
        <v>41</v>
      </c>
      <c r="C56" s="301">
        <f>'LC (Gross)'!K218</f>
        <v>-1.8241743085794966</v>
      </c>
      <c r="D56" s="301">
        <f>ITL!K158</f>
        <v>-1.4174014188051396</v>
      </c>
      <c r="E56" s="301">
        <v>-0.76485777965419033</v>
      </c>
      <c r="F56" s="301">
        <v>0.01</v>
      </c>
      <c r="G56" s="39"/>
      <c r="H56" s="20">
        <f t="shared" si="12"/>
        <v>42674</v>
      </c>
      <c r="I56" s="27">
        <v>-1.99</v>
      </c>
      <c r="J56" s="126">
        <f t="shared" si="13"/>
        <v>1306130.2410768836</v>
      </c>
      <c r="K56" s="7"/>
      <c r="M56" s="49"/>
      <c r="N56" s="79"/>
      <c r="O56" s="20">
        <f t="shared" si="14"/>
        <v>42674</v>
      </c>
      <c r="P56" s="78">
        <f t="shared" si="37"/>
        <v>-1.2129060825394944</v>
      </c>
      <c r="Q56" s="126">
        <f t="shared" si="51"/>
        <v>1221183.194696391</v>
      </c>
      <c r="R56" s="7"/>
      <c r="T56" s="39"/>
      <c r="U56" s="20">
        <f t="shared" si="16"/>
        <v>42674</v>
      </c>
      <c r="V56" s="27">
        <v>-1.86</v>
      </c>
      <c r="W56" s="126">
        <f t="shared" si="47"/>
        <v>1255864.0593581116</v>
      </c>
      <c r="X56" s="7"/>
      <c r="Z56" s="49"/>
      <c r="AA56" s="79"/>
      <c r="AB56" s="20">
        <f t="shared" si="18"/>
        <v>42674</v>
      </c>
      <c r="AC56" s="78">
        <f t="shared" si="38"/>
        <v>-1.074347247689416</v>
      </c>
      <c r="AD56" s="126">
        <f t="shared" si="52"/>
        <v>1195861.3049738868</v>
      </c>
      <c r="AE56" s="3"/>
      <c r="AG56" s="44"/>
      <c r="AH56" s="20">
        <f t="shared" si="20"/>
        <v>42674</v>
      </c>
      <c r="AI56" s="27">
        <v>-1.68</v>
      </c>
      <c r="AJ56" s="126">
        <f t="shared" si="48"/>
        <v>1195985.8455389328</v>
      </c>
      <c r="AK56" s="3"/>
      <c r="AM56" s="49"/>
      <c r="AN56" s="79"/>
      <c r="AO56" s="20">
        <f t="shared" si="22"/>
        <v>42674</v>
      </c>
      <c r="AP56" s="78">
        <f t="shared" si="39"/>
        <v>-1.0459013727623043</v>
      </c>
      <c r="AQ56" s="126">
        <f t="shared" si="53"/>
        <v>1179673.066184693</v>
      </c>
      <c r="AR56" s="3"/>
      <c r="AT56" s="39"/>
      <c r="AU56" s="20">
        <f t="shared" si="24"/>
        <v>42674</v>
      </c>
      <c r="AV56" s="27">
        <v>-1.05</v>
      </c>
      <c r="AW56" s="126">
        <f t="shared" si="49"/>
        <v>1046470.3050298013</v>
      </c>
      <c r="AX56" s="3"/>
      <c r="AZ56" s="49"/>
      <c r="BA56" s="79"/>
      <c r="BB56" s="20">
        <f t="shared" si="26"/>
        <v>42674</v>
      </c>
      <c r="BC56" s="78">
        <f t="shared" si="41"/>
        <v>-0.78718794755613997</v>
      </c>
      <c r="BD56" s="126">
        <f t="shared" si="54"/>
        <v>1116934.5935479009</v>
      </c>
      <c r="BE56" s="3"/>
      <c r="BG56" s="39"/>
      <c r="BH56" s="20">
        <f t="shared" si="28"/>
        <v>42674</v>
      </c>
      <c r="BI56" s="27"/>
      <c r="BJ56" s="126">
        <f t="shared" si="29"/>
        <v>1000000</v>
      </c>
      <c r="BK56" s="3"/>
      <c r="BM56" s="49"/>
      <c r="BN56" s="79"/>
      <c r="BO56" s="20">
        <f t="shared" si="30"/>
        <v>42674</v>
      </c>
      <c r="BP56" s="78"/>
      <c r="BQ56" s="126">
        <f t="shared" si="55"/>
        <v>1000000</v>
      </c>
      <c r="BR56" s="3"/>
      <c r="BV56" s="39"/>
      <c r="BW56" s="20">
        <f t="shared" si="32"/>
        <v>42674</v>
      </c>
      <c r="BX56" s="27">
        <v>-1.35</v>
      </c>
      <c r="BY56" s="126">
        <f t="shared" si="50"/>
        <v>1176446.9638588193</v>
      </c>
      <c r="BZ56" s="3"/>
      <c r="CB56" s="49"/>
      <c r="CC56" s="79"/>
      <c r="CD56" s="20">
        <f t="shared" si="34"/>
        <v>42674</v>
      </c>
      <c r="CE56" s="78">
        <f t="shared" si="40"/>
        <v>-0.90734253791222619</v>
      </c>
      <c r="CF56" s="126">
        <f t="shared" si="56"/>
        <v>1163144.6253685998</v>
      </c>
      <c r="CG56" s="3"/>
      <c r="CI56" s="39"/>
    </row>
    <row r="57" spans="1:87" x14ac:dyDescent="0.25">
      <c r="A57" s="20">
        <v>42704</v>
      </c>
      <c r="B57" s="24">
        <f t="shared" si="36"/>
        <v>42</v>
      </c>
      <c r="C57" s="301">
        <f>'LC (Gross)'!K219</f>
        <v>3.7036267290456193</v>
      </c>
      <c r="D57" s="301">
        <f>ITL!K159</f>
        <v>-2.2755947523257709</v>
      </c>
      <c r="E57" s="301">
        <v>-2.3651924408825651</v>
      </c>
      <c r="F57" s="301">
        <v>0.01</v>
      </c>
      <c r="G57" s="39"/>
      <c r="H57" s="20">
        <f t="shared" si="12"/>
        <v>42704</v>
      </c>
      <c r="I57" s="27">
        <v>4.13</v>
      </c>
      <c r="J57" s="126">
        <f t="shared" si="13"/>
        <v>1360073.420033359</v>
      </c>
      <c r="K57" s="6"/>
      <c r="L57" s="49"/>
      <c r="M57" s="49"/>
      <c r="N57" s="79"/>
      <c r="O57" s="20">
        <f t="shared" si="14"/>
        <v>42704</v>
      </c>
      <c r="P57" s="78">
        <f t="shared" si="37"/>
        <v>1.698655488126225</v>
      </c>
      <c r="Q57" s="126">
        <f t="shared" si="51"/>
        <v>1241926.8900531763</v>
      </c>
      <c r="R57" s="6"/>
      <c r="S57" s="49"/>
      <c r="T57" s="39"/>
      <c r="U57" s="20">
        <f t="shared" si="16"/>
        <v>42704</v>
      </c>
      <c r="V57" s="27">
        <v>3.27</v>
      </c>
      <c r="W57" s="126">
        <f t="shared" si="47"/>
        <v>1296930.8140991218</v>
      </c>
      <c r="X57" s="6"/>
      <c r="Y57" s="49"/>
      <c r="Z57" s="49"/>
      <c r="AA57" s="79"/>
      <c r="AB57" s="20">
        <f t="shared" si="18"/>
        <v>42704</v>
      </c>
      <c r="AC57" s="78">
        <f t="shared" si="38"/>
        <v>1.0872936867055667</v>
      </c>
      <c r="AD57" s="126">
        <f t="shared" si="52"/>
        <v>1208863.8294446226</v>
      </c>
      <c r="AE57" s="6"/>
      <c r="AF57" s="49"/>
      <c r="AG57" s="44"/>
      <c r="AH57" s="20">
        <f t="shared" si="20"/>
        <v>42704</v>
      </c>
      <c r="AI57" s="27">
        <v>2.2799999999999998</v>
      </c>
      <c r="AJ57" s="126">
        <f t="shared" si="48"/>
        <v>1223254.3228172206</v>
      </c>
      <c r="AK57" s="6"/>
      <c r="AL57" s="49"/>
      <c r="AM57" s="49"/>
      <c r="AN57" s="79"/>
      <c r="AO57" s="20">
        <f t="shared" si="22"/>
        <v>42704</v>
      </c>
      <c r="AP57" s="78">
        <f t="shared" si="39"/>
        <v>0.24289252562449193</v>
      </c>
      <c r="AQ57" s="126">
        <f t="shared" si="53"/>
        <v>1182538.403889261</v>
      </c>
      <c r="AR57" s="6"/>
      <c r="AS57" s="49"/>
      <c r="AT57" s="39"/>
      <c r="AU57" s="20">
        <f t="shared" si="24"/>
        <v>42704</v>
      </c>
      <c r="AV57" s="27">
        <v>0.95</v>
      </c>
      <c r="AW57" s="126">
        <f t="shared" si="49"/>
        <v>1056411.7729275844</v>
      </c>
      <c r="AX57" s="6"/>
      <c r="AY57" s="49"/>
      <c r="AZ57" s="49"/>
      <c r="BA57" s="79"/>
      <c r="BB57" s="20">
        <f t="shared" si="26"/>
        <v>42704</v>
      </c>
      <c r="BC57" s="78">
        <f t="shared" si="41"/>
        <v>-1.397551773329522</v>
      </c>
      <c r="BD57" s="126">
        <f t="shared" si="54"/>
        <v>1101324.8543288414</v>
      </c>
      <c r="BE57" s="6"/>
      <c r="BF57" s="49"/>
      <c r="BG57" s="39"/>
      <c r="BH57" s="20">
        <f t="shared" si="28"/>
        <v>42704</v>
      </c>
      <c r="BI57" s="27"/>
      <c r="BJ57" s="126">
        <f t="shared" si="29"/>
        <v>1000000</v>
      </c>
      <c r="BK57" s="6"/>
      <c r="BL57" s="49"/>
      <c r="BM57" s="49"/>
      <c r="BN57" s="79"/>
      <c r="BO57" s="20">
        <f t="shared" si="30"/>
        <v>42704</v>
      </c>
      <c r="BP57" s="78"/>
      <c r="BQ57" s="126">
        <f t="shared" si="55"/>
        <v>1000000</v>
      </c>
      <c r="BR57" s="6"/>
      <c r="BS57" s="49"/>
      <c r="BV57" s="39"/>
      <c r="BW57" s="20">
        <f t="shared" si="32"/>
        <v>42704</v>
      </c>
      <c r="BX57" s="27">
        <v>1.47</v>
      </c>
      <c r="BY57" s="126">
        <f t="shared" si="50"/>
        <v>1193740.7342275439</v>
      </c>
      <c r="BZ57" s="6"/>
      <c r="CA57" s="49"/>
      <c r="CB57" s="49"/>
      <c r="CC57" s="79"/>
      <c r="CD57" s="20">
        <f t="shared" si="34"/>
        <v>42704</v>
      </c>
      <c r="CE57" s="78">
        <f t="shared" si="40"/>
        <v>-0.36846927579616628</v>
      </c>
      <c r="CF57" s="126">
        <f t="shared" si="56"/>
        <v>1158858.7947910421</v>
      </c>
      <c r="CG57" s="6"/>
      <c r="CH57" s="49"/>
      <c r="CI57" s="39"/>
    </row>
    <row r="58" spans="1:87" x14ac:dyDescent="0.25">
      <c r="A58" s="20">
        <v>42735</v>
      </c>
      <c r="B58" s="24">
        <f t="shared" si="36"/>
        <v>43</v>
      </c>
      <c r="C58" s="301">
        <f>'LC (Gross)'!K220</f>
        <v>1.969910613246475</v>
      </c>
      <c r="D58" s="301">
        <f>ITL!K160</f>
        <v>2.6013114694148536</v>
      </c>
      <c r="E58" s="301">
        <v>0.14086005705338864</v>
      </c>
      <c r="F58" s="301">
        <v>0.03</v>
      </c>
      <c r="G58" s="39"/>
      <c r="H58" s="20">
        <f t="shared" si="12"/>
        <v>42735</v>
      </c>
      <c r="I58" s="27">
        <v>2.33</v>
      </c>
      <c r="J58" s="126">
        <f t="shared" ref="J58:J63" si="57">J57*I58/100+J57</f>
        <v>1391763.1307201362</v>
      </c>
      <c r="K58" s="6">
        <f t="shared" ref="K58" si="58">(J58-J$46)/J$46*100</f>
        <v>12.363969928839328</v>
      </c>
      <c r="L58" s="49">
        <f>(J58/J55-1)*100</f>
        <v>4.4357600429000055</v>
      </c>
      <c r="M58" s="49"/>
      <c r="N58" s="79"/>
      <c r="O58" s="20">
        <f t="shared" si="14"/>
        <v>42735</v>
      </c>
      <c r="P58" s="78">
        <f t="shared" si="37"/>
        <v>1.4826475576977893</v>
      </c>
      <c r="Q58" s="126">
        <f t="shared" ref="Q58:Q64" si="59">Q57*P58/100+Q57</f>
        <v>1260340.2887569419</v>
      </c>
      <c r="R58" s="6">
        <f>(Q58-Q$46)/Q$46*100</f>
        <v>7.4334764080005789</v>
      </c>
      <c r="S58" s="49">
        <f>(Q58/Q55-1)*100</f>
        <v>1.9546903479503497</v>
      </c>
      <c r="T58" s="39"/>
      <c r="U58" s="20">
        <f t="shared" si="16"/>
        <v>42735</v>
      </c>
      <c r="V58" s="27">
        <v>1.92</v>
      </c>
      <c r="W58" s="126">
        <f t="shared" ref="W58:W63" si="60">W57*V58/100+W57</f>
        <v>1321831.8857298249</v>
      </c>
      <c r="X58" s="6">
        <f t="shared" ref="X58" si="61">(W58-W$46)/W$46*100</f>
        <v>10.565872010718802</v>
      </c>
      <c r="Y58" s="49">
        <f>(W58/W55-1)*100</f>
        <v>3.2950822175999983</v>
      </c>
      <c r="Z58" s="49"/>
      <c r="AA58" s="79"/>
      <c r="AB58" s="20">
        <f t="shared" si="18"/>
        <v>42735</v>
      </c>
      <c r="AC58" s="78">
        <f t="shared" si="38"/>
        <v>1.1767199314604073</v>
      </c>
      <c r="AD58" s="126">
        <f t="shared" ref="AD58:AD63" si="62">AD57*AC58/100+AD57</f>
        <v>1223088.7710699129</v>
      </c>
      <c r="AE58" s="6">
        <f>(AD58-AD$46)/AD$46*100</f>
        <v>6.39967937978924</v>
      </c>
      <c r="AF58" s="49">
        <f>(AD58/AD55-1)*100</f>
        <v>1.1779999477067982</v>
      </c>
      <c r="AG58" s="44"/>
      <c r="AH58" s="20">
        <f t="shared" si="20"/>
        <v>42735</v>
      </c>
      <c r="AI58" s="27">
        <v>1.44</v>
      </c>
      <c r="AJ58" s="126">
        <f t="shared" ref="AJ58:AJ63" si="63">AJ57*AI58/100+AJ57</f>
        <v>1240869.1850657884</v>
      </c>
      <c r="AK58" s="6">
        <f t="shared" ref="AK58" si="64">(AJ58-AJ$46)/AJ$46*100</f>
        <v>8.412572321477068</v>
      </c>
      <c r="AL58" s="49">
        <f>(AJ58/AJ55-1)*100</f>
        <v>2.0097844224000072</v>
      </c>
      <c r="AM58" s="49"/>
      <c r="AN58" s="79"/>
      <c r="AO58" s="20">
        <f t="shared" si="22"/>
        <v>42735</v>
      </c>
      <c r="AP58" s="78">
        <f t="shared" si="39"/>
        <v>1.0049008815464378</v>
      </c>
      <c r="AQ58" s="126">
        <f t="shared" ref="AQ58:AQ63" si="65">AQ57*AP58/100+AQ57</f>
        <v>1194421.7427345694</v>
      </c>
      <c r="AR58" s="6">
        <f>(AQ58-AQ$46)/AQ$46*100</f>
        <v>5.7431415307321849</v>
      </c>
      <c r="AS58" s="49">
        <f>(AQ58/AQ55-1)*100</f>
        <v>0.19125664649961571</v>
      </c>
      <c r="AT58" s="39"/>
      <c r="AU58" s="20">
        <f t="shared" si="24"/>
        <v>42735</v>
      </c>
      <c r="AV58" s="27">
        <v>0.99</v>
      </c>
      <c r="AW58" s="126">
        <f t="shared" ref="AW58:AW63" si="66">AW57*AV58/100+AW57</f>
        <v>1066870.2494795674</v>
      </c>
      <c r="AX58" s="6">
        <f t="shared" ref="AX58" si="67">(AW58-AW$46)/AW$46*100</f>
        <v>6.3338005938871556</v>
      </c>
      <c r="AY58" s="49">
        <f>(AW58/AW55-1)*100</f>
        <v>0.8789362474999951</v>
      </c>
      <c r="AZ58" s="49"/>
      <c r="BA58" s="79"/>
      <c r="BB58" s="20">
        <f t="shared" si="26"/>
        <v>42735</v>
      </c>
      <c r="BC58" s="78">
        <f t="shared" si="41"/>
        <v>0.4301586747327622</v>
      </c>
      <c r="BD58" s="126">
        <f t="shared" ref="BD58:BD63" si="68">BD57*BC58/100+BD57</f>
        <v>1106062.2987267249</v>
      </c>
      <c r="BE58" s="6">
        <f>(BD58-BD$46)/BD$46*100</f>
        <v>3.3922277015746705</v>
      </c>
      <c r="BF58" s="49">
        <f>(BD58/BD55-1)*100</f>
        <v>-1.7529302111615075</v>
      </c>
      <c r="BG58" s="39"/>
      <c r="BH58" s="20">
        <f t="shared" si="28"/>
        <v>42735</v>
      </c>
      <c r="BI58" s="27"/>
      <c r="BJ58" s="126">
        <f t="shared" si="29"/>
        <v>1000000</v>
      </c>
      <c r="BK58" s="6">
        <f t="shared" ref="BK58" si="69">(BJ58-BJ$46)/BJ$46*100</f>
        <v>0</v>
      </c>
      <c r="BL58" s="49">
        <f>(BJ58/BJ55-1)*100</f>
        <v>0</v>
      </c>
      <c r="BM58" s="49"/>
      <c r="BN58" s="79"/>
      <c r="BO58" s="20">
        <f t="shared" si="30"/>
        <v>42735</v>
      </c>
      <c r="BP58" s="78"/>
      <c r="BQ58" s="126">
        <f t="shared" si="55"/>
        <v>1000000</v>
      </c>
      <c r="BR58" s="6">
        <f>(BQ58-BQ$46)/BQ$46*100</f>
        <v>0</v>
      </c>
      <c r="BS58" s="49">
        <f>(BQ58/BQ55-1)*100</f>
        <v>0</v>
      </c>
      <c r="BV58" s="39"/>
      <c r="BW58" s="20">
        <f t="shared" si="32"/>
        <v>42735</v>
      </c>
      <c r="BX58" s="27">
        <v>1.24</v>
      </c>
      <c r="BY58" s="126">
        <f t="shared" ref="BY58:BY63" si="70">BY57*BX58/100+BY57</f>
        <v>1208543.1193319655</v>
      </c>
      <c r="BZ58" s="6">
        <f>(BY58-BY$46)/BY$46*100</f>
        <v>7.5654107974478979</v>
      </c>
      <c r="CA58" s="49">
        <f>(BY58/BY55-1)*100</f>
        <v>1.3413969219999933</v>
      </c>
      <c r="CB58" s="49"/>
      <c r="CC58" s="79"/>
      <c r="CD58" s="20">
        <f t="shared" si="34"/>
        <v>42735</v>
      </c>
      <c r="CE58" s="78">
        <f t="shared" si="40"/>
        <v>0.69897325530905574</v>
      </c>
      <c r="CF58" s="126">
        <f t="shared" ref="CF58:CF63" si="71">CF57*CE58/100+CF57</f>
        <v>1166958.9078334284</v>
      </c>
      <c r="CG58" s="6">
        <f>(CF58-CF$46)/CF$46*100</f>
        <v>4.6732608434136109</v>
      </c>
      <c r="CH58" s="49">
        <f>(CF58/CF55-1)*100</f>
        <v>-0.5823894946643815</v>
      </c>
      <c r="CI58" s="39"/>
    </row>
    <row r="59" spans="1:87" x14ac:dyDescent="0.25">
      <c r="A59" s="20">
        <v>42766</v>
      </c>
      <c r="B59" s="24">
        <f t="shared" si="36"/>
        <v>44</v>
      </c>
      <c r="C59" s="301">
        <f>'LC (Gross)'!K221</f>
        <v>1.8966324399677483</v>
      </c>
      <c r="D59" s="301">
        <f>ITL!K161</f>
        <v>3.5534732086097058</v>
      </c>
      <c r="E59" s="301">
        <v>0.19631951507056419</v>
      </c>
      <c r="F59" s="301">
        <v>0.04</v>
      </c>
      <c r="G59" s="39"/>
      <c r="H59" s="20">
        <f t="shared" si="12"/>
        <v>42766</v>
      </c>
      <c r="I59" s="27">
        <v>-0.45</v>
      </c>
      <c r="J59" s="126">
        <f t="shared" si="57"/>
        <v>1385500.1966318956</v>
      </c>
      <c r="K59" s="7"/>
      <c r="M59" s="49"/>
      <c r="N59" s="79"/>
      <c r="O59" s="20">
        <f t="shared" si="14"/>
        <v>42766</v>
      </c>
      <c r="P59" s="78">
        <f t="shared" si="37"/>
        <v>1.5881688232737177</v>
      </c>
      <c r="Q59" s="126">
        <f t="shared" si="59"/>
        <v>1280356.6202901376</v>
      </c>
      <c r="R59" s="7"/>
      <c r="T59" s="39"/>
      <c r="U59" s="20">
        <f t="shared" si="16"/>
        <v>42766</v>
      </c>
      <c r="V59" s="27">
        <v>-0.24</v>
      </c>
      <c r="W59" s="126">
        <f t="shared" si="60"/>
        <v>1318659.4892040733</v>
      </c>
      <c r="X59" s="8"/>
      <c r="Z59" s="49"/>
      <c r="AA59" s="79"/>
      <c r="AB59" s="20">
        <f t="shared" si="18"/>
        <v>42766</v>
      </c>
      <c r="AC59" s="78">
        <f t="shared" si="38"/>
        <v>1.2502798461070419</v>
      </c>
      <c r="AD59" s="126">
        <f t="shared" si="62"/>
        <v>1238380.8034745983</v>
      </c>
      <c r="AG59" s="44"/>
      <c r="AH59" s="20">
        <f t="shared" si="20"/>
        <v>42766</v>
      </c>
      <c r="AI59" s="27">
        <v>-0.04</v>
      </c>
      <c r="AJ59" s="126">
        <f t="shared" si="63"/>
        <v>1240372.8373917621</v>
      </c>
      <c r="AK59" s="3"/>
      <c r="AM59" s="49"/>
      <c r="AN59" s="79"/>
      <c r="AO59" s="20">
        <f t="shared" si="22"/>
        <v>42766</v>
      </c>
      <c r="AP59" s="78">
        <f t="shared" si="39"/>
        <v>1.0958805051243798</v>
      </c>
      <c r="AQ59" s="126">
        <f t="shared" si="65"/>
        <v>1207511.1777621643</v>
      </c>
      <c r="AR59" s="3"/>
      <c r="AT59" s="39"/>
      <c r="AU59" s="20">
        <f t="shared" si="24"/>
        <v>42766</v>
      </c>
      <c r="AV59" s="27">
        <v>0.06</v>
      </c>
      <c r="AW59" s="126">
        <f t="shared" si="66"/>
        <v>1067510.3716292551</v>
      </c>
      <c r="AX59" s="3"/>
      <c r="AZ59" s="49"/>
      <c r="BA59" s="79"/>
      <c r="BB59" s="20">
        <f t="shared" si="26"/>
        <v>42766</v>
      </c>
      <c r="BC59" s="78">
        <f t="shared" si="41"/>
        <v>0.51076056497665512</v>
      </c>
      <c r="BD59" s="126">
        <f t="shared" si="68"/>
        <v>1111711.6287726953</v>
      </c>
      <c r="BE59" s="3"/>
      <c r="BG59" s="39"/>
      <c r="BH59" s="20">
        <f t="shared" si="28"/>
        <v>42766</v>
      </c>
      <c r="BI59" s="27"/>
      <c r="BJ59" s="126">
        <f t="shared" si="29"/>
        <v>1000000</v>
      </c>
      <c r="BK59" s="3"/>
      <c r="BM59" s="49"/>
      <c r="BN59" s="79"/>
      <c r="BO59" s="20">
        <f t="shared" si="30"/>
        <v>42766</v>
      </c>
      <c r="BP59" s="78"/>
      <c r="BQ59" s="126">
        <f t="shared" si="55"/>
        <v>1000000</v>
      </c>
      <c r="BR59" s="3"/>
      <c r="BV59" s="39"/>
      <c r="BW59" s="20">
        <f t="shared" si="32"/>
        <v>42766</v>
      </c>
      <c r="BX59" s="27">
        <v>0.01</v>
      </c>
      <c r="BY59" s="126">
        <f t="shared" si="70"/>
        <v>1208663.9736438987</v>
      </c>
      <c r="BZ59" s="3"/>
      <c r="CB59" s="49"/>
      <c r="CC59" s="79"/>
      <c r="CD59" s="20">
        <f t="shared" si="34"/>
        <v>42766</v>
      </c>
      <c r="CE59" s="78">
        <f t="shared" si="40"/>
        <v>0.75799152795770441</v>
      </c>
      <c r="CF59" s="126">
        <f t="shared" si="71"/>
        <v>1175804.3574895535</v>
      </c>
      <c r="CG59" s="3"/>
      <c r="CI59" s="39"/>
    </row>
    <row r="60" spans="1:87" x14ac:dyDescent="0.25">
      <c r="A60" s="20">
        <v>42794</v>
      </c>
      <c r="B60" s="24">
        <f t="shared" si="36"/>
        <v>45</v>
      </c>
      <c r="C60" s="301">
        <f>'LC (Gross)'!K222</f>
        <v>3.9705270262314358</v>
      </c>
      <c r="D60" s="301">
        <f>ITL!K162</f>
        <v>1.6191785603172593</v>
      </c>
      <c r="E60" s="301">
        <v>0.67213735639439187</v>
      </c>
      <c r="F60" s="301">
        <v>0.04</v>
      </c>
      <c r="G60" s="39"/>
      <c r="H60" s="20">
        <f t="shared" si="12"/>
        <v>42794</v>
      </c>
      <c r="I60" s="27">
        <v>2.8</v>
      </c>
      <c r="J60" s="126">
        <f t="shared" si="57"/>
        <v>1424294.2021375888</v>
      </c>
      <c r="K60" s="6"/>
      <c r="L60" s="49"/>
      <c r="M60" s="49"/>
      <c r="N60" s="79"/>
      <c r="O60" s="20">
        <f t="shared" si="14"/>
        <v>42794</v>
      </c>
      <c r="P60" s="78">
        <f t="shared" si="37"/>
        <v>2.4386666484748787</v>
      </c>
      <c r="Q60" s="126">
        <f t="shared" si="59"/>
        <v>1311580.2501706933</v>
      </c>
      <c r="R60" s="6"/>
      <c r="S60" s="49"/>
      <c r="T60" s="39"/>
      <c r="U60" s="20">
        <f t="shared" si="16"/>
        <v>42794</v>
      </c>
      <c r="V60" s="27">
        <v>2.72</v>
      </c>
      <c r="W60" s="126">
        <f t="shared" si="60"/>
        <v>1354527.027310424</v>
      </c>
      <c r="X60" s="49"/>
      <c r="Y60" s="49"/>
      <c r="Z60" s="49"/>
      <c r="AA60" s="79"/>
      <c r="AB60" s="20">
        <f t="shared" si="18"/>
        <v>42794</v>
      </c>
      <c r="AC60" s="78">
        <f t="shared" si="38"/>
        <v>2.0614756212950307</v>
      </c>
      <c r="AD60" s="126">
        <f t="shared" si="62"/>
        <v>1263909.7218370247</v>
      </c>
      <c r="AE60" s="49"/>
      <c r="AG60" s="44"/>
      <c r="AH60" s="20">
        <f t="shared" si="20"/>
        <v>42794</v>
      </c>
      <c r="AI60" s="27">
        <v>2.4700000000000002</v>
      </c>
      <c r="AJ60" s="126">
        <f t="shared" si="63"/>
        <v>1271010.0464753385</v>
      </c>
      <c r="AK60" s="6"/>
      <c r="AM60" s="49"/>
      <c r="AN60" s="79"/>
      <c r="AO60" s="20">
        <f t="shared" si="22"/>
        <v>42794</v>
      </c>
      <c r="AP60" s="78">
        <f t="shared" si="39"/>
        <v>1.7948503899507655</v>
      </c>
      <c r="AQ60" s="126">
        <f t="shared" si="65"/>
        <v>1229184.1968449275</v>
      </c>
      <c r="AR60" s="6"/>
      <c r="AT60" s="39"/>
      <c r="AU60" s="20">
        <f t="shared" si="24"/>
        <v>42794</v>
      </c>
      <c r="AV60" s="27">
        <v>1.35</v>
      </c>
      <c r="AW60" s="126">
        <f t="shared" si="66"/>
        <v>1081921.76164625</v>
      </c>
      <c r="AX60" s="6"/>
      <c r="AZ60" s="49"/>
      <c r="BA60" s="79"/>
      <c r="BB60" s="20">
        <f t="shared" si="26"/>
        <v>42794</v>
      </c>
      <c r="BC60" s="78">
        <f t="shared" si="41"/>
        <v>0.95450778011508086</v>
      </c>
      <c r="BD60" s="126">
        <f t="shared" si="68"/>
        <v>1122323.0027617747</v>
      </c>
      <c r="BE60" s="6"/>
      <c r="BG60" s="39"/>
      <c r="BH60" s="20">
        <f t="shared" si="28"/>
        <v>42794</v>
      </c>
      <c r="BI60" s="27"/>
      <c r="BJ60" s="126">
        <f t="shared" si="29"/>
        <v>1000000</v>
      </c>
      <c r="BK60" s="6"/>
      <c r="BM60" s="49"/>
      <c r="BN60" s="79"/>
      <c r="BO60" s="20">
        <f t="shared" si="30"/>
        <v>42794</v>
      </c>
      <c r="BP60" s="78"/>
      <c r="BQ60" s="126">
        <f t="shared" si="55"/>
        <v>1000000</v>
      </c>
      <c r="BR60" s="6"/>
      <c r="BV60" s="39"/>
      <c r="BW60" s="20">
        <f t="shared" si="32"/>
        <v>42794</v>
      </c>
      <c r="BX60" s="27">
        <v>1.76</v>
      </c>
      <c r="BY60" s="126">
        <f t="shared" si="70"/>
        <v>1229936.4595800315</v>
      </c>
      <c r="BZ60" s="6"/>
      <c r="CB60" s="49"/>
      <c r="CC60" s="79"/>
      <c r="CD60" s="20">
        <f t="shared" si="34"/>
        <v>42794</v>
      </c>
      <c r="CE60" s="78">
        <f t="shared" si="40"/>
        <v>1.417659362770918</v>
      </c>
      <c r="CF60" s="126">
        <f t="shared" si="71"/>
        <v>1192473.2580513726</v>
      </c>
      <c r="CG60" s="6"/>
      <c r="CI60" s="39"/>
    </row>
    <row r="61" spans="1:87" x14ac:dyDescent="0.25">
      <c r="A61" s="20">
        <v>42825</v>
      </c>
      <c r="B61" s="24">
        <f t="shared" si="36"/>
        <v>46</v>
      </c>
      <c r="C61" s="301">
        <f>'LC (Gross)'!K223</f>
        <v>0.11664881162675513</v>
      </c>
      <c r="D61" s="301">
        <f>ITL!K163</f>
        <v>2.6457790211152172</v>
      </c>
      <c r="E61" s="301">
        <v>-5.2669596099437915E-2</v>
      </c>
      <c r="F61" s="301">
        <v>0.03</v>
      </c>
      <c r="G61" s="39"/>
      <c r="H61" s="20">
        <f t="shared" si="12"/>
        <v>42825</v>
      </c>
      <c r="I61" s="27">
        <v>-0.3</v>
      </c>
      <c r="J61" s="126">
        <f t="shared" si="57"/>
        <v>1420021.319531176</v>
      </c>
      <c r="K61" s="8"/>
      <c r="L61" s="49">
        <f>(J61/J58-1)*100</f>
        <v>2.0303877999999997</v>
      </c>
      <c r="M61" s="49"/>
      <c r="N61" s="79"/>
      <c r="O61" s="20">
        <f t="shared" si="14"/>
        <v>42825</v>
      </c>
      <c r="P61" s="78">
        <f t="shared" si="37"/>
        <v>0.47002369956199791</v>
      </c>
      <c r="Q61" s="126">
        <f t="shared" si="59"/>
        <v>1317744.98818527</v>
      </c>
      <c r="R61" s="8"/>
      <c r="S61" s="49">
        <f>(Q61/Q58-1)*100</f>
        <v>4.5546984366377385</v>
      </c>
      <c r="T61" s="39"/>
      <c r="U61" s="20">
        <f t="shared" si="16"/>
        <v>42825</v>
      </c>
      <c r="V61" s="27">
        <v>-0.31</v>
      </c>
      <c r="W61" s="126">
        <f t="shared" si="60"/>
        <v>1350327.9935257616</v>
      </c>
      <c r="X61" s="8"/>
      <c r="Y61" s="49">
        <f>(W61/W58-1)*100</f>
        <v>2.1558042367999963</v>
      </c>
      <c r="Z61" s="49"/>
      <c r="AA61" s="79"/>
      <c r="AB61" s="20">
        <f t="shared" si="18"/>
        <v>42825</v>
      </c>
      <c r="AC61" s="78">
        <f t="shared" si="38"/>
        <v>0.31816942792864583</v>
      </c>
      <c r="AD61" s="126">
        <f t="shared" si="62"/>
        <v>1267931.0961685281</v>
      </c>
      <c r="AF61" s="49">
        <f>(AD61/AD58-1)*100</f>
        <v>3.6663181086511676</v>
      </c>
      <c r="AG61" s="44"/>
      <c r="AH61" s="20">
        <f t="shared" si="20"/>
        <v>42825</v>
      </c>
      <c r="AI61" s="27">
        <v>-0.27</v>
      </c>
      <c r="AJ61" s="126">
        <f t="shared" si="63"/>
        <v>1267578.3193498552</v>
      </c>
      <c r="AL61" s="49">
        <f>(AJ61/AJ58-1)*100</f>
        <v>2.1524536675999961</v>
      </c>
      <c r="AM61" s="49"/>
      <c r="AN61" s="79"/>
      <c r="AO61" s="20">
        <f t="shared" si="22"/>
        <v>42825</v>
      </c>
      <c r="AP61" s="78">
        <f t="shared" si="39"/>
        <v>0.29297062754608277</v>
      </c>
      <c r="AQ61" s="126">
        <f t="shared" si="65"/>
        <v>1232785.3455001214</v>
      </c>
      <c r="AS61" s="49">
        <f>(AQ61/AQ58-1)*100</f>
        <v>3.211897556194887</v>
      </c>
      <c r="AT61" s="39"/>
      <c r="AU61" s="20">
        <f t="shared" si="24"/>
        <v>42825</v>
      </c>
      <c r="AV61" s="27">
        <v>-0.12</v>
      </c>
      <c r="AW61" s="126">
        <f t="shared" si="66"/>
        <v>1080623.4555322744</v>
      </c>
      <c r="AX61" s="3"/>
      <c r="AY61" s="49">
        <f>(AW61/AW58-1)*100</f>
        <v>1.2891170279999864</v>
      </c>
      <c r="AZ61" s="49"/>
      <c r="BA61" s="79"/>
      <c r="BB61" s="20">
        <f t="shared" si="26"/>
        <v>42825</v>
      </c>
      <c r="BC61" s="78">
        <f t="shared" si="41"/>
        <v>0.11158511494882985</v>
      </c>
      <c r="BD61" s="126">
        <f t="shared" si="68"/>
        <v>1123575.3481745035</v>
      </c>
      <c r="BE61" s="3"/>
      <c r="BF61" s="49">
        <f>(BD61/BD58-1)*100</f>
        <v>1.5833691707907604</v>
      </c>
      <c r="BG61" s="39"/>
      <c r="BH61" s="20">
        <f t="shared" si="28"/>
        <v>42825</v>
      </c>
      <c r="BI61" s="27"/>
      <c r="BJ61" s="126">
        <f t="shared" si="29"/>
        <v>1000000</v>
      </c>
      <c r="BK61" s="3"/>
      <c r="BL61" s="49">
        <f>(BJ61/BJ58-1)*100</f>
        <v>0</v>
      </c>
      <c r="BM61" s="49"/>
      <c r="BN61" s="79"/>
      <c r="BO61" s="20">
        <f t="shared" si="30"/>
        <v>42825</v>
      </c>
      <c r="BP61" s="78"/>
      <c r="BQ61" s="126">
        <f t="shared" si="55"/>
        <v>1000000</v>
      </c>
      <c r="BR61" s="3"/>
      <c r="BS61" s="49">
        <f>(BQ61/BQ58-1)*100</f>
        <v>0</v>
      </c>
      <c r="BV61" s="39"/>
      <c r="BW61" s="20">
        <f t="shared" si="32"/>
        <v>42825</v>
      </c>
      <c r="BX61" s="27">
        <v>-0.18</v>
      </c>
      <c r="BY61" s="126">
        <f t="shared" si="70"/>
        <v>1227722.5739527873</v>
      </c>
      <c r="CA61" s="49">
        <f>(BY61/BY58-1)*100</f>
        <v>1.586989683200013</v>
      </c>
      <c r="CB61" s="49"/>
      <c r="CC61" s="79"/>
      <c r="CD61" s="20">
        <f t="shared" si="34"/>
        <v>42825</v>
      </c>
      <c r="CE61" s="78">
        <f t="shared" si="40"/>
        <v>0.1411163559127307</v>
      </c>
      <c r="CF61" s="126">
        <f t="shared" si="71"/>
        <v>1194156.0328583685</v>
      </c>
      <c r="CH61" s="49">
        <f>(CF61/CF58-1)*100</f>
        <v>2.3305983477545311</v>
      </c>
      <c r="CI61" s="39"/>
    </row>
    <row r="62" spans="1:87" x14ac:dyDescent="0.25">
      <c r="A62" s="20">
        <v>42855</v>
      </c>
      <c r="B62" s="24">
        <f t="shared" si="36"/>
        <v>47</v>
      </c>
      <c r="C62" s="301">
        <f>'LC (Gross)'!K224</f>
        <v>1.0271052392714737</v>
      </c>
      <c r="D62" s="301">
        <f>ITL!K164</f>
        <v>2.1992172334445734</v>
      </c>
      <c r="E62" s="301">
        <v>0.77189073078680204</v>
      </c>
      <c r="F62" s="301">
        <v>0.05</v>
      </c>
      <c r="G62" s="39"/>
      <c r="H62" s="20">
        <f t="shared" si="12"/>
        <v>42855</v>
      </c>
      <c r="I62" s="27">
        <v>1.35</v>
      </c>
      <c r="J62" s="126">
        <f t="shared" si="57"/>
        <v>1439191.6073448469</v>
      </c>
      <c r="K62" s="8"/>
      <c r="L62" s="49"/>
      <c r="M62" s="49"/>
      <c r="N62" s="79"/>
      <c r="O62" s="20">
        <f t="shared" si="14"/>
        <v>42855</v>
      </c>
      <c r="P62" s="78">
        <f t="shared" si="37"/>
        <v>0.90979046661599661</v>
      </c>
      <c r="Q62" s="126">
        <f t="shared" si="59"/>
        <v>1329733.7064620897</v>
      </c>
      <c r="R62" s="8"/>
      <c r="S62" s="49"/>
      <c r="T62" s="39"/>
      <c r="U62" s="20">
        <f t="shared" si="16"/>
        <v>42855</v>
      </c>
      <c r="V62" s="27">
        <v>1.1299999999999999</v>
      </c>
      <c r="W62" s="126">
        <f t="shared" si="60"/>
        <v>1365586.6998526028</v>
      </c>
      <c r="X62" s="8"/>
      <c r="Y62" s="49"/>
      <c r="Z62" s="49"/>
      <c r="AA62" s="79"/>
      <c r="AB62" s="20">
        <f t="shared" si="18"/>
        <v>42855</v>
      </c>
      <c r="AC62" s="78">
        <f t="shared" si="38"/>
        <v>0.81290269063464082</v>
      </c>
      <c r="AD62" s="126">
        <f t="shared" si="62"/>
        <v>1278238.1421646753</v>
      </c>
      <c r="AF62" s="49"/>
      <c r="AG62" s="44"/>
      <c r="AH62" s="20">
        <f t="shared" si="20"/>
        <v>42855</v>
      </c>
      <c r="AI62" s="27">
        <v>0.95</v>
      </c>
      <c r="AJ62" s="126">
        <f t="shared" si="63"/>
        <v>1279620.3133836789</v>
      </c>
      <c r="AL62" s="49"/>
      <c r="AM62" s="49"/>
      <c r="AN62" s="79"/>
      <c r="AO62" s="20">
        <f t="shared" si="22"/>
        <v>42855</v>
      </c>
      <c r="AP62" s="78">
        <f t="shared" si="39"/>
        <v>0.85957031286485386</v>
      </c>
      <c r="AQ62" s="126">
        <f t="shared" si="65"/>
        <v>1243382.0023513888</v>
      </c>
      <c r="AS62" s="49"/>
      <c r="AT62" s="39"/>
      <c r="AU62" s="20">
        <f t="shared" si="24"/>
        <v>42855</v>
      </c>
      <c r="AV62" s="27">
        <v>0.85</v>
      </c>
      <c r="AW62" s="126">
        <f t="shared" si="66"/>
        <v>1089808.7549042988</v>
      </c>
      <c r="AX62" s="3"/>
      <c r="AY62" s="49"/>
      <c r="AZ62" s="49"/>
      <c r="BA62" s="79"/>
      <c r="BB62" s="20">
        <f t="shared" si="26"/>
        <v>42855</v>
      </c>
      <c r="BC62" s="78">
        <f t="shared" si="41"/>
        <v>0.76049489715013741</v>
      </c>
      <c r="BD62" s="126">
        <f t="shared" si="68"/>
        <v>1132120.0813630074</v>
      </c>
      <c r="BE62" s="3"/>
      <c r="BF62" s="49"/>
      <c r="BG62" s="39"/>
      <c r="BH62" s="20">
        <f t="shared" si="28"/>
        <v>42855</v>
      </c>
      <c r="BI62" s="27"/>
      <c r="BJ62" s="126">
        <f t="shared" si="29"/>
        <v>1000000</v>
      </c>
      <c r="BK62" s="3"/>
      <c r="BL62" s="49"/>
      <c r="BM62" s="49"/>
      <c r="BN62" s="79"/>
      <c r="BO62" s="20">
        <f t="shared" si="30"/>
        <v>42855</v>
      </c>
      <c r="BP62" s="78"/>
      <c r="BQ62" s="126">
        <f t="shared" si="55"/>
        <v>1000000</v>
      </c>
      <c r="BR62" s="3"/>
      <c r="BS62" s="49"/>
      <c r="BV62" s="39"/>
      <c r="BW62" s="20">
        <f t="shared" si="32"/>
        <v>42855</v>
      </c>
      <c r="BX62" s="27">
        <v>0.99</v>
      </c>
      <c r="BY62" s="126">
        <f t="shared" si="70"/>
        <v>1239877.02743492</v>
      </c>
      <c r="CA62" s="49"/>
      <c r="CB62" s="49"/>
      <c r="CC62" s="79"/>
      <c r="CD62" s="20">
        <f t="shared" si="34"/>
        <v>42855</v>
      </c>
      <c r="CE62" s="78">
        <f t="shared" si="40"/>
        <v>0.76268253688349819</v>
      </c>
      <c r="CF62" s="126">
        <f t="shared" si="71"/>
        <v>1203263.65238412</v>
      </c>
      <c r="CH62" s="49"/>
      <c r="CI62" s="39"/>
    </row>
    <row r="63" spans="1:87" x14ac:dyDescent="0.25">
      <c r="A63" s="20">
        <v>42886</v>
      </c>
      <c r="B63" s="24">
        <f t="shared" si="36"/>
        <v>48</v>
      </c>
      <c r="C63" s="301">
        <f>'LC (Gross)'!K225</f>
        <v>1.4072016778941636</v>
      </c>
      <c r="D63" s="301">
        <f>ITL!K165</f>
        <v>3.3116981231070484</v>
      </c>
      <c r="E63" s="301">
        <v>0.7694644626946604</v>
      </c>
      <c r="F63" s="301">
        <v>0.06</v>
      </c>
      <c r="G63" s="39"/>
      <c r="H63" s="20">
        <f t="shared" si="12"/>
        <v>42886</v>
      </c>
      <c r="I63" s="27">
        <v>0.87</v>
      </c>
      <c r="J63" s="126">
        <f t="shared" si="57"/>
        <v>1451712.5743287471</v>
      </c>
      <c r="K63" s="6"/>
      <c r="L63" s="49"/>
      <c r="M63" s="49"/>
      <c r="N63" s="79"/>
      <c r="O63" s="20">
        <f t="shared" si="14"/>
        <v>42886</v>
      </c>
      <c r="P63" s="78">
        <f t="shared" si="37"/>
        <v>1.2887156413078473</v>
      </c>
      <c r="Q63" s="126">
        <f t="shared" si="59"/>
        <v>1346870.1927250093</v>
      </c>
      <c r="R63" s="6"/>
      <c r="S63" s="5"/>
      <c r="T63" s="39"/>
      <c r="U63" s="20">
        <f t="shared" si="16"/>
        <v>42886</v>
      </c>
      <c r="V63" s="27">
        <v>0.91</v>
      </c>
      <c r="W63" s="126">
        <f t="shared" si="60"/>
        <v>1378013.5388212614</v>
      </c>
      <c r="X63" s="6"/>
      <c r="Y63" s="6"/>
      <c r="Z63" s="49"/>
      <c r="AA63" s="79"/>
      <c r="AB63" s="20">
        <f t="shared" si="18"/>
        <v>42886</v>
      </c>
      <c r="AC63" s="78">
        <f t="shared" si="38"/>
        <v>1.0978302367672776</v>
      </c>
      <c r="AD63" s="126">
        <f t="shared" si="62"/>
        <v>1292271.0269872514</v>
      </c>
      <c r="AE63" s="6"/>
      <c r="AG63" s="44"/>
      <c r="AH63" s="20">
        <f t="shared" si="20"/>
        <v>42886</v>
      </c>
      <c r="AI63" s="27">
        <v>0.87</v>
      </c>
      <c r="AJ63" s="126">
        <f t="shared" si="63"/>
        <v>1290753.010110117</v>
      </c>
      <c r="AK63" s="6"/>
      <c r="AM63" s="49"/>
      <c r="AN63" s="79"/>
      <c r="AO63" s="20">
        <f t="shared" si="22"/>
        <v>42886</v>
      </c>
      <c r="AP63" s="78">
        <f t="shared" si="39"/>
        <v>1.1050029615167931</v>
      </c>
      <c r="AQ63" s="126">
        <f t="shared" si="65"/>
        <v>1257121.4103003384</v>
      </c>
      <c r="AR63" s="6"/>
      <c r="AT63" s="39"/>
      <c r="AU63" s="20">
        <f t="shared" si="24"/>
        <v>42886</v>
      </c>
      <c r="AV63" s="27">
        <v>0.51</v>
      </c>
      <c r="AW63" s="126">
        <f t="shared" si="66"/>
        <v>1095366.7795543107</v>
      </c>
      <c r="AX63" s="6"/>
      <c r="AZ63" s="49"/>
      <c r="BA63" s="79"/>
      <c r="BB63" s="20">
        <f t="shared" si="26"/>
        <v>42886</v>
      </c>
      <c r="BC63" s="78">
        <f t="shared" si="41"/>
        <v>0.85393019783103108</v>
      </c>
      <c r="BD63" s="126">
        <f t="shared" si="68"/>
        <v>1141787.5966134754</v>
      </c>
      <c r="BE63" s="6"/>
      <c r="BG63" s="39"/>
      <c r="BH63" s="20">
        <f t="shared" si="28"/>
        <v>42886</v>
      </c>
      <c r="BI63" s="27"/>
      <c r="BJ63" s="126">
        <f t="shared" si="29"/>
        <v>1000000</v>
      </c>
      <c r="BK63" s="6"/>
      <c r="BM63" s="49"/>
      <c r="BN63" s="79"/>
      <c r="BO63" s="20">
        <f t="shared" si="30"/>
        <v>42886</v>
      </c>
      <c r="BP63" s="78"/>
      <c r="BQ63" s="126">
        <f t="shared" si="55"/>
        <v>1000000</v>
      </c>
      <c r="BR63" s="6"/>
      <c r="BV63" s="39"/>
      <c r="BW63" s="20">
        <f t="shared" si="32"/>
        <v>42886</v>
      </c>
      <c r="BX63" s="27">
        <v>0.68</v>
      </c>
      <c r="BY63" s="126">
        <f t="shared" si="70"/>
        <v>1248308.1912214775</v>
      </c>
      <c r="BZ63" s="6"/>
      <c r="CB63" s="49"/>
      <c r="CC63" s="79"/>
      <c r="CD63" s="20">
        <f t="shared" si="34"/>
        <v>42886</v>
      </c>
      <c r="CE63" s="78">
        <f t="shared" si="40"/>
        <v>0.91411755697622366</v>
      </c>
      <c r="CF63" s="126">
        <f t="shared" si="71"/>
        <v>1214262.8966872767</v>
      </c>
      <c r="CG63" s="6"/>
      <c r="CI63" s="39"/>
    </row>
    <row r="64" spans="1:87" x14ac:dyDescent="0.25">
      <c r="A64" s="20">
        <v>42916</v>
      </c>
      <c r="B64" s="24">
        <f t="shared" si="36"/>
        <v>49</v>
      </c>
      <c r="C64" s="301">
        <f>'LC (Gross)'!K226</f>
        <v>0.62408740693053544</v>
      </c>
      <c r="D64" s="301">
        <f>ITL!K166</f>
        <v>0.35430195726743774</v>
      </c>
      <c r="E64" s="301">
        <v>-0.10032915871776235</v>
      </c>
      <c r="F64" s="301">
        <v>0.06</v>
      </c>
      <c r="G64" s="39"/>
      <c r="H64" s="20">
        <f t="shared" si="12"/>
        <v>42916</v>
      </c>
      <c r="I64" s="27">
        <v>0.37</v>
      </c>
      <c r="J64" s="126">
        <f t="shared" ref="J64" si="72">J63*I64/100+J63</f>
        <v>1457083.9108537636</v>
      </c>
      <c r="K64" s="6"/>
      <c r="L64" s="49">
        <f>(J64/J61-1)*100</f>
        <v>2.6100024565000046</v>
      </c>
      <c r="M64" s="49"/>
      <c r="N64" s="79"/>
      <c r="O64" s="20">
        <f t="shared" si="14"/>
        <v>42916</v>
      </c>
      <c r="P64" s="78">
        <f t="shared" si="37"/>
        <v>0.41439336740191018</v>
      </c>
      <c r="Q64" s="126">
        <f t="shared" si="59"/>
        <v>1352451.533471175</v>
      </c>
      <c r="R64" s="6"/>
      <c r="S64" s="49">
        <f>(Q64/Q61-1)*100</f>
        <v>2.633783136880008</v>
      </c>
      <c r="T64" s="39"/>
      <c r="U64" s="20">
        <f t="shared" si="16"/>
        <v>42916</v>
      </c>
      <c r="V64" s="27">
        <v>0.24</v>
      </c>
      <c r="W64" s="126">
        <f t="shared" ref="W64" si="73">W63*V64/100+W63</f>
        <v>1381320.7713144324</v>
      </c>
      <c r="X64" s="6"/>
      <c r="Y64" s="49">
        <f>(W64/W61-1)*100</f>
        <v>2.2952036791999975</v>
      </c>
      <c r="Z64" s="49"/>
      <c r="AA64" s="79"/>
      <c r="AB64" s="20">
        <f t="shared" si="18"/>
        <v>42916</v>
      </c>
      <c r="AC64" s="78">
        <f t="shared" si="38"/>
        <v>0.31922015503782036</v>
      </c>
      <c r="AD64" s="126">
        <f t="shared" ref="AD64" si="74">AD63*AC64/100+AD63</f>
        <v>1296396.2165631088</v>
      </c>
      <c r="AE64" s="6"/>
      <c r="AF64" s="49">
        <f>(AD64/AD61-1)*100</f>
        <v>2.245005306723491</v>
      </c>
      <c r="AG64" s="44"/>
      <c r="AH64" s="20">
        <f t="shared" si="20"/>
        <v>42916</v>
      </c>
      <c r="AI64" s="27">
        <v>0.14000000000000001</v>
      </c>
      <c r="AJ64" s="126">
        <f t="shared" ref="AJ64" si="75">AJ63*AI64/100+AJ63</f>
        <v>1292560.0643242712</v>
      </c>
      <c r="AK64" s="6"/>
      <c r="AL64" s="49">
        <f>(AJ64/AJ61-1)*100</f>
        <v>1.9708245710000183</v>
      </c>
      <c r="AM64" s="49"/>
      <c r="AN64" s="79"/>
      <c r="AO64" s="20">
        <f t="shared" si="22"/>
        <v>42916</v>
      </c>
      <c r="AP64" s="78">
        <f t="shared" si="39"/>
        <v>0.23074558260121436</v>
      </c>
      <c r="AQ64" s="126">
        <f t="shared" ref="AQ64" si="76">AQ63*AP64/100+AQ63</f>
        <v>1260022.1624225406</v>
      </c>
      <c r="AR64" s="6"/>
      <c r="AS64" s="49">
        <f>(AQ64/AQ61-1)*100</f>
        <v>2.2093722172994879</v>
      </c>
      <c r="AT64" s="39"/>
      <c r="AU64" s="20">
        <f t="shared" si="24"/>
        <v>42916</v>
      </c>
      <c r="AV64" s="27">
        <v>-0.01</v>
      </c>
      <c r="AW64" s="126">
        <f t="shared" ref="AW64" si="77">AW63*AV64/100+AW63</f>
        <v>1095257.2428763553</v>
      </c>
      <c r="AX64" s="6"/>
      <c r="AY64" s="49">
        <f>(AW64/AW61-1)*100</f>
        <v>1.3541985665000089</v>
      </c>
      <c r="AZ64" s="49"/>
      <c r="BA64" s="79"/>
      <c r="BB64" s="20">
        <f t="shared" si="26"/>
        <v>42916</v>
      </c>
      <c r="BC64" s="78">
        <f t="shared" si="41"/>
        <v>1.88934274539918E-2</v>
      </c>
      <c r="BD64" s="126">
        <f t="shared" ref="BD64" si="78">BD63*BC64/100+BD63</f>
        <v>1142003.3194247202</v>
      </c>
      <c r="BE64" s="6"/>
      <c r="BF64" s="49">
        <f>(BD64/BD61-1)*100</f>
        <v>1.6401188652062304</v>
      </c>
      <c r="BG64" s="39"/>
      <c r="BH64" s="20">
        <f t="shared" si="28"/>
        <v>42916</v>
      </c>
      <c r="BI64" s="27"/>
      <c r="BJ64" s="126">
        <f t="shared" si="29"/>
        <v>1000000</v>
      </c>
      <c r="BK64" s="6"/>
      <c r="BL64" s="49">
        <f>(BJ64/BJ61-1)*100</f>
        <v>0</v>
      </c>
      <c r="BM64" s="49"/>
      <c r="BN64" s="79"/>
      <c r="BO64" s="20">
        <f t="shared" si="30"/>
        <v>42916</v>
      </c>
      <c r="BP64" s="78"/>
      <c r="BQ64" s="126">
        <f t="shared" si="55"/>
        <v>1000000</v>
      </c>
      <c r="BR64" s="6"/>
      <c r="BS64" s="49">
        <f>(BQ64/BQ61-1)*100</f>
        <v>0</v>
      </c>
      <c r="BV64" s="39"/>
      <c r="BW64" s="20">
        <f t="shared" si="32"/>
        <v>42916</v>
      </c>
      <c r="BX64" s="27">
        <v>0.11</v>
      </c>
      <c r="BY64" s="126">
        <f t="shared" ref="BY64" si="79">BY63*BX64/100+BY63</f>
        <v>1249681.3302318212</v>
      </c>
      <c r="BZ64" s="6"/>
      <c r="CA64" s="49">
        <f>(BY64/BY61-1)*100</f>
        <v>1.7885764052000042</v>
      </c>
      <c r="CB64" s="49"/>
      <c r="CC64" s="79"/>
      <c r="CD64" s="20">
        <f t="shared" si="34"/>
        <v>42916</v>
      </c>
      <c r="CE64" s="78">
        <f t="shared" si="40"/>
        <v>0.13557237023712457</v>
      </c>
      <c r="CF64" s="126">
        <f t="shared" ref="CF64" si="80">CF63*CE64/100+CF63</f>
        <v>1215909.1016772257</v>
      </c>
      <c r="CG64" s="6"/>
      <c r="CH64" s="49">
        <f>(CF64/CF61-1)*100</f>
        <v>1.8216270085567032</v>
      </c>
      <c r="CI64" s="39"/>
    </row>
    <row r="65" spans="1:87" x14ac:dyDescent="0.25">
      <c r="A65" s="20">
        <v>42947</v>
      </c>
      <c r="B65" s="24">
        <f t="shared" si="36"/>
        <v>50</v>
      </c>
      <c r="C65" s="301">
        <f>'LC (Gross)'!K227</f>
        <v>2.0562208301688933</v>
      </c>
      <c r="D65" s="301">
        <f>ITL!K167</f>
        <v>3.7151504682288099</v>
      </c>
      <c r="E65" s="301">
        <v>0.43041393947489726</v>
      </c>
      <c r="F65" s="301">
        <v>7.0000000000000007E-2</v>
      </c>
      <c r="G65" s="39"/>
      <c r="H65" s="20">
        <f t="shared" si="12"/>
        <v>42947</v>
      </c>
      <c r="I65" s="27">
        <v>1.28</v>
      </c>
      <c r="J65" s="126">
        <f t="shared" ref="J65:J75" si="81">J64*I65/100+J64</f>
        <v>1475734.5849126917</v>
      </c>
      <c r="K65" s="6"/>
      <c r="M65" s="49"/>
      <c r="N65" s="79"/>
      <c r="O65" s="20">
        <f t="shared" si="14"/>
        <v>42947</v>
      </c>
      <c r="P65" s="78">
        <f t="shared" si="37"/>
        <v>1.7091940268272126</v>
      </c>
      <c r="Q65" s="126">
        <f t="shared" ref="Q65:Q69" si="82">Q64*P65/100+Q64</f>
        <v>1375567.5542969974</v>
      </c>
      <c r="R65" s="6"/>
      <c r="T65" s="39"/>
      <c r="U65" s="20">
        <f t="shared" si="16"/>
        <v>42947</v>
      </c>
      <c r="V65" s="27">
        <v>1.23</v>
      </c>
      <c r="W65" s="126">
        <f t="shared" ref="W65:W75" si="83">W64*V65/100+W64</f>
        <v>1398311.0168015999</v>
      </c>
      <c r="X65" s="6"/>
      <c r="Y65" s="3"/>
      <c r="Z65" s="49"/>
      <c r="AA65" s="79"/>
      <c r="AB65" s="20">
        <f t="shared" si="18"/>
        <v>42947</v>
      </c>
      <c r="AC65" s="78">
        <f t="shared" si="38"/>
        <v>1.3823765113201174</v>
      </c>
      <c r="AD65" s="126">
        <f t="shared" ref="AD65:AD75" si="84">AD64*AC65/100+AD64</f>
        <v>1314317.2933545199</v>
      </c>
      <c r="AE65" s="6"/>
      <c r="AG65" s="44"/>
      <c r="AH65" s="20">
        <f t="shared" si="20"/>
        <v>42947</v>
      </c>
      <c r="AI65" s="27">
        <v>1.1000000000000001</v>
      </c>
      <c r="AJ65" s="126">
        <f t="shared" ref="AJ65:AJ75" si="85">AJ64*AI65/100+AJ64</f>
        <v>1306778.2250318381</v>
      </c>
      <c r="AK65" s="6"/>
      <c r="AM65" s="49"/>
      <c r="AN65" s="79"/>
      <c r="AO65" s="20">
        <f t="shared" si="22"/>
        <v>42947</v>
      </c>
      <c r="AP65" s="78">
        <f t="shared" si="39"/>
        <v>1.2558372161982077</v>
      </c>
      <c r="AQ65" s="126">
        <f t="shared" ref="AQ65:AQ75" si="86">AQ64*AP65/100+AQ64</f>
        <v>1275845.9896705884</v>
      </c>
      <c r="AR65" s="6"/>
      <c r="AT65" s="39"/>
      <c r="AU65" s="20">
        <f t="shared" si="24"/>
        <v>42947</v>
      </c>
      <c r="AV65" s="27">
        <v>0.72</v>
      </c>
      <c r="AW65" s="126">
        <f t="shared" ref="AW65:AW75" si="87">AW64*AV65/100+AW64</f>
        <v>1103143.0950250651</v>
      </c>
      <c r="AX65" s="6"/>
      <c r="AY65" s="49"/>
      <c r="AZ65" s="49"/>
      <c r="BA65" s="79"/>
      <c r="BB65" s="20">
        <f t="shared" si="26"/>
        <v>42947</v>
      </c>
      <c r="BC65" s="78">
        <f t="shared" si="41"/>
        <v>0.70316936406075781</v>
      </c>
      <c r="BD65" s="126">
        <f t="shared" ref="BD65:BD75" si="88">BD64*BC65/100+BD64</f>
        <v>1150033.5369034717</v>
      </c>
      <c r="BE65" s="6"/>
      <c r="BF65" s="49"/>
      <c r="BG65" s="39"/>
      <c r="BH65" s="20">
        <f t="shared" si="28"/>
        <v>42947</v>
      </c>
      <c r="BI65" s="27"/>
      <c r="BJ65" s="126">
        <f t="shared" si="29"/>
        <v>1000000</v>
      </c>
      <c r="BK65" s="6"/>
      <c r="BL65" s="49"/>
      <c r="BM65" s="49"/>
      <c r="BN65" s="79"/>
      <c r="BO65" s="20">
        <f t="shared" si="30"/>
        <v>42947</v>
      </c>
      <c r="BP65" s="78"/>
      <c r="BQ65" s="126">
        <f t="shared" si="55"/>
        <v>1000000</v>
      </c>
      <c r="BR65" s="6"/>
      <c r="BS65" s="49"/>
      <c r="BV65" s="39"/>
      <c r="BW65" s="20">
        <f t="shared" si="32"/>
        <v>42947</v>
      </c>
      <c r="BX65" s="27">
        <v>0.92</v>
      </c>
      <c r="BY65" s="126">
        <f t="shared" ref="BY65:BY75" si="89">BY64*BX65/100+BY64</f>
        <v>1261178.398469954</v>
      </c>
      <c r="BZ65" s="6"/>
      <c r="CB65" s="49"/>
      <c r="CC65" s="79"/>
      <c r="CD65" s="20">
        <f t="shared" si="34"/>
        <v>42947</v>
      </c>
      <c r="CE65" s="78">
        <f t="shared" si="40"/>
        <v>0.9290197006911125</v>
      </c>
      <c r="CF65" s="126">
        <f t="shared" ref="CF65:CF75" si="90">CF64*CE65/100+CF64</f>
        <v>1227205.1367743034</v>
      </c>
      <c r="CG65" s="6"/>
      <c r="CH65" s="49"/>
      <c r="CI65" s="39"/>
    </row>
    <row r="66" spans="1:87" x14ac:dyDescent="0.25">
      <c r="A66" s="20">
        <v>42978</v>
      </c>
      <c r="B66" s="24">
        <f t="shared" si="36"/>
        <v>51</v>
      </c>
      <c r="C66" s="301">
        <f>'LC (Gross)'!K228</f>
        <v>0.30611160404652787</v>
      </c>
      <c r="D66" s="301">
        <f>ITL!K168</f>
        <v>0.55962310828693329</v>
      </c>
      <c r="E66" s="301">
        <v>0.89654730764873303</v>
      </c>
      <c r="F66" s="301">
        <v>0.09</v>
      </c>
      <c r="G66" s="39"/>
      <c r="H66" s="20">
        <f t="shared" si="12"/>
        <v>42978</v>
      </c>
      <c r="I66" s="27">
        <v>-0.48</v>
      </c>
      <c r="J66" s="126">
        <f t="shared" si="81"/>
        <v>1468651.0589051107</v>
      </c>
      <c r="K66" s="8"/>
      <c r="L66" s="49"/>
      <c r="M66" s="49"/>
      <c r="N66" s="79"/>
      <c r="O66" s="20">
        <f t="shared" si="14"/>
        <v>42978</v>
      </c>
      <c r="P66" s="78">
        <f t="shared" si="37"/>
        <v>0.27930484846863035</v>
      </c>
      <c r="Q66" s="126">
        <f t="shared" si="82"/>
        <v>1379409.5811701103</v>
      </c>
      <c r="R66" s="8"/>
      <c r="S66" s="5"/>
      <c r="T66" s="39"/>
      <c r="U66" s="20">
        <f t="shared" si="16"/>
        <v>42978</v>
      </c>
      <c r="V66" s="27">
        <v>-0.25</v>
      </c>
      <c r="W66" s="126">
        <f t="shared" si="83"/>
        <v>1394815.239259596</v>
      </c>
      <c r="X66" s="8"/>
      <c r="Y66" s="6"/>
      <c r="Z66" s="49"/>
      <c r="AA66" s="79"/>
      <c r="AB66" s="20">
        <f t="shared" si="18"/>
        <v>42978</v>
      </c>
      <c r="AC66" s="78">
        <f t="shared" si="38"/>
        <v>0.35519462879694086</v>
      </c>
      <c r="AD66" s="126">
        <f t="shared" si="84"/>
        <v>1318985.6777858646</v>
      </c>
      <c r="AG66" s="44"/>
      <c r="AH66" s="20">
        <f t="shared" si="20"/>
        <v>42978</v>
      </c>
      <c r="AI66" s="27">
        <v>-0.05</v>
      </c>
      <c r="AJ66" s="126">
        <f t="shared" si="85"/>
        <v>1306124.8359193222</v>
      </c>
      <c r="AM66" s="49"/>
      <c r="AN66" s="79"/>
      <c r="AO66" s="20">
        <f t="shared" si="22"/>
        <v>42978</v>
      </c>
      <c r="AP66" s="78">
        <f t="shared" si="39"/>
        <v>0.4948929299220346</v>
      </c>
      <c r="AQ66" s="126">
        <f t="shared" si="86"/>
        <v>1282160.061270162</v>
      </c>
      <c r="AT66" s="39"/>
      <c r="AU66" s="20">
        <f t="shared" si="24"/>
        <v>42978</v>
      </c>
      <c r="AV66" s="27">
        <v>0.06</v>
      </c>
      <c r="AW66" s="126">
        <f t="shared" si="87"/>
        <v>1103804.9808820803</v>
      </c>
      <c r="AX66" s="3"/>
      <c r="AZ66" s="49"/>
      <c r="BA66" s="79"/>
      <c r="BB66" s="20">
        <f t="shared" si="26"/>
        <v>42978</v>
      </c>
      <c r="BC66" s="78">
        <f t="shared" si="41"/>
        <v>0.69967543117311248</v>
      </c>
      <c r="BD66" s="126">
        <f t="shared" si="88"/>
        <v>1158080.0390114365</v>
      </c>
      <c r="BE66" s="3"/>
      <c r="BG66" s="39"/>
      <c r="BH66" s="20">
        <f t="shared" si="28"/>
        <v>42978</v>
      </c>
      <c r="BI66" s="27"/>
      <c r="BJ66" s="126">
        <f t="shared" si="29"/>
        <v>1000000</v>
      </c>
      <c r="BK66" s="3"/>
      <c r="BM66" s="49"/>
      <c r="BN66" s="79"/>
      <c r="BO66" s="20">
        <f t="shared" si="30"/>
        <v>42978</v>
      </c>
      <c r="BP66" s="78"/>
      <c r="BQ66" s="126">
        <f t="shared" si="55"/>
        <v>1000000</v>
      </c>
      <c r="BR66" s="3"/>
      <c r="BV66" s="39"/>
      <c r="BW66" s="20">
        <f t="shared" si="32"/>
        <v>42978</v>
      </c>
      <c r="BX66" s="27">
        <v>0.01</v>
      </c>
      <c r="BY66" s="126">
        <f t="shared" si="89"/>
        <v>1261304.516309801</v>
      </c>
      <c r="CB66" s="49"/>
      <c r="CC66" s="79"/>
      <c r="CD66" s="20">
        <f t="shared" si="34"/>
        <v>42978</v>
      </c>
      <c r="CE66" s="78">
        <f t="shared" si="40"/>
        <v>0.5707827102503451</v>
      </c>
      <c r="CF66" s="126">
        <f t="shared" si="90"/>
        <v>1234209.8115143152</v>
      </c>
      <c r="CI66" s="39"/>
    </row>
    <row r="67" spans="1:87" x14ac:dyDescent="0.25">
      <c r="A67" s="20">
        <v>43008</v>
      </c>
      <c r="B67" s="24">
        <f t="shared" si="36"/>
        <v>52</v>
      </c>
      <c r="C67" s="301">
        <f>'LC (Gross)'!K229</f>
        <v>2.062837167180839</v>
      </c>
      <c r="D67" s="301">
        <f>ITL!K169</f>
        <v>1.9034810957082589</v>
      </c>
      <c r="E67" s="301">
        <v>-0.47607423066970556</v>
      </c>
      <c r="F67" s="301">
        <v>0.09</v>
      </c>
      <c r="G67" s="39"/>
      <c r="H67" s="20">
        <f t="shared" si="12"/>
        <v>43008</v>
      </c>
      <c r="I67" s="27">
        <v>2.59</v>
      </c>
      <c r="J67" s="126">
        <f t="shared" si="81"/>
        <v>1506689.121330753</v>
      </c>
      <c r="K67" s="6"/>
      <c r="L67" s="49">
        <f>(J67/J64-1)*100</f>
        <v>3.4044168703999844</v>
      </c>
      <c r="M67" s="49"/>
      <c r="N67" s="79"/>
      <c r="O67" s="20">
        <f t="shared" si="14"/>
        <v>43008</v>
      </c>
      <c r="P67" s="78">
        <f t="shared" si="37"/>
        <v>1.4470826063057003</v>
      </c>
      <c r="Q67" s="126">
        <f t="shared" si="82"/>
        <v>1399370.7772889372</v>
      </c>
      <c r="R67" s="6"/>
      <c r="S67" s="49">
        <f>(Q67/Q64-1)*100</f>
        <v>3.4691996464627728</v>
      </c>
      <c r="T67" s="39"/>
      <c r="U67" s="20">
        <f t="shared" si="16"/>
        <v>43008</v>
      </c>
      <c r="V67" s="27">
        <v>2.0099999999999998</v>
      </c>
      <c r="W67" s="126">
        <f t="shared" si="83"/>
        <v>1422851.0255687139</v>
      </c>
      <c r="X67" s="6"/>
      <c r="Y67" s="49">
        <f>(W67/W64-1)*100</f>
        <v>3.0065611925000013</v>
      </c>
      <c r="Z67" s="49"/>
      <c r="AA67" s="79"/>
      <c r="AB67" s="20">
        <f t="shared" si="18"/>
        <v>43008</v>
      </c>
      <c r="AC67" s="78">
        <f t="shared" si="38"/>
        <v>1.0742137002017476</v>
      </c>
      <c r="AD67" s="126">
        <f t="shared" si="84"/>
        <v>1333154.4026403392</v>
      </c>
      <c r="AE67" s="6"/>
      <c r="AF67" s="49">
        <f>(AD67/AD64-1)*100</f>
        <v>2.8354129399328576</v>
      </c>
      <c r="AG67" s="44"/>
      <c r="AH67" s="20">
        <f t="shared" si="20"/>
        <v>43008</v>
      </c>
      <c r="AI67" s="27">
        <v>1.44</v>
      </c>
      <c r="AJ67" s="126">
        <f t="shared" si="85"/>
        <v>1324933.0335565605</v>
      </c>
      <c r="AK67" s="6"/>
      <c r="AL67" s="49">
        <f>(AJ67/AJ64-1)*100</f>
        <v>2.5045620800000057</v>
      </c>
      <c r="AM67" s="49"/>
      <c r="AN67" s="79"/>
      <c r="AO67" s="20">
        <f t="shared" si="22"/>
        <v>43008</v>
      </c>
      <c r="AP67" s="78">
        <f t="shared" si="39"/>
        <v>0.76371513734972263</v>
      </c>
      <c r="AQ67" s="126">
        <f t="shared" si="86"/>
        <v>1291952.1117431347</v>
      </c>
      <c r="AR67" s="6"/>
      <c r="AS67" s="49">
        <f>(AQ67/AQ64-1)*100</f>
        <v>2.5340783894788776</v>
      </c>
      <c r="AT67" s="39"/>
      <c r="AU67" s="20">
        <f t="shared" si="24"/>
        <v>43008</v>
      </c>
      <c r="AV67" s="27">
        <v>1.02</v>
      </c>
      <c r="AW67" s="126">
        <f t="shared" si="87"/>
        <v>1115063.7916870774</v>
      </c>
      <c r="AX67" s="6"/>
      <c r="AY67" s="49">
        <f>(AW67/AW64-1)*100</f>
        <v>1.8083924064000056</v>
      </c>
      <c r="AZ67" s="49"/>
      <c r="BA67" s="79"/>
      <c r="BB67" s="20">
        <f t="shared" si="26"/>
        <v>43008</v>
      </c>
      <c r="BC67" s="78">
        <f t="shared" si="41"/>
        <v>-1.8294189965297039E-2</v>
      </c>
      <c r="BD67" s="126">
        <f t="shared" si="88"/>
        <v>1157868.1776491497</v>
      </c>
      <c r="BE67" s="6"/>
      <c r="BF67" s="49">
        <f>(BD67/BD64-1)*100</f>
        <v>1.3892129694002442</v>
      </c>
      <c r="BG67" s="39"/>
      <c r="BH67" s="20">
        <f t="shared" si="28"/>
        <v>43008</v>
      </c>
      <c r="BI67" s="27"/>
      <c r="BJ67" s="126">
        <f t="shared" si="29"/>
        <v>1000000</v>
      </c>
      <c r="BK67" s="6"/>
      <c r="BL67" s="49">
        <f>(BJ67/BJ64-1)*100</f>
        <v>0</v>
      </c>
      <c r="BM67" s="49"/>
      <c r="BN67" s="79"/>
      <c r="BO67" s="20">
        <f t="shared" si="30"/>
        <v>43008</v>
      </c>
      <c r="BP67" s="78"/>
      <c r="BQ67" s="126">
        <f t="shared" si="55"/>
        <v>1000000</v>
      </c>
      <c r="BR67" s="6"/>
      <c r="BS67" s="49">
        <f>(BQ67/BQ64-1)*100</f>
        <v>0</v>
      </c>
      <c r="BV67" s="39"/>
      <c r="BW67" s="20">
        <f t="shared" si="32"/>
        <v>43008</v>
      </c>
      <c r="BX67" s="27">
        <v>1.33</v>
      </c>
      <c r="BY67" s="126">
        <f t="shared" si="89"/>
        <v>1278079.8663767213</v>
      </c>
      <c r="BZ67" s="6"/>
      <c r="CA67" s="49">
        <f>(BY67/BY64-1)*100</f>
        <v>2.2724622236000025</v>
      </c>
      <c r="CB67" s="49"/>
      <c r="CC67" s="79"/>
      <c r="CD67" s="20">
        <f t="shared" si="34"/>
        <v>43008</v>
      </c>
      <c r="CE67" s="78">
        <f t="shared" si="40"/>
        <v>0.39084623124576995</v>
      </c>
      <c r="CF67" s="126">
        <f t="shared" si="90"/>
        <v>1239033.6740482843</v>
      </c>
      <c r="CG67" s="6"/>
      <c r="CH67" s="49">
        <f>(CF67/CF64-1)*100</f>
        <v>1.9018339725527689</v>
      </c>
      <c r="CI67" s="39"/>
    </row>
    <row r="68" spans="1:87" x14ac:dyDescent="0.25">
      <c r="A68" s="20">
        <v>43039</v>
      </c>
      <c r="B68" s="24">
        <f t="shared" si="36"/>
        <v>53</v>
      </c>
      <c r="C68" s="301">
        <f>'LC (Gross)'!K230</f>
        <v>2.333376075501929</v>
      </c>
      <c r="D68" s="301">
        <f>ITL!K170</f>
        <v>1.8948465795332912</v>
      </c>
      <c r="E68" s="301">
        <v>5.7935921203224591E-2</v>
      </c>
      <c r="F68" s="301">
        <v>0.09</v>
      </c>
      <c r="G68" s="39"/>
      <c r="H68" s="20">
        <f t="shared" si="12"/>
        <v>43039</v>
      </c>
      <c r="I68" s="27">
        <v>0.7721952290161358</v>
      </c>
      <c r="J68" s="126">
        <f t="shared" si="81"/>
        <v>1518323.7028417741</v>
      </c>
      <c r="K68" s="8"/>
      <c r="M68" s="49"/>
      <c r="N68" s="79"/>
      <c r="O68" s="20">
        <f t="shared" si="14"/>
        <v>43039</v>
      </c>
      <c r="P68" s="78">
        <f t="shared" si="37"/>
        <v>1.5945838284560545</v>
      </c>
      <c r="Q68" s="126">
        <f t="shared" si="82"/>
        <v>1421684.9174037264</v>
      </c>
      <c r="R68" s="8"/>
      <c r="T68" s="39"/>
      <c r="U68" s="20">
        <f t="shared" si="16"/>
        <v>43039</v>
      </c>
      <c r="V68" s="27">
        <v>0.69</v>
      </c>
      <c r="W68" s="126">
        <f t="shared" si="83"/>
        <v>1432668.697645138</v>
      </c>
      <c r="X68" s="8"/>
      <c r="Y68" s="3"/>
      <c r="Z68" s="49"/>
      <c r="AA68" s="79"/>
      <c r="AB68" s="20">
        <f t="shared" si="18"/>
        <v>43039</v>
      </c>
      <c r="AC68" s="78">
        <f t="shared" si="38"/>
        <v>1.2751942801096807</v>
      </c>
      <c r="AD68" s="126">
        <f t="shared" si="84"/>
        <v>1350154.7113278392</v>
      </c>
      <c r="AG68" s="44"/>
      <c r="AH68" s="20">
        <f t="shared" si="20"/>
        <v>43039</v>
      </c>
      <c r="AI68" s="27">
        <v>0.57999999999999996</v>
      </c>
      <c r="AJ68" s="126">
        <f t="shared" si="85"/>
        <v>1332617.6451511886</v>
      </c>
      <c r="AM68" s="49"/>
      <c r="AN68" s="79"/>
      <c r="AO68" s="20">
        <f t="shared" si="22"/>
        <v>43039</v>
      </c>
      <c r="AP68" s="78">
        <f t="shared" si="39"/>
        <v>1.0444438568001329</v>
      </c>
      <c r="AQ68" s="126">
        <f t="shared" si="86"/>
        <v>1305445.8262070355</v>
      </c>
      <c r="AT68" s="39"/>
      <c r="AU68" s="20">
        <f t="shared" si="24"/>
        <v>43039</v>
      </c>
      <c r="AV68" s="27">
        <v>0.38</v>
      </c>
      <c r="AW68" s="126">
        <f t="shared" si="87"/>
        <v>1119301.0340954883</v>
      </c>
      <c r="AX68" s="3"/>
      <c r="AZ68" s="49"/>
      <c r="BA68" s="79"/>
      <c r="BB68" s="20">
        <f t="shared" si="26"/>
        <v>43039</v>
      </c>
      <c r="BC68" s="78">
        <f t="shared" si="41"/>
        <v>0.38213508136911473</v>
      </c>
      <c r="BD68" s="126">
        <f t="shared" si="88"/>
        <v>1162292.7981519564</v>
      </c>
      <c r="BG68" s="39"/>
      <c r="BH68" s="20">
        <f t="shared" si="28"/>
        <v>43039</v>
      </c>
      <c r="BI68" s="27"/>
      <c r="BJ68" s="126">
        <f t="shared" si="29"/>
        <v>1000000</v>
      </c>
      <c r="BK68" s="3"/>
      <c r="BM68" s="49"/>
      <c r="BN68" s="79"/>
      <c r="BO68" s="20">
        <f t="shared" si="30"/>
        <v>43039</v>
      </c>
      <c r="BP68" s="78"/>
      <c r="BQ68" s="126">
        <f t="shared" si="55"/>
        <v>1000000</v>
      </c>
      <c r="BV68" s="39"/>
      <c r="BW68" s="20">
        <f t="shared" si="32"/>
        <v>43039</v>
      </c>
      <c r="BX68" s="27">
        <v>0.49</v>
      </c>
      <c r="BY68" s="126">
        <f t="shared" si="89"/>
        <v>1284342.4577219673</v>
      </c>
      <c r="CB68" s="49"/>
      <c r="CC68" s="79"/>
      <c r="CD68" s="20">
        <f t="shared" si="34"/>
        <v>43039</v>
      </c>
      <c r="CE68" s="78">
        <f t="shared" si="40"/>
        <v>0.72505430845375918</v>
      </c>
      <c r="CF68" s="126">
        <f t="shared" si="90"/>
        <v>1248017.3410851643</v>
      </c>
      <c r="CI68" s="39"/>
    </row>
    <row r="69" spans="1:87" x14ac:dyDescent="0.25">
      <c r="A69" s="20">
        <v>43069</v>
      </c>
      <c r="B69" s="24">
        <f t="shared" si="36"/>
        <v>54</v>
      </c>
      <c r="C69" s="301">
        <f>'LC (Gross)'!K231</f>
        <v>3.0671349367514291</v>
      </c>
      <c r="D69" s="301">
        <f>ITL!K171</f>
        <v>0.83581680462896246</v>
      </c>
      <c r="E69" s="301">
        <v>-0.12845404090918583</v>
      </c>
      <c r="F69" s="301">
        <v>0.08</v>
      </c>
      <c r="G69" s="39"/>
      <c r="H69" s="20">
        <f t="shared" si="12"/>
        <v>43069</v>
      </c>
      <c r="I69" s="27">
        <v>3.8349000875169916</v>
      </c>
      <c r="J69" s="126">
        <f t="shared" si="81"/>
        <v>1576549.8998508444</v>
      </c>
      <c r="K69" s="6"/>
      <c r="L69" s="49"/>
      <c r="M69" s="49"/>
      <c r="N69" s="79"/>
      <c r="O69" s="20">
        <f t="shared" si="14"/>
        <v>43069</v>
      </c>
      <c r="P69" s="78">
        <f t="shared" si="37"/>
        <v>1.8362967359076305</v>
      </c>
      <c r="Q69" s="126">
        <f t="shared" si="82"/>
        <v>1447791.271136902</v>
      </c>
      <c r="R69" s="6"/>
      <c r="S69" s="5"/>
      <c r="T69" s="39"/>
      <c r="U69" s="20">
        <f t="shared" si="16"/>
        <v>43069</v>
      </c>
      <c r="V69" s="27">
        <v>3.65</v>
      </c>
      <c r="W69" s="126">
        <f t="shared" si="83"/>
        <v>1484961.1051091854</v>
      </c>
      <c r="X69" s="6"/>
      <c r="Y69" s="6"/>
      <c r="Z69" s="49"/>
      <c r="AA69" s="79"/>
      <c r="AB69" s="20">
        <f t="shared" si="18"/>
        <v>43069</v>
      </c>
      <c r="AC69" s="78">
        <f t="shared" si="38"/>
        <v>1.4685242958646614</v>
      </c>
      <c r="AD69" s="126">
        <f t="shared" si="84"/>
        <v>1369982.06129545</v>
      </c>
      <c r="AE69" s="6"/>
      <c r="AG69" s="44"/>
      <c r="AH69" s="20">
        <f t="shared" si="20"/>
        <v>43069</v>
      </c>
      <c r="AI69" s="27">
        <v>3.2</v>
      </c>
      <c r="AJ69" s="126">
        <f t="shared" si="85"/>
        <v>1375261.4097960265</v>
      </c>
      <c r="AK69" s="6"/>
      <c r="AM69" s="49"/>
      <c r="AN69" s="79"/>
      <c r="AO69" s="20">
        <f t="shared" si="22"/>
        <v>43069</v>
      </c>
      <c r="AP69" s="78">
        <f t="shared" si="39"/>
        <v>1.1281199940076814</v>
      </c>
      <c r="AQ69" s="126">
        <f t="shared" si="86"/>
        <v>1320172.8215834158</v>
      </c>
      <c r="AR69" s="6"/>
      <c r="AT69" s="39"/>
      <c r="AU69" s="20">
        <f t="shared" si="24"/>
        <v>43069</v>
      </c>
      <c r="AV69" s="27">
        <v>1.58</v>
      </c>
      <c r="AW69" s="126">
        <f t="shared" si="87"/>
        <v>1136985.990434197</v>
      </c>
      <c r="AX69" s="6"/>
      <c r="AZ69" s="49"/>
      <c r="BA69" s="79"/>
      <c r="BB69" s="20">
        <f t="shared" si="26"/>
        <v>43069</v>
      </c>
      <c r="BC69" s="78">
        <f t="shared" si="41"/>
        <v>0.27058650527016104</v>
      </c>
      <c r="BD69" s="126">
        <f t="shared" si="88"/>
        <v>1165437.8056154826</v>
      </c>
      <c r="BE69" s="6"/>
      <c r="BG69" s="39"/>
      <c r="BH69" s="20">
        <f t="shared" si="28"/>
        <v>43069</v>
      </c>
      <c r="BI69" s="27"/>
      <c r="BJ69" s="126">
        <f t="shared" si="29"/>
        <v>1000000</v>
      </c>
      <c r="BK69" s="6"/>
      <c r="BM69" s="49"/>
      <c r="BN69" s="79"/>
      <c r="BO69" s="20">
        <f t="shared" si="30"/>
        <v>43069</v>
      </c>
      <c r="BP69" s="78"/>
      <c r="BQ69" s="126">
        <f t="shared" si="55"/>
        <v>1000000</v>
      </c>
      <c r="BR69" s="6"/>
      <c r="BV69" s="39"/>
      <c r="BW69" s="20">
        <f t="shared" si="32"/>
        <v>43069</v>
      </c>
      <c r="BX69" s="27">
        <v>2.19</v>
      </c>
      <c r="BY69" s="126">
        <f t="shared" si="89"/>
        <v>1312469.5575460782</v>
      </c>
      <c r="BZ69" s="6"/>
      <c r="CB69" s="49"/>
      <c r="CC69" s="79"/>
      <c r="CD69" s="20">
        <f t="shared" si="34"/>
        <v>43069</v>
      </c>
      <c r="CE69" s="78">
        <f t="shared" si="40"/>
        <v>0.76034755396471243</v>
      </c>
      <c r="CF69" s="126">
        <f t="shared" si="90"/>
        <v>1257506.6104111609</v>
      </c>
      <c r="CG69" s="6"/>
      <c r="CI69" s="39"/>
    </row>
    <row r="70" spans="1:87" x14ac:dyDescent="0.25">
      <c r="A70" s="20">
        <v>43100</v>
      </c>
      <c r="B70" s="24">
        <f t="shared" si="36"/>
        <v>55</v>
      </c>
      <c r="C70" s="301">
        <f>'LC (Gross)'!K232</f>
        <v>1.1047152674964622</v>
      </c>
      <c r="D70" s="301">
        <f>ITL!K172</f>
        <v>2.2845631016478882</v>
      </c>
      <c r="E70" s="301">
        <v>0.45900383894119395</v>
      </c>
      <c r="F70" s="301">
        <v>0.09</v>
      </c>
      <c r="G70" s="39"/>
      <c r="H70" s="20">
        <f t="shared" si="12"/>
        <v>43100</v>
      </c>
      <c r="I70" s="27">
        <v>0.51801936194325671</v>
      </c>
      <c r="J70" s="126">
        <f t="shared" si="81"/>
        <v>1584716.7335827688</v>
      </c>
      <c r="K70" s="6">
        <f>(J70-J$58)/J$58*100</f>
        <v>13.863968559275827</v>
      </c>
      <c r="L70" s="49">
        <f>(J70/J67-1)*100</f>
        <v>5.1787466403885318</v>
      </c>
      <c r="M70" s="49"/>
      <c r="N70" s="79"/>
      <c r="O70" s="20">
        <f t="shared" si="14"/>
        <v>43100</v>
      </c>
      <c r="P70" s="78">
        <f t="shared" si="37"/>
        <v>0.9772778623702375</v>
      </c>
      <c r="Q70" s="126">
        <f t="shared" ref="Q70:Q75" si="91">Q69*P70/100+Q69</f>
        <v>1461940.2147230518</v>
      </c>
      <c r="R70" s="6">
        <f>(Q70-Q$58)/Q$58*100</f>
        <v>15.995674165502189</v>
      </c>
      <c r="S70" s="49">
        <f>(Q70/Q67-1)*100</f>
        <v>4.4712551133397893</v>
      </c>
      <c r="T70" s="39"/>
      <c r="U70" s="20">
        <f t="shared" si="16"/>
        <v>43100</v>
      </c>
      <c r="V70" s="27">
        <v>0.68</v>
      </c>
      <c r="W70" s="126">
        <f t="shared" si="83"/>
        <v>1495058.840623928</v>
      </c>
      <c r="X70" s="6">
        <f>(W70-W$58)/W$58*100</f>
        <v>13.105067048557316</v>
      </c>
      <c r="Y70" s="49">
        <f>(W70/W67-1)*100</f>
        <v>5.0748682580000093</v>
      </c>
      <c r="Z70" s="49"/>
      <c r="AA70" s="79"/>
      <c r="AB70" s="20">
        <f t="shared" si="18"/>
        <v>43100</v>
      </c>
      <c r="AC70" s="78">
        <f t="shared" si="38"/>
        <v>0.82142875637937596</v>
      </c>
      <c r="AD70" s="126">
        <f t="shared" si="84"/>
        <v>1381235.4879041698</v>
      </c>
      <c r="AE70" s="6">
        <f>(AD70-AD$58)/AD$58*100</f>
        <v>12.930109455253683</v>
      </c>
      <c r="AF70" s="49">
        <f>(AD70/AD67-1)*100</f>
        <v>3.6065653887205507</v>
      </c>
      <c r="AG70" s="44"/>
      <c r="AH70" s="20">
        <f t="shared" si="20"/>
        <v>43100</v>
      </c>
      <c r="AI70" s="27">
        <v>0.73</v>
      </c>
      <c r="AJ70" s="126">
        <f t="shared" si="85"/>
        <v>1385300.8180875375</v>
      </c>
      <c r="AK70" s="6">
        <f>(AJ70-AJ$58)/AJ$58*100</f>
        <v>11.639553529092723</v>
      </c>
      <c r="AL70" s="49">
        <f>(AJ70/AJ67-1)*100</f>
        <v>4.5562894879999982</v>
      </c>
      <c r="AM70" s="49"/>
      <c r="AN70" s="79"/>
      <c r="AO70" s="20">
        <f t="shared" si="22"/>
        <v>43100</v>
      </c>
      <c r="AP70" s="78">
        <f t="shared" si="39"/>
        <v>0.79375799741796849</v>
      </c>
      <c r="AQ70" s="126">
        <f t="shared" si="86"/>
        <v>1330651.7989344727</v>
      </c>
      <c r="AR70" s="6">
        <f>(AQ70-AQ$58)/AQ$58*100</f>
        <v>11.405523805018101</v>
      </c>
      <c r="AS70" s="49">
        <f>(AQ70/AQ67-1)*100</f>
        <v>2.9954428526861809</v>
      </c>
      <c r="AT70" s="39"/>
      <c r="AU70" s="20">
        <f t="shared" si="24"/>
        <v>43100</v>
      </c>
      <c r="AV70" s="27">
        <v>0.47</v>
      </c>
      <c r="AW70" s="126">
        <f t="shared" si="87"/>
        <v>1142329.8245892378</v>
      </c>
      <c r="AX70" s="6">
        <f>(AW70-AW$58)/AW$58*100</f>
        <v>7.0729852244432276</v>
      </c>
      <c r="AY70" s="49">
        <f>(AW70/AW67-1)*100</f>
        <v>2.4452442188000134</v>
      </c>
      <c r="AZ70" s="49"/>
      <c r="BA70" s="79"/>
      <c r="BB70" s="20">
        <f t="shared" si="26"/>
        <v>43100</v>
      </c>
      <c r="BC70" s="78">
        <f t="shared" si="41"/>
        <v>0.55950236909087636</v>
      </c>
      <c r="BD70" s="126">
        <f t="shared" si="88"/>
        <v>1171958.4577481819</v>
      </c>
      <c r="BE70" s="6">
        <f>(BD70-BD$58)/BD$58*100</f>
        <v>5.957725807788151</v>
      </c>
      <c r="BF70" s="49">
        <f>(BD70/BD67-1)*100</f>
        <v>1.216915739720914</v>
      </c>
      <c r="BG70" s="39"/>
      <c r="BH70" s="20">
        <f t="shared" si="28"/>
        <v>43100</v>
      </c>
      <c r="BI70" s="27"/>
      <c r="BJ70" s="126">
        <f t="shared" si="29"/>
        <v>1000000</v>
      </c>
      <c r="BK70" s="6">
        <f>(BJ70-BJ$58)/BJ$58*100</f>
        <v>0</v>
      </c>
      <c r="BL70" s="49">
        <f>(BJ70/BJ67-1)*100</f>
        <v>0</v>
      </c>
      <c r="BM70" s="49"/>
      <c r="BN70" s="79"/>
      <c r="BO70" s="20">
        <f t="shared" si="30"/>
        <v>43100</v>
      </c>
      <c r="BP70" s="78"/>
      <c r="BQ70" s="126">
        <f t="shared" si="55"/>
        <v>1000000</v>
      </c>
      <c r="BR70" s="6">
        <f>(BQ70-BQ$58)/BQ$58*100</f>
        <v>0</v>
      </c>
      <c r="BS70" s="49">
        <f>(BQ70/BQ67-1)*100</f>
        <v>0</v>
      </c>
      <c r="BV70" s="39"/>
      <c r="BW70" s="20">
        <f t="shared" si="32"/>
        <v>43100</v>
      </c>
      <c r="BX70" s="27">
        <v>0.45</v>
      </c>
      <c r="BY70" s="126">
        <f t="shared" si="89"/>
        <v>1318375.6705550356</v>
      </c>
      <c r="BZ70" s="6">
        <f>(BY70-BY$58)/BY$58*100</f>
        <v>9.0880126216581498</v>
      </c>
      <c r="CA70" s="49">
        <f>(BY70/BY67-1)*100</f>
        <v>3.1528392894999868</v>
      </c>
      <c r="CB70" s="49"/>
      <c r="CC70" s="79"/>
      <c r="CD70" s="20">
        <f t="shared" si="34"/>
        <v>43100</v>
      </c>
      <c r="CE70" s="78">
        <f t="shared" si="40"/>
        <v>0.63790889142710694</v>
      </c>
      <c r="CF70" s="126">
        <f t="shared" si="90"/>
        <v>1265528.3568892572</v>
      </c>
      <c r="CG70" s="6">
        <f>(CF70-CF$58)/CF$58*100</f>
        <v>8.4466940861553148</v>
      </c>
      <c r="CH70" s="49">
        <f>(CF70/CF67-1)*100</f>
        <v>2.1383343645864805</v>
      </c>
      <c r="CI70" s="39"/>
    </row>
    <row r="71" spans="1:87" x14ac:dyDescent="0.25">
      <c r="A71" s="20">
        <v>43131</v>
      </c>
      <c r="B71" s="24">
        <f t="shared" si="36"/>
        <v>56</v>
      </c>
      <c r="C71" s="301">
        <f>'LC (Gross)'!K233</f>
        <v>5.7232165786512033</v>
      </c>
      <c r="D71" s="301">
        <f>ITL!K173</f>
        <v>5.5795707009285129</v>
      </c>
      <c r="E71" s="301">
        <v>-1.1517956185831466</v>
      </c>
      <c r="F71" s="301">
        <v>0.11</v>
      </c>
      <c r="G71" s="39"/>
      <c r="H71" s="20">
        <f t="shared" si="12"/>
        <v>43131</v>
      </c>
      <c r="I71" s="27">
        <v>3.5139454091502182</v>
      </c>
      <c r="J71" s="126">
        <f t="shared" si="81"/>
        <v>1640402.8144905358</v>
      </c>
      <c r="K71" s="8"/>
      <c r="M71" s="49"/>
      <c r="N71" s="79"/>
      <c r="O71" s="20">
        <f t="shared" si="14"/>
        <v>43131</v>
      </c>
      <c r="P71" s="78">
        <f t="shared" si="37"/>
        <v>4.017704723397439</v>
      </c>
      <c r="Q71" s="126">
        <f t="shared" si="91"/>
        <v>1520676.6557832265</v>
      </c>
      <c r="R71" s="8"/>
      <c r="T71" s="39"/>
      <c r="U71" s="20">
        <f t="shared" si="16"/>
        <v>43131</v>
      </c>
      <c r="V71" s="27">
        <v>3.4074400944985697</v>
      </c>
      <c r="W71" s="126">
        <f t="shared" si="83"/>
        <v>1546002.0749956933</v>
      </c>
      <c r="X71" s="8"/>
      <c r="Y71" s="3"/>
      <c r="Z71" s="49"/>
      <c r="AA71" s="79"/>
      <c r="AB71" s="20">
        <f t="shared" si="18"/>
        <v>43131</v>
      </c>
      <c r="AC71" s="78">
        <f t="shared" si="38"/>
        <v>2.9936351876984211</v>
      </c>
      <c r="AD71" s="126">
        <f t="shared" si="84"/>
        <v>1422584.639495047</v>
      </c>
      <c r="AG71" s="44"/>
      <c r="AH71" s="20">
        <f t="shared" si="20"/>
        <v>43131</v>
      </c>
      <c r="AI71" s="27">
        <v>2.89669862046695</v>
      </c>
      <c r="AJ71" s="126">
        <f t="shared" si="85"/>
        <v>1425428.8077743966</v>
      </c>
      <c r="AK71" s="6"/>
      <c r="AM71" s="49"/>
      <c r="AN71" s="79"/>
      <c r="AO71" s="20">
        <f t="shared" si="22"/>
        <v>43131</v>
      </c>
      <c r="AP71" s="78">
        <f t="shared" si="39"/>
        <v>2.1799544061166705</v>
      </c>
      <c r="AQ71" s="126">
        <f t="shared" si="86"/>
        <v>1359659.4014554154</v>
      </c>
      <c r="AT71" s="39"/>
      <c r="AU71" s="20">
        <f t="shared" si="24"/>
        <v>43131</v>
      </c>
      <c r="AV71" s="27">
        <v>1.0330623459985966</v>
      </c>
      <c r="AW71" s="126">
        <f t="shared" si="87"/>
        <v>1154130.8038741811</v>
      </c>
      <c r="AX71" s="6"/>
      <c r="AZ71" s="49"/>
      <c r="BA71" s="79"/>
      <c r="BB71" s="20">
        <f t="shared" si="26"/>
        <v>43131</v>
      </c>
      <c r="BC71" s="78">
        <f t="shared" si="41"/>
        <v>6.1543259903343459E-2</v>
      </c>
      <c r="BD71" s="126">
        <f t="shared" si="88"/>
        <v>1172679.7191877931</v>
      </c>
      <c r="BG71" s="39"/>
      <c r="BH71" s="20">
        <f t="shared" si="28"/>
        <v>43131</v>
      </c>
      <c r="BI71" s="27"/>
      <c r="BJ71" s="126">
        <f t="shared" si="29"/>
        <v>1000000</v>
      </c>
      <c r="BK71" s="6"/>
      <c r="BM71" s="49"/>
      <c r="BN71" s="79"/>
      <c r="BO71" s="20">
        <f t="shared" si="30"/>
        <v>43131</v>
      </c>
      <c r="BP71" s="78"/>
      <c r="BQ71" s="126">
        <f t="shared" si="55"/>
        <v>1000000</v>
      </c>
      <c r="BV71" s="39"/>
      <c r="BW71" s="20">
        <f t="shared" si="32"/>
        <v>43131</v>
      </c>
      <c r="BX71" s="27">
        <v>1.7634131640558901</v>
      </c>
      <c r="BY71" s="126">
        <f t="shared" si="89"/>
        <v>1341624.0806813133</v>
      </c>
      <c r="BZ71" s="6"/>
      <c r="CB71" s="49"/>
      <c r="CC71" s="79"/>
      <c r="CD71" s="20">
        <f t="shared" si="34"/>
        <v>43131</v>
      </c>
      <c r="CE71" s="78">
        <f t="shared" si="40"/>
        <v>1.1558848704176532</v>
      </c>
      <c r="CF71" s="126">
        <f t="shared" si="90"/>
        <v>1280156.4076973852</v>
      </c>
      <c r="CI71" s="39"/>
    </row>
    <row r="72" spans="1:87" x14ac:dyDescent="0.25">
      <c r="A72" s="20">
        <v>43159</v>
      </c>
      <c r="B72" s="24">
        <f t="shared" si="36"/>
        <v>57</v>
      </c>
      <c r="C72" s="301">
        <f>'LC (Gross)'!K234</f>
        <v>-3.6859753386859775</v>
      </c>
      <c r="D72" s="301">
        <f>ITL!K174</f>
        <v>-4.696226947656303</v>
      </c>
      <c r="E72" s="301">
        <v>-0.9476962626062807</v>
      </c>
      <c r="F72" s="301">
        <v>0.11</v>
      </c>
      <c r="G72" s="39"/>
      <c r="H72" s="20">
        <f t="shared" si="12"/>
        <v>43159</v>
      </c>
      <c r="I72" s="27">
        <v>-3.254311796895367</v>
      </c>
      <c r="J72" s="126">
        <f t="shared" si="81"/>
        <v>1587018.9921819665</v>
      </c>
      <c r="K72" s="8"/>
      <c r="L72" s="49"/>
      <c r="M72" s="49"/>
      <c r="N72" s="79"/>
      <c r="O72" s="20">
        <f t="shared" si="14"/>
        <v>43159</v>
      </c>
      <c r="P72" s="78">
        <f t="shared" si="37"/>
        <v>-2.698720478425733</v>
      </c>
      <c r="Q72" s="126">
        <f t="shared" si="91"/>
        <v>1479637.843462965</v>
      </c>
      <c r="R72" s="8"/>
      <c r="S72" s="5"/>
      <c r="T72" s="39"/>
      <c r="U72" s="20">
        <f t="shared" si="16"/>
        <v>43159</v>
      </c>
      <c r="V72" s="27">
        <v>-2.9605359441159615</v>
      </c>
      <c r="W72" s="126">
        <f t="shared" si="83"/>
        <v>1500232.1278686672</v>
      </c>
      <c r="X72" s="8"/>
      <c r="Y72" s="6"/>
      <c r="Z72" s="49"/>
      <c r="AA72" s="79"/>
      <c r="AB72" s="20">
        <f t="shared" si="18"/>
        <v>43159</v>
      </c>
      <c r="AC72" s="78">
        <f t="shared" si="38"/>
        <v>-2.2374660365652623</v>
      </c>
      <c r="AD72" s="126">
        <f t="shared" si="84"/>
        <v>1390754.7913449509</v>
      </c>
      <c r="AG72" s="44"/>
      <c r="AH72" s="20">
        <f t="shared" si="20"/>
        <v>43159</v>
      </c>
      <c r="AI72" s="27">
        <v>-2.5947956429307037</v>
      </c>
      <c r="AJ72" s="126">
        <f t="shared" si="85"/>
        <v>1388441.8431771875</v>
      </c>
      <c r="AM72" s="49"/>
      <c r="AN72" s="79"/>
      <c r="AO72" s="20">
        <f t="shared" si="22"/>
        <v>43159</v>
      </c>
      <c r="AP72" s="78">
        <f t="shared" si="39"/>
        <v>-2.0694077552179206</v>
      </c>
      <c r="AQ72" s="126">
        <f t="shared" si="86"/>
        <v>1331522.5043571475</v>
      </c>
      <c r="AT72" s="39"/>
      <c r="AU72" s="20">
        <f t="shared" si="24"/>
        <v>43159</v>
      </c>
      <c r="AV72" s="27">
        <v>-1.8581741993736343</v>
      </c>
      <c r="AW72" s="126">
        <f t="shared" si="87"/>
        <v>1132685.0430495676</v>
      </c>
      <c r="AZ72" s="49"/>
      <c r="BA72" s="79"/>
      <c r="BB72" s="20">
        <f t="shared" si="26"/>
        <v>43159</v>
      </c>
      <c r="BC72" s="78">
        <f t="shared" si="41"/>
        <v>-1.2502962650758094</v>
      </c>
      <c r="BD72" s="126">
        <f t="shared" si="88"/>
        <v>1158017.7484574865</v>
      </c>
      <c r="BG72" s="39"/>
      <c r="BH72" s="20">
        <f t="shared" si="28"/>
        <v>43159</v>
      </c>
      <c r="BI72" s="27"/>
      <c r="BJ72" s="126">
        <f t="shared" si="29"/>
        <v>1000000</v>
      </c>
      <c r="BM72" s="49"/>
      <c r="BN72" s="79"/>
      <c r="BO72" s="20">
        <f t="shared" si="30"/>
        <v>43159</v>
      </c>
      <c r="BP72" s="78"/>
      <c r="BQ72" s="126">
        <f t="shared" si="55"/>
        <v>1000000</v>
      </c>
      <c r="BV72" s="39"/>
      <c r="BW72" s="20">
        <f t="shared" si="32"/>
        <v>43159</v>
      </c>
      <c r="BX72" s="27">
        <v>-2.2401574876623522</v>
      </c>
      <c r="BY72" s="126">
        <f t="shared" si="89"/>
        <v>1311569.5883816497</v>
      </c>
      <c r="CB72" s="49"/>
      <c r="CC72" s="79"/>
      <c r="CD72" s="20">
        <f t="shared" si="34"/>
        <v>43159</v>
      </c>
      <c r="CE72" s="78">
        <f t="shared" si="40"/>
        <v>-1.6081533133574499</v>
      </c>
      <c r="CF72" s="126">
        <f t="shared" si="90"/>
        <v>1259569.530010842</v>
      </c>
      <c r="CI72" s="39"/>
    </row>
    <row r="73" spans="1:87" x14ac:dyDescent="0.25">
      <c r="A73" s="20">
        <v>43190</v>
      </c>
      <c r="B73" s="24">
        <f t="shared" si="36"/>
        <v>58</v>
      </c>
      <c r="C73" s="301">
        <f>'LC (Gross)'!K235</f>
        <v>-2.5411590560710544</v>
      </c>
      <c r="D73" s="301">
        <f>ITL!K175</f>
        <v>-1.6643973530362937</v>
      </c>
      <c r="E73" s="301">
        <v>0.6413359752049983</v>
      </c>
      <c r="F73" s="301">
        <v>0.12</v>
      </c>
      <c r="G73" s="39"/>
      <c r="H73" s="20">
        <f t="shared" si="12"/>
        <v>43190</v>
      </c>
      <c r="I73" s="27">
        <v>1.0173436924339488E-2</v>
      </c>
      <c r="J73" s="126">
        <f t="shared" si="81"/>
        <v>1587180.4465581134</v>
      </c>
      <c r="K73" s="8"/>
      <c r="L73" s="49">
        <f>(J73/J70-1)*100</f>
        <v>0.15546708904716766</v>
      </c>
      <c r="M73" s="49"/>
      <c r="N73" s="79"/>
      <c r="O73" s="20">
        <f t="shared" si="14"/>
        <v>43190</v>
      </c>
      <c r="P73" s="78">
        <f t="shared" si="37"/>
        <v>-1.6112970837945242</v>
      </c>
      <c r="Q73" s="126">
        <f t="shared" si="91"/>
        <v>1455796.4820405261</v>
      </c>
      <c r="R73" s="8"/>
      <c r="S73" s="49">
        <f>(Q73/Q70-1)*100</f>
        <v>-0.42024513866248947</v>
      </c>
      <c r="T73" s="39"/>
      <c r="U73" s="20">
        <f t="shared" si="16"/>
        <v>43190</v>
      </c>
      <c r="V73" s="27">
        <v>-0.14252400892617523</v>
      </c>
      <c r="W73" s="126">
        <f t="shared" si="83"/>
        <v>1498093.9368968303</v>
      </c>
      <c r="X73" s="8"/>
      <c r="Y73" s="49">
        <f>(W73/W70-1)*100</f>
        <v>0.20300848303975716</v>
      </c>
      <c r="Z73" s="49"/>
      <c r="AA73" s="79"/>
      <c r="AB73" s="20">
        <f t="shared" si="18"/>
        <v>43190</v>
      </c>
      <c r="AC73" s="78">
        <f t="shared" si="38"/>
        <v>-1.177760914254854</v>
      </c>
      <c r="AD73" s="126">
        <f t="shared" si="84"/>
        <v>1374375.0249993633</v>
      </c>
      <c r="AF73" s="49">
        <f>(AD73/AD70-1)*100</f>
        <v>-0.49669031565473531</v>
      </c>
      <c r="AG73" s="44"/>
      <c r="AH73" s="20">
        <f t="shared" si="20"/>
        <v>43190</v>
      </c>
      <c r="AI73" s="27">
        <v>-0.12854455466905973</v>
      </c>
      <c r="AJ73" s="126">
        <f t="shared" si="85"/>
        <v>1386657.0767930364</v>
      </c>
      <c r="AL73" s="49">
        <f>(AJ73/AJ70-1)*100</f>
        <v>9.7903551906597386E-2</v>
      </c>
      <c r="AM73" s="49"/>
      <c r="AN73" s="79"/>
      <c r="AO73" s="20">
        <f t="shared" si="22"/>
        <v>43190</v>
      </c>
      <c r="AP73" s="78">
        <f t="shared" si="39"/>
        <v>-0.80737781360674898</v>
      </c>
      <c r="AQ73" s="126">
        <f t="shared" si="86"/>
        <v>1320772.0870737869</v>
      </c>
      <c r="AS73" s="49">
        <f>(AQ73/AQ70-1)*100</f>
        <v>-0.74247161192710909</v>
      </c>
      <c r="AT73" s="39"/>
      <c r="AU73" s="20">
        <f t="shared" si="24"/>
        <v>43190</v>
      </c>
      <c r="AV73" s="27">
        <v>0.36089245813640713</v>
      </c>
      <c r="AW73" s="126">
        <f t="shared" si="87"/>
        <v>1136772.8179443725</v>
      </c>
      <c r="AY73" s="49">
        <f>(AW73/AW70-1)*100</f>
        <v>-0.48646253693529484</v>
      </c>
      <c r="AZ73" s="49"/>
      <c r="BA73" s="79"/>
      <c r="BB73" s="20">
        <f t="shared" si="26"/>
        <v>43190</v>
      </c>
      <c r="BC73" s="78">
        <f t="shared" si="41"/>
        <v>0.12959940938457862</v>
      </c>
      <c r="BD73" s="126">
        <f t="shared" si="88"/>
        <v>1159518.5326200561</v>
      </c>
      <c r="BF73" s="49">
        <f>(BD73/BD70-1)*100</f>
        <v>-1.0614646829741781</v>
      </c>
      <c r="BG73" s="39"/>
      <c r="BH73" s="20">
        <f t="shared" si="28"/>
        <v>43190</v>
      </c>
      <c r="BI73" s="27"/>
      <c r="BJ73" s="126">
        <f t="shared" si="29"/>
        <v>1000000</v>
      </c>
      <c r="BL73" s="49">
        <f>(BJ73/BJ70-1)*100</f>
        <v>0</v>
      </c>
      <c r="BM73" s="49"/>
      <c r="BN73" s="79"/>
      <c r="BO73" s="20">
        <f t="shared" si="30"/>
        <v>43190</v>
      </c>
      <c r="BP73" s="78"/>
      <c r="BQ73" s="126">
        <f t="shared" si="55"/>
        <v>1000000</v>
      </c>
      <c r="BS73" s="49">
        <f>(BQ73/BQ70-1)*100</f>
        <v>0</v>
      </c>
      <c r="BV73" s="39"/>
      <c r="BW73" s="20">
        <f t="shared" si="32"/>
        <v>43190</v>
      </c>
      <c r="BX73" s="27">
        <v>0.23133079093546879</v>
      </c>
      <c r="BY73" s="126">
        <f t="shared" si="89"/>
        <v>1314603.6526841221</v>
      </c>
      <c r="CA73" s="49">
        <f>(BY73/BY70-1)*100</f>
        <v>-0.28611100425764979</v>
      </c>
      <c r="CB73" s="49"/>
      <c r="CC73" s="79"/>
      <c r="CD73" s="20">
        <f t="shared" si="34"/>
        <v>43190</v>
      </c>
      <c r="CE73" s="78">
        <f t="shared" si="40"/>
        <v>-0.37384164406707909</v>
      </c>
      <c r="CF73" s="126">
        <f t="shared" si="90"/>
        <v>1254860.7345716816</v>
      </c>
      <c r="CH73" s="49">
        <f>(CF73/CF70-1)*100</f>
        <v>-0.84293822888309444</v>
      </c>
      <c r="CI73" s="39"/>
    </row>
    <row r="74" spans="1:87" x14ac:dyDescent="0.25">
      <c r="A74" s="20">
        <v>43220</v>
      </c>
      <c r="B74" s="24">
        <f t="shared" si="36"/>
        <v>59</v>
      </c>
      <c r="C74" s="301">
        <f>'LC (Gross)'!K236</f>
        <v>0.38357610779871304</v>
      </c>
      <c r="D74" s="301">
        <f>ITL!K176</f>
        <v>1.6666683142559036</v>
      </c>
      <c r="E74" s="301">
        <v>-0.74387050702213753</v>
      </c>
      <c r="F74" s="301">
        <v>0.14000000000000001</v>
      </c>
      <c r="G74" s="39"/>
      <c r="H74" s="20">
        <f t="shared" si="12"/>
        <v>43220</v>
      </c>
      <c r="I74" s="27">
        <v>1.263029742310118</v>
      </c>
      <c r="J74" s="126">
        <f t="shared" si="81"/>
        <v>1607227.007662273</v>
      </c>
      <c r="K74" s="8"/>
      <c r="M74" s="17"/>
      <c r="N74" s="79"/>
      <c r="O74" s="20">
        <f t="shared" si="14"/>
        <v>43220</v>
      </c>
      <c r="P74" s="78">
        <f t="shared" si="37"/>
        <v>0.50296710642767772</v>
      </c>
      <c r="Q74" s="126">
        <f t="shared" si="91"/>
        <v>1463118.6594817212</v>
      </c>
      <c r="R74" s="8"/>
      <c r="T74" s="39"/>
      <c r="U74" s="20">
        <f t="shared" si="16"/>
        <v>43220</v>
      </c>
      <c r="V74" s="27">
        <v>1.110589682318649</v>
      </c>
      <c r="W74" s="126">
        <f t="shared" si="83"/>
        <v>1514731.6135914477</v>
      </c>
      <c r="X74" s="8"/>
      <c r="Y74" s="3"/>
      <c r="AA74" s="79"/>
      <c r="AB74" s="20">
        <f t="shared" si="18"/>
        <v>43220</v>
      </c>
      <c r="AC74" s="78">
        <f t="shared" si="38"/>
        <v>0.26969550388169056</v>
      </c>
      <c r="AD74" s="126">
        <f t="shared" si="84"/>
        <v>1378081.6526482594</v>
      </c>
      <c r="AG74" s="44"/>
      <c r="AH74" s="20">
        <f t="shared" si="20"/>
        <v>43220</v>
      </c>
      <c r="AI74" s="27">
        <v>0.8728174142142513</v>
      </c>
      <c r="AJ74" s="126">
        <f t="shared" si="85"/>
        <v>1398760.0612347203</v>
      </c>
      <c r="AN74" s="79"/>
      <c r="AO74" s="20">
        <f t="shared" si="22"/>
        <v>43220</v>
      </c>
      <c r="AP74" s="78">
        <f t="shared" si="39"/>
        <v>6.8563791697391824E-2</v>
      </c>
      <c r="AQ74" s="126">
        <f t="shared" si="86"/>
        <v>1321677.6584963654</v>
      </c>
      <c r="AT74" s="39"/>
      <c r="AU74" s="20">
        <f t="shared" si="24"/>
        <v>43220</v>
      </c>
      <c r="AV74" s="27">
        <v>0.37548153450782451</v>
      </c>
      <c r="AW74" s="126">
        <f t="shared" si="87"/>
        <v>1141041.1899650579</v>
      </c>
      <c r="AZ74" s="49"/>
      <c r="BA74" s="79"/>
      <c r="BB74" s="20">
        <f t="shared" si="26"/>
        <v>43220</v>
      </c>
      <c r="BC74" s="78">
        <f t="shared" si="41"/>
        <v>-0.37801832842282967</v>
      </c>
      <c r="BD74" s="126">
        <f t="shared" si="88"/>
        <v>1155135.3400452929</v>
      </c>
      <c r="BG74" s="39"/>
      <c r="BH74" s="20">
        <f t="shared" si="28"/>
        <v>43220</v>
      </c>
      <c r="BI74" s="27"/>
      <c r="BJ74" s="126">
        <f t="shared" si="29"/>
        <v>1000000</v>
      </c>
      <c r="BM74" s="49"/>
      <c r="BN74" s="79"/>
      <c r="BO74" s="20">
        <f t="shared" si="30"/>
        <v>43220</v>
      </c>
      <c r="BP74" s="78"/>
      <c r="BQ74" s="126">
        <f t="shared" si="55"/>
        <v>1000000</v>
      </c>
      <c r="BV74" s="39"/>
      <c r="BW74" s="20">
        <f t="shared" si="32"/>
        <v>43220</v>
      </c>
      <c r="BX74" s="27">
        <v>0.55568273260564438</v>
      </c>
      <c r="BY74" s="126">
        <f t="shared" si="89"/>
        <v>1321908.6781842909</v>
      </c>
      <c r="CC74" s="79"/>
      <c r="CD74" s="20">
        <f t="shared" si="34"/>
        <v>43220</v>
      </c>
      <c r="CE74" s="78">
        <f t="shared" si="40"/>
        <v>-0.16470781084859534</v>
      </c>
      <c r="CF74" s="126">
        <f t="shared" si="90"/>
        <v>1252793.8809265699</v>
      </c>
      <c r="CI74" s="39"/>
    </row>
    <row r="75" spans="1:87" x14ac:dyDescent="0.25">
      <c r="A75" s="20">
        <v>43251</v>
      </c>
      <c r="B75" s="24">
        <f t="shared" si="36"/>
        <v>60</v>
      </c>
      <c r="C75" s="301">
        <f>'LC (Gross)'!K237</f>
        <v>2.407992226325443</v>
      </c>
      <c r="D75" s="301">
        <f>ITL!K177</f>
        <v>-2.2465770118846993</v>
      </c>
      <c r="E75" s="301">
        <v>0.7134720306972826</v>
      </c>
      <c r="F75" s="301">
        <v>0.14000000000000001</v>
      </c>
      <c r="G75" s="39"/>
      <c r="H75" s="20">
        <f t="shared" si="12"/>
        <v>43251</v>
      </c>
      <c r="I75" s="27">
        <v>2.9518702357269921</v>
      </c>
      <c r="J75" s="126">
        <f t="shared" si="81"/>
        <v>1654670.2633220213</v>
      </c>
      <c r="K75" s="6"/>
      <c r="L75" s="49"/>
      <c r="M75" s="17"/>
      <c r="N75" s="79"/>
      <c r="O75" s="20">
        <f t="shared" si="14"/>
        <v>43251</v>
      </c>
      <c r="P75" s="78">
        <f t="shared" si="37"/>
        <v>1.0294091726962888</v>
      </c>
      <c r="Q75" s="126">
        <f t="shared" si="91"/>
        <v>1478180.137169857</v>
      </c>
      <c r="R75" s="6"/>
      <c r="S75" s="5"/>
      <c r="T75" s="39"/>
      <c r="U75" s="20">
        <f t="shared" si="16"/>
        <v>43251</v>
      </c>
      <c r="V75" s="27">
        <v>2.5286692142164653</v>
      </c>
      <c r="W75" s="126">
        <f t="shared" si="83"/>
        <v>1553034.165582339</v>
      </c>
      <c r="X75" s="6"/>
      <c r="Y75" s="6"/>
      <c r="Z75" s="5"/>
      <c r="AA75" s="79"/>
      <c r="AB75" s="20">
        <f t="shared" si="18"/>
        <v>43251</v>
      </c>
      <c r="AC75" s="78">
        <f t="shared" si="38"/>
        <v>1.0079596052625717</v>
      </c>
      <c r="AD75" s="126">
        <f t="shared" si="84"/>
        <v>1391972.1590344887</v>
      </c>
      <c r="AE75" s="6"/>
      <c r="AG75" s="44"/>
      <c r="AH75" s="20">
        <f t="shared" si="20"/>
        <v>43251</v>
      </c>
      <c r="AI75" s="27">
        <v>2.1066202802230891</v>
      </c>
      <c r="AJ75" s="126">
        <f t="shared" si="85"/>
        <v>1428226.6243563518</v>
      </c>
      <c r="AK75" s="6"/>
      <c r="AN75" s="79"/>
      <c r="AO75" s="20">
        <f t="shared" si="22"/>
        <v>43251</v>
      </c>
      <c r="AP75" s="78">
        <f t="shared" si="39"/>
        <v>0.89585478876948399</v>
      </c>
      <c r="AQ75" s="126">
        <f t="shared" si="86"/>
        <v>1333517.9710921014</v>
      </c>
      <c r="AR75" s="6"/>
      <c r="AT75" s="39"/>
      <c r="AU75" s="20">
        <f t="shared" si="24"/>
        <v>43251</v>
      </c>
      <c r="AV75" s="27">
        <v>1.4737619355494078</v>
      </c>
      <c r="AW75" s="126">
        <f t="shared" si="87"/>
        <v>1157857.420691703</v>
      </c>
      <c r="AX75" s="6"/>
      <c r="AZ75" s="49"/>
      <c r="BA75" s="79"/>
      <c r="BB75" s="20">
        <f t="shared" si="26"/>
        <v>43251</v>
      </c>
      <c r="BC75" s="78">
        <f t="shared" si="41"/>
        <v>0.64890079352640717</v>
      </c>
      <c r="BD75" s="126">
        <f t="shared" si="88"/>
        <v>1162631.0224331508</v>
      </c>
      <c r="BE75" s="6"/>
      <c r="BG75" s="39"/>
      <c r="BH75" s="20">
        <f t="shared" si="28"/>
        <v>43251</v>
      </c>
      <c r="BI75" s="27"/>
      <c r="BJ75" s="126">
        <f t="shared" si="29"/>
        <v>1000000</v>
      </c>
      <c r="BK75" s="6"/>
      <c r="BM75" s="49"/>
      <c r="BN75" s="79"/>
      <c r="BO75" s="20">
        <f t="shared" si="30"/>
        <v>43251</v>
      </c>
      <c r="BP75" s="78"/>
      <c r="BQ75" s="126">
        <f t="shared" si="55"/>
        <v>1000000</v>
      </c>
      <c r="BR75" s="6"/>
      <c r="BV75" s="39"/>
      <c r="BW75" s="20">
        <f t="shared" si="32"/>
        <v>43251</v>
      </c>
      <c r="BX75" s="27">
        <v>1.8490449676429801</v>
      </c>
      <c r="BY75" s="126">
        <f t="shared" si="89"/>
        <v>1346351.3640750933</v>
      </c>
      <c r="BZ75" s="6"/>
      <c r="CC75" s="79"/>
      <c r="CD75" s="20">
        <f t="shared" si="34"/>
        <v>43251</v>
      </c>
      <c r="CE75" s="78">
        <f t="shared" si="40"/>
        <v>0.87440522133576715</v>
      </c>
      <c r="CF75" s="126">
        <f t="shared" si="90"/>
        <v>1263748.3760339669</v>
      </c>
      <c r="CG75" s="6"/>
      <c r="CI75" s="39"/>
    </row>
    <row r="76" spans="1:87" x14ac:dyDescent="0.25">
      <c r="A76" s="20">
        <v>43281</v>
      </c>
      <c r="B76" s="24">
        <f t="shared" si="36"/>
        <v>61</v>
      </c>
      <c r="C76" s="301">
        <f>'LC (Gross)'!K238</f>
        <v>0.61554178695228756</v>
      </c>
      <c r="D76" s="301">
        <f>ITL!K178</f>
        <v>-1.8324589970430885</v>
      </c>
      <c r="E76" s="301">
        <v>-0.12303051950629133</v>
      </c>
      <c r="F76" s="301">
        <v>0.14000000000000001</v>
      </c>
      <c r="G76" s="39"/>
      <c r="H76" s="20">
        <f t="shared" si="12"/>
        <v>43281</v>
      </c>
      <c r="I76" s="27">
        <v>1.6509472837804948</v>
      </c>
      <c r="J76" s="126">
        <f t="shared" ref="J76" si="92">J75*I76/100+J75</f>
        <v>1681987.9970898598</v>
      </c>
      <c r="K76" s="6"/>
      <c r="L76" s="49">
        <f>(J76/J73-1)*100</f>
        <v>5.9733315602105375</v>
      </c>
      <c r="M76" s="17"/>
      <c r="N76" s="79"/>
      <c r="O76" s="20">
        <f t="shared" si="14"/>
        <v>43281</v>
      </c>
      <c r="P76" s="78">
        <f t="shared" si="37"/>
        <v>0.10567913326729497</v>
      </c>
      <c r="Q76" s="126">
        <f t="shared" ref="Q76" si="93">Q75*P76/100+Q75</f>
        <v>1479742.2651269475</v>
      </c>
      <c r="R76" s="6"/>
      <c r="S76" s="49">
        <f>(Q76/Q73-1)*100</f>
        <v>1.6448578755223764</v>
      </c>
      <c r="T76" s="39"/>
      <c r="U76" s="20">
        <f t="shared" si="16"/>
        <v>43281</v>
      </c>
      <c r="V76" s="27">
        <v>1.5711394706804434</v>
      </c>
      <c r="W76" s="126">
        <f t="shared" ref="W76" si="94">W75*V76/100+W75</f>
        <v>1577434.4983509558</v>
      </c>
      <c r="X76" s="6"/>
      <c r="Y76" s="49">
        <f>(W76/W73-1)*100</f>
        <v>5.2961005648599402</v>
      </c>
      <c r="Z76" s="49"/>
      <c r="AA76" s="79"/>
      <c r="AB76" s="20">
        <f t="shared" si="18"/>
        <v>43281</v>
      </c>
      <c r="AC76" s="78">
        <f t="shared" si="38"/>
        <v>0.11729332649827687</v>
      </c>
      <c r="AD76" s="126">
        <f t="shared" ref="AD76" si="95">AD75*AC76/100+AD75</f>
        <v>1393604.8494837501</v>
      </c>
      <c r="AE76" s="6"/>
      <c r="AF76" s="49">
        <f>(AD76/AD73-1)*100</f>
        <v>1.3991686500848255</v>
      </c>
      <c r="AG76" s="44"/>
      <c r="AH76" s="20">
        <f t="shared" si="20"/>
        <v>43281</v>
      </c>
      <c r="AI76" s="27">
        <v>1.3738611270671366</v>
      </c>
      <c r="AJ76" s="126">
        <f t="shared" ref="AJ76" si="96">AJ75*AI76/100+AJ75</f>
        <v>1447848.4747548068</v>
      </c>
      <c r="AK76" s="6"/>
      <c r="AL76" s="49">
        <f>(AJ76/AJ73-1)*100</f>
        <v>4.4128717175907495</v>
      </c>
      <c r="AN76" s="79"/>
      <c r="AO76" s="20">
        <f t="shared" si="22"/>
        <v>43281</v>
      </c>
      <c r="AP76" s="78">
        <f t="shared" si="39"/>
        <v>1.7133043901789831E-2</v>
      </c>
      <c r="AQ76" s="126">
        <f t="shared" ref="AQ76" si="97">AQ75*AP76/100+AQ75</f>
        <v>1333746.4433115269</v>
      </c>
      <c r="AR76" s="6"/>
      <c r="AS76" s="49">
        <f>(AQ76/AQ73-1)*100</f>
        <v>0.98233119587536333</v>
      </c>
      <c r="AT76" s="39"/>
      <c r="AU76" s="20">
        <f t="shared" si="24"/>
        <v>43281</v>
      </c>
      <c r="AV76" s="27">
        <v>0.89719095864364684</v>
      </c>
      <c r="AW76" s="126">
        <f t="shared" ref="AW76" si="98">AW75*AV76/100+AW75</f>
        <v>1168245.6127841335</v>
      </c>
      <c r="AX76" s="6"/>
      <c r="AY76" s="49">
        <f>(AW76/AW73-1)*100</f>
        <v>2.7686090257394769</v>
      </c>
      <c r="AZ76" s="49"/>
      <c r="BA76" s="79"/>
      <c r="BB76" s="20">
        <f t="shared" si="26"/>
        <v>43281</v>
      </c>
      <c r="BC76" s="78">
        <f t="shared" si="41"/>
        <v>-9.5190134811329583E-2</v>
      </c>
      <c r="BD76" s="126">
        <f t="shared" ref="BD76" si="99">BD75*BC76/100+BD75</f>
        <v>1161524.3123955384</v>
      </c>
      <c r="BE76" s="6"/>
      <c r="BF76" s="49">
        <f>(BD76/BD73-1)*100</f>
        <v>0.17298384795541022</v>
      </c>
      <c r="BG76" s="39"/>
      <c r="BH76" s="20">
        <f t="shared" si="28"/>
        <v>43281</v>
      </c>
      <c r="BI76" s="27"/>
      <c r="BJ76" s="126">
        <f t="shared" si="29"/>
        <v>1000000</v>
      </c>
      <c r="BK76" s="6"/>
      <c r="BL76" s="49">
        <f>(BJ76/BJ73-1)*100</f>
        <v>0</v>
      </c>
      <c r="BM76" s="49"/>
      <c r="BN76" s="79"/>
      <c r="BO76" s="20">
        <f t="shared" si="30"/>
        <v>43281</v>
      </c>
      <c r="BP76" s="78"/>
      <c r="BQ76" s="126">
        <f t="shared" si="55"/>
        <v>1000000</v>
      </c>
      <c r="BR76" s="6"/>
      <c r="BS76" s="49">
        <f>(BQ76/BQ73-1)*100</f>
        <v>0</v>
      </c>
      <c r="BV76" s="39"/>
      <c r="BW76" s="20">
        <f t="shared" si="32"/>
        <v>43281</v>
      </c>
      <c r="BX76" s="27">
        <v>1.0919369516886732</v>
      </c>
      <c r="BY76" s="126">
        <f t="shared" ref="BY76" si="100">BY75*BX76/100+BY75</f>
        <v>1361052.6721189937</v>
      </c>
      <c r="BZ76" s="6"/>
      <c r="CA76" s="49">
        <f>(BY76/BY73-1)*100</f>
        <v>3.5333097804827629</v>
      </c>
      <c r="CC76" s="79"/>
      <c r="CD76" s="20">
        <f t="shared" si="34"/>
        <v>43281</v>
      </c>
      <c r="CE76" s="78">
        <f t="shared" si="40"/>
        <v>2.8747237132771802E-2</v>
      </c>
      <c r="CF76" s="126">
        <f t="shared" ref="CF76" si="101">CF75*CE76/100+CF75</f>
        <v>1264111.6687763869</v>
      </c>
      <c r="CG76" s="6"/>
      <c r="CH76" s="49">
        <f>(CF76/CF73-1)*100</f>
        <v>0.73720803829779857</v>
      </c>
      <c r="CI76" s="39"/>
    </row>
    <row r="77" spans="1:87" x14ac:dyDescent="0.25">
      <c r="A77" s="20">
        <v>43312</v>
      </c>
      <c r="B77" s="24">
        <f t="shared" ref="B77" si="102">IF(A77&gt;A76,1+B76,"-")</f>
        <v>62</v>
      </c>
      <c r="C77" s="301">
        <f>'LC (Gross)'!K239</f>
        <v>3.7219699000503734</v>
      </c>
      <c r="D77" s="301">
        <f>ITL!K179</f>
        <v>2.4263231933962301</v>
      </c>
      <c r="E77" s="301">
        <v>2.3782000000000001E-2</v>
      </c>
      <c r="F77" s="301">
        <v>0.16</v>
      </c>
      <c r="G77" s="39"/>
      <c r="H77" s="20">
        <f t="shared" si="12"/>
        <v>43312</v>
      </c>
      <c r="I77" s="27">
        <v>3.1781091558703545</v>
      </c>
      <c r="J77" s="126">
        <f t="shared" ref="J77" si="103">J76*I77/100+J76</f>
        <v>1735443.411626013</v>
      </c>
      <c r="K77" s="6"/>
      <c r="M77" s="17"/>
      <c r="N77" s="79"/>
      <c r="O77" s="20">
        <f t="shared" si="14"/>
        <v>43312</v>
      </c>
      <c r="P77" s="78">
        <f t="shared" si="37"/>
        <v>2.4590319240371401</v>
      </c>
      <c r="Q77" s="126">
        <f t="shared" ref="Q77" si="104">Q76*P77/100+Q76</f>
        <v>1516129.5998198895</v>
      </c>
      <c r="R77" s="6"/>
      <c r="T77" s="39"/>
      <c r="U77" s="20">
        <f t="shared" si="16"/>
        <v>43312</v>
      </c>
      <c r="V77" s="27">
        <v>2.93422108275906</v>
      </c>
      <c r="W77" s="126">
        <f t="shared" ref="W77" si="105">W76*V77/100+W76</f>
        <v>1623719.9139682841</v>
      </c>
      <c r="X77" s="6"/>
      <c r="Y77" s="3"/>
      <c r="AA77" s="79"/>
      <c r="AB77" s="20">
        <f t="shared" si="18"/>
        <v>43312</v>
      </c>
      <c r="AC77" s="78">
        <f t="shared" si="38"/>
        <v>1.9690860743622911</v>
      </c>
      <c r="AD77" s="126">
        <f t="shared" ref="AD77" si="106">AD76*AC77/100+AD76</f>
        <v>1421046.1285065722</v>
      </c>
      <c r="AE77" s="6"/>
      <c r="AG77" s="44"/>
      <c r="AH77" s="20">
        <f t="shared" si="20"/>
        <v>43312</v>
      </c>
      <c r="AI77" s="27">
        <v>2.4826595854415801</v>
      </c>
      <c r="AJ77" s="126">
        <f t="shared" ref="AJ77" si="107">AJ76*AI77/100+AJ76</f>
        <v>1483793.6236959768</v>
      </c>
      <c r="AK77" s="6"/>
      <c r="AN77" s="79"/>
      <c r="AO77" s="20">
        <f t="shared" si="22"/>
        <v>43312</v>
      </c>
      <c r="AP77" s="78">
        <f t="shared" si="39"/>
        <v>1.5856454843572538</v>
      </c>
      <c r="AQ77" s="126">
        <f t="shared" ref="AQ77" si="108">AQ76*AP77/100+AQ76</f>
        <v>1354894.9335626715</v>
      </c>
      <c r="AR77" s="6"/>
      <c r="AT77" s="39"/>
      <c r="AU77" s="20">
        <f t="shared" si="24"/>
        <v>43312</v>
      </c>
      <c r="AV77" s="27">
        <v>1.221902918152431</v>
      </c>
      <c r="AW77" s="126">
        <f t="shared" ref="AW77" si="109">AW76*AV77/100+AW76</f>
        <v>1182520.4400179307</v>
      </c>
      <c r="AX77" s="6"/>
      <c r="AZ77" s="49"/>
      <c r="BA77" s="79"/>
      <c r="BB77" s="20">
        <f t="shared" si="26"/>
        <v>43312</v>
      </c>
      <c r="BC77" s="78">
        <f t="shared" si="41"/>
        <v>0.53416054967484894</v>
      </c>
      <c r="BD77" s="126">
        <f t="shared" ref="BD77" si="110">BD76*BC77/100+BD76</f>
        <v>1167728.7170472376</v>
      </c>
      <c r="BE77" s="6"/>
      <c r="BG77" s="39"/>
      <c r="BH77" s="20">
        <f t="shared" si="28"/>
        <v>43312</v>
      </c>
      <c r="BI77" s="27"/>
      <c r="BJ77" s="126">
        <f t="shared" si="29"/>
        <v>1000000</v>
      </c>
      <c r="BK77" s="6"/>
      <c r="BM77" s="49"/>
      <c r="BN77" s="79"/>
      <c r="BO77" s="20">
        <f t="shared" si="30"/>
        <v>43312</v>
      </c>
      <c r="BP77" s="78"/>
      <c r="BQ77" s="126">
        <f t="shared" si="55"/>
        <v>1000000</v>
      </c>
      <c r="BR77" s="6"/>
      <c r="BV77" s="39"/>
      <c r="BW77" s="20">
        <f t="shared" si="32"/>
        <v>43312</v>
      </c>
      <c r="BX77" s="27">
        <v>1.7767980611739069</v>
      </c>
      <c r="BY77" s="126">
        <f t="shared" ref="BY77" si="111">BY76*BX77/100+BY76</f>
        <v>1385235.8296087596</v>
      </c>
      <c r="BZ77" s="6"/>
      <c r="CC77" s="79"/>
      <c r="CD77" s="20">
        <f t="shared" si="34"/>
        <v>43312</v>
      </c>
      <c r="CE77" s="78">
        <f t="shared" si="40"/>
        <v>1.0956996346824051</v>
      </c>
      <c r="CF77" s="126">
        <f t="shared" ref="CF77" si="112">CF76*CE77/100+CF76</f>
        <v>1277962.5357131474</v>
      </c>
      <c r="CG77" s="6"/>
      <c r="CI77" s="39"/>
    </row>
    <row r="78" spans="1:87" x14ac:dyDescent="0.25">
      <c r="A78" s="20">
        <v>43343</v>
      </c>
      <c r="B78" s="24">
        <f t="shared" si="36"/>
        <v>63</v>
      </c>
      <c r="C78" s="301">
        <f>'LC (Gross)'!K240</f>
        <v>3.2583139999999999</v>
      </c>
      <c r="D78" s="301">
        <f>ITL!K180</f>
        <v>-2.0613525416709115</v>
      </c>
      <c r="E78" s="301">
        <v>0.64339999999999997</v>
      </c>
      <c r="F78" s="301">
        <v>0.16</v>
      </c>
      <c r="G78" s="39"/>
      <c r="H78" s="20">
        <f t="shared" si="12"/>
        <v>43343</v>
      </c>
      <c r="I78" s="27">
        <v>4.5205959940330116</v>
      </c>
      <c r="J78" s="126">
        <f t="shared" ref="J78:J79" si="113">J77*I78/100+J77</f>
        <v>1813895.7969706883</v>
      </c>
      <c r="K78" s="6"/>
      <c r="L78" s="49"/>
      <c r="M78" s="17"/>
      <c r="N78" s="79"/>
      <c r="O78" s="20">
        <f t="shared" si="14"/>
        <v>43343</v>
      </c>
      <c r="P78" s="78">
        <f t="shared" si="37"/>
        <v>1.5308698187493635</v>
      </c>
      <c r="Q78" s="126">
        <f t="shared" ref="Q78:Q79" si="114">Q77*P78/100+Q77</f>
        <v>1539339.5702766578</v>
      </c>
      <c r="R78" s="6"/>
      <c r="S78" s="5"/>
      <c r="T78" s="39"/>
      <c r="U78" s="20">
        <f t="shared" si="16"/>
        <v>43343</v>
      </c>
      <c r="V78" s="27">
        <v>4.0907422024414082</v>
      </c>
      <c r="W78" s="126">
        <f t="shared" ref="W78:W79" si="115">W77*V78/100+W77</f>
        <v>1690142.10973843</v>
      </c>
      <c r="X78" s="6"/>
      <c r="Y78" s="6"/>
      <c r="Z78" s="5"/>
      <c r="AA78" s="79"/>
      <c r="AB78" s="20">
        <f t="shared" si="18"/>
        <v>43343</v>
      </c>
      <c r="AC78" s="78">
        <f t="shared" si="38"/>
        <v>1.4046160458329091</v>
      </c>
      <c r="AD78" s="126">
        <f t="shared" ref="AD78" si="116">AD77*AC78/100+AD77</f>
        <v>1441006.3704462629</v>
      </c>
      <c r="AE78" s="6"/>
      <c r="AG78" s="44"/>
      <c r="AH78" s="20">
        <f t="shared" si="20"/>
        <v>43343</v>
      </c>
      <c r="AI78" s="27">
        <v>3.4925954103870316</v>
      </c>
      <c r="AJ78" s="126">
        <f t="shared" ref="AJ78" si="117">AJ77*AI78/100+AJ77</f>
        <v>1535616.5316967978</v>
      </c>
      <c r="AK78" s="6"/>
      <c r="AN78" s="79"/>
      <c r="AO78" s="20">
        <f t="shared" si="22"/>
        <v>43343</v>
      </c>
      <c r="AP78" s="78">
        <f t="shared" si="39"/>
        <v>1.1914646458329088</v>
      </c>
      <c r="AQ78" s="126">
        <f t="shared" ref="AQ78" si="118">AQ77*AP78/100+AQ77</f>
        <v>1371038.027684252</v>
      </c>
      <c r="AR78" s="6"/>
      <c r="AT78" s="39"/>
      <c r="AU78" s="20">
        <f t="shared" si="24"/>
        <v>43343</v>
      </c>
      <c r="AV78" s="27">
        <v>2.3326576325363271</v>
      </c>
      <c r="AW78" s="126">
        <f t="shared" ref="AW78" si="119">AW77*AV78/100+AW77</f>
        <v>1210104.593318311</v>
      </c>
      <c r="AX78" s="6"/>
      <c r="AZ78" s="49"/>
      <c r="BA78" s="79"/>
      <c r="BB78" s="20">
        <f t="shared" si="26"/>
        <v>43343</v>
      </c>
      <c r="BC78" s="78">
        <f t="shared" si="41"/>
        <v>0.69714377291645435</v>
      </c>
      <c r="BD78" s="126">
        <f t="shared" ref="BD78" si="120">BD77*BC78/100+BD77</f>
        <v>1175869.4650826897</v>
      </c>
      <c r="BE78" s="6"/>
      <c r="BG78" s="39"/>
      <c r="BH78" s="20">
        <f t="shared" si="28"/>
        <v>43343</v>
      </c>
      <c r="BI78" s="27"/>
      <c r="BJ78" s="126">
        <f t="shared" si="29"/>
        <v>1000000</v>
      </c>
      <c r="BK78" s="6"/>
      <c r="BM78" s="49"/>
      <c r="BN78" s="79"/>
      <c r="BO78" s="20">
        <f t="shared" si="30"/>
        <v>43343</v>
      </c>
      <c r="BP78" s="78"/>
      <c r="BQ78" s="126">
        <f t="shared" si="55"/>
        <v>1000000</v>
      </c>
      <c r="BR78" s="6"/>
      <c r="BV78" s="39"/>
      <c r="BW78" s="20">
        <f t="shared" si="32"/>
        <v>43343</v>
      </c>
      <c r="BX78" s="27">
        <v>2.9065481585219324</v>
      </c>
      <c r="BY78" s="126">
        <f t="shared" ref="BY78" si="121">BY77*BX78/100+BY77</f>
        <v>1425498.3761054389</v>
      </c>
      <c r="BZ78" s="6"/>
      <c r="CC78" s="79"/>
      <c r="CD78" s="20">
        <f t="shared" si="34"/>
        <v>43343</v>
      </c>
      <c r="CE78" s="78">
        <f t="shared" si="40"/>
        <v>1.0652108729164544</v>
      </c>
      <c r="CF78" s="126">
        <f t="shared" ref="CF78" si="122">CF77*CE78/100+CF77</f>
        <v>1291575.5315953626</v>
      </c>
      <c r="CG78" s="6"/>
      <c r="CI78" s="39"/>
    </row>
    <row r="79" spans="1:87" x14ac:dyDescent="0.25">
      <c r="A79" s="20">
        <v>43373</v>
      </c>
      <c r="B79" s="24">
        <f t="shared" si="36"/>
        <v>64</v>
      </c>
      <c r="C79" s="301">
        <f>'LC (Gross)'!K241</f>
        <v>0.56832280000000002</v>
      </c>
      <c r="D79" s="301">
        <f>ITL!K181</f>
        <v>0.50423840845199619</v>
      </c>
      <c r="E79" s="301">
        <v>-0.64389750000000001</v>
      </c>
      <c r="F79" s="301">
        <v>0.15</v>
      </c>
      <c r="G79" s="39"/>
      <c r="H79" s="20">
        <f t="shared" si="12"/>
        <v>43373</v>
      </c>
      <c r="I79" s="27">
        <v>-0.49816307548274513</v>
      </c>
      <c r="J79" s="126">
        <f t="shared" si="113"/>
        <v>1804859.6378824469</v>
      </c>
      <c r="K79" s="6"/>
      <c r="L79" s="49">
        <f>(J79/J76-1)*100</f>
        <v>7.3051437349836545</v>
      </c>
      <c r="M79" s="17"/>
      <c r="N79" s="79"/>
      <c r="O79" s="20">
        <f t="shared" si="14"/>
        <v>43373</v>
      </c>
      <c r="P79" s="78">
        <f t="shared" si="37"/>
        <v>0.43321330126779944</v>
      </c>
      <c r="Q79" s="126">
        <f t="shared" si="114"/>
        <v>1546008.1940467749</v>
      </c>
      <c r="R79" s="6"/>
      <c r="S79" s="49">
        <f>(Q79/Q76-1)*100</f>
        <v>4.4782074879872624</v>
      </c>
      <c r="T79" s="39"/>
      <c r="U79" s="20">
        <f t="shared" si="16"/>
        <v>43373</v>
      </c>
      <c r="V79" s="27">
        <v>-0.34683078454683003</v>
      </c>
      <c r="W79" s="126">
        <f t="shared" si="115"/>
        <v>1684280.1765992679</v>
      </c>
      <c r="X79" s="6"/>
      <c r="Y79" s="49">
        <f>(W79/W76-1)*100</f>
        <v>6.7733828796066042</v>
      </c>
      <c r="AA79" s="79"/>
      <c r="AB79" s="20">
        <f t="shared" si="18"/>
        <v>43373</v>
      </c>
      <c r="AC79" s="78">
        <f t="shared" si="38"/>
        <v>0.25458447584519966</v>
      </c>
      <c r="AD79" s="126">
        <f t="shared" ref="AD79" si="123">AD78*AC79/100+AD78</f>
        <v>1444674.9489613594</v>
      </c>
      <c r="AE79" s="6"/>
      <c r="AF79" s="49">
        <f>(AD79/AD76-1)*100</f>
        <v>3.6646040300826854</v>
      </c>
      <c r="AG79" s="44"/>
      <c r="AH79" s="20">
        <f t="shared" si="20"/>
        <v>43373</v>
      </c>
      <c r="AI79" s="27">
        <v>-0.29720763998548333</v>
      </c>
      <c r="AJ79" s="126">
        <f t="shared" ref="AJ79" si="124">AJ78*AI79/100+AJ78</f>
        <v>1531052.5620437148</v>
      </c>
      <c r="AK79" s="6"/>
      <c r="AL79" s="49">
        <f>(AJ79/AJ76-1)*100</f>
        <v>5.7467399896939275</v>
      </c>
      <c r="AN79" s="79"/>
      <c r="AO79" s="20">
        <f t="shared" si="22"/>
        <v>43373</v>
      </c>
      <c r="AP79" s="78">
        <f t="shared" si="39"/>
        <v>5.397269584519962E-2</v>
      </c>
      <c r="AQ79" s="126">
        <f t="shared" ref="AQ79" si="125">AQ78*AP79/100+AQ78</f>
        <v>1371778.013868856</v>
      </c>
      <c r="AR79" s="6"/>
      <c r="AS79" s="49">
        <f>(AQ79/AQ76-1)*100</f>
        <v>2.8514843093340403</v>
      </c>
      <c r="AT79" s="39"/>
      <c r="AU79" s="20">
        <f t="shared" si="24"/>
        <v>43373</v>
      </c>
      <c r="AV79" s="27">
        <v>-0.60465526892237065</v>
      </c>
      <c r="AW79" s="126">
        <f t="shared" ref="AW79" si="126">AW78*AV79/100+AW78</f>
        <v>1202787.6321353402</v>
      </c>
      <c r="AX79" s="6"/>
      <c r="AY79" s="49">
        <f>(AW79/AW76-1)*100</f>
        <v>2.9567429120394451</v>
      </c>
      <c r="AZ79" s="49"/>
      <c r="BA79" s="79"/>
      <c r="BB79" s="20">
        <f t="shared" si="26"/>
        <v>43373</v>
      </c>
      <c r="BC79" s="78">
        <f t="shared" si="41"/>
        <v>-0.34618404957740018</v>
      </c>
      <c r="BD79" s="126">
        <f t="shared" ref="BD79" si="127">BD78*BC79/100+BD78</f>
        <v>1171798.7925507224</v>
      </c>
      <c r="BE79" s="6"/>
      <c r="BF79" s="49">
        <f>(BD79/BD76-1)*100</f>
        <v>0.88456866942316914</v>
      </c>
      <c r="BG79" s="39"/>
      <c r="BH79" s="20">
        <f t="shared" si="28"/>
        <v>43373</v>
      </c>
      <c r="BI79" s="27"/>
      <c r="BJ79" s="126">
        <f t="shared" si="29"/>
        <v>1000000</v>
      </c>
      <c r="BK79" s="6"/>
      <c r="BL79" s="49">
        <f>(BJ79/BJ76-1)*100</f>
        <v>0</v>
      </c>
      <c r="BM79" s="49"/>
      <c r="BN79" s="79"/>
      <c r="BO79" s="20">
        <f t="shared" si="30"/>
        <v>43373</v>
      </c>
      <c r="BP79" s="78"/>
      <c r="BQ79" s="126">
        <f t="shared" si="55"/>
        <v>1000000</v>
      </c>
      <c r="BR79" s="6"/>
      <c r="BS79" s="49">
        <f>(BQ79/BQ76-1)*100</f>
        <v>0</v>
      </c>
      <c r="BV79" s="39"/>
      <c r="BW79" s="20">
        <f t="shared" si="32"/>
        <v>43373</v>
      </c>
      <c r="BX79" s="27">
        <v>-0.55089475097050933</v>
      </c>
      <c r="BY79" s="126">
        <f t="shared" ref="BY79" si="128">BY78*BX79/100+BY78</f>
        <v>1417645.3803763043</v>
      </c>
      <c r="BZ79" s="6"/>
      <c r="CA79" s="49">
        <f>(BY79/BY76-1)*100</f>
        <v>4.1580101502760147</v>
      </c>
      <c r="CC79" s="79"/>
      <c r="CD79" s="20">
        <f t="shared" si="34"/>
        <v>43373</v>
      </c>
      <c r="CE79" s="78">
        <f t="shared" si="40"/>
        <v>-0.12465612957740019</v>
      </c>
      <c r="CF79" s="126">
        <f t="shared" ref="CF79" si="129">CF78*CE79/100+CF78</f>
        <v>1289965.5035271072</v>
      </c>
      <c r="CG79" s="6"/>
      <c r="CH79" s="49">
        <f>(CF79/CF76-1)*100</f>
        <v>2.0452176330075122</v>
      </c>
      <c r="CI79" s="39"/>
    </row>
    <row r="80" spans="1:87" x14ac:dyDescent="0.25">
      <c r="A80" s="20">
        <v>43404</v>
      </c>
      <c r="B80" s="24">
        <f t="shared" si="36"/>
        <v>65</v>
      </c>
      <c r="C80" s="301">
        <f>'LC (Gross)'!K242</f>
        <v>-6.8352242584879388</v>
      </c>
      <c r="D80" s="301">
        <f>ITL!K182</f>
        <v>-8.1229006290783285</v>
      </c>
      <c r="E80" s="301">
        <v>-0.79009966876400217</v>
      </c>
      <c r="F80" s="301">
        <v>0.19</v>
      </c>
      <c r="G80" s="39"/>
      <c r="H80" s="20">
        <f t="shared" si="12"/>
        <v>43404</v>
      </c>
      <c r="I80" s="27">
        <v>-8.1299186906141259</v>
      </c>
      <c r="J80" s="126">
        <f t="shared" ref="J80:J85" si="130">J79*I80/100+J79</f>
        <v>1658126.0168428915</v>
      </c>
      <c r="K80" s="6"/>
      <c r="M80" s="17"/>
      <c r="N80" s="79"/>
      <c r="O80" s="20">
        <f t="shared" si="14"/>
        <v>43404</v>
      </c>
      <c r="P80" s="78">
        <f t="shared" si="37"/>
        <v>-4.9208084365301152</v>
      </c>
      <c r="Q80" s="126">
        <f t="shared" ref="Q80:Q85" si="131">Q79*P80/100+Q79</f>
        <v>1469932.0924046743</v>
      </c>
      <c r="R80" s="6"/>
      <c r="T80" s="39"/>
      <c r="U80" s="20">
        <f t="shared" si="16"/>
        <v>43404</v>
      </c>
      <c r="V80" s="27">
        <v>-7.2599850401816326</v>
      </c>
      <c r="W80" s="126">
        <f t="shared" ref="W80:W85" si="132">W79*V80/100+W79</f>
        <v>1562001.6877434163</v>
      </c>
      <c r="X80" s="6"/>
      <c r="Y80" s="3"/>
      <c r="AA80" s="79"/>
      <c r="AB80" s="20">
        <f t="shared" si="18"/>
        <v>43404</v>
      </c>
      <c r="AC80" s="78">
        <f t="shared" si="38"/>
        <v>-3.9496559295420064</v>
      </c>
      <c r="AD80" s="126">
        <f t="shared" ref="AD80:AD84" si="133">AD79*AC80/100+AD79</f>
        <v>1387615.2591770992</v>
      </c>
      <c r="AE80" s="6"/>
      <c r="AG80" s="44"/>
      <c r="AH80" s="20">
        <f t="shared" si="20"/>
        <v>43404</v>
      </c>
      <c r="AI80" s="27">
        <v>-6.1122681885150163</v>
      </c>
      <c r="AJ80" s="126">
        <f t="shared" ref="AJ80:AJ85" si="134">AJ79*AI80/100+AJ79</f>
        <v>1437470.5233444727</v>
      </c>
      <c r="AK80" s="6"/>
      <c r="AN80" s="79"/>
      <c r="AO80" s="20">
        <f t="shared" si="22"/>
        <v>43404</v>
      </c>
      <c r="AP80" s="78">
        <f t="shared" si="39"/>
        <v>-3.4431534374460124</v>
      </c>
      <c r="AQ80" s="126">
        <f t="shared" ref="AQ80:AQ84" si="135">AQ79*AP80/100+AQ79</f>
        <v>1324545.5920302018</v>
      </c>
      <c r="AR80" s="6"/>
      <c r="AT80" s="39"/>
      <c r="AU80" s="20">
        <f t="shared" si="24"/>
        <v>43404</v>
      </c>
      <c r="AV80" s="27">
        <v>-4.1838622116264235</v>
      </c>
      <c r="AW80" s="126">
        <f t="shared" ref="AW80:AW85" si="136">AW79*AV80/100+AW79</f>
        <v>1152464.6549083134</v>
      </c>
      <c r="AX80" s="6"/>
      <c r="AZ80" s="49"/>
      <c r="BA80" s="79"/>
      <c r="BB80" s="20">
        <f t="shared" si="26"/>
        <v>43404</v>
      </c>
      <c r="BC80" s="78">
        <f t="shared" si="41"/>
        <v>-1.6142372254375117</v>
      </c>
      <c r="BD80" s="126">
        <f t="shared" ref="BD80:BD84" si="137">BD79*BC80/100+BD79</f>
        <v>1152883.1802341414</v>
      </c>
      <c r="BE80" s="6"/>
      <c r="BG80" s="39"/>
      <c r="BH80" s="20">
        <f t="shared" si="28"/>
        <v>43404</v>
      </c>
      <c r="BI80" s="27"/>
      <c r="BJ80" s="126">
        <f t="shared" ref="BJ80:BJ112" si="138">BJ79*BI80/100+BJ79</f>
        <v>1000000</v>
      </c>
      <c r="BK80" s="6"/>
      <c r="BM80" s="49"/>
      <c r="BN80" s="79"/>
      <c r="BO80" s="20">
        <f t="shared" si="30"/>
        <v>43404</v>
      </c>
      <c r="BP80" s="78"/>
      <c r="BQ80" s="126">
        <f t="shared" si="55"/>
        <v>1000000</v>
      </c>
      <c r="BR80" s="6"/>
      <c r="BV80" s="39"/>
      <c r="BW80" s="20">
        <f t="shared" si="32"/>
        <v>43404</v>
      </c>
      <c r="BX80" s="27">
        <v>-5.1284981046165683</v>
      </c>
      <c r="BY80" s="126">
        <f t="shared" ref="BY80:BY87" si="139">BY79*BX80/100+BY79</f>
        <v>1344941.4639135213</v>
      </c>
      <c r="BZ80" s="6"/>
      <c r="CC80" s="79"/>
      <c r="CD80" s="20">
        <f t="shared" si="34"/>
        <v>43404</v>
      </c>
      <c r="CE80" s="78">
        <f t="shared" si="40"/>
        <v>-2.4720009304579023</v>
      </c>
      <c r="CF80" s="126">
        <f t="shared" ref="CF80:CF84" si="140">CF79*CE80/100+CF79</f>
        <v>1258077.5442773311</v>
      </c>
      <c r="CG80" s="6"/>
      <c r="CI80" s="39"/>
    </row>
    <row r="81" spans="1:87" x14ac:dyDescent="0.25">
      <c r="A81" s="20">
        <v>43434</v>
      </c>
      <c r="B81" s="24">
        <f t="shared" ref="B81:B96" si="141">IF(A81&gt;A80,1+B80,"-")</f>
        <v>66</v>
      </c>
      <c r="C81" s="301">
        <f>'LC (Gross)'!K243</f>
        <v>2.0375371622214709</v>
      </c>
      <c r="D81" s="301">
        <f>ITL!K183</f>
        <v>0.97212118024815819</v>
      </c>
      <c r="E81" s="301">
        <v>0.59666826846067955</v>
      </c>
      <c r="F81" s="301">
        <v>0.18</v>
      </c>
      <c r="G81" s="39"/>
      <c r="H81" s="20">
        <f t="shared" si="12"/>
        <v>43434</v>
      </c>
      <c r="I81" s="27">
        <v>1.3473952320924714</v>
      </c>
      <c r="J81" s="126">
        <f t="shared" si="130"/>
        <v>1680467.5277359174</v>
      </c>
      <c r="K81" s="8"/>
      <c r="L81" s="49"/>
      <c r="M81" s="17"/>
      <c r="N81" s="79"/>
      <c r="O81" s="20">
        <f t="shared" si="14"/>
        <v>43434</v>
      </c>
      <c r="P81" s="78">
        <f t="shared" si="37"/>
        <v>1.3204636162590329</v>
      </c>
      <c r="Q81" s="126">
        <f t="shared" si="131"/>
        <v>1489342.0108685931</v>
      </c>
      <c r="R81" s="8"/>
      <c r="S81" s="5"/>
      <c r="T81" s="39"/>
      <c r="U81" s="20">
        <f t="shared" si="16"/>
        <v>43434</v>
      </c>
      <c r="V81" s="27">
        <v>1.3053919771012268</v>
      </c>
      <c r="W81" s="126">
        <f t="shared" si="132"/>
        <v>1582391.9324574047</v>
      </c>
      <c r="X81" s="8"/>
      <c r="Y81" s="6"/>
      <c r="Z81" s="5"/>
      <c r="AA81" s="79"/>
      <c r="AB81" s="20">
        <f t="shared" si="18"/>
        <v>43434</v>
      </c>
      <c r="AC81" s="78">
        <f t="shared" si="38"/>
        <v>1.1576040812935797</v>
      </c>
      <c r="AD81" s="126">
        <f t="shared" si="133"/>
        <v>1403678.3500499858</v>
      </c>
      <c r="AG81" s="44"/>
      <c r="AH81" s="20">
        <f t="shared" si="20"/>
        <v>43434</v>
      </c>
      <c r="AI81" s="27">
        <v>1.1683045910844252</v>
      </c>
      <c r="AJ81" s="126">
        <f t="shared" si="134"/>
        <v>1454264.5574641915</v>
      </c>
      <c r="AN81" s="79"/>
      <c r="AO81" s="20">
        <f t="shared" si="22"/>
        <v>43434</v>
      </c>
      <c r="AP81" s="78">
        <f t="shared" si="39"/>
        <v>1.0551840187635684</v>
      </c>
      <c r="AQ81" s="126">
        <f t="shared" si="135"/>
        <v>1338521.9854385417</v>
      </c>
      <c r="AT81" s="39"/>
      <c r="AU81" s="20">
        <f t="shared" si="24"/>
        <v>43434</v>
      </c>
      <c r="AV81" s="27">
        <v>0.82441674528216635</v>
      </c>
      <c r="AW81" s="126">
        <f t="shared" si="136"/>
        <v>1161965.7665068358</v>
      </c>
      <c r="AZ81" s="49"/>
      <c r="BA81" s="79"/>
      <c r="BB81" s="20">
        <f t="shared" si="26"/>
        <v>43434</v>
      </c>
      <c r="BC81" s="78">
        <f t="shared" si="41"/>
        <v>0.69702756315703074</v>
      </c>
      <c r="BD81" s="126">
        <f t="shared" si="137"/>
        <v>1160919.0937713748</v>
      </c>
      <c r="BG81" s="39"/>
      <c r="BH81" s="20">
        <f t="shared" si="28"/>
        <v>43434</v>
      </c>
      <c r="BI81" s="27"/>
      <c r="BJ81" s="126">
        <f t="shared" si="138"/>
        <v>1000000</v>
      </c>
      <c r="BM81" s="49"/>
      <c r="BN81" s="79"/>
      <c r="BO81" s="20">
        <f t="shared" si="30"/>
        <v>43434</v>
      </c>
      <c r="BP81" s="78"/>
      <c r="BQ81" s="126">
        <f t="shared" si="55"/>
        <v>1000000</v>
      </c>
      <c r="BV81" s="39"/>
      <c r="BW81" s="20">
        <f t="shared" si="32"/>
        <v>43434</v>
      </c>
      <c r="BX81" s="27">
        <v>0.95597232223045181</v>
      </c>
      <c r="BY81" s="126">
        <f t="shared" si="139"/>
        <v>1357798.7320587356</v>
      </c>
      <c r="CC81" s="79"/>
      <c r="CD81" s="20">
        <f t="shared" si="34"/>
        <v>43434</v>
      </c>
      <c r="CE81" s="78">
        <f t="shared" si="40"/>
        <v>0.89232448379811546</v>
      </c>
      <c r="CF81" s="126">
        <f t="shared" si="140"/>
        <v>1269303.6782300838</v>
      </c>
      <c r="CI81" s="39"/>
    </row>
    <row r="82" spans="1:87" x14ac:dyDescent="0.25">
      <c r="A82" s="20">
        <v>43465</v>
      </c>
      <c r="B82" s="24">
        <f t="shared" si="141"/>
        <v>67</v>
      </c>
      <c r="C82" s="301">
        <f>'LC (Gross)'!K244</f>
        <v>-9.0331682593467146</v>
      </c>
      <c r="D82" s="301">
        <f>ITL!K184</f>
        <v>-4.4831909850183882</v>
      </c>
      <c r="E82" s="301">
        <v>1.8371083953664189</v>
      </c>
      <c r="F82" s="301">
        <v>0.19</v>
      </c>
      <c r="G82" s="39"/>
      <c r="H82" s="20">
        <f t="shared" si="12"/>
        <v>43465</v>
      </c>
      <c r="I82" s="27">
        <v>-8.2119317263707803</v>
      </c>
      <c r="J82" s="126">
        <f t="shared" si="130"/>
        <v>1542468.6816744129</v>
      </c>
      <c r="K82" s="6">
        <f>(J82-J$70)/J$70*100</f>
        <v>-2.6659686878449507</v>
      </c>
      <c r="L82" s="49">
        <f>(J82/J79-1)*100</f>
        <v>-14.538025600477411</v>
      </c>
      <c r="M82" s="16"/>
      <c r="N82" s="79"/>
      <c r="O82" s="20">
        <f t="shared" si="14"/>
        <v>43465</v>
      </c>
      <c r="P82" s="78">
        <f t="shared" ref="P82:P94" si="142">55%*$C82+15%*$D82+0%*$E82+30%*$F82</f>
        <v>-5.5837211903934509</v>
      </c>
      <c r="Q82" s="126">
        <f t="shared" si="131"/>
        <v>1406181.3054102915</v>
      </c>
      <c r="R82" s="6">
        <f>(Q82-Q$70)/Q$70*100</f>
        <v>-3.8140348525348644</v>
      </c>
      <c r="S82" s="49">
        <f>(Q82/Q79-1)*100</f>
        <v>-9.0443821174373991</v>
      </c>
      <c r="T82" s="39"/>
      <c r="U82" s="20">
        <f t="shared" si="16"/>
        <v>43465</v>
      </c>
      <c r="V82" s="27">
        <v>-7.1127846889840196</v>
      </c>
      <c r="W82" s="126">
        <f t="shared" si="132"/>
        <v>1469839.8013658561</v>
      </c>
      <c r="X82" s="6">
        <f>(W82-W$70)/W$70*100</f>
        <v>-1.6868258675054784</v>
      </c>
      <c r="Y82" s="49">
        <f>(W82/W79-1)*100</f>
        <v>-12.731870754804497</v>
      </c>
      <c r="Z82" s="16">
        <f>STDEVP(V47:V82)*SQRT(12)</f>
        <v>8.9727789861950544</v>
      </c>
      <c r="AA82" s="79"/>
      <c r="AB82" s="20">
        <f t="shared" si="18"/>
        <v>43465</v>
      </c>
      <c r="AC82" s="78">
        <f t="shared" si="38"/>
        <v>-4.1806785559028974</v>
      </c>
      <c r="AD82" s="126">
        <f t="shared" si="133"/>
        <v>1344995.0702755945</v>
      </c>
      <c r="AE82" s="6">
        <f>(AD82-AD$70)/AD$70*100</f>
        <v>-2.6237682093996204</v>
      </c>
      <c r="AF82" s="49">
        <f>(AD82/AD79-1)*100</f>
        <v>-6.8998136056439012</v>
      </c>
      <c r="AG82" s="44"/>
      <c r="AH82" s="20">
        <f t="shared" ref="AH82:AH87" si="143">$A82</f>
        <v>43465</v>
      </c>
      <c r="AI82" s="27">
        <v>-5.6322548959044507</v>
      </c>
      <c r="AJ82" s="126">
        <f t="shared" si="134"/>
        <v>1372356.6707270113</v>
      </c>
      <c r="AK82" s="6">
        <f>(AJ82-AJ$70)/AJ$70*100</f>
        <v>-0.93439252987637478</v>
      </c>
      <c r="AL82" s="49">
        <f>(AJ82/AJ79-1)*100</f>
        <v>-10.365149783288263</v>
      </c>
      <c r="AM82" s="16">
        <f>STDEVP(AI47:AI82)*SQRT(12)</f>
        <v>7.4039593601388072</v>
      </c>
      <c r="AN82" s="79"/>
      <c r="AO82" s="20">
        <f t="shared" ref="AO82:AO146" si="144">$A82</f>
        <v>43465</v>
      </c>
      <c r="AP82" s="78">
        <f t="shared" si="39"/>
        <v>-2.9289400508949424</v>
      </c>
      <c r="AQ82" s="126">
        <f t="shared" si="135"/>
        <v>1299317.478916998</v>
      </c>
      <c r="AR82" s="6">
        <f>(AQ82-AQ$70)/AQ$70*100</f>
        <v>-2.3548098790807517</v>
      </c>
      <c r="AS82" s="49">
        <f>(AQ82/AQ79-1)*100</f>
        <v>-5.2822347507594181</v>
      </c>
      <c r="AT82" s="39"/>
      <c r="AU82" s="20">
        <f t="shared" ref="AU82:AU146" si="145">$A82</f>
        <v>43465</v>
      </c>
      <c r="AV82" s="27">
        <v>-2.8229228438777731</v>
      </c>
      <c r="AW82" s="126">
        <f t="shared" si="136"/>
        <v>1129164.3694460748</v>
      </c>
      <c r="AX82" s="6">
        <f>(AW82-AW$70)/AW$70*100</f>
        <v>-1.1525090967398188</v>
      </c>
      <c r="AY82" s="49">
        <f>(AW82/AW79-1)*100</f>
        <v>-6.1210525218454492</v>
      </c>
      <c r="AZ82" s="16">
        <f>STDEVP(AV47:AV82)*SQRT(12)</f>
        <v>4.328997477480077</v>
      </c>
      <c r="BA82" s="79"/>
      <c r="BB82" s="20">
        <f t="shared" ref="BB82:BB146" si="146">$A82</f>
        <v>43465</v>
      </c>
      <c r="BC82" s="78">
        <f t="shared" si="41"/>
        <v>0.18699950157090209</v>
      </c>
      <c r="BD82" s="126">
        <f t="shared" si="137"/>
        <v>1163090.0066903688</v>
      </c>
      <c r="BE82" s="6">
        <f>(BD82-BD$70)/BD$70*100</f>
        <v>-0.75672059868513619</v>
      </c>
      <c r="BF82" s="49">
        <f>(BD82/BD79-1)*100</f>
        <v>-0.74319805718494614</v>
      </c>
      <c r="BG82" s="39"/>
      <c r="BH82" s="20">
        <f t="shared" ref="BH82:BH146" si="147">$A82</f>
        <v>43465</v>
      </c>
      <c r="BI82" s="27"/>
      <c r="BJ82" s="126">
        <f t="shared" si="138"/>
        <v>1000000</v>
      </c>
      <c r="BK82" s="6">
        <f>(BJ82-BJ$70)/BJ$70*100</f>
        <v>0</v>
      </c>
      <c r="BL82" s="49">
        <f>(BJ82/BJ79-1)*100</f>
        <v>0</v>
      </c>
      <c r="BM82" s="49"/>
      <c r="BN82" s="79"/>
      <c r="BO82" s="20">
        <f t="shared" ref="BO82:BO146" si="148">$A82</f>
        <v>43465</v>
      </c>
      <c r="BP82" s="78"/>
      <c r="BQ82" s="126">
        <f t="shared" si="55"/>
        <v>1000000</v>
      </c>
      <c r="BR82" s="6">
        <f>(BQ82-BQ$70)/BQ$70*100</f>
        <v>0</v>
      </c>
      <c r="BS82" s="49">
        <f>(BQ82/BQ79-1)*100</f>
        <v>0</v>
      </c>
      <c r="BV82" s="39"/>
      <c r="BW82" s="20">
        <f t="shared" ref="BW82:BW146" si="149">$A82</f>
        <v>43465</v>
      </c>
      <c r="BX82" s="27">
        <v>-4.1266620074189264</v>
      </c>
      <c r="BY82" s="126">
        <f t="shared" si="139"/>
        <v>1301766.9676456519</v>
      </c>
      <c r="BZ82" s="6">
        <f>(BY82-BY$70)/BY$70*100</f>
        <v>-1.2597853009826427</v>
      </c>
      <c r="CA82" s="49">
        <f>(BY82/BY79-1)*100</f>
        <v>-8.1740055965119574</v>
      </c>
      <c r="CB82" s="16">
        <f>STDEVP(BX47:BX82)*SQRT(12)</f>
        <v>5.7426869764863921</v>
      </c>
      <c r="CC82" s="79"/>
      <c r="CD82" s="20">
        <f t="shared" ref="CD82:CD146" si="150">$A82</f>
        <v>43465</v>
      </c>
      <c r="CE82" s="78">
        <f t="shared" si="40"/>
        <v>-1.5258974164043884</v>
      </c>
      <c r="CF82" s="126">
        <f t="shared" si="140"/>
        <v>1249935.406197645</v>
      </c>
      <c r="CG82" s="6">
        <f>(CF82-CF$70)/CF$70*100</f>
        <v>-1.2321296956111349</v>
      </c>
      <c r="CH82" s="49">
        <f>(CF82/CF79-1)*100</f>
        <v>-3.1031913039542003</v>
      </c>
      <c r="CI82" s="39"/>
    </row>
    <row r="83" spans="1:87" x14ac:dyDescent="0.25">
      <c r="A83" s="20">
        <v>43496</v>
      </c>
      <c r="B83" s="24">
        <f t="shared" si="141"/>
        <v>68</v>
      </c>
      <c r="C83" s="301">
        <f>'LC (Gross)'!K245</f>
        <v>8.0134375796410833</v>
      </c>
      <c r="D83" s="301">
        <f>ITL!K185</f>
        <v>7.5843325771141252</v>
      </c>
      <c r="E83" s="302">
        <v>1.0622495846770368</v>
      </c>
      <c r="F83" s="301">
        <v>0.21</v>
      </c>
      <c r="G83" s="39"/>
      <c r="H83" s="20">
        <f t="shared" si="12"/>
        <v>43496</v>
      </c>
      <c r="I83" s="27">
        <v>7.2572802093333246</v>
      </c>
      <c r="J83" s="126">
        <f t="shared" si="130"/>
        <v>1654409.9560447347</v>
      </c>
      <c r="K83" s="8"/>
      <c r="M83" s="17"/>
      <c r="N83" s="79"/>
      <c r="O83" s="20">
        <f t="shared" si="14"/>
        <v>43496</v>
      </c>
      <c r="P83" s="78">
        <f t="shared" si="142"/>
        <v>5.6080405553697146</v>
      </c>
      <c r="Q83" s="126">
        <f t="shared" si="131"/>
        <v>1485040.5232997281</v>
      </c>
      <c r="R83" s="8"/>
      <c r="T83" s="39"/>
      <c r="U83" s="20">
        <f t="shared" si="16"/>
        <v>43496</v>
      </c>
      <c r="V83" s="27">
        <v>6.5553952313308574</v>
      </c>
      <c r="W83" s="126">
        <f t="shared" si="132"/>
        <v>1566193.6096127965</v>
      </c>
      <c r="X83" s="8"/>
      <c r="Y83" s="3"/>
      <c r="AA83" s="79"/>
      <c r="AB83" s="20">
        <f t="shared" si="18"/>
        <v>43496</v>
      </c>
      <c r="AC83" s="78">
        <f t="shared" si="38"/>
        <v>4.5868176062514552</v>
      </c>
      <c r="AD83" s="126">
        <f t="shared" si="133"/>
        <v>1406687.5409622097</v>
      </c>
      <c r="AG83" s="44"/>
      <c r="AH83" s="20">
        <f t="shared" si="143"/>
        <v>43496</v>
      </c>
      <c r="AI83" s="27">
        <v>5.5428506032647995</v>
      </c>
      <c r="AJ83" s="126">
        <f t="shared" si="134"/>
        <v>1448424.3507293481</v>
      </c>
      <c r="AN83" s="79"/>
      <c r="AO83" s="20">
        <f t="shared" si="144"/>
        <v>43496</v>
      </c>
      <c r="AP83" s="78">
        <f t="shared" si="39"/>
        <v>3.9769237652227538</v>
      </c>
      <c r="AQ83" s="126">
        <f t="shared" si="135"/>
        <v>1350990.3445217411</v>
      </c>
      <c r="AT83" s="39"/>
      <c r="AU83" s="20">
        <f t="shared" si="145"/>
        <v>43496</v>
      </c>
      <c r="AV83" s="27">
        <v>3.5300875041537263</v>
      </c>
      <c r="AW83" s="126">
        <f t="shared" si="136"/>
        <v>1169024.8597532469</v>
      </c>
      <c r="BA83" s="79"/>
      <c r="BB83" s="20">
        <f t="shared" si="146"/>
        <v>43496</v>
      </c>
      <c r="BC83" s="78">
        <f t="shared" si="41"/>
        <v>1.9556350960937403</v>
      </c>
      <c r="BD83" s="126">
        <f t="shared" si="137"/>
        <v>1185835.8030603647</v>
      </c>
      <c r="BG83" s="39"/>
      <c r="BH83" s="20">
        <f t="shared" si="147"/>
        <v>43496</v>
      </c>
      <c r="BI83" s="27"/>
      <c r="BJ83" s="126">
        <f t="shared" si="138"/>
        <v>1000000</v>
      </c>
      <c r="BM83" s="49"/>
      <c r="BN83" s="79"/>
      <c r="BO83" s="20">
        <f t="shared" si="148"/>
        <v>43496</v>
      </c>
      <c r="BP83" s="78"/>
      <c r="BQ83" s="126">
        <f t="shared" si="55"/>
        <v>1000000</v>
      </c>
      <c r="BV83" s="39"/>
      <c r="BW83" s="20">
        <f t="shared" si="149"/>
        <v>43496</v>
      </c>
      <c r="BX83" s="27">
        <v>4.5024100069987822</v>
      </c>
      <c r="BY83" s="126">
        <f t="shared" si="139"/>
        <v>1360377.8538647343</v>
      </c>
      <c r="CC83" s="79"/>
      <c r="CD83" s="20">
        <f t="shared" si="150"/>
        <v>43496</v>
      </c>
      <c r="CE83" s="78">
        <f t="shared" si="40"/>
        <v>2.9557008161044953</v>
      </c>
      <c r="CF83" s="126">
        <f t="shared" si="140"/>
        <v>1286879.7571994078</v>
      </c>
      <c r="CI83" s="39"/>
    </row>
    <row r="84" spans="1:87" x14ac:dyDescent="0.25">
      <c r="A84" s="20">
        <v>43524</v>
      </c>
      <c r="B84" s="24">
        <f t="shared" si="141"/>
        <v>69</v>
      </c>
      <c r="C84" s="301">
        <f>'LC (Gross)'!K246</f>
        <v>3.2105470754573098</v>
      </c>
      <c r="D84" s="301">
        <f>ITL!K186</f>
        <v>1.9794065184503693</v>
      </c>
      <c r="E84" s="301">
        <v>-5.8017540636465609E-2</v>
      </c>
      <c r="F84" s="301">
        <v>0.18</v>
      </c>
      <c r="G84" s="39"/>
      <c r="H84" s="20">
        <f t="shared" si="12"/>
        <v>43524</v>
      </c>
      <c r="I84" s="27">
        <v>4.2446917934388155</v>
      </c>
      <c r="J84" s="126">
        <f t="shared" si="130"/>
        <v>1724634.5596788002</v>
      </c>
      <c r="K84" s="8"/>
      <c r="L84" s="49"/>
      <c r="M84" s="17"/>
      <c r="N84" s="79"/>
      <c r="O84" s="20">
        <f t="shared" si="14"/>
        <v>43524</v>
      </c>
      <c r="P84" s="78">
        <f t="shared" si="142"/>
        <v>2.1167118692690754</v>
      </c>
      <c r="Q84" s="126">
        <f t="shared" si="131"/>
        <v>1516474.5523198689</v>
      </c>
      <c r="R84" s="8"/>
      <c r="S84" s="5"/>
      <c r="T84" s="39"/>
      <c r="U84" s="20">
        <f t="shared" si="16"/>
        <v>43524</v>
      </c>
      <c r="V84" s="27">
        <v>3.8032026545632904</v>
      </c>
      <c r="W84" s="126">
        <f t="shared" si="132"/>
        <v>1625759.1265491908</v>
      </c>
      <c r="X84" s="8"/>
      <c r="Y84" s="6"/>
      <c r="Z84" s="5"/>
      <c r="AA84" s="79"/>
      <c r="AB84" s="20">
        <f t="shared" si="18"/>
        <v>43524</v>
      </c>
      <c r="AC84" s="78">
        <f t="shared" si="38"/>
        <v>1.6879842047053564</v>
      </c>
      <c r="AD84" s="126">
        <f t="shared" si="133"/>
        <v>1430432.20446321</v>
      </c>
      <c r="AG84" s="44"/>
      <c r="AH84" s="20">
        <f t="shared" si="143"/>
        <v>43524</v>
      </c>
      <c r="AI84" s="27">
        <v>3.1392161939524272</v>
      </c>
      <c r="AJ84" s="126">
        <f t="shared" si="134"/>
        <v>1493893.5225045942</v>
      </c>
      <c r="AM84" s="5"/>
      <c r="AN84" s="79"/>
      <c r="AO84" s="20">
        <f t="shared" si="144"/>
        <v>43524</v>
      </c>
      <c r="AP84" s="78">
        <f t="shared" si="39"/>
        <v>1.3373259890323321</v>
      </c>
      <c r="AQ84" s="126">
        <f t="shared" si="135"/>
        <v>1369057.4895083478</v>
      </c>
      <c r="AT84" s="39"/>
      <c r="AU84" s="20">
        <f t="shared" si="145"/>
        <v>43524</v>
      </c>
      <c r="AV84" s="27">
        <v>1.6613743122840838</v>
      </c>
      <c r="AW84" s="126">
        <f t="shared" si="136"/>
        <v>1188446.7384774024</v>
      </c>
      <c r="AZ84" s="5"/>
      <c r="BA84" s="79"/>
      <c r="BB84" s="20">
        <f t="shared" si="146"/>
        <v>43524</v>
      </c>
      <c r="BC84" s="78">
        <f t="shared" si="41"/>
        <v>0.40641275502272356</v>
      </c>
      <c r="BD84" s="126">
        <f t="shared" si="137"/>
        <v>1190655.1910176282</v>
      </c>
      <c r="BG84" s="39"/>
      <c r="BH84" s="20">
        <f t="shared" si="147"/>
        <v>43524</v>
      </c>
      <c r="BI84" s="27"/>
      <c r="BJ84" s="126">
        <f t="shared" si="138"/>
        <v>1000000</v>
      </c>
      <c r="BM84" s="49"/>
      <c r="BN84" s="79"/>
      <c r="BO84" s="20">
        <f t="shared" si="148"/>
        <v>43524</v>
      </c>
      <c r="BP84" s="78"/>
      <c r="BQ84" s="126">
        <f t="shared" si="55"/>
        <v>1000000</v>
      </c>
      <c r="BV84" s="39"/>
      <c r="BW84" s="20">
        <f t="shared" si="149"/>
        <v>43524</v>
      </c>
      <c r="BX84" s="27">
        <v>2.367678558869875</v>
      </c>
      <c r="BY84" s="126">
        <f t="shared" si="139"/>
        <v>1392587.2286303039</v>
      </c>
      <c r="CB84" s="5"/>
      <c r="CC84" s="79"/>
      <c r="CD84" s="20">
        <f t="shared" si="150"/>
        <v>43524</v>
      </c>
      <c r="CE84" s="78">
        <f t="shared" si="40"/>
        <v>0.90859832446861322</v>
      </c>
      <c r="CF84" s="126">
        <f t="shared" si="140"/>
        <v>1298572.3251112474</v>
      </c>
      <c r="CI84" s="39"/>
    </row>
    <row r="85" spans="1:87" x14ac:dyDescent="0.25">
      <c r="A85" s="20">
        <v>43555</v>
      </c>
      <c r="B85" s="24">
        <f t="shared" si="141"/>
        <v>70</v>
      </c>
      <c r="C85" s="301">
        <f>'LC (Gross)'!K247</f>
        <v>1.9411095029969694</v>
      </c>
      <c r="D85" s="301">
        <f>ITL!K187</f>
        <v>0.70069609318533443</v>
      </c>
      <c r="E85" s="301">
        <v>1.9200441189276032</v>
      </c>
      <c r="F85" s="301">
        <v>0.19</v>
      </c>
      <c r="G85" s="39"/>
      <c r="H85" s="20">
        <f t="shared" si="12"/>
        <v>43555</v>
      </c>
      <c r="I85" s="27">
        <v>0.58887298645429897</v>
      </c>
      <c r="J85" s="126">
        <f t="shared" si="130"/>
        <v>1734790.4667158036</v>
      </c>
      <c r="K85" s="6"/>
      <c r="L85" s="49">
        <f>(J85/J82-1)*100</f>
        <v>12.468440191123854</v>
      </c>
      <c r="M85" s="17"/>
      <c r="N85" s="79"/>
      <c r="O85" s="20">
        <f t="shared" si="14"/>
        <v>43555</v>
      </c>
      <c r="P85" s="78">
        <f t="shared" si="142"/>
        <v>1.2297146406261332</v>
      </c>
      <c r="Q85" s="126">
        <f t="shared" si="131"/>
        <v>1535122.8619111159</v>
      </c>
      <c r="R85" s="6"/>
      <c r="S85" s="49">
        <f>(Q85/Q82-1)*100</f>
        <v>9.1696252826517508</v>
      </c>
      <c r="T85" s="39"/>
      <c r="U85" s="20">
        <f t="shared" si="16"/>
        <v>43555</v>
      </c>
      <c r="V85" s="27">
        <v>0.94208899236969734</v>
      </c>
      <c r="W85" s="126">
        <f t="shared" si="132"/>
        <v>1641075.2243228564</v>
      </c>
      <c r="X85" s="6"/>
      <c r="Y85" s="49">
        <f>(W85/W82-1)*100</f>
        <v>11.649937823011669</v>
      </c>
      <c r="AA85" s="79"/>
      <c r="AB85" s="20">
        <f t="shared" si="18"/>
        <v>43555</v>
      </c>
      <c r="AC85" s="78">
        <f t="shared" si="38"/>
        <v>1.28857550350631</v>
      </c>
      <c r="AD85" s="126">
        <f t="shared" ref="AD85" si="151">AD84*AC85/100+AD84</f>
        <v>1448864.4034441882</v>
      </c>
      <c r="AE85" s="6"/>
      <c r="AF85" s="49">
        <f>(AD85/AD82-1)*100</f>
        <v>7.7226553066332526</v>
      </c>
      <c r="AG85" s="44"/>
      <c r="AH85" s="20">
        <f t="shared" si="143"/>
        <v>43555</v>
      </c>
      <c r="AI85" s="27">
        <v>1.1478540188061999</v>
      </c>
      <c r="AJ85" s="126">
        <f t="shared" si="134"/>
        <v>1511041.2393393486</v>
      </c>
      <c r="AK85" s="6"/>
      <c r="AL85" s="49">
        <f>(AJ85/AJ82-1)*100</f>
        <v>10.105577622096495</v>
      </c>
      <c r="AN85" s="79"/>
      <c r="AO85" s="20">
        <f t="shared" si="144"/>
        <v>43555</v>
      </c>
      <c r="AP85" s="78">
        <f t="shared" si="39"/>
        <v>1.4594733769921338</v>
      </c>
      <c r="AQ85" s="126">
        <f t="shared" ref="AQ85" si="152">AQ84*AP85/100+AQ84</f>
        <v>1389038.5190834391</v>
      </c>
      <c r="AR85" s="6"/>
      <c r="AS85" s="49">
        <f>(AQ85/AQ82-1)*100</f>
        <v>6.9052438393444104</v>
      </c>
      <c r="AT85" s="39"/>
      <c r="AU85" s="20">
        <f t="shared" si="145"/>
        <v>43555</v>
      </c>
      <c r="AV85" s="27">
        <v>1.1952927080873073</v>
      </c>
      <c r="AW85" s="126">
        <f t="shared" si="136"/>
        <v>1202652.1556819242</v>
      </c>
      <c r="AX85" s="6"/>
      <c r="AY85" s="49">
        <f>(AW85/AW82-1)*100</f>
        <v>6.5081566709282335</v>
      </c>
      <c r="BA85" s="79"/>
      <c r="BB85" s="20">
        <f t="shared" si="146"/>
        <v>43555</v>
      </c>
      <c r="BC85" s="78">
        <f t="shared" si="41"/>
        <v>1.6016766382082859</v>
      </c>
      <c r="BD85" s="126">
        <f t="shared" ref="BD85" si="153">BD84*BC85/100+BD84</f>
        <v>1209725.6370537719</v>
      </c>
      <c r="BE85" s="6"/>
      <c r="BF85" s="49">
        <f>(BD85/BD82-1)*100</f>
        <v>4.0096321088775477</v>
      </c>
      <c r="BG85" s="39"/>
      <c r="BH85" s="20">
        <f t="shared" si="147"/>
        <v>43555</v>
      </c>
      <c r="BI85" s="27"/>
      <c r="BJ85" s="126">
        <f t="shared" si="138"/>
        <v>1000000</v>
      </c>
      <c r="BK85" s="6"/>
      <c r="BL85" s="49">
        <f>(BJ85/BJ82-1)*100</f>
        <v>0</v>
      </c>
      <c r="BM85" s="49"/>
      <c r="BN85" s="79"/>
      <c r="BO85" s="20">
        <f t="shared" si="148"/>
        <v>43555</v>
      </c>
      <c r="BP85" s="78"/>
      <c r="BQ85" s="126">
        <f t="shared" si="55"/>
        <v>1000000</v>
      </c>
      <c r="BR85" s="6"/>
      <c r="BS85" s="49">
        <f>(BQ85/BQ82-1)*100</f>
        <v>0</v>
      </c>
      <c r="BV85" s="39"/>
      <c r="BW85" s="20">
        <f t="shared" si="149"/>
        <v>43555</v>
      </c>
      <c r="BX85" s="27">
        <v>1.1052318989615209</v>
      </c>
      <c r="BY85" s="126">
        <f t="shared" si="139"/>
        <v>1407978.5469019902</v>
      </c>
      <c r="BZ85" s="6"/>
      <c r="CA85" s="49">
        <f>(BY85/BY82-1)*100</f>
        <v>8.1590316774153848</v>
      </c>
      <c r="CC85" s="79"/>
      <c r="CD85" s="20">
        <f t="shared" si="150"/>
        <v>43555</v>
      </c>
      <c r="CE85" s="78">
        <f t="shared" si="40"/>
        <v>1.5183342398723105</v>
      </c>
      <c r="CF85" s="126">
        <f t="shared" ref="CF85" si="154">CF84*CE85/100+CF84</f>
        <v>1318288.9933529175</v>
      </c>
      <c r="CG85" s="6"/>
      <c r="CH85" s="49">
        <f>(CF85/CF82-1)*100</f>
        <v>5.4685695609829166</v>
      </c>
      <c r="CI85" s="39"/>
    </row>
    <row r="86" spans="1:87" x14ac:dyDescent="0.25">
      <c r="A86" s="20">
        <v>43585</v>
      </c>
      <c r="B86" s="24">
        <f t="shared" si="141"/>
        <v>71</v>
      </c>
      <c r="C86" s="301">
        <f>'LC (Gross)'!K248</f>
        <v>4.0489294581786028</v>
      </c>
      <c r="D86" s="301">
        <f>ITL!K188</f>
        <v>2.7050536834138725</v>
      </c>
      <c r="E86" s="301">
        <v>2.5630924184673831E-2</v>
      </c>
      <c r="F86" s="301">
        <v>0.21</v>
      </c>
      <c r="G86" s="39"/>
      <c r="H86" s="20">
        <f t="shared" si="12"/>
        <v>43585</v>
      </c>
      <c r="I86" s="27">
        <v>3.2439084671973593</v>
      </c>
      <c r="J86" s="126">
        <f t="shared" ref="J86" si="155">J85*I86/100+J85</f>
        <v>1791065.4815537301</v>
      </c>
      <c r="K86" s="6"/>
      <c r="L86" s="49"/>
      <c r="M86" s="17"/>
      <c r="N86" s="79"/>
      <c r="O86" s="20">
        <f t="shared" si="14"/>
        <v>43585</v>
      </c>
      <c r="P86" s="78">
        <f t="shared" si="142"/>
        <v>2.6956692545103129</v>
      </c>
      <c r="Q86" s="126">
        <f t="shared" ref="Q86" si="156">Q85*P86/100+Q85</f>
        <v>1576504.6969186128</v>
      </c>
      <c r="R86" s="6"/>
      <c r="T86" s="39"/>
      <c r="U86" s="20">
        <f t="shared" si="16"/>
        <v>43585</v>
      </c>
      <c r="V86" s="27">
        <v>2.992399885581313</v>
      </c>
      <c r="W86" s="126">
        <f t="shared" ref="W86" si="157">W85*V86/100+W85</f>
        <v>1690182.7574577969</v>
      </c>
      <c r="X86" s="6"/>
      <c r="AA86" s="79"/>
      <c r="AB86" s="20">
        <f t="shared" si="18"/>
        <v>43585</v>
      </c>
      <c r="AC86" s="78">
        <f t="shared" si="38"/>
        <v>2.1593682631494597</v>
      </c>
      <c r="AD86" s="126">
        <f t="shared" ref="AD86" si="158">AD85*AC86/100+AD85</f>
        <v>1480150.7215482318</v>
      </c>
      <c r="AE86" s="6"/>
      <c r="AG86" s="44"/>
      <c r="AH86" s="20">
        <f t="shared" si="143"/>
        <v>43585</v>
      </c>
      <c r="AI86" s="27">
        <v>2.5268014952466387</v>
      </c>
      <c r="AJ86" s="126">
        <f t="shared" ref="AJ86:AJ87" si="159">AJ85*AI86/100+AJ85</f>
        <v>1549222.2519687687</v>
      </c>
      <c r="AK86" s="6"/>
      <c r="AN86" s="79"/>
      <c r="AO86" s="20">
        <f t="shared" si="144"/>
        <v>43585</v>
      </c>
      <c r="AP86" s="78">
        <f t="shared" si="39"/>
        <v>1.7386015021685342</v>
      </c>
      <c r="AQ86" s="126">
        <f t="shared" ref="AQ86" si="160">AQ85*AP86/100+AQ85</f>
        <v>1413188.3636419233</v>
      </c>
      <c r="AR86" s="6"/>
      <c r="AT86" s="39"/>
      <c r="AU86" s="20">
        <f t="shared" si="145"/>
        <v>43585</v>
      </c>
      <c r="AV86" s="27">
        <v>1.3986398767969295</v>
      </c>
      <c r="AW86" s="126">
        <f t="shared" ref="AW86:AW87" si="161">AW85*AV86/100+AW85</f>
        <v>1219472.9283104495</v>
      </c>
      <c r="AX86" s="6"/>
      <c r="BA86" s="79"/>
      <c r="BB86" s="20">
        <f t="shared" si="146"/>
        <v>43585</v>
      </c>
      <c r="BC86" s="78">
        <f t="shared" si="41"/>
        <v>0.58958727691782553</v>
      </c>
      <c r="BD86" s="126">
        <f t="shared" ref="BD86" si="162">BD85*BC86/100+BD85</f>
        <v>1216858.025495454</v>
      </c>
      <c r="BE86" s="6"/>
      <c r="BG86" s="39"/>
      <c r="BH86" s="20">
        <f t="shared" si="147"/>
        <v>43585</v>
      </c>
      <c r="BI86" s="27"/>
      <c r="BJ86" s="126">
        <f t="shared" si="138"/>
        <v>1000000</v>
      </c>
      <c r="BK86" s="6"/>
      <c r="BM86" s="49"/>
      <c r="BN86" s="79"/>
      <c r="BO86" s="20">
        <f t="shared" si="148"/>
        <v>43585</v>
      </c>
      <c r="BP86" s="78"/>
      <c r="BQ86" s="126">
        <f t="shared" si="55"/>
        <v>1000000</v>
      </c>
      <c r="BR86" s="6"/>
      <c r="BV86" s="39"/>
      <c r="BW86" s="20">
        <f t="shared" si="149"/>
        <v>43585</v>
      </c>
      <c r="BX86" s="27">
        <v>1.8662448011141606</v>
      </c>
      <c r="BY86" s="126">
        <f t="shared" si="139"/>
        <v>1434254.8733343512</v>
      </c>
      <c r="CC86" s="79"/>
      <c r="CD86" s="20">
        <f t="shared" si="150"/>
        <v>43585</v>
      </c>
      <c r="CE86" s="78">
        <f t="shared" si="40"/>
        <v>1.2023005108076812</v>
      </c>
      <c r="CF86" s="126">
        <f t="shared" ref="CF86" si="163">CF85*CE86/100+CF85</f>
        <v>1334138.7886539211</v>
      </c>
      <c r="CG86" s="6"/>
      <c r="CI86" s="39"/>
    </row>
    <row r="87" spans="1:87" x14ac:dyDescent="0.25">
      <c r="A87" s="20">
        <v>43616</v>
      </c>
      <c r="B87" s="24">
        <f t="shared" si="141"/>
        <v>72</v>
      </c>
      <c r="C87" s="301">
        <f>'LC (Gross)'!K249</f>
        <v>-6.3548857349396446</v>
      </c>
      <c r="D87" s="301">
        <f>ITL!K189</f>
        <v>-5.2771280399660832</v>
      </c>
      <c r="E87" s="301">
        <v>1.775198470131031</v>
      </c>
      <c r="F87" s="301">
        <v>0.21</v>
      </c>
      <c r="G87" s="39"/>
      <c r="H87" s="20">
        <f t="shared" si="12"/>
        <v>43616</v>
      </c>
      <c r="I87" s="27">
        <v>-4.9406085110390121</v>
      </c>
      <c r="J87" s="126">
        <f t="shared" ref="J87" si="164">J86*I87/100+J86</f>
        <v>1702575.9479338047</v>
      </c>
      <c r="K87" s="6"/>
      <c r="L87" s="49"/>
      <c r="M87" s="17"/>
      <c r="N87" s="79"/>
      <c r="O87" s="20">
        <f t="shared" si="14"/>
        <v>43616</v>
      </c>
      <c r="P87" s="78">
        <f t="shared" si="142"/>
        <v>-4.2237563602117172</v>
      </c>
      <c r="Q87" s="126">
        <f t="shared" ref="Q87" si="165">Q86*P87/100+Q86</f>
        <v>1509916.9795134764</v>
      </c>
      <c r="R87" s="6"/>
      <c r="S87" s="5"/>
      <c r="T87" s="39"/>
      <c r="U87" s="20">
        <f t="shared" si="16"/>
        <v>43616</v>
      </c>
      <c r="V87" s="27">
        <v>-4.3758175904560384</v>
      </c>
      <c r="W87" s="126">
        <f t="shared" ref="W87" si="166">W86*V87/100+W86</f>
        <v>1616223.4430461037</v>
      </c>
      <c r="X87" s="6"/>
      <c r="Y87" s="5"/>
      <c r="Z87" s="5"/>
      <c r="AA87" s="79"/>
      <c r="AB87" s="20">
        <f t="shared" si="18"/>
        <v>43616</v>
      </c>
      <c r="AC87" s="78">
        <f t="shared" si="38"/>
        <v>-3.0581316141997936</v>
      </c>
      <c r="AD87" s="126">
        <f t="shared" ref="AD87" si="167">AD86*AC87/100+AD86</f>
        <v>1434885.764394759</v>
      </c>
      <c r="AE87" s="6"/>
      <c r="AG87" s="44"/>
      <c r="AH87" s="20">
        <f t="shared" si="143"/>
        <v>43616</v>
      </c>
      <c r="AI87" s="27">
        <v>-3.4508201149621027</v>
      </c>
      <c r="AJ87" s="126">
        <f t="shared" si="159"/>
        <v>1495761.3788723615</v>
      </c>
      <c r="AK87" s="6"/>
      <c r="AM87" s="5"/>
      <c r="AN87" s="79"/>
      <c r="AO87" s="20">
        <f t="shared" si="144"/>
        <v>43616</v>
      </c>
      <c r="AP87" s="78">
        <f t="shared" si="39"/>
        <v>-2.0886033466796228</v>
      </c>
      <c r="AQ87" s="126">
        <f t="shared" ref="AQ87" si="168">AQ86*AP87/100+AQ86</f>
        <v>1383672.4641840111</v>
      </c>
      <c r="AR87" s="6"/>
      <c r="AT87" s="39"/>
      <c r="AU87" s="20">
        <f t="shared" si="145"/>
        <v>43616</v>
      </c>
      <c r="AV87" s="27">
        <v>-1.3972238654444764</v>
      </c>
      <c r="AW87" s="126">
        <f t="shared" si="161"/>
        <v>1202434.1615234613</v>
      </c>
      <c r="AX87" s="6"/>
      <c r="AZ87" s="5"/>
      <c r="BA87" s="79"/>
      <c r="BB87" s="20">
        <f t="shared" si="146"/>
        <v>43616</v>
      </c>
      <c r="BC87" s="78">
        <f t="shared" si="41"/>
        <v>0.374793953599453</v>
      </c>
      <c r="BD87" s="126">
        <f t="shared" ref="BD87" si="169">BD86*BC87/100+BD86</f>
        <v>1221418.7357989007</v>
      </c>
      <c r="BE87" s="6"/>
      <c r="BG87" s="39"/>
      <c r="BH87" s="20">
        <f t="shared" si="147"/>
        <v>43616</v>
      </c>
      <c r="BI87" s="27"/>
      <c r="BJ87" s="126">
        <f t="shared" si="138"/>
        <v>1000000</v>
      </c>
      <c r="BK87" s="6"/>
      <c r="BM87" s="49"/>
      <c r="BN87" s="79"/>
      <c r="BO87" s="20">
        <f t="shared" si="148"/>
        <v>43616</v>
      </c>
      <c r="BP87" s="78"/>
      <c r="BQ87" s="126">
        <f t="shared" si="55"/>
        <v>1000000</v>
      </c>
      <c r="BR87" s="6"/>
      <c r="BV87" s="39"/>
      <c r="BW87" s="20">
        <f t="shared" si="149"/>
        <v>43616</v>
      </c>
      <c r="BX87" s="27">
        <v>-2.3118181595011698</v>
      </c>
      <c r="BY87" s="126">
        <f t="shared" si="139"/>
        <v>1401097.5087190771</v>
      </c>
      <c r="BZ87" s="6"/>
      <c r="CB87" s="5"/>
      <c r="CC87" s="79"/>
      <c r="CD87" s="20">
        <f t="shared" si="150"/>
        <v>43616</v>
      </c>
      <c r="CE87" s="78">
        <f t="shared" si="40"/>
        <v>-0.92297860066769966</v>
      </c>
      <c r="CF87" s="126">
        <f t="shared" ref="CF87" si="170">CF86*CE87/100+CF86</f>
        <v>1321824.9731314383</v>
      </c>
      <c r="CG87" s="6"/>
      <c r="CI87" s="39"/>
    </row>
    <row r="88" spans="1:87" x14ac:dyDescent="0.25">
      <c r="A88" s="20">
        <v>43646</v>
      </c>
      <c r="B88" s="24">
        <f t="shared" si="141"/>
        <v>73</v>
      </c>
      <c r="C88" s="301">
        <f>'LC (Gross)'!K250</f>
        <v>7.0477169999999996</v>
      </c>
      <c r="D88" s="301">
        <f>ITL!K190</f>
        <v>6.0777400000000004</v>
      </c>
      <c r="E88" s="301">
        <v>1.2556066356456062</v>
      </c>
      <c r="F88" s="301">
        <v>0.18</v>
      </c>
      <c r="G88" s="39"/>
      <c r="H88" s="20">
        <f t="shared" si="12"/>
        <v>43646</v>
      </c>
      <c r="I88" s="27">
        <v>5.4167221960515199</v>
      </c>
      <c r="J88" s="126">
        <f t="shared" ref="J88:J90" si="171">J87*I88/100+J87</f>
        <v>1794799.7572101697</v>
      </c>
      <c r="K88" s="6"/>
      <c r="L88" s="49">
        <f>(J88/J85-1)*100</f>
        <v>3.4591664898857788</v>
      </c>
      <c r="M88" s="17"/>
      <c r="N88" s="79"/>
      <c r="O88" s="20">
        <f t="shared" si="14"/>
        <v>43646</v>
      </c>
      <c r="P88" s="78">
        <f t="shared" si="142"/>
        <v>4.8419053500000002</v>
      </c>
      <c r="Q88" s="126">
        <f t="shared" ref="Q88" si="172">Q87*P88/100+Q87</f>
        <v>1583025.7305250978</v>
      </c>
      <c r="R88" s="6"/>
      <c r="S88" s="49">
        <f>(Q88/Q85-1)*100</f>
        <v>3.1204582905075329</v>
      </c>
      <c r="T88" s="39"/>
      <c r="U88" s="20">
        <f t="shared" si="16"/>
        <v>43646</v>
      </c>
      <c r="V88" s="27">
        <v>5.0732376883791392</v>
      </c>
      <c r="W88" s="126">
        <f t="shared" ref="W88:W90" si="173">W87*V88/100+W87</f>
        <v>1698218.2998871375</v>
      </c>
      <c r="X88" s="6"/>
      <c r="Y88" s="49">
        <f>(W88/W85-1)*100</f>
        <v>3.4820509576493963</v>
      </c>
      <c r="AA88" s="79"/>
      <c r="AB88" s="20">
        <f t="shared" si="18"/>
        <v>43646</v>
      </c>
      <c r="AC88" s="78">
        <f t="shared" si="38"/>
        <v>4.0215876453468411</v>
      </c>
      <c r="AD88" s="126">
        <f t="shared" ref="AD88" si="174">AD87*AC88/100+AD87</f>
        <v>1492590.9530204991</v>
      </c>
      <c r="AE88" s="6"/>
      <c r="AF88" s="49">
        <f>(AD88/AD85-1)*100</f>
        <v>3.017987706259162</v>
      </c>
      <c r="AG88" s="44"/>
      <c r="AH88" s="20">
        <f>$A88</f>
        <v>43646</v>
      </c>
      <c r="AI88" s="27">
        <v>4.3984462003504508</v>
      </c>
      <c r="AJ88" s="126">
        <f t="shared" ref="AJ88:AJ90" si="175">AJ87*AI88/100+AJ87</f>
        <v>1561551.6384076823</v>
      </c>
      <c r="AK88" s="6"/>
      <c r="AL88" s="49">
        <f>(AJ88/AJ85-1)*100</f>
        <v>3.3427545028762884</v>
      </c>
      <c r="AN88" s="79"/>
      <c r="AO88" s="20">
        <f t="shared" si="144"/>
        <v>43646</v>
      </c>
      <c r="AP88" s="78">
        <f t="shared" si="39"/>
        <v>3.5499372724759621</v>
      </c>
      <c r="AQ88" s="126">
        <f t="shared" ref="AQ88" si="176">AQ87*AP88/100+AQ87</f>
        <v>1432791.9687190659</v>
      </c>
      <c r="AR88" s="6"/>
      <c r="AS88" s="49">
        <f>(AQ88/AQ85-1)*100</f>
        <v>3.1499090222852466</v>
      </c>
      <c r="AT88" s="39"/>
      <c r="AU88" s="20">
        <f t="shared" si="145"/>
        <v>43646</v>
      </c>
      <c r="AV88" s="27">
        <v>2.7522593879909896</v>
      </c>
      <c r="AW88" s="126">
        <f t="shared" ref="AW88" si="177">AW87*AV88/100+AW87</f>
        <v>1235528.2686184016</v>
      </c>
      <c r="AX88" s="6"/>
      <c r="AY88" s="49">
        <f>(AW88/AW85-1)*100</f>
        <v>2.733634391386941</v>
      </c>
      <c r="BA88" s="79"/>
      <c r="BB88" s="20">
        <f t="shared" si="146"/>
        <v>43646</v>
      </c>
      <c r="BC88" s="78">
        <f t="shared" si="41"/>
        <v>1.9145833449519241</v>
      </c>
      <c r="BD88" s="126">
        <f t="shared" ref="BD88" si="178">BD87*BC88/100+BD87</f>
        <v>1244803.8154866288</v>
      </c>
      <c r="BE88" s="6"/>
      <c r="BF88" s="49">
        <f>(BD88/BD85-1)*100</f>
        <v>2.8996805026210826</v>
      </c>
      <c r="BG88" s="39"/>
      <c r="BH88" s="20">
        <f t="shared" si="147"/>
        <v>43646</v>
      </c>
      <c r="BI88" s="27"/>
      <c r="BJ88" s="126">
        <f t="shared" si="138"/>
        <v>1000000</v>
      </c>
      <c r="BK88" s="6"/>
      <c r="BL88" s="49">
        <f>(BJ88/BJ85-1)*100</f>
        <v>0</v>
      </c>
      <c r="BM88" s="49"/>
      <c r="BN88" s="79"/>
      <c r="BO88" s="20">
        <f t="shared" si="148"/>
        <v>43646</v>
      </c>
      <c r="BP88" s="78"/>
      <c r="BQ88" s="126">
        <f t="shared" si="55"/>
        <v>1000000</v>
      </c>
      <c r="BR88" s="6"/>
      <c r="BS88" s="49">
        <f>(BQ88/BQ85-1)*100</f>
        <v>0</v>
      </c>
      <c r="BV88" s="39"/>
      <c r="BW88" s="20">
        <f t="shared" si="149"/>
        <v>43646</v>
      </c>
      <c r="BX88" s="27">
        <v>3.5139071850183301</v>
      </c>
      <c r="BY88" s="126">
        <f t="shared" ref="BY88:BY90" si="179">BY87*BX88/100+BY87</f>
        <v>1450330.7747470695</v>
      </c>
      <c r="BZ88" s="6"/>
      <c r="CA88" s="49">
        <f>(BY88/BY85-1)*100</f>
        <v>3.0080165595042452</v>
      </c>
      <c r="CC88" s="79"/>
      <c r="CD88" s="20">
        <f t="shared" si="150"/>
        <v>43646</v>
      </c>
      <c r="CE88" s="78">
        <f t="shared" si="40"/>
        <v>2.729619567822803</v>
      </c>
      <c r="CF88" s="126">
        <f t="shared" ref="CF88" si="180">CF87*CE88/100+CF87</f>
        <v>1357905.7662504024</v>
      </c>
      <c r="CG88" s="6"/>
      <c r="CH88" s="49">
        <f>(CF88/CF85-1)*100</f>
        <v>3.0051660218086251</v>
      </c>
      <c r="CI88" s="39"/>
    </row>
    <row r="89" spans="1:87" x14ac:dyDescent="0.25">
      <c r="A89" s="20">
        <v>43677</v>
      </c>
      <c r="B89" s="24">
        <f>IF(A89&gt;A88,1+B88,"-")</f>
        <v>74</v>
      </c>
      <c r="C89" s="301">
        <f>'LC (Gross)'!K251</f>
        <v>1.4372720000000001</v>
      </c>
      <c r="D89" s="301">
        <f>ITL!K191</f>
        <v>-1.175859</v>
      </c>
      <c r="E89" s="301">
        <v>0.2201031</v>
      </c>
      <c r="F89" s="301">
        <v>0.19</v>
      </c>
      <c r="G89" s="39"/>
      <c r="H89" s="20">
        <f t="shared" si="12"/>
        <v>43677</v>
      </c>
      <c r="I89" s="27">
        <v>1.8872755010020039</v>
      </c>
      <c r="J89" s="126">
        <f t="shared" si="171"/>
        <v>1828672.5733200407</v>
      </c>
      <c r="K89" s="6"/>
      <c r="M89" s="17"/>
      <c r="N89" s="79"/>
      <c r="O89" s="20">
        <f t="shared" si="14"/>
        <v>43677</v>
      </c>
      <c r="P89" s="78">
        <f t="shared" si="142"/>
        <v>0.67112075000000004</v>
      </c>
      <c r="Q89" s="126">
        <f t="shared" ref="Q89:Q90" si="181">Q88*P89/100+Q88</f>
        <v>1593649.7446804908</v>
      </c>
      <c r="R89" s="6"/>
      <c r="T89" s="39"/>
      <c r="U89" s="20">
        <f t="shared" si="16"/>
        <v>43677</v>
      </c>
      <c r="V89" s="27">
        <v>1.8211092117159631</v>
      </c>
      <c r="W89" s="126">
        <f t="shared" si="173"/>
        <v>1729144.7097814283</v>
      </c>
      <c r="X89" s="8"/>
      <c r="AA89" s="79"/>
      <c r="AB89" s="20">
        <f t="shared" si="18"/>
        <v>43677</v>
      </c>
      <c r="AC89" s="78">
        <f t="shared" si="38"/>
        <v>0.61920196500000002</v>
      </c>
      <c r="AD89" s="126">
        <f t="shared" ref="AD89:AD90" si="182">AD88*AC89/100+AD88</f>
        <v>1501833.1055310143</v>
      </c>
      <c r="AE89" s="6"/>
      <c r="AG89" s="44"/>
      <c r="AH89" s="20">
        <f t="shared" ref="AH89:AH152" si="183">$A89</f>
        <v>43677</v>
      </c>
      <c r="AI89" s="27">
        <v>1.5666490026267712</v>
      </c>
      <c r="AJ89" s="126">
        <f t="shared" si="175"/>
        <v>1586015.6715762983</v>
      </c>
      <c r="AN89" s="79"/>
      <c r="AO89" s="20">
        <f t="shared" si="144"/>
        <v>43677</v>
      </c>
      <c r="AP89" s="78">
        <f t="shared" si="39"/>
        <v>0.5004953849999999</v>
      </c>
      <c r="AQ89" s="126">
        <f t="shared" ref="AQ89:AQ90" si="184">AQ88*AP89/100+AQ88</f>
        <v>1439963.0263991554</v>
      </c>
      <c r="AR89" s="6"/>
      <c r="AT89" s="39"/>
      <c r="AU89" s="20">
        <f t="shared" si="145"/>
        <v>43677</v>
      </c>
      <c r="AV89" s="27">
        <v>0.94087012636118761</v>
      </c>
      <c r="AW89" s="126">
        <f t="shared" ref="AW89:AW90" si="185">AW88*AV89/100+AW88</f>
        <v>1247152.9850005799</v>
      </c>
      <c r="AX89" s="6"/>
      <c r="AY89" s="49"/>
      <c r="BA89" s="79"/>
      <c r="BB89" s="20">
        <f t="shared" si="146"/>
        <v>43677</v>
      </c>
      <c r="BC89" s="78">
        <f t="shared" si="41"/>
        <v>0.26750642000000002</v>
      </c>
      <c r="BD89" s="126">
        <f t="shared" ref="BD89:BD90" si="186">BD88*BC89/100+BD88</f>
        <v>1248133.7456094604</v>
      </c>
      <c r="BE89" s="6"/>
      <c r="BG89" s="39"/>
      <c r="BH89" s="20">
        <f t="shared" si="147"/>
        <v>43677</v>
      </c>
      <c r="BI89" s="27"/>
      <c r="BJ89" s="126">
        <f t="shared" si="138"/>
        <v>1000000</v>
      </c>
      <c r="BK89" s="6"/>
      <c r="BL89" s="49"/>
      <c r="BM89" s="49"/>
      <c r="BN89" s="79"/>
      <c r="BO89" s="20">
        <f t="shared" si="148"/>
        <v>43677</v>
      </c>
      <c r="BP89" s="78"/>
      <c r="BQ89" s="126">
        <f t="shared" si="55"/>
        <v>1000000</v>
      </c>
      <c r="BR89" s="6"/>
      <c r="BV89" s="39"/>
      <c r="BW89" s="20">
        <f t="shared" si="149"/>
        <v>43677</v>
      </c>
      <c r="BX89" s="27">
        <v>1.221667846883145</v>
      </c>
      <c r="BY89" s="126">
        <f t="shared" si="179"/>
        <v>1468048.9994956057</v>
      </c>
      <c r="CC89" s="79"/>
      <c r="CD89" s="20">
        <f t="shared" si="150"/>
        <v>43677</v>
      </c>
      <c r="CE89" s="78">
        <f t="shared" si="40"/>
        <v>0.44857659999999999</v>
      </c>
      <c r="CF89" s="126">
        <f t="shared" ref="CF89:CF90" si="187">CF88*CE89/100+CF88</f>
        <v>1363997.0137678524</v>
      </c>
      <c r="CG89" s="6"/>
      <c r="CI89" s="39"/>
    </row>
    <row r="90" spans="1:87" x14ac:dyDescent="0.25">
      <c r="A90" s="20">
        <v>43708</v>
      </c>
      <c r="B90" s="24">
        <f t="shared" si="141"/>
        <v>75</v>
      </c>
      <c r="C90" s="301">
        <f>'LC (Gross)'!K252</f>
        <v>-1.5840069999999999</v>
      </c>
      <c r="D90" s="301">
        <f>ITL!K192</f>
        <v>-3.0555106688868889</v>
      </c>
      <c r="E90" s="301">
        <v>2.5913279999999999</v>
      </c>
      <c r="F90" s="301">
        <v>0.16</v>
      </c>
      <c r="G90" s="39"/>
      <c r="H90" s="20">
        <f t="shared" ref="H90:H109" si="188">$A90</f>
        <v>43708</v>
      </c>
      <c r="I90" s="27">
        <v>-0.3855285458444046</v>
      </c>
      <c r="J90" s="126">
        <f t="shared" si="171"/>
        <v>1821622.5185398646</v>
      </c>
      <c r="K90" s="6"/>
      <c r="L90" s="49"/>
      <c r="M90" s="17"/>
      <c r="N90" s="79"/>
      <c r="O90" s="20">
        <f t="shared" ref="O90:O155" si="189">$A90</f>
        <v>43708</v>
      </c>
      <c r="P90" s="78">
        <f t="shared" si="142"/>
        <v>-1.2815304503330331</v>
      </c>
      <c r="Q90" s="126">
        <f t="shared" si="181"/>
        <v>1573226.6379307557</v>
      </c>
      <c r="R90" s="6"/>
      <c r="S90" s="5"/>
      <c r="T90" s="39"/>
      <c r="U90" s="20">
        <f t="shared" ref="U90:U155" si="190">$A90</f>
        <v>43708</v>
      </c>
      <c r="V90" s="27">
        <v>0.17995597879270706</v>
      </c>
      <c r="W90" s="126">
        <f t="shared" si="173"/>
        <v>1732256.4090686578</v>
      </c>
      <c r="X90" s="6"/>
      <c r="Y90" s="5"/>
      <c r="Z90" s="5"/>
      <c r="AA90" s="79"/>
      <c r="AB90" s="20">
        <f t="shared" ref="AB90:AB155" si="191">$A90</f>
        <v>43708</v>
      </c>
      <c r="AC90" s="78">
        <f t="shared" si="38"/>
        <v>-0.5816550168886887</v>
      </c>
      <c r="AD90" s="126">
        <f t="shared" si="182"/>
        <v>1493097.6179273978</v>
      </c>
      <c r="AE90" s="6"/>
      <c r="AG90" s="44"/>
      <c r="AH90" s="20">
        <f t="shared" si="183"/>
        <v>43708</v>
      </c>
      <c r="AI90" s="27">
        <v>0.61788183055896551</v>
      </c>
      <c r="AJ90" s="126">
        <f t="shared" si="175"/>
        <v>1595815.3742407861</v>
      </c>
      <c r="AK90" s="6"/>
      <c r="AM90" s="5"/>
      <c r="AN90" s="79"/>
      <c r="AO90" s="20">
        <f t="shared" si="144"/>
        <v>43708</v>
      </c>
      <c r="AP90" s="78">
        <f t="shared" si="39"/>
        <v>7.9011283111310976E-2</v>
      </c>
      <c r="AQ90" s="126">
        <f t="shared" si="184"/>
        <v>1441100.7596626419</v>
      </c>
      <c r="AR90" s="6"/>
      <c r="AT90" s="39"/>
      <c r="AU90" s="20">
        <f t="shared" si="145"/>
        <v>43708</v>
      </c>
      <c r="AV90" s="27">
        <v>0.93011543659407858</v>
      </c>
      <c r="AW90" s="126">
        <f t="shared" si="185"/>
        <v>1258752.9474320142</v>
      </c>
      <c r="AX90" s="6"/>
      <c r="AY90" s="49"/>
      <c r="AZ90" s="5"/>
      <c r="BA90" s="79"/>
      <c r="BB90" s="20">
        <f t="shared" si="146"/>
        <v>43708</v>
      </c>
      <c r="BC90" s="78">
        <f t="shared" si="41"/>
        <v>1.5267533665556554</v>
      </c>
      <c r="BD90" s="126">
        <f t="shared" si="186"/>
        <v>1267189.6695896701</v>
      </c>
      <c r="BE90" s="6"/>
      <c r="BG90" s="39"/>
      <c r="BH90" s="20">
        <f t="shared" si="147"/>
        <v>43708</v>
      </c>
      <c r="BI90" s="27"/>
      <c r="BJ90" s="126">
        <f t="shared" si="138"/>
        <v>1000000</v>
      </c>
      <c r="BK90" s="6"/>
      <c r="BL90" s="49"/>
      <c r="BM90" s="49"/>
      <c r="BN90" s="79"/>
      <c r="BO90" s="20">
        <f t="shared" si="148"/>
        <v>43708</v>
      </c>
      <c r="BP90" s="78"/>
      <c r="BQ90" s="126">
        <f t="shared" si="55"/>
        <v>1000000</v>
      </c>
      <c r="BR90" s="6"/>
      <c r="BV90" s="39"/>
      <c r="BW90" s="20">
        <f t="shared" si="149"/>
        <v>43708</v>
      </c>
      <c r="BX90" s="27">
        <v>0.71445518214708958</v>
      </c>
      <c r="BY90" s="126">
        <f t="shared" si="179"/>
        <v>1478537.5516489604</v>
      </c>
      <c r="BZ90" s="6"/>
      <c r="CB90" s="5"/>
      <c r="CC90" s="79"/>
      <c r="CD90" s="20">
        <f t="shared" si="150"/>
        <v>43708</v>
      </c>
      <c r="CE90" s="78">
        <f t="shared" si="40"/>
        <v>0.77888671655565545</v>
      </c>
      <c r="CF90" s="126">
        <f t="shared" si="187"/>
        <v>1374621.005322306</v>
      </c>
      <c r="CG90" s="6"/>
      <c r="CI90" s="39"/>
    </row>
    <row r="91" spans="1:87" x14ac:dyDescent="0.25">
      <c r="A91" s="20">
        <v>43738</v>
      </c>
      <c r="B91" s="24">
        <f t="shared" si="141"/>
        <v>76</v>
      </c>
      <c r="C91" s="301">
        <f>'LC (Gross)'!K253</f>
        <v>1.8710720000000001</v>
      </c>
      <c r="D91" s="301">
        <f>ITL!K193</f>
        <v>2.6278655259111248</v>
      </c>
      <c r="E91" s="301">
        <v>-0.53249380000000002</v>
      </c>
      <c r="F91" s="301">
        <v>0.18</v>
      </c>
      <c r="G91" s="39"/>
      <c r="H91" s="20">
        <f t="shared" si="188"/>
        <v>43738</v>
      </c>
      <c r="I91" s="27">
        <v>1.7431226345366022</v>
      </c>
      <c r="J91" s="126">
        <f t="shared" ref="J91:J94" si="192">J90*I91/100+J90</f>
        <v>1853375.6329763487</v>
      </c>
      <c r="K91" s="6"/>
      <c r="L91" s="49">
        <f>(J91/J88-1)*100</f>
        <v>3.2636440656326648</v>
      </c>
      <c r="M91" s="17"/>
      <c r="N91" s="79"/>
      <c r="O91" s="20">
        <f t="shared" si="189"/>
        <v>43738</v>
      </c>
      <c r="P91" s="78">
        <f t="shared" si="142"/>
        <v>1.4772694288866688</v>
      </c>
      <c r="Q91" s="126">
        <f t="shared" ref="Q91:Q94" si="193">Q90*P91/100+Q90</f>
        <v>1596467.4341000083</v>
      </c>
      <c r="R91" s="6"/>
      <c r="S91" s="49">
        <f>(Q91/Q88-1)*100</f>
        <v>0.84911466160766391</v>
      </c>
      <c r="T91" s="39"/>
      <c r="U91" s="20">
        <f t="shared" si="190"/>
        <v>43738</v>
      </c>
      <c r="V91" s="27">
        <v>1.2865961694854084</v>
      </c>
      <c r="W91" s="126">
        <f t="shared" ref="W91:W94" si="194">W90*V91/100+W90</f>
        <v>1754543.5536734005</v>
      </c>
      <c r="X91" s="6"/>
      <c r="Y91" s="49">
        <f>(W91/W88-1)*100</f>
        <v>3.3167263472550168</v>
      </c>
      <c r="AA91" s="79"/>
      <c r="AB91" s="20">
        <f t="shared" si="191"/>
        <v>43738</v>
      </c>
      <c r="AC91" s="78">
        <f t="shared" si="38"/>
        <v>1.0788948825911127</v>
      </c>
      <c r="AD91" s="126">
        <f t="shared" ref="AD91:AD94" si="195">AD90*AC91/100+AD90</f>
        <v>1509206.5717193063</v>
      </c>
      <c r="AE91" s="6"/>
      <c r="AF91" s="49">
        <f>(AD91/AD88-1)*100</f>
        <v>1.1132064458238</v>
      </c>
      <c r="AG91" s="44"/>
      <c r="AH91" s="20">
        <f t="shared" si="183"/>
        <v>43738</v>
      </c>
      <c r="AI91" s="27">
        <v>0.89719067533144581</v>
      </c>
      <c r="AJ91" s="126">
        <f t="shared" ref="AJ91:AJ94" si="196">AJ90*AI91/100+AJ90</f>
        <v>1610132.8809739801</v>
      </c>
      <c r="AK91" s="6"/>
      <c r="AL91" s="49">
        <f>(AJ91/AJ88-1)*100</f>
        <v>3.1110878034002143</v>
      </c>
      <c r="AN91" s="79"/>
      <c r="AO91" s="20">
        <f t="shared" si="144"/>
        <v>43738</v>
      </c>
      <c r="AP91" s="78">
        <f t="shared" si="39"/>
        <v>0.76728892259111259</v>
      </c>
      <c r="AQ91" s="126">
        <f t="shared" ref="AQ91:AQ94" si="197">AQ90*AP91/100+AQ90</f>
        <v>1452158.1661549096</v>
      </c>
      <c r="AR91" s="6"/>
      <c r="AS91" s="49">
        <f>(AQ91/AQ88-1)*100</f>
        <v>1.3516405632254758</v>
      </c>
      <c r="AT91" s="39"/>
      <c r="AU91" s="20">
        <f t="shared" si="145"/>
        <v>43738</v>
      </c>
      <c r="AV91" s="27">
        <v>0.46439120369562686</v>
      </c>
      <c r="AW91" s="126">
        <f t="shared" ref="AW91:AW94" si="198">AW90*AV91/100+AW90</f>
        <v>1264598.4853961479</v>
      </c>
      <c r="AX91" s="6"/>
      <c r="AY91" s="49">
        <f>(AW91/AW88-1)*100</f>
        <v>2.3528572770134426</v>
      </c>
      <c r="BA91" s="79"/>
      <c r="BB91" s="20">
        <f t="shared" si="146"/>
        <v>43738</v>
      </c>
      <c r="BC91" s="78">
        <f t="shared" si="41"/>
        <v>-2.72451837044437E-2</v>
      </c>
      <c r="BD91" s="126">
        <f t="shared" ref="BD91:BD94" si="199">BD90*BC91/100+BD90</f>
        <v>1266844.4214363068</v>
      </c>
      <c r="BE91" s="6"/>
      <c r="BF91" s="49">
        <f>(BD91/BD88-1)*100</f>
        <v>1.7706088040115642</v>
      </c>
      <c r="BG91" s="39"/>
      <c r="BH91" s="20">
        <f t="shared" si="147"/>
        <v>43738</v>
      </c>
      <c r="BI91" s="27"/>
      <c r="BJ91" s="126">
        <f t="shared" si="138"/>
        <v>1000000</v>
      </c>
      <c r="BK91" s="6"/>
      <c r="BL91" s="49">
        <f>(BJ91/BJ88-1)*100</f>
        <v>0</v>
      </c>
      <c r="BM91" s="49"/>
      <c r="BN91" s="79"/>
      <c r="BO91" s="20">
        <f t="shared" si="148"/>
        <v>43738</v>
      </c>
      <c r="BP91" s="78"/>
      <c r="BQ91" s="126">
        <f t="shared" si="55"/>
        <v>1000000</v>
      </c>
      <c r="BR91" s="6"/>
      <c r="BS91" s="49">
        <f>(BQ91/BQ88-1)*100</f>
        <v>0</v>
      </c>
      <c r="BV91" s="39"/>
      <c r="BW91" s="20">
        <f t="shared" si="149"/>
        <v>43738</v>
      </c>
      <c r="BX91" s="27">
        <v>0.71480106623844264</v>
      </c>
      <c r="BY91" s="126">
        <f t="shared" ref="BY91:BY94" si="200">BY90*BX91/100+BY90</f>
        <v>1489106.1538328829</v>
      </c>
      <c r="BZ91" s="6"/>
      <c r="CA91" s="49">
        <f>(BY91/BY88-1)*100</f>
        <v>2.6735541823261322</v>
      </c>
      <c r="CC91" s="79"/>
      <c r="CD91" s="20">
        <f t="shared" si="150"/>
        <v>43738</v>
      </c>
      <c r="CE91" s="78">
        <f t="shared" si="40"/>
        <v>0.36891437629555623</v>
      </c>
      <c r="CF91" s="126">
        <f t="shared" ref="CF91:CF94" si="201">CF90*CE91/100+CF90</f>
        <v>1379692.1798305186</v>
      </c>
      <c r="CG91" s="6"/>
      <c r="CH91" s="49">
        <f>(CF91/CF88-1)*100</f>
        <v>1.60441277455321</v>
      </c>
      <c r="CI91" s="39"/>
    </row>
    <row r="92" spans="1:87" x14ac:dyDescent="0.25">
      <c r="A92" s="20">
        <v>43769</v>
      </c>
      <c r="B92" s="24">
        <f t="shared" si="141"/>
        <v>77</v>
      </c>
      <c r="C92" s="301">
        <f>'LC (Gross)'!K254</f>
        <v>2.1657299999999999</v>
      </c>
      <c r="D92" s="301">
        <f>ITL!K194</f>
        <v>3.5016893457941296</v>
      </c>
      <c r="E92" s="301">
        <v>0.30121569999999998</v>
      </c>
      <c r="F92" s="301">
        <v>0.15</v>
      </c>
      <c r="G92" s="39"/>
      <c r="H92" s="20">
        <f t="shared" si="188"/>
        <v>43769</v>
      </c>
      <c r="I92" s="27">
        <v>0.12487612783000765</v>
      </c>
      <c r="J92" s="126">
        <f t="shared" si="192"/>
        <v>1855690.0567009544</v>
      </c>
      <c r="K92" s="8"/>
      <c r="M92" s="17"/>
      <c r="N92" s="79"/>
      <c r="O92" s="20">
        <f t="shared" si="189"/>
        <v>43769</v>
      </c>
      <c r="P92" s="78">
        <f t="shared" si="142"/>
        <v>1.7614049018691196</v>
      </c>
      <c r="Q92" s="126">
        <f t="shared" si="193"/>
        <v>1624587.6897409901</v>
      </c>
      <c r="R92" s="8"/>
      <c r="T92" s="39"/>
      <c r="U92" s="20">
        <f t="shared" si="190"/>
        <v>43769</v>
      </c>
      <c r="V92" s="27">
        <v>1.892967553621458E-2</v>
      </c>
      <c r="W92" s="126">
        <f t="shared" si="194"/>
        <v>1754875.6830752525</v>
      </c>
      <c r="X92" s="8"/>
      <c r="AA92" s="79"/>
      <c r="AB92" s="20">
        <f t="shared" si="191"/>
        <v>43769</v>
      </c>
      <c r="AC92" s="78">
        <f t="shared" si="38"/>
        <v>1.4149297895794128</v>
      </c>
      <c r="AD92" s="126">
        <f t="shared" si="195"/>
        <v>1530560.785088853</v>
      </c>
      <c r="AG92" s="44"/>
      <c r="AH92" s="20">
        <f t="shared" si="183"/>
        <v>43769</v>
      </c>
      <c r="AI92" s="27">
        <v>-3.227712966231943E-2</v>
      </c>
      <c r="AJ92" s="126">
        <f t="shared" si="196"/>
        <v>1609613.1762962525</v>
      </c>
      <c r="AN92" s="79"/>
      <c r="AO92" s="20">
        <f t="shared" si="144"/>
        <v>43769</v>
      </c>
      <c r="AP92" s="78">
        <f t="shared" si="39"/>
        <v>1.2435999295794129</v>
      </c>
      <c r="AQ92" s="126">
        <f t="shared" si="197"/>
        <v>1470217.2040865938</v>
      </c>
      <c r="AT92" s="39"/>
      <c r="AU92" s="20">
        <f t="shared" si="145"/>
        <v>43769</v>
      </c>
      <c r="AV92" s="27">
        <v>0.14221074756179736</v>
      </c>
      <c r="AW92" s="126">
        <f t="shared" si="198"/>
        <v>1266396.880355885</v>
      </c>
      <c r="BA92" s="79"/>
      <c r="BB92" s="20">
        <f t="shared" si="146"/>
        <v>43769</v>
      </c>
      <c r="BC92" s="78">
        <f t="shared" si="41"/>
        <v>0.62500845728970644</v>
      </c>
      <c r="BD92" s="126">
        <f t="shared" si="199"/>
        <v>1274762.3062109866</v>
      </c>
      <c r="BG92" s="39"/>
      <c r="BH92" s="20">
        <f t="shared" si="147"/>
        <v>43769</v>
      </c>
      <c r="BI92" s="27"/>
      <c r="BJ92" s="126">
        <f t="shared" si="138"/>
        <v>1000000</v>
      </c>
      <c r="BM92" s="49"/>
      <c r="BN92" s="79"/>
      <c r="BO92" s="20">
        <f t="shared" si="148"/>
        <v>43769</v>
      </c>
      <c r="BP92" s="78"/>
      <c r="BQ92" s="126">
        <f t="shared" si="55"/>
        <v>1000000</v>
      </c>
      <c r="BV92" s="39"/>
      <c r="BW92" s="20">
        <f t="shared" si="149"/>
        <v>43769</v>
      </c>
      <c r="BX92" s="27">
        <v>0.12451735799461254</v>
      </c>
      <c r="BY92" s="126">
        <f t="shared" si="200"/>
        <v>1490960.3494733707</v>
      </c>
      <c r="CC92" s="79"/>
      <c r="CD92" s="20">
        <f t="shared" si="150"/>
        <v>43769</v>
      </c>
      <c r="CE92" s="78">
        <f t="shared" si="40"/>
        <v>0.8971248172897065</v>
      </c>
      <c r="CF92" s="126">
        <f t="shared" si="201"/>
        <v>1392069.7407779836</v>
      </c>
      <c r="CI92" s="39"/>
    </row>
    <row r="93" spans="1:87" x14ac:dyDescent="0.25">
      <c r="A93" s="20">
        <v>43799</v>
      </c>
      <c r="B93" s="24">
        <f t="shared" si="141"/>
        <v>78</v>
      </c>
      <c r="C93" s="301">
        <f>'LC (Gross)'!K255</f>
        <v>3.6299899999999998</v>
      </c>
      <c r="D93" s="301">
        <f>ITL!K195</f>
        <v>0.90678054853354784</v>
      </c>
      <c r="E93" s="301">
        <v>-5.1129196611742381E-2</v>
      </c>
      <c r="F93" s="301">
        <v>0.12</v>
      </c>
      <c r="G93" s="39"/>
      <c r="H93" s="20">
        <f t="shared" si="188"/>
        <v>43799</v>
      </c>
      <c r="I93" s="27">
        <v>1.6868746141468876</v>
      </c>
      <c r="J93" s="126">
        <f t="shared" si="192"/>
        <v>1886993.2211846909</v>
      </c>
      <c r="K93" s="8"/>
      <c r="L93" s="49"/>
      <c r="M93" s="17"/>
      <c r="N93" s="79"/>
      <c r="O93" s="20">
        <f t="shared" si="189"/>
        <v>43799</v>
      </c>
      <c r="P93" s="78">
        <f t="shared" si="142"/>
        <v>2.1685115822800323</v>
      </c>
      <c r="Q93" s="126">
        <f t="shared" si="193"/>
        <v>1659817.061957319</v>
      </c>
      <c r="R93" s="8"/>
      <c r="S93" s="5"/>
      <c r="T93" s="39"/>
      <c r="U93" s="20">
        <f t="shared" si="190"/>
        <v>43799</v>
      </c>
      <c r="V93" s="27">
        <v>1.5663221825620051</v>
      </c>
      <c r="W93" s="126">
        <f t="shared" si="194"/>
        <v>1782362.6901756467</v>
      </c>
      <c r="X93" s="8"/>
      <c r="Y93" s="5"/>
      <c r="Z93" s="5"/>
      <c r="AA93" s="79"/>
      <c r="AB93" s="20">
        <f t="shared" si="191"/>
        <v>43799</v>
      </c>
      <c r="AC93" s="78">
        <f t="shared" si="38"/>
        <v>1.7525041753615935</v>
      </c>
      <c r="AD93" s="126">
        <f t="shared" si="195"/>
        <v>1557383.9267539822</v>
      </c>
      <c r="AG93" s="44"/>
      <c r="AH93" s="20">
        <f t="shared" si="183"/>
        <v>43799</v>
      </c>
      <c r="AI93" s="27">
        <v>1.3524725591500073</v>
      </c>
      <c r="AJ93" s="126">
        <f t="shared" si="196"/>
        <v>1631382.7528141222</v>
      </c>
      <c r="AM93" s="5"/>
      <c r="AN93" s="79"/>
      <c r="AO93" s="20">
        <f t="shared" si="144"/>
        <v>43799</v>
      </c>
      <c r="AP93" s="78">
        <f t="shared" si="39"/>
        <v>1.3672793360392448</v>
      </c>
      <c r="AQ93" s="126">
        <f t="shared" si="197"/>
        <v>1490319.1801129638</v>
      </c>
      <c r="AT93" s="39"/>
      <c r="AU93" s="20">
        <f t="shared" si="145"/>
        <v>43799</v>
      </c>
      <c r="AV93" s="27">
        <v>0.68056448641276612</v>
      </c>
      <c r="AW93" s="126">
        <f t="shared" si="198"/>
        <v>1275015.5277806264</v>
      </c>
      <c r="AZ93" s="5"/>
      <c r="BA93" s="79"/>
      <c r="BB93" s="20">
        <f t="shared" si="146"/>
        <v>43799</v>
      </c>
      <c r="BC93" s="78">
        <f t="shared" si="41"/>
        <v>0.39054758979845777</v>
      </c>
      <c r="BD93" s="126">
        <f t="shared" si="199"/>
        <v>1279740.8596735529</v>
      </c>
      <c r="BG93" s="39"/>
      <c r="BH93" s="20">
        <f t="shared" si="147"/>
        <v>43799</v>
      </c>
      <c r="BI93" s="27"/>
      <c r="BJ93" s="126">
        <f t="shared" si="138"/>
        <v>1000000</v>
      </c>
      <c r="BM93" s="49"/>
      <c r="BN93" s="79"/>
      <c r="BO93" s="20">
        <f t="shared" si="148"/>
        <v>43799</v>
      </c>
      <c r="BP93" s="78"/>
      <c r="BQ93" s="126">
        <f t="shared" si="55"/>
        <v>1000000</v>
      </c>
      <c r="BV93" s="39"/>
      <c r="BW93" s="20">
        <f t="shared" si="149"/>
        <v>43799</v>
      </c>
      <c r="BX93" s="27">
        <v>0.97682828474160865</v>
      </c>
      <c r="BY93" s="126">
        <f t="shared" si="200"/>
        <v>1505524.4718813088</v>
      </c>
      <c r="CB93" s="5"/>
      <c r="CC93" s="79"/>
      <c r="CD93" s="20">
        <f t="shared" si="150"/>
        <v>43799</v>
      </c>
      <c r="CE93" s="78">
        <f t="shared" si="40"/>
        <v>0.95127192912080616</v>
      </c>
      <c r="CF93" s="126">
        <f t="shared" si="201"/>
        <v>1405312.1094557892</v>
      </c>
      <c r="CI93" s="39"/>
    </row>
    <row r="94" spans="1:87" x14ac:dyDescent="0.25">
      <c r="A94" s="20">
        <v>43830</v>
      </c>
      <c r="B94" s="24">
        <f t="shared" si="141"/>
        <v>79</v>
      </c>
      <c r="C94" s="301">
        <f>'LC (Gross)'!K256</f>
        <v>3.011504</v>
      </c>
      <c r="D94" s="301">
        <f>ITL!K196</f>
        <v>4.3161240000000003</v>
      </c>
      <c r="E94" s="301">
        <v>-6.9614430000000005E-2</v>
      </c>
      <c r="F94" s="301">
        <v>0.14000000000000001</v>
      </c>
      <c r="G94" s="39"/>
      <c r="H94" s="20">
        <f t="shared" si="188"/>
        <v>43830</v>
      </c>
      <c r="I94" s="27">
        <v>1.846646890197835</v>
      </c>
      <c r="J94" s="126">
        <f t="shared" si="192"/>
        <v>1921839.3228219419</v>
      </c>
      <c r="K94" s="6">
        <f t="shared" ref="K94" si="202">(J94-J$82)/J$82*100</f>
        <v>24.595030398653321</v>
      </c>
      <c r="L94" s="49">
        <f>(J94/J91-1)*100</f>
        <v>3.693999674294135</v>
      </c>
      <c r="M94" s="16">
        <f>STDEVP(P59:P94)*SQRT(12)</f>
        <v>8.027912236984541</v>
      </c>
      <c r="N94" s="79"/>
      <c r="O94" s="20">
        <f t="shared" si="189"/>
        <v>43830</v>
      </c>
      <c r="P94" s="78">
        <f t="shared" si="142"/>
        <v>2.3457458</v>
      </c>
      <c r="Q94" s="126">
        <f t="shared" si="193"/>
        <v>1698752.1509758662</v>
      </c>
      <c r="R94" s="6">
        <f t="shared" ref="R94" si="203">(Q94-Q$82)/Q$82*100</f>
        <v>20.806054271942497</v>
      </c>
      <c r="S94" s="49">
        <f>(Q94/Q91-1)*100</f>
        <v>6.406940391710525</v>
      </c>
      <c r="T94" s="39"/>
      <c r="U94" s="20">
        <f t="shared" si="190"/>
        <v>43830</v>
      </c>
      <c r="V94" s="27">
        <v>1.6758110176243464</v>
      </c>
      <c r="W94" s="126">
        <f t="shared" si="194"/>
        <v>1812231.7205116358</v>
      </c>
      <c r="X94" s="6">
        <f>(W94-W$82)/W$82*100</f>
        <v>23.294505892928623</v>
      </c>
      <c r="Y94" s="49">
        <f>(W94/W91-1)*100</f>
        <v>3.2879301694994423</v>
      </c>
      <c r="Z94" s="16">
        <f>STDEVP(V59:V94)*SQRT(12)</f>
        <v>9.703991657907082</v>
      </c>
      <c r="AA94" s="79"/>
      <c r="AB94" s="20">
        <f t="shared" si="191"/>
        <v>43830</v>
      </c>
      <c r="AC94" s="78">
        <f t="shared" si="38"/>
        <v>1.8183470355000002</v>
      </c>
      <c r="AD94" s="126">
        <f t="shared" si="195"/>
        <v>1585702.5712174668</v>
      </c>
      <c r="AE94" s="6">
        <f t="shared" ref="AE94" si="204">(AD94-AD$82)/AD$82*100</f>
        <v>17.896534066295906</v>
      </c>
      <c r="AF94" s="49">
        <f>(AD94/AD91-1)*100</f>
        <v>5.0686235358103016</v>
      </c>
      <c r="AG94" s="44"/>
      <c r="AH94" s="20">
        <f t="shared" si="183"/>
        <v>43830</v>
      </c>
      <c r="AI94" s="27">
        <v>1.4390229100586232</v>
      </c>
      <c r="AJ94" s="126">
        <f t="shared" si="196"/>
        <v>1654858.7243778624</v>
      </c>
      <c r="AK94" s="6">
        <f t="shared" ref="AK94" si="205">(AJ94-AJ$82)/AJ$82*100</f>
        <v>20.585177284939675</v>
      </c>
      <c r="AL94" s="49">
        <f>(AJ94/AJ91-1)*100</f>
        <v>2.7777734330117765</v>
      </c>
      <c r="AM94" s="16">
        <f>STDEVP(AP59:AP94)*SQRT(12)</f>
        <v>5.0988075201315342</v>
      </c>
      <c r="AN94" s="79"/>
      <c r="AO94" s="20">
        <f t="shared" si="144"/>
        <v>43830</v>
      </c>
      <c r="AP94" s="78">
        <f t="shared" si="39"/>
        <v>1.4892737495000001</v>
      </c>
      <c r="AQ94" s="126">
        <f t="shared" si="197"/>
        <v>1512514.1124461498</v>
      </c>
      <c r="AR94" s="6">
        <f t="shared" ref="AR94" si="206">(AQ94-AQ$82)/AQ$82*100</f>
        <v>16.408355693548785</v>
      </c>
      <c r="AS94" s="49">
        <f>(AQ94/AQ91-1)*100</f>
        <v>4.1562928679493183</v>
      </c>
      <c r="AT94" s="39"/>
      <c r="AU94" s="20">
        <f t="shared" si="145"/>
        <v>43830</v>
      </c>
      <c r="AV94" s="27">
        <v>0.8885797760975801</v>
      </c>
      <c r="AW94" s="126">
        <f t="shared" si="198"/>
        <v>1286345.057902589</v>
      </c>
      <c r="AX94" s="6">
        <f t="shared" ref="AX94" si="207">(AW94-AW$82)/AW$82*100</f>
        <v>13.920089289889749</v>
      </c>
      <c r="AY94" s="49">
        <f>(AW94/AW91-1)*100</f>
        <v>1.719642460241344</v>
      </c>
      <c r="AZ94" s="16">
        <f>STDEVP(AV59:AV94)*SQRT(12)</f>
        <v>4.8201135920135929</v>
      </c>
      <c r="BA94" s="79"/>
      <c r="BB94" s="20">
        <f t="shared" si="146"/>
        <v>43830</v>
      </c>
      <c r="BC94" s="78">
        <f t="shared" si="41"/>
        <v>0.48922649900000015</v>
      </c>
      <c r="BD94" s="126">
        <f t="shared" si="199"/>
        <v>1286001.6910776063</v>
      </c>
      <c r="BE94" s="6">
        <f t="shared" ref="BE94" si="208">(BD94-BD$82)/BD$82*100</f>
        <v>10.567684674463752</v>
      </c>
      <c r="BF94" s="49">
        <f>(BD94/BD91-1)*100</f>
        <v>1.5122038126496706</v>
      </c>
      <c r="BG94" s="39"/>
      <c r="BH94" s="20">
        <f t="shared" si="147"/>
        <v>43830</v>
      </c>
      <c r="BI94" s="27"/>
      <c r="BJ94" s="126">
        <f t="shared" si="138"/>
        <v>1000000</v>
      </c>
      <c r="BK94" s="6">
        <f t="shared" ref="BK94" si="209">(BJ94-BJ$82)/BJ$82*100</f>
        <v>0</v>
      </c>
      <c r="BL94" s="49">
        <f>(BJ94/BJ91-1)*100</f>
        <v>0</v>
      </c>
      <c r="BM94" s="49"/>
      <c r="BN94" s="79"/>
      <c r="BO94" s="20">
        <f t="shared" si="148"/>
        <v>43830</v>
      </c>
      <c r="BP94" s="78"/>
      <c r="BQ94" s="126">
        <f t="shared" si="55"/>
        <v>1000000</v>
      </c>
      <c r="BR94" s="6">
        <f t="shared" ref="BR94" si="210">(BQ94-BQ$82)/BQ$82*100</f>
        <v>0</v>
      </c>
      <c r="BS94" s="49">
        <f>(BQ94/BQ91-1)*100</f>
        <v>0</v>
      </c>
      <c r="BV94" s="39"/>
      <c r="BW94" s="20">
        <f t="shared" si="149"/>
        <v>43830</v>
      </c>
      <c r="BX94" s="27">
        <v>1.120660781111485</v>
      </c>
      <c r="BY94" s="126">
        <f t="shared" si="200"/>
        <v>1522396.2941877185</v>
      </c>
      <c r="BZ94" s="6">
        <f>(BY94-BY$82)/BY$82*100</f>
        <v>16.948450223859357</v>
      </c>
      <c r="CA94" s="49">
        <f>(BY94/BY91-1)*100</f>
        <v>2.235578724132492</v>
      </c>
      <c r="CB94" s="16">
        <f>STDEVP(BX59:BX94)*SQRT(12)</f>
        <v>6.2987827967485419</v>
      </c>
      <c r="CC94" s="79"/>
      <c r="CD94" s="20">
        <f t="shared" si="150"/>
        <v>43830</v>
      </c>
      <c r="CE94" s="78">
        <f t="shared" si="40"/>
        <v>0.96187498500000013</v>
      </c>
      <c r="CF94" s="126">
        <f t="shared" si="201"/>
        <v>1418829.4550978204</v>
      </c>
      <c r="CG94" s="6">
        <f>(CF94-CF$82)/CF$82*100</f>
        <v>13.51222215665992</v>
      </c>
      <c r="CH94" s="49">
        <f>(CF94/CF91-1)*100</f>
        <v>2.8366671812338096</v>
      </c>
      <c r="CI94" s="39"/>
    </row>
    <row r="95" spans="1:87" x14ac:dyDescent="0.25">
      <c r="A95" s="20">
        <v>43861</v>
      </c>
      <c r="B95" s="24">
        <f t="shared" si="141"/>
        <v>80</v>
      </c>
      <c r="C95" s="297">
        <f>'LC (Gross)'!K257</f>
        <v>-4.393706E-2</v>
      </c>
      <c r="D95" s="297">
        <v>-2.0721032529185925</v>
      </c>
      <c r="E95" s="297">
        <v>1.9244939999999999</v>
      </c>
      <c r="F95" s="297">
        <v>0</v>
      </c>
      <c r="G95" s="39"/>
      <c r="H95" s="20">
        <f t="shared" si="188"/>
        <v>43861</v>
      </c>
      <c r="I95" s="27">
        <v>0.26231555899671971</v>
      </c>
      <c r="J95" s="126">
        <f t="shared" ref="J95:J112" si="211">J94*I95/100+J94</f>
        <v>1926880.606384621</v>
      </c>
      <c r="K95" s="6"/>
      <c r="L95" s="49"/>
      <c r="M95" s="17"/>
      <c r="N95" s="79"/>
      <c r="O95" s="20">
        <f t="shared" si="189"/>
        <v>43861</v>
      </c>
      <c r="P95" s="300">
        <f>78.4%*$C95+19.6%*$D95+0%*$E95+2%*$F95</f>
        <v>-0.44057889261204414</v>
      </c>
      <c r="Q95" s="126">
        <f t="shared" ref="Q95:Q97" si="212">Q94*P95/100+Q94</f>
        <v>1691267.8075608735</v>
      </c>
      <c r="R95" s="6"/>
      <c r="S95" s="49"/>
      <c r="T95" s="39"/>
      <c r="U95" s="20">
        <f t="shared" si="190"/>
        <v>43861</v>
      </c>
      <c r="V95" s="27">
        <v>0.71897557488004848</v>
      </c>
      <c r="W95" s="126">
        <f t="shared" ref="W95:W102" si="213">W94*V95/100+W94</f>
        <v>1825261.2239423429</v>
      </c>
      <c r="X95" s="6"/>
      <c r="Y95" s="49"/>
      <c r="AA95" s="79"/>
      <c r="AB95" s="20">
        <f t="shared" si="191"/>
        <v>43861</v>
      </c>
      <c r="AC95" s="300">
        <f>64%*$C95+16%*$D95+18%*$E95+2%*$F95</f>
        <v>-1.3247318866974833E-2</v>
      </c>
      <c r="AD95" s="126">
        <f t="shared" ref="AD95:AD97" si="214">AD94*AC95/100+AD94</f>
        <v>1585492.5081415758</v>
      </c>
      <c r="AE95" s="6"/>
      <c r="AF95" s="49"/>
      <c r="AG95" s="44"/>
      <c r="AH95" s="20">
        <f t="shared" si="183"/>
        <v>43861</v>
      </c>
      <c r="AI95" s="27">
        <v>1.0504357028040163</v>
      </c>
      <c r="AJ95" s="126">
        <f t="shared" ref="AJ95:AJ102" si="215">AJ94*AI95/100+AJ94</f>
        <v>1672241.9512496947</v>
      </c>
      <c r="AK95" s="6"/>
      <c r="AL95" s="49"/>
      <c r="AN95" s="79"/>
      <c r="AO95" s="20">
        <f t="shared" si="144"/>
        <v>43861</v>
      </c>
      <c r="AP95" s="300">
        <f>48%*$C95+12%*$D95+38%*$E95+2%*$F95</f>
        <v>0.46156554084976892</v>
      </c>
      <c r="AQ95" s="126">
        <f t="shared" ref="AQ95:AQ97" si="216">AQ94*AP95/100+AQ94</f>
        <v>1519495.3563896909</v>
      </c>
      <c r="AR95" s="6"/>
      <c r="AS95" s="49"/>
      <c r="AT95" s="39"/>
      <c r="AU95" s="20">
        <f t="shared" si="145"/>
        <v>43861</v>
      </c>
      <c r="AV95" s="27">
        <v>0.87227989927873628</v>
      </c>
      <c r="AW95" s="126">
        <f t="shared" ref="AW95:AW102" si="217">AW94*AV95/100+AW94</f>
        <v>1297565.5872780387</v>
      </c>
      <c r="AX95" s="6"/>
      <c r="AY95" s="49"/>
      <c r="BA95" s="79"/>
      <c r="BB95" s="20">
        <f t="shared" si="146"/>
        <v>43861</v>
      </c>
      <c r="BC95" s="300">
        <f>24%*$C95+6%*$D95+68%*$E95+2%*$F95</f>
        <v>1.1737848304248846</v>
      </c>
      <c r="BD95" s="126">
        <f t="shared" ref="BD95:BD97" si="218">BD94*BC95/100+BD94</f>
        <v>1301096.5838464827</v>
      </c>
      <c r="BE95" s="6"/>
      <c r="BF95" s="49"/>
      <c r="BG95" s="39"/>
      <c r="BH95" s="20">
        <f t="shared" si="147"/>
        <v>43861</v>
      </c>
      <c r="BI95" s="27"/>
      <c r="BJ95" s="126">
        <f t="shared" si="138"/>
        <v>1000000</v>
      </c>
      <c r="BK95" s="6"/>
      <c r="BL95" s="49"/>
      <c r="BM95" s="49"/>
      <c r="BN95" s="79"/>
      <c r="BO95" s="20">
        <f t="shared" si="148"/>
        <v>43861</v>
      </c>
      <c r="BP95" s="300"/>
      <c r="BQ95" s="126">
        <f t="shared" si="55"/>
        <v>1000000</v>
      </c>
      <c r="BR95" s="6"/>
      <c r="BS95" s="49"/>
      <c r="BV95" s="39"/>
      <c r="BW95" s="20">
        <f t="shared" si="149"/>
        <v>43861</v>
      </c>
      <c r="BX95" s="27">
        <v>0.89055462960626031</v>
      </c>
      <c r="BY95" s="126">
        <f t="shared" ref="BY95:BY97" si="219">BY94*BX95/100+BY94</f>
        <v>1535954.0648665614</v>
      </c>
      <c r="BZ95" s="6"/>
      <c r="CA95" s="49"/>
      <c r="CC95" s="79"/>
      <c r="CD95" s="20">
        <f t="shared" si="150"/>
        <v>43861</v>
      </c>
      <c r="CE95" s="300">
        <f>36%*$C95+9%*$D95+53%*$E95+2%*$F95</f>
        <v>0.81767518563732655</v>
      </c>
      <c r="CF95" s="126">
        <f t="shared" ref="CF95:CF97" si="220">CF94*CE95/100+CF94</f>
        <v>1430430.8714786686</v>
      </c>
      <c r="CG95" s="6"/>
      <c r="CH95" s="49"/>
      <c r="CI95" s="39"/>
    </row>
    <row r="96" spans="1:87" x14ac:dyDescent="0.25">
      <c r="A96" s="20">
        <v>43890</v>
      </c>
      <c r="B96" s="24">
        <f t="shared" si="141"/>
        <v>81</v>
      </c>
      <c r="C96" s="297">
        <f>'LC (Gross)'!K258</f>
        <v>-8.2321380000000008</v>
      </c>
      <c r="D96" s="297">
        <v>-9.0500305178764631</v>
      </c>
      <c r="E96" s="297">
        <v>1.799966</v>
      </c>
      <c r="F96" s="297">
        <v>0</v>
      </c>
      <c r="G96" s="39"/>
      <c r="H96" s="20">
        <f t="shared" si="188"/>
        <v>43890</v>
      </c>
      <c r="I96" s="27">
        <v>-8.0388529464361067</v>
      </c>
      <c r="J96" s="126">
        <f t="shared" si="211"/>
        <v>1771981.5079839649</v>
      </c>
      <c r="K96" s="8"/>
      <c r="L96" s="49"/>
      <c r="M96" s="17"/>
      <c r="N96" s="79"/>
      <c r="O96" s="20">
        <f t="shared" si="189"/>
        <v>43890</v>
      </c>
      <c r="P96" s="300">
        <f t="shared" ref="P96:P125" si="221">78.4%*$C96+19.6%*$D96+0%*$E96+2%*$F96</f>
        <v>-8.2278021735037878</v>
      </c>
      <c r="Q96" s="126">
        <f t="shared" si="212"/>
        <v>1552113.6381306101</v>
      </c>
      <c r="R96" s="8"/>
      <c r="S96" s="5"/>
      <c r="T96" s="39"/>
      <c r="U96" s="20">
        <f t="shared" si="190"/>
        <v>43890</v>
      </c>
      <c r="V96" s="27">
        <v>-6.9351054096348532</v>
      </c>
      <c r="W96" s="126">
        <f t="shared" si="213"/>
        <v>1698677.4340607501</v>
      </c>
      <c r="X96" s="8"/>
      <c r="Y96" s="5"/>
      <c r="Z96" s="5"/>
      <c r="AA96" s="79"/>
      <c r="AB96" s="20">
        <f t="shared" si="191"/>
        <v>43890</v>
      </c>
      <c r="AC96" s="300">
        <f t="shared" ref="AC96:AC161" si="222">64%*$C96+16%*$D96+18%*$E96+2%*$F96</f>
        <v>-6.392579322860235</v>
      </c>
      <c r="AD96" s="126">
        <f t="shared" si="214"/>
        <v>1484138.6419006193</v>
      </c>
      <c r="AG96" s="44"/>
      <c r="AH96" s="20">
        <f t="shared" si="183"/>
        <v>43890</v>
      </c>
      <c r="AI96" s="27">
        <v>-5.6099437603025697</v>
      </c>
      <c r="AJ96" s="126">
        <f t="shared" si="215"/>
        <v>1578430.1182484005</v>
      </c>
      <c r="AM96" s="5"/>
      <c r="AN96" s="79"/>
      <c r="AO96" s="20">
        <f t="shared" si="144"/>
        <v>43890</v>
      </c>
      <c r="AP96" s="300">
        <f t="shared" ref="AP96:AP161" si="223">48%*$C96+12%*$D96+38%*$E96+2%*$F96</f>
        <v>-4.3534428221451762</v>
      </c>
      <c r="AQ96" s="126">
        <f t="shared" si="216"/>
        <v>1453344.9948641146</v>
      </c>
      <c r="AT96" s="39"/>
      <c r="AU96" s="20">
        <f t="shared" si="145"/>
        <v>43890</v>
      </c>
      <c r="AV96" s="27">
        <v>-2.035339160990461</v>
      </c>
      <c r="AW96" s="126">
        <f t="shared" si="217"/>
        <v>1271155.7267406329</v>
      </c>
      <c r="AZ96" s="5"/>
      <c r="BA96" s="79"/>
      <c r="BB96" s="20">
        <f t="shared" si="146"/>
        <v>43890</v>
      </c>
      <c r="BC96" s="300">
        <f t="shared" ref="BC96:BC161" si="224">24%*$C96+6%*$D96+68%*$E96+2%*$F96</f>
        <v>-1.2947380710725878</v>
      </c>
      <c r="BD96" s="126">
        <f t="shared" si="218"/>
        <v>1284250.7910339974</v>
      </c>
      <c r="BG96" s="39"/>
      <c r="BH96" s="20">
        <f t="shared" si="147"/>
        <v>43890</v>
      </c>
      <c r="BI96" s="27"/>
      <c r="BJ96" s="126">
        <f t="shared" si="138"/>
        <v>1000000</v>
      </c>
      <c r="BM96" s="49"/>
      <c r="BN96" s="79"/>
      <c r="BO96" s="20">
        <f t="shared" si="148"/>
        <v>43890</v>
      </c>
      <c r="BP96" s="300"/>
      <c r="BQ96" s="126">
        <f t="shared" si="55"/>
        <v>1000000</v>
      </c>
      <c r="BV96" s="39"/>
      <c r="BW96" s="20">
        <f t="shared" si="149"/>
        <v>43890</v>
      </c>
      <c r="BX96" s="27">
        <v>-2.1456880001489043</v>
      </c>
      <c r="BY96" s="126">
        <f t="shared" si="219"/>
        <v>1502997.2828089204</v>
      </c>
      <c r="CB96" s="5"/>
      <c r="CC96" s="79"/>
      <c r="CD96" s="20">
        <f t="shared" si="150"/>
        <v>43890</v>
      </c>
      <c r="CE96" s="300">
        <f t="shared" ref="CE96:CE154" si="225">36%*$C96+9%*$D96+53%*$E96+2%*$F96</f>
        <v>-2.8240904466088814</v>
      </c>
      <c r="CF96" s="126">
        <f t="shared" si="220"/>
        <v>1390034.2098918953</v>
      </c>
      <c r="CI96" s="39"/>
    </row>
    <row r="97" spans="1:87" x14ac:dyDescent="0.25">
      <c r="A97" s="20">
        <v>43921</v>
      </c>
      <c r="B97" s="24">
        <f t="shared" ref="B97:B101" si="226">IF(A97&gt;A96,1+B96,"-")</f>
        <v>82</v>
      </c>
      <c r="C97" s="297">
        <f>'LC (Gross)'!K259</f>
        <v>-12.3512</v>
      </c>
      <c r="D97" s="297">
        <v>-13.248730052321436</v>
      </c>
      <c r="E97" s="297">
        <v>-0.58865829999999997</v>
      </c>
      <c r="F97" s="297">
        <v>0</v>
      </c>
      <c r="G97" s="39"/>
      <c r="H97" s="20">
        <f t="shared" si="188"/>
        <v>43921</v>
      </c>
      <c r="I97" s="27">
        <v>-14.31294771523911</v>
      </c>
      <c r="J97" s="126">
        <f t="shared" si="211"/>
        <v>1518358.7212225145</v>
      </c>
      <c r="K97" s="6"/>
      <c r="L97" s="49">
        <f>(J97/J94-1)*100</f>
        <v>-20.994502339923748</v>
      </c>
      <c r="M97" s="17"/>
      <c r="N97" s="79"/>
      <c r="O97" s="20">
        <f t="shared" si="189"/>
        <v>43921</v>
      </c>
      <c r="P97" s="300">
        <f t="shared" si="221"/>
        <v>-12.280091890255001</v>
      </c>
      <c r="Q97" s="126">
        <f t="shared" si="212"/>
        <v>1361512.6571269911</v>
      </c>
      <c r="R97" s="6"/>
      <c r="S97" s="49">
        <f>(Q97/Q94-1)*100</f>
        <v>-19.852189364713645</v>
      </c>
      <c r="T97" s="39"/>
      <c r="U97" s="20">
        <f t="shared" si="190"/>
        <v>43921</v>
      </c>
      <c r="V97" s="27">
        <v>-12.150936824966445</v>
      </c>
      <c r="W97" s="126">
        <f t="shared" si="213"/>
        <v>1492272.2121880674</v>
      </c>
      <c r="X97" s="6"/>
      <c r="Y97" s="49">
        <f>(W97/W94-1)*100</f>
        <v>-17.655551699163297</v>
      </c>
      <c r="AA97" s="79"/>
      <c r="AB97" s="20">
        <f t="shared" si="191"/>
        <v>43921</v>
      </c>
      <c r="AC97" s="300">
        <f t="shared" si="222"/>
        <v>-10.130523302371429</v>
      </c>
      <c r="AD97" s="126">
        <f t="shared" si="214"/>
        <v>1333787.6309433782</v>
      </c>
      <c r="AE97" s="6"/>
      <c r="AF97" s="49">
        <f>(AD97/AD94-1)*100</f>
        <v>-15.886645127949439</v>
      </c>
      <c r="AG97" s="44"/>
      <c r="AH97" s="20">
        <f t="shared" si="183"/>
        <v>43921</v>
      </c>
      <c r="AI97" s="27">
        <v>-10.061263828433226</v>
      </c>
      <c r="AJ97" s="126">
        <f t="shared" si="215"/>
        <v>1419620.0997039783</v>
      </c>
      <c r="AK97" s="6"/>
      <c r="AL97" s="49">
        <f>(AJ97/AJ94-1)*100</f>
        <v>-14.215027615866195</v>
      </c>
      <c r="AN97" s="79"/>
      <c r="AO97" s="20">
        <f t="shared" si="144"/>
        <v>43921</v>
      </c>
      <c r="AP97" s="300">
        <f t="shared" si="223"/>
        <v>-7.7421137602785715</v>
      </c>
      <c r="AQ97" s="126">
        <f t="shared" si="216"/>
        <v>1340825.37203242</v>
      </c>
      <c r="AR97" s="6"/>
      <c r="AS97" s="49">
        <f>(AQ97/AQ94-1)*100</f>
        <v>-11.351215767240818</v>
      </c>
      <c r="AT97" s="39"/>
      <c r="AU97" s="20">
        <f t="shared" si="145"/>
        <v>43921</v>
      </c>
      <c r="AV97" s="27">
        <v>-4.2891682813308112</v>
      </c>
      <c r="AW97" s="126">
        <f t="shared" si="217"/>
        <v>1216633.7185029534</v>
      </c>
      <c r="AX97" s="6"/>
      <c r="AY97" s="49">
        <f>(AW97/AW94-1)*100</f>
        <v>-5.4193343357886619</v>
      </c>
      <c r="BA97" s="79"/>
      <c r="BB97" s="20">
        <f t="shared" si="146"/>
        <v>43921</v>
      </c>
      <c r="BC97" s="300">
        <f t="shared" si="224"/>
        <v>-4.1594994471392859</v>
      </c>
      <c r="BD97" s="126">
        <f t="shared" si="218"/>
        <v>1230832.3864810565</v>
      </c>
      <c r="BE97" s="6"/>
      <c r="BF97" s="49">
        <f>(BD97/BD94-1)*100</f>
        <v>-4.2899869400887525</v>
      </c>
      <c r="BG97" s="39"/>
      <c r="BH97" s="20">
        <f t="shared" si="147"/>
        <v>43921</v>
      </c>
      <c r="BI97" s="27"/>
      <c r="BJ97" s="126">
        <f t="shared" si="138"/>
        <v>1000000</v>
      </c>
      <c r="BK97" s="6"/>
      <c r="BL97" s="49">
        <f>(BJ97/BJ94-1)*100</f>
        <v>0</v>
      </c>
      <c r="BM97" s="49"/>
      <c r="BN97" s="79"/>
      <c r="BO97" s="20">
        <f t="shared" si="148"/>
        <v>43921</v>
      </c>
      <c r="BP97" s="300"/>
      <c r="BQ97" s="126">
        <f t="shared" si="55"/>
        <v>1000000</v>
      </c>
      <c r="BR97" s="6"/>
      <c r="BS97" s="49">
        <f>(BQ97/BQ94-1)*100</f>
        <v>0</v>
      </c>
      <c r="BV97" s="39"/>
      <c r="BW97" s="20">
        <f t="shared" si="149"/>
        <v>43921</v>
      </c>
      <c r="BX97" s="27">
        <v>-5.3347446499380329</v>
      </c>
      <c r="BY97" s="126">
        <f t="shared" si="219"/>
        <v>1422816.2156755575</v>
      </c>
      <c r="BZ97" s="6"/>
      <c r="CA97" s="49">
        <f>(BY97/BY94-1)*100</f>
        <v>-6.5410089930160069</v>
      </c>
      <c r="CC97" s="79"/>
      <c r="CD97" s="20">
        <f t="shared" si="150"/>
        <v>43921</v>
      </c>
      <c r="CE97" s="300">
        <f t="shared" si="225"/>
        <v>-5.9508066037089291</v>
      </c>
      <c r="CF97" s="126">
        <f t="shared" si="220"/>
        <v>1307315.9623358352</v>
      </c>
      <c r="CG97" s="6"/>
      <c r="CH97" s="49">
        <f>(CF97/CF94-1)*100</f>
        <v>-7.8595417061099067</v>
      </c>
      <c r="CI97" s="39"/>
    </row>
    <row r="98" spans="1:87" x14ac:dyDescent="0.25">
      <c r="A98" s="20">
        <v>43951</v>
      </c>
      <c r="B98" s="24">
        <f t="shared" si="226"/>
        <v>83</v>
      </c>
      <c r="C98" s="297">
        <f>'LC (Gross)'!K260</f>
        <v>12.81939</v>
      </c>
      <c r="D98" s="297">
        <v>6.6087026137831506</v>
      </c>
      <c r="E98" s="297">
        <v>1.7777390470795722</v>
      </c>
      <c r="F98" s="297">
        <v>0</v>
      </c>
      <c r="G98" s="39"/>
      <c r="H98" s="20">
        <f t="shared" si="188"/>
        <v>43951</v>
      </c>
      <c r="I98" s="27">
        <v>7.3946149618669699</v>
      </c>
      <c r="J98" s="126">
        <f t="shared" si="211"/>
        <v>1630635.5023968467</v>
      </c>
      <c r="K98" s="8"/>
      <c r="M98" s="17"/>
      <c r="N98" s="79"/>
      <c r="O98" s="20">
        <f t="shared" si="189"/>
        <v>43951</v>
      </c>
      <c r="P98" s="300">
        <f t="shared" si="221"/>
        <v>11.345707472301497</v>
      </c>
      <c r="Q98" s="126">
        <f t="shared" ref="Q98:Q101" si="227">Q97*P98/100+Q97</f>
        <v>1515985.9004029788</v>
      </c>
      <c r="R98" s="8"/>
      <c r="T98" s="39"/>
      <c r="U98" s="20">
        <f t="shared" si="190"/>
        <v>43951</v>
      </c>
      <c r="V98" s="27">
        <v>6.9220609058204321</v>
      </c>
      <c r="W98" s="126">
        <f t="shared" si="213"/>
        <v>1595568.2035963594</v>
      </c>
      <c r="X98" s="8"/>
      <c r="AA98" s="79"/>
      <c r="AB98" s="20">
        <f t="shared" si="191"/>
        <v>43951</v>
      </c>
      <c r="AC98" s="300">
        <f t="shared" si="222"/>
        <v>9.5817950466796269</v>
      </c>
      <c r="AD98" s="126">
        <f t="shared" ref="AD98:AD101" si="228">AD97*AC98/100+AD97</f>
        <v>1461588.4280983363</v>
      </c>
      <c r="AG98" s="44"/>
      <c r="AH98" s="20">
        <f t="shared" si="183"/>
        <v>43951</v>
      </c>
      <c r="AI98" s="27">
        <v>5.576512938687908</v>
      </c>
      <c r="AJ98" s="126">
        <f t="shared" si="215"/>
        <v>1498785.3982441849</v>
      </c>
      <c r="AN98" s="79"/>
      <c r="AO98" s="20">
        <f t="shared" si="144"/>
        <v>43951</v>
      </c>
      <c r="AP98" s="300">
        <f t="shared" si="223"/>
        <v>7.621892351544215</v>
      </c>
      <c r="AQ98" s="126">
        <f t="shared" ref="AQ98:AQ101" si="229">AQ97*AP98/100+AQ97</f>
        <v>1443021.6385109234</v>
      </c>
      <c r="AT98" s="39"/>
      <c r="AU98" s="20">
        <f t="shared" si="145"/>
        <v>43951</v>
      </c>
      <c r="AV98" s="27">
        <v>3.0225990652830816</v>
      </c>
      <c r="AW98" s="126">
        <f t="shared" si="217"/>
        <v>1253407.6779063425</v>
      </c>
      <c r="BA98" s="79"/>
      <c r="BB98" s="20">
        <f t="shared" si="146"/>
        <v>43951</v>
      </c>
      <c r="BC98" s="300">
        <f t="shared" si="224"/>
        <v>4.682038308841098</v>
      </c>
      <c r="BD98" s="126">
        <f t="shared" ref="BD98:BD101" si="230">BD97*BC98/100+BD97</f>
        <v>1288460.4303337226</v>
      </c>
      <c r="BG98" s="39"/>
      <c r="BH98" s="20">
        <f t="shared" si="147"/>
        <v>43951</v>
      </c>
      <c r="BI98" s="27">
        <v>1.9623721850055855</v>
      </c>
      <c r="BJ98" s="126">
        <f t="shared" si="138"/>
        <v>1019623.7218500559</v>
      </c>
      <c r="BM98" s="49"/>
      <c r="BN98" s="79"/>
      <c r="BO98" s="20">
        <f t="shared" si="148"/>
        <v>43951</v>
      </c>
      <c r="BP98" s="300">
        <f t="shared" ref="BP98:BP99" si="231">12%*$C98+3%*$D98+83%*$E98+2%*$F98</f>
        <v>3.2121112874895394</v>
      </c>
      <c r="BQ98" s="126">
        <f t="shared" si="55"/>
        <v>1032121.1128748955</v>
      </c>
      <c r="BV98" s="39"/>
      <c r="BW98" s="20">
        <f t="shared" si="149"/>
        <v>43951</v>
      </c>
      <c r="BX98" s="27">
        <v>3.6718165737149135</v>
      </c>
      <c r="BY98" s="126">
        <f t="shared" ref="BY98:BY102" si="232">BY97*BX98/100+BY97</f>
        <v>1475059.4172962359</v>
      </c>
      <c r="BZ98" s="6"/>
      <c r="CA98" s="49"/>
      <c r="CC98" s="79"/>
      <c r="CD98" s="20">
        <f t="shared" si="150"/>
        <v>43951</v>
      </c>
      <c r="CE98" s="300">
        <f t="shared" si="225"/>
        <v>6.1519653301926569</v>
      </c>
      <c r="CF98" s="126">
        <f t="shared" ref="CF98:CF101" si="233">CF97*CE98/100+CF97</f>
        <v>1387741.5870948103</v>
      </c>
      <c r="CI98" s="39"/>
    </row>
    <row r="99" spans="1:87" x14ac:dyDescent="0.25">
      <c r="A99" s="20">
        <v>43982</v>
      </c>
      <c r="B99" s="24">
        <f t="shared" si="226"/>
        <v>84</v>
      </c>
      <c r="C99" s="297">
        <f>'LC (Gross)'!K261</f>
        <v>4.7629910000000004</v>
      </c>
      <c r="D99" s="297">
        <v>4.40740586222927</v>
      </c>
      <c r="E99" s="297">
        <v>0.46535522400838625</v>
      </c>
      <c r="F99" s="297">
        <v>0</v>
      </c>
      <c r="G99" s="39"/>
      <c r="H99" s="20">
        <f t="shared" si="188"/>
        <v>43982</v>
      </c>
      <c r="I99" s="27">
        <v>5.2072055215057382</v>
      </c>
      <c r="J99" s="126">
        <f t="shared" si="211"/>
        <v>1715546.0443132881</v>
      </c>
      <c r="K99" s="11"/>
      <c r="L99" s="49"/>
      <c r="M99" s="17"/>
      <c r="N99" s="79"/>
      <c r="O99" s="20">
        <f t="shared" si="189"/>
        <v>43982</v>
      </c>
      <c r="P99" s="300">
        <f t="shared" si="221"/>
        <v>4.5980364929969371</v>
      </c>
      <c r="Q99" s="126">
        <f t="shared" si="227"/>
        <v>1585691.4853321959</v>
      </c>
      <c r="R99" s="11"/>
      <c r="S99" s="5"/>
      <c r="T99" s="39"/>
      <c r="U99" s="20">
        <f t="shared" si="190"/>
        <v>43982</v>
      </c>
      <c r="V99" s="27">
        <v>4.4018437741088983</v>
      </c>
      <c r="W99" s="126">
        <f t="shared" si="213"/>
        <v>1665802.6232280268</v>
      </c>
      <c r="X99" s="11"/>
      <c r="Y99" s="5"/>
      <c r="Z99" s="5"/>
      <c r="AA99" s="79"/>
      <c r="AB99" s="20">
        <f t="shared" si="191"/>
        <v>43982</v>
      </c>
      <c r="AC99" s="300">
        <f t="shared" si="222"/>
        <v>3.8372631182781931</v>
      </c>
      <c r="AD99" s="126">
        <f t="shared" si="228"/>
        <v>1517673.4217907758</v>
      </c>
      <c r="AG99" s="44"/>
      <c r="AH99" s="20">
        <f t="shared" si="183"/>
        <v>43982</v>
      </c>
      <c r="AI99" s="27">
        <v>3.7229432085070373</v>
      </c>
      <c r="AJ99" s="126">
        <f t="shared" si="215"/>
        <v>1554584.327438212</v>
      </c>
      <c r="AM99" s="5"/>
      <c r="AN99" s="79"/>
      <c r="AO99" s="20">
        <f t="shared" si="144"/>
        <v>43982</v>
      </c>
      <c r="AP99" s="300">
        <f t="shared" si="223"/>
        <v>2.9919593685906998</v>
      </c>
      <c r="AQ99" s="126">
        <f t="shared" si="229"/>
        <v>1486196.2596151419</v>
      </c>
      <c r="AT99" s="39"/>
      <c r="AU99" s="20">
        <f t="shared" si="145"/>
        <v>43982</v>
      </c>
      <c r="AV99" s="27">
        <v>2.1108725213037087</v>
      </c>
      <c r="AW99" s="126">
        <f t="shared" si="217"/>
        <v>1279865.5161591785</v>
      </c>
      <c r="AZ99" s="5"/>
      <c r="BA99" s="79"/>
      <c r="BB99" s="20">
        <f t="shared" si="146"/>
        <v>43982</v>
      </c>
      <c r="BC99" s="300">
        <f t="shared" si="224"/>
        <v>1.7240037440594591</v>
      </c>
      <c r="BD99" s="126">
        <f t="shared" si="230"/>
        <v>1310673.5363934005</v>
      </c>
      <c r="BG99" s="39"/>
      <c r="BH99" s="20">
        <f t="shared" si="147"/>
        <v>43982</v>
      </c>
      <c r="BI99" s="27">
        <v>1.2122702016561964</v>
      </c>
      <c r="BJ99" s="126">
        <f t="shared" si="138"/>
        <v>1031984.3163990619</v>
      </c>
      <c r="BN99" s="79"/>
      <c r="BO99" s="20">
        <f t="shared" si="148"/>
        <v>43982</v>
      </c>
      <c r="BP99" s="300">
        <f t="shared" si="231"/>
        <v>1.0900259317938388</v>
      </c>
      <c r="BQ99" s="126">
        <f t="shared" si="55"/>
        <v>1043371.500652751</v>
      </c>
      <c r="BV99" s="39"/>
      <c r="BW99" s="20">
        <f t="shared" si="149"/>
        <v>43982</v>
      </c>
      <c r="BX99" s="27">
        <v>2.4316452998884688</v>
      </c>
      <c r="BY99" s="126">
        <f t="shared" si="232"/>
        <v>1510927.6302874822</v>
      </c>
      <c r="BZ99" s="6"/>
      <c r="CA99" s="49"/>
      <c r="CB99" s="5"/>
      <c r="CC99" s="79"/>
      <c r="CD99" s="20">
        <f t="shared" si="150"/>
        <v>43982</v>
      </c>
      <c r="CE99" s="300">
        <f t="shared" si="225"/>
        <v>2.3579815563250794</v>
      </c>
      <c r="CF99" s="126">
        <f t="shared" si="233"/>
        <v>1420464.2777679588</v>
      </c>
      <c r="CI99" s="39"/>
    </row>
    <row r="100" spans="1:87" x14ac:dyDescent="0.25">
      <c r="A100" s="20">
        <v>44012</v>
      </c>
      <c r="B100" s="24">
        <f t="shared" si="226"/>
        <v>85</v>
      </c>
      <c r="C100" s="297">
        <f>'LC (Gross)'!K262</f>
        <v>1.988718</v>
      </c>
      <c r="D100" s="297">
        <v>3.455711323961435</v>
      </c>
      <c r="E100" s="297">
        <v>0.63024135815096904</v>
      </c>
      <c r="F100" s="297">
        <v>0</v>
      </c>
      <c r="G100" s="39"/>
      <c r="H100" s="20">
        <f t="shared" si="188"/>
        <v>44012</v>
      </c>
      <c r="I100" s="27">
        <v>0.47635206130102903</v>
      </c>
      <c r="J100" s="126">
        <f t="shared" si="211"/>
        <v>1723718.0832579427</v>
      </c>
      <c r="K100" s="6"/>
      <c r="L100" s="49">
        <f>(J100/J97-1)*100</f>
        <v>13.52508858183934</v>
      </c>
      <c r="M100" s="17"/>
      <c r="N100" s="79"/>
      <c r="O100" s="20">
        <f t="shared" si="189"/>
        <v>44012</v>
      </c>
      <c r="P100" s="300">
        <f t="shared" si="221"/>
        <v>2.2364743314964413</v>
      </c>
      <c r="Q100" s="126">
        <f t="shared" si="227"/>
        <v>1621155.0683783751</v>
      </c>
      <c r="R100" s="6"/>
      <c r="S100" s="49">
        <f>(Q100/Q97-1)*100</f>
        <v>19.070143042171274</v>
      </c>
      <c r="T100" s="39"/>
      <c r="U100" s="20">
        <f t="shared" si="190"/>
        <v>44012</v>
      </c>
      <c r="V100" s="27">
        <v>0.50944802463087135</v>
      </c>
      <c r="W100" s="126">
        <f t="shared" si="213"/>
        <v>1674289.0217863112</v>
      </c>
      <c r="X100" s="6"/>
      <c r="Y100" s="49">
        <f>(W100/W97-1)*100</f>
        <v>12.197292699792284</v>
      </c>
      <c r="AA100" s="79"/>
      <c r="AB100" s="20">
        <f t="shared" si="191"/>
        <v>44012</v>
      </c>
      <c r="AC100" s="300">
        <f t="shared" si="222"/>
        <v>1.9391367763010039</v>
      </c>
      <c r="AD100" s="126">
        <f t="shared" si="228"/>
        <v>1547103.1852568667</v>
      </c>
      <c r="AE100" s="6"/>
      <c r="AF100" s="49">
        <f>(AD100/AD97-1)*100</f>
        <v>15.993217313209907</v>
      </c>
      <c r="AG100" s="44"/>
      <c r="AH100" s="20">
        <f t="shared" si="183"/>
        <v>44012</v>
      </c>
      <c r="AI100" s="27">
        <v>0.50942258637514382</v>
      </c>
      <c r="AJ100" s="126">
        <f t="shared" si="215"/>
        <v>1562503.7311264304</v>
      </c>
      <c r="AK100" s="6"/>
      <c r="AL100" s="49">
        <f>(AJ100/AJ97-1)*100</f>
        <v>10.064920287635148</v>
      </c>
      <c r="AN100" s="79"/>
      <c r="AO100" s="20">
        <f t="shared" si="144"/>
        <v>44012</v>
      </c>
      <c r="AP100" s="300">
        <f t="shared" si="223"/>
        <v>1.6087617149727405</v>
      </c>
      <c r="AQ100" s="126">
        <f t="shared" si="229"/>
        <v>1510105.6160491873</v>
      </c>
      <c r="AR100" s="6"/>
      <c r="AS100" s="49">
        <f>(AQ100/AQ97-1)*100</f>
        <v>12.62507762365599</v>
      </c>
      <c r="AT100" s="39"/>
      <c r="AU100" s="20">
        <f t="shared" si="145"/>
        <v>44012</v>
      </c>
      <c r="AV100" s="27">
        <v>0.40290692834352732</v>
      </c>
      <c r="AW100" s="126">
        <f t="shared" si="217"/>
        <v>1285022.1829972635</v>
      </c>
      <c r="AX100" s="6"/>
      <c r="AY100" s="49">
        <f>(AW100/AW97-1)*100</f>
        <v>5.6211219082815678</v>
      </c>
      <c r="BA100" s="79"/>
      <c r="BB100" s="20">
        <f t="shared" si="146"/>
        <v>44012</v>
      </c>
      <c r="BC100" s="300">
        <f t="shared" si="224"/>
        <v>1.1131991229803451</v>
      </c>
      <c r="BD100" s="126">
        <f t="shared" si="230"/>
        <v>1325263.9427056673</v>
      </c>
      <c r="BE100" s="6"/>
      <c r="BF100" s="49">
        <f>(BD100/BD97-1)*100</f>
        <v>7.6721702533835812</v>
      </c>
      <c r="BG100" s="39"/>
      <c r="BH100" s="20">
        <f t="shared" si="147"/>
        <v>44012</v>
      </c>
      <c r="BI100" s="27">
        <v>0.4943632137166098</v>
      </c>
      <c r="BJ100" s="126">
        <f t="shared" si="138"/>
        <v>1037086.0672306637</v>
      </c>
      <c r="BK100" s="6"/>
      <c r="BL100" s="49">
        <f>(BJ100/BJ97-1)*100</f>
        <v>3.7086067230663655</v>
      </c>
      <c r="BN100" s="79"/>
      <c r="BO100" s="20">
        <f t="shared" si="148"/>
        <v>44012</v>
      </c>
      <c r="BP100" s="300">
        <f>12%*$C100+3%*$D100+83%*$E100+2%*$F100</f>
        <v>0.86541782698414738</v>
      </c>
      <c r="BQ100" s="126">
        <f t="shared" si="55"/>
        <v>1052401.0236210718</v>
      </c>
      <c r="BR100" s="6"/>
      <c r="BS100" s="49">
        <f>(BQ100/BQ97-1)*100</f>
        <v>5.2401023621071907</v>
      </c>
      <c r="BV100" s="39"/>
      <c r="BW100" s="20">
        <f t="shared" si="149"/>
        <v>44012</v>
      </c>
      <c r="BX100" s="27">
        <v>0.46938474670862873</v>
      </c>
      <c r="BY100" s="126">
        <f t="shared" si="232"/>
        <v>1518019.6941178578</v>
      </c>
      <c r="BZ100" s="6"/>
      <c r="CA100" s="49">
        <f t="shared" ref="CA100" si="234">(BY100/BY97-1)*100</f>
        <v>6.6911999872799832</v>
      </c>
      <c r="CC100" s="79"/>
      <c r="CD100" s="20">
        <f t="shared" si="150"/>
        <v>44012</v>
      </c>
      <c r="CE100" s="300">
        <f t="shared" si="225"/>
        <v>1.3609804189765426</v>
      </c>
      <c r="CF100" s="126">
        <f t="shared" si="233"/>
        <v>1439796.5184469372</v>
      </c>
      <c r="CG100" s="6"/>
      <c r="CH100" s="49">
        <f>(CF100/CF97-1)*100</f>
        <v>10.133782492366539</v>
      </c>
      <c r="CI100" s="39"/>
    </row>
    <row r="101" spans="1:87" x14ac:dyDescent="0.25">
      <c r="A101" s="20">
        <v>44043</v>
      </c>
      <c r="B101" s="24">
        <f t="shared" si="226"/>
        <v>86</v>
      </c>
      <c r="C101" s="297">
        <f>'LC (Gross)'!K263</f>
        <v>5.6381899999999998</v>
      </c>
      <c r="D101" s="297">
        <v>2.3645739923180282</v>
      </c>
      <c r="E101" s="297">
        <v>1.4935359155794377</v>
      </c>
      <c r="F101" s="297">
        <v>0</v>
      </c>
      <c r="G101" s="39"/>
      <c r="H101" s="20">
        <f t="shared" si="188"/>
        <v>44043</v>
      </c>
      <c r="I101" s="27">
        <v>5.6678903588151783</v>
      </c>
      <c r="J101" s="126">
        <f t="shared" si="211"/>
        <v>1821416.5343120734</v>
      </c>
      <c r="K101" s="6"/>
      <c r="M101" s="17"/>
      <c r="N101" s="79"/>
      <c r="O101" s="20">
        <f t="shared" si="189"/>
        <v>44043</v>
      </c>
      <c r="P101" s="300">
        <f t="shared" si="221"/>
        <v>4.8837974624943339</v>
      </c>
      <c r="Q101" s="126">
        <f t="shared" si="227"/>
        <v>1700328.9984709364</v>
      </c>
      <c r="R101" s="6"/>
      <c r="T101" s="39"/>
      <c r="U101" s="20">
        <f t="shared" si="190"/>
        <v>44043</v>
      </c>
      <c r="V101" s="27">
        <v>4.9509781176600427</v>
      </c>
      <c r="W101" s="126">
        <f t="shared" si="213"/>
        <v>1757182.7048813358</v>
      </c>
      <c r="X101" s="6"/>
      <c r="AA101" s="79"/>
      <c r="AB101" s="20">
        <f t="shared" si="191"/>
        <v>44043</v>
      </c>
      <c r="AC101" s="300">
        <f t="shared" si="222"/>
        <v>4.2556099035751833</v>
      </c>
      <c r="AD101" s="126">
        <f t="shared" si="228"/>
        <v>1612941.861627185</v>
      </c>
      <c r="AE101" s="6"/>
      <c r="AG101" s="44"/>
      <c r="AH101" s="20">
        <f t="shared" si="183"/>
        <v>44043</v>
      </c>
      <c r="AI101" s="27">
        <v>4.2913181164576564</v>
      </c>
      <c r="AJ101" s="126">
        <f t="shared" si="215"/>
        <v>1629555.7368105857</v>
      </c>
      <c r="AK101" s="6"/>
      <c r="AN101" s="79"/>
      <c r="AO101" s="20">
        <f t="shared" si="144"/>
        <v>44043</v>
      </c>
      <c r="AP101" s="300">
        <f t="shared" si="223"/>
        <v>3.5576237269983491</v>
      </c>
      <c r="AQ101" s="126">
        <f t="shared" si="229"/>
        <v>1563829.4917484878</v>
      </c>
      <c r="AR101" s="6"/>
      <c r="AT101" s="39"/>
      <c r="AU101" s="20">
        <f t="shared" si="145"/>
        <v>44043</v>
      </c>
      <c r="AV101" s="27">
        <v>2.394540043924426</v>
      </c>
      <c r="AW101" s="126">
        <f t="shared" si="217"/>
        <v>1315792.5537424448</v>
      </c>
      <c r="AX101" s="6"/>
      <c r="BA101" s="79"/>
      <c r="BB101" s="20">
        <f t="shared" si="146"/>
        <v>44043</v>
      </c>
      <c r="BC101" s="300">
        <f t="shared" si="224"/>
        <v>2.510644462133099</v>
      </c>
      <c r="BD101" s="126">
        <f t="shared" si="230"/>
        <v>1358536.608491854</v>
      </c>
      <c r="BE101" s="6"/>
      <c r="BG101" s="39"/>
      <c r="BH101" s="20">
        <f t="shared" si="147"/>
        <v>44043</v>
      </c>
      <c r="BI101" s="27">
        <v>2.0178694618243123</v>
      </c>
      <c r="BJ101" s="126">
        <f t="shared" si="138"/>
        <v>1058013.1102741461</v>
      </c>
      <c r="BK101" s="6"/>
      <c r="BN101" s="79"/>
      <c r="BO101" s="20">
        <f t="shared" si="148"/>
        <v>44043</v>
      </c>
      <c r="BP101" s="300">
        <f t="shared" ref="BP101:BP105" si="235">12%*$C101+3%*$D101+83%*$E101+2%*$F101</f>
        <v>1.987154829700474</v>
      </c>
      <c r="BQ101" s="126">
        <f t="shared" si="55"/>
        <v>1073313.8613897753</v>
      </c>
      <c r="BR101" s="6"/>
      <c r="BV101" s="39"/>
      <c r="BW101" s="20">
        <f t="shared" si="149"/>
        <v>44043</v>
      </c>
      <c r="BX101" s="27">
        <v>2.9065674633832974</v>
      </c>
      <c r="BY101" s="126">
        <f t="shared" si="232"/>
        <v>1562141.9606348381</v>
      </c>
      <c r="BZ101" s="6"/>
      <c r="CC101" s="79"/>
      <c r="CD101" s="20">
        <f t="shared" si="150"/>
        <v>44043</v>
      </c>
      <c r="CE101" s="300">
        <f t="shared" si="225"/>
        <v>3.0341340945657245</v>
      </c>
      <c r="CF101" s="126">
        <f t="shared" si="233"/>
        <v>1483481.8755055061</v>
      </c>
      <c r="CG101" s="6"/>
      <c r="CI101" s="39"/>
    </row>
    <row r="102" spans="1:87" x14ac:dyDescent="0.25">
      <c r="A102" s="20">
        <v>44074</v>
      </c>
      <c r="B102" s="24">
        <f>IF(A102&gt;A101,1+B101,"-")</f>
        <v>87</v>
      </c>
      <c r="C102" s="297">
        <f>'LC (Gross)'!K264</f>
        <v>7.1882580000000003</v>
      </c>
      <c r="D102" s="297">
        <v>5.1754959931854252</v>
      </c>
      <c r="E102" s="297">
        <v>-0.80733317200578947</v>
      </c>
      <c r="F102" s="297">
        <v>0</v>
      </c>
      <c r="G102" s="39"/>
      <c r="H102" s="20">
        <f t="shared" si="188"/>
        <v>44074</v>
      </c>
      <c r="I102" s="27">
        <v>3.5754635585251964</v>
      </c>
      <c r="J102" s="126">
        <f t="shared" si="211"/>
        <v>1886540.6187453542</v>
      </c>
      <c r="K102" s="6"/>
      <c r="L102" s="49"/>
      <c r="M102" s="17"/>
      <c r="N102" s="79"/>
      <c r="O102" s="20">
        <f t="shared" si="189"/>
        <v>44074</v>
      </c>
      <c r="P102" s="300">
        <f t="shared" si="221"/>
        <v>6.6499914866643444</v>
      </c>
      <c r="Q102" s="126">
        <f t="shared" ref="Q102:Q112" si="236">Q101*P102/100+Q101</f>
        <v>1813400.7321145388</v>
      </c>
      <c r="R102" s="6"/>
      <c r="S102" s="5"/>
      <c r="T102" s="39"/>
      <c r="U102" s="20">
        <f t="shared" si="190"/>
        <v>44074</v>
      </c>
      <c r="V102" s="27">
        <v>3.1334570278217622</v>
      </c>
      <c r="W102" s="126">
        <f t="shared" si="213"/>
        <v>1812243.2698391087</v>
      </c>
      <c r="X102" s="6"/>
      <c r="Y102" s="5"/>
      <c r="Z102" s="5"/>
      <c r="AA102" s="79"/>
      <c r="AB102" s="20">
        <f t="shared" si="191"/>
        <v>44074</v>
      </c>
      <c r="AC102" s="300">
        <f t="shared" si="222"/>
        <v>5.2832445079486261</v>
      </c>
      <c r="AD102" s="126">
        <f t="shared" ref="AD102" si="237">AD101*AC102/100+AD101</f>
        <v>1698157.5239480077</v>
      </c>
      <c r="AE102" s="6"/>
      <c r="AG102" s="44"/>
      <c r="AH102" s="20">
        <f t="shared" si="183"/>
        <v>44074</v>
      </c>
      <c r="AI102" s="27">
        <v>2.5865892975649816</v>
      </c>
      <c r="AJ102" s="126">
        <f t="shared" si="215"/>
        <v>1671705.6510967845</v>
      </c>
      <c r="AK102" s="6"/>
      <c r="AM102" s="5"/>
      <c r="AN102" s="79"/>
      <c r="AO102" s="20">
        <f t="shared" si="144"/>
        <v>44074</v>
      </c>
      <c r="AP102" s="300">
        <f t="shared" si="223"/>
        <v>3.7646367538200511</v>
      </c>
      <c r="AQ102" s="126">
        <f t="shared" ref="AQ102" si="238">AQ101*AP102/100+AQ101</f>
        <v>1622701.9915619288</v>
      </c>
      <c r="AR102" s="6"/>
      <c r="AT102" s="39"/>
      <c r="AU102" s="20">
        <f t="shared" si="145"/>
        <v>44074</v>
      </c>
      <c r="AV102" s="27">
        <v>1.0819465321678421</v>
      </c>
      <c r="AW102" s="126">
        <f t="shared" si="217"/>
        <v>1330028.7256481838</v>
      </c>
      <c r="AX102" s="6"/>
      <c r="AZ102" s="5"/>
      <c r="BA102" s="79"/>
      <c r="BB102" s="20">
        <f t="shared" si="146"/>
        <v>44074</v>
      </c>
      <c r="BC102" s="300">
        <f t="shared" si="224"/>
        <v>1.4867251226271887</v>
      </c>
      <c r="BD102" s="126">
        <f t="shared" ref="BD102" si="239">BD101*BC102/100+BD101</f>
        <v>1378734.3135503898</v>
      </c>
      <c r="BE102" s="6"/>
      <c r="BG102" s="39"/>
      <c r="BH102" s="20">
        <f t="shared" si="147"/>
        <v>44074</v>
      </c>
      <c r="BI102" s="27">
        <v>0.46779003535295749</v>
      </c>
      <c r="BJ102" s="126">
        <f t="shared" si="138"/>
        <v>1062962.3901767365</v>
      </c>
      <c r="BK102" s="6"/>
      <c r="BN102" s="79"/>
      <c r="BO102" s="20">
        <f t="shared" si="148"/>
        <v>44074</v>
      </c>
      <c r="BP102" s="300">
        <f t="shared" si="235"/>
        <v>0.34776930703075759</v>
      </c>
      <c r="BQ102" s="126">
        <f t="shared" si="55"/>
        <v>1077046.5175677955</v>
      </c>
      <c r="BR102" s="6"/>
      <c r="BV102" s="39"/>
      <c r="BW102" s="20">
        <f t="shared" si="149"/>
        <v>44074</v>
      </c>
      <c r="BX102" s="27">
        <v>1.3412929921795842</v>
      </c>
      <c r="BY102" s="126">
        <f t="shared" si="232"/>
        <v>1583094.86128073</v>
      </c>
      <c r="BZ102" s="6"/>
      <c r="CB102" s="5"/>
      <c r="CC102" s="79"/>
      <c r="CD102" s="20">
        <f t="shared" si="150"/>
        <v>44074</v>
      </c>
      <c r="CE102" s="300">
        <f t="shared" si="225"/>
        <v>2.6256809382236201</v>
      </c>
      <c r="CF102" s="126">
        <f t="shared" ref="CF102" si="240">CF101*CE102/100+CF101</f>
        <v>1522433.3763326565</v>
      </c>
      <c r="CG102" s="6"/>
      <c r="CI102" s="39"/>
    </row>
    <row r="103" spans="1:87" x14ac:dyDescent="0.25">
      <c r="A103" s="20">
        <v>44104</v>
      </c>
      <c r="B103" s="24">
        <f t="shared" ref="B103:B106" si="241">IF(A103&gt;A102,1+B102,"-")</f>
        <v>88</v>
      </c>
      <c r="C103" s="297">
        <f>'LC (Gross)'!K265</f>
        <v>-3.7996780000000001</v>
      </c>
      <c r="D103" s="297">
        <v>-2.5340123485958328</v>
      </c>
      <c r="E103" s="297">
        <v>-5.4680890000000003E-2</v>
      </c>
      <c r="F103" s="297">
        <v>0</v>
      </c>
      <c r="G103" s="39"/>
      <c r="H103" s="20">
        <f t="shared" si="188"/>
        <v>44104</v>
      </c>
      <c r="I103" s="27">
        <v>-2.8148154857068119</v>
      </c>
      <c r="J103" s="126">
        <f t="shared" si="211"/>
        <v>1833437.981264761</v>
      </c>
      <c r="K103" s="6"/>
      <c r="L103" s="49">
        <f>(J103/J100-1)*100</f>
        <v>6.3653041104865693</v>
      </c>
      <c r="M103" s="17"/>
      <c r="N103" s="79"/>
      <c r="O103" s="20">
        <f t="shared" si="189"/>
        <v>44104</v>
      </c>
      <c r="P103" s="300">
        <f t="shared" si="221"/>
        <v>-3.4756139723247834</v>
      </c>
      <c r="Q103" s="126">
        <f t="shared" si="236"/>
        <v>1750373.922894926</v>
      </c>
      <c r="R103" s="6"/>
      <c r="S103" s="49">
        <f>(Q103/Q100-1)*100</f>
        <v>7.9707892870363839</v>
      </c>
      <c r="T103" s="39"/>
      <c r="U103" s="20">
        <f t="shared" si="190"/>
        <v>44104</v>
      </c>
      <c r="V103" s="27">
        <v>-2.4199317326540424</v>
      </c>
      <c r="W103" s="126">
        <f t="shared" ref="W103:W112" si="242">W102*V103/100+W102</f>
        <v>1768388.2198793849</v>
      </c>
      <c r="X103" s="6"/>
      <c r="Y103" s="49">
        <f>(W103/W100-1)*100</f>
        <v>5.6202481691409956</v>
      </c>
      <c r="AA103" s="79"/>
      <c r="AB103" s="20">
        <f t="shared" si="191"/>
        <v>44104</v>
      </c>
      <c r="AC103" s="300">
        <f t="shared" si="222"/>
        <v>-2.8470784559753333</v>
      </c>
      <c r="AD103" s="126">
        <f t="shared" ref="AD103:AD106" si="243">AD102*AC103/100+AD102</f>
        <v>1649809.6469351598</v>
      </c>
      <c r="AE103" s="6"/>
      <c r="AF103" s="49">
        <f>(AD103/AD100-1)*100</f>
        <v>6.6386303549132997</v>
      </c>
      <c r="AG103" s="44"/>
      <c r="AH103" s="20">
        <f t="shared" si="183"/>
        <v>44104</v>
      </c>
      <c r="AI103" s="27">
        <v>-1.9667787485763755</v>
      </c>
      <c r="AJ103" s="126">
        <f t="shared" ref="AJ103:AJ112" si="244">AJ102*AI103/100+AJ102</f>
        <v>1638826.8996122626</v>
      </c>
      <c r="AK103" s="6"/>
      <c r="AL103" s="49">
        <f>(AJ103/AJ100-1)*100</f>
        <v>4.8846711188849312</v>
      </c>
      <c r="AN103" s="79"/>
      <c r="AO103" s="20">
        <f t="shared" si="144"/>
        <v>44104</v>
      </c>
      <c r="AP103" s="300">
        <f t="shared" si="223"/>
        <v>-2.1487056600315002</v>
      </c>
      <c r="AQ103" s="126">
        <f t="shared" ref="AQ103:AQ106" si="245">AQ102*AP103/100+AQ102</f>
        <v>1587834.9020237937</v>
      </c>
      <c r="AR103" s="6"/>
      <c r="AS103" s="49">
        <f>(AQ103/AQ100-1)*100</f>
        <v>5.147274809689506</v>
      </c>
      <c r="AT103" s="39"/>
      <c r="AU103" s="20">
        <f t="shared" si="145"/>
        <v>44104</v>
      </c>
      <c r="AV103" s="27">
        <v>-0.99160838614984825</v>
      </c>
      <c r="AW103" s="126">
        <f t="shared" ref="AW103:AW112" si="246">AW102*AV103/100+AW102</f>
        <v>1316840.0492664545</v>
      </c>
      <c r="AX103" s="6"/>
      <c r="AY103" s="49">
        <f>(AW103/AW100-1)*100</f>
        <v>2.4760557981168052</v>
      </c>
      <c r="BA103" s="79"/>
      <c r="BB103" s="20">
        <f t="shared" si="146"/>
        <v>44104</v>
      </c>
      <c r="BC103" s="300">
        <f t="shared" si="224"/>
        <v>-1.10114646611575</v>
      </c>
      <c r="BD103" s="126">
        <f t="shared" ref="BD103:BD106" si="247">BD102*BC103/100+BD102</f>
        <v>1363552.4293796045</v>
      </c>
      <c r="BE103" s="6"/>
      <c r="BF103" s="49">
        <f>(BD103/BD100-1)*100</f>
        <v>2.8891215885468835</v>
      </c>
      <c r="BG103" s="39"/>
      <c r="BH103" s="20">
        <f t="shared" si="147"/>
        <v>44104</v>
      </c>
      <c r="BI103" s="27">
        <v>-0.78159611281425434</v>
      </c>
      <c r="BJ103" s="126">
        <f t="shared" si="138"/>
        <v>1054654.3174544377</v>
      </c>
      <c r="BK103" s="6"/>
      <c r="BL103" s="49">
        <f>(BJ103/BJ100-1)*100</f>
        <v>1.694001180701088</v>
      </c>
      <c r="BN103" s="79"/>
      <c r="BO103" s="20">
        <f t="shared" si="148"/>
        <v>44104</v>
      </c>
      <c r="BP103" s="300">
        <f t="shared" si="235"/>
        <v>-0.57736686915787505</v>
      </c>
      <c r="BQ103" s="126">
        <f t="shared" si="55"/>
        <v>1070828.0078099403</v>
      </c>
      <c r="BR103" s="6"/>
      <c r="BS103" s="49">
        <f>(BQ103/BQ100-1)*100</f>
        <v>1.7509470035923513</v>
      </c>
      <c r="BV103" s="39"/>
      <c r="BW103" s="20">
        <f t="shared" si="149"/>
        <v>44104</v>
      </c>
      <c r="BX103" s="27">
        <v>-1.310940954547148</v>
      </c>
      <c r="BY103" s="126">
        <f t="shared" ref="BY103:BY112" si="248">BY102*BX103/100+BY102</f>
        <v>1562341.4223948696</v>
      </c>
      <c r="BZ103" s="6"/>
      <c r="CA103" s="49">
        <f t="shared" ref="CA103" si="249">(BY103/BY100-1)*100</f>
        <v>2.9197070663017799</v>
      </c>
      <c r="CC103" s="79"/>
      <c r="CD103" s="20">
        <f t="shared" si="150"/>
        <v>44104</v>
      </c>
      <c r="CE103" s="300">
        <f t="shared" si="225"/>
        <v>-1.6249260630736249</v>
      </c>
      <c r="CF103" s="126">
        <f t="shared" ref="CF103:CF106" si="250">CF102*CE103/100+CF102</f>
        <v>1497694.9596076955</v>
      </c>
      <c r="CG103" s="6"/>
      <c r="CH103" s="49">
        <f>(CF103/CF100-1)*100</f>
        <v>4.0212933160313158</v>
      </c>
      <c r="CI103" s="39"/>
    </row>
    <row r="104" spans="1:87" x14ac:dyDescent="0.25">
      <c r="A104" s="20">
        <v>44135</v>
      </c>
      <c r="B104" s="24">
        <f t="shared" si="241"/>
        <v>89</v>
      </c>
      <c r="C104" s="297">
        <f>'LC (Gross)'!K266</f>
        <v>-2.6593810000000002</v>
      </c>
      <c r="D104" s="297">
        <v>-3.9865941988786591</v>
      </c>
      <c r="E104" s="297">
        <v>-0.44652439999999999</v>
      </c>
      <c r="F104" s="297">
        <v>0</v>
      </c>
      <c r="G104" s="39"/>
      <c r="H104" s="20">
        <f t="shared" si="188"/>
        <v>44135</v>
      </c>
      <c r="I104" s="27">
        <v>-1.2736295154970296</v>
      </c>
      <c r="J104" s="126">
        <f t="shared" si="211"/>
        <v>1810086.7739870402</v>
      </c>
      <c r="K104" s="8"/>
      <c r="M104" s="17"/>
      <c r="N104" s="79"/>
      <c r="O104" s="20">
        <f t="shared" si="189"/>
        <v>44135</v>
      </c>
      <c r="P104" s="300">
        <f t="shared" si="221"/>
        <v>-2.8663271669802173</v>
      </c>
      <c r="Q104" s="126">
        <f t="shared" si="236"/>
        <v>1700202.4796192513</v>
      </c>
      <c r="R104" s="8"/>
      <c r="T104" s="39"/>
      <c r="U104" s="20">
        <f t="shared" si="190"/>
        <v>44135</v>
      </c>
      <c r="V104" s="27">
        <v>-1.3687918844448694</v>
      </c>
      <c r="W104" s="126">
        <f t="shared" si="242"/>
        <v>1744182.6654401966</v>
      </c>
      <c r="X104" s="8"/>
      <c r="AA104" s="79"/>
      <c r="AB104" s="20">
        <f t="shared" si="191"/>
        <v>44135</v>
      </c>
      <c r="AC104" s="300">
        <f>64%*$C104+16%*$D104+18%*$E104+2%*$F104</f>
        <v>-2.4202333038205857</v>
      </c>
      <c r="AD104" s="126">
        <f t="shared" si="243"/>
        <v>1609880.4044103902</v>
      </c>
      <c r="AG104" s="44"/>
      <c r="AH104" s="20">
        <f t="shared" si="183"/>
        <v>44135</v>
      </c>
      <c r="AI104" s="27">
        <v>-1.2453578183600034</v>
      </c>
      <c r="AJ104" s="126">
        <f t="shared" si="244"/>
        <v>1618417.6406885544</v>
      </c>
      <c r="AN104" s="79"/>
      <c r="AO104" s="20">
        <f t="shared" si="144"/>
        <v>44135</v>
      </c>
      <c r="AP104" s="300">
        <f>48%*$C104+12%*$D104+38%*$E104+2%*$F104</f>
        <v>-1.924573455865439</v>
      </c>
      <c r="AQ104" s="126">
        <f t="shared" si="245"/>
        <v>1557275.8529764768</v>
      </c>
      <c r="AT104" s="39"/>
      <c r="AU104" s="20">
        <f t="shared" si="145"/>
        <v>44135</v>
      </c>
      <c r="AV104" s="27">
        <v>-0.68989112227448679</v>
      </c>
      <c r="AW104" s="126">
        <f t="shared" si="246"/>
        <v>1307755.2866720103</v>
      </c>
      <c r="BA104" s="79"/>
      <c r="BB104" s="20">
        <f t="shared" si="146"/>
        <v>44135</v>
      </c>
      <c r="BC104" s="300">
        <f>24%*$C104+6%*$D104+68%*$E104+2%*$F104</f>
        <v>-1.1810836839327195</v>
      </c>
      <c r="BD104" s="126">
        <f t="shared" si="247"/>
        <v>1347447.7341143338</v>
      </c>
      <c r="BG104" s="39"/>
      <c r="BH104" s="20">
        <f t="shared" si="147"/>
        <v>44135</v>
      </c>
      <c r="BI104" s="27">
        <v>-0.81027875990577269</v>
      </c>
      <c r="BJ104" s="126">
        <f t="shared" si="138"/>
        <v>1046108.6775296752</v>
      </c>
      <c r="BN104" s="79"/>
      <c r="BO104" s="20">
        <f t="shared" si="148"/>
        <v>44135</v>
      </c>
      <c r="BP104" s="300">
        <f t="shared" si="235"/>
        <v>-0.80933879796635977</v>
      </c>
      <c r="BQ104" s="126">
        <f t="shared" si="55"/>
        <v>1062161.3812832441</v>
      </c>
      <c r="BV104" s="39"/>
      <c r="BW104" s="20">
        <f t="shared" si="149"/>
        <v>44135</v>
      </c>
      <c r="BX104" s="27">
        <v>-0.79768879913456692</v>
      </c>
      <c r="BY104" s="126">
        <f t="shared" si="248"/>
        <v>1549878.799864186</v>
      </c>
      <c r="CC104" s="79"/>
      <c r="CD104" s="20">
        <f t="shared" si="150"/>
        <v>44135</v>
      </c>
      <c r="CE104" s="300">
        <f>36%*$C104+9%*$D104+53%*$E104+2%*$F104</f>
        <v>-1.5528285698990794</v>
      </c>
      <c r="CF104" s="126">
        <f t="shared" si="250"/>
        <v>1474438.3243849687</v>
      </c>
      <c r="CI104" s="39"/>
    </row>
    <row r="105" spans="1:87" x14ac:dyDescent="0.25">
      <c r="A105" s="20">
        <v>44165</v>
      </c>
      <c r="B105" s="24">
        <f t="shared" si="241"/>
        <v>90</v>
      </c>
      <c r="C105" s="297">
        <f>'LC (Gross)'!K267</f>
        <v>10.94619</v>
      </c>
      <c r="D105" s="297">
        <v>15.510791953176128</v>
      </c>
      <c r="E105" s="297">
        <v>0.98117960000000004</v>
      </c>
      <c r="F105" s="297">
        <v>0</v>
      </c>
      <c r="G105" s="39"/>
      <c r="H105" s="20">
        <f t="shared" si="188"/>
        <v>44165</v>
      </c>
      <c r="I105" s="27">
        <v>6.1512920550431067</v>
      </c>
      <c r="J105" s="126">
        <f t="shared" si="211"/>
        <v>1921430.4979046909</v>
      </c>
      <c r="K105" s="8"/>
      <c r="L105" s="49"/>
      <c r="M105" s="17"/>
      <c r="N105" s="79"/>
      <c r="O105" s="20">
        <f t="shared" si="189"/>
        <v>44165</v>
      </c>
      <c r="P105" s="300">
        <f t="shared" si="221"/>
        <v>11.621928182822522</v>
      </c>
      <c r="Q105" s="126">
        <f t="shared" si="236"/>
        <v>1897798.7907631684</v>
      </c>
      <c r="R105" s="8"/>
      <c r="S105" s="5"/>
      <c r="T105" s="39"/>
      <c r="U105" s="20">
        <f t="shared" si="190"/>
        <v>44165</v>
      </c>
      <c r="V105" s="27">
        <v>5.4271919479631903</v>
      </c>
      <c r="W105" s="126">
        <f t="shared" si="242"/>
        <v>1838842.8066167368</v>
      </c>
      <c r="X105" s="8"/>
      <c r="Y105" s="5"/>
      <c r="Z105" s="5"/>
      <c r="AA105" s="79"/>
      <c r="AB105" s="20">
        <f t="shared" si="191"/>
        <v>44165</v>
      </c>
      <c r="AC105" s="300">
        <f t="shared" si="222"/>
        <v>9.6639006405081798</v>
      </c>
      <c r="AD105" s="126">
        <f t="shared" si="243"/>
        <v>1765457.6471236215</v>
      </c>
      <c r="AG105" s="44"/>
      <c r="AH105" s="20">
        <f t="shared" si="183"/>
        <v>44165</v>
      </c>
      <c r="AI105" s="27">
        <v>4.8919051311126216</v>
      </c>
      <c r="AJ105" s="126">
        <f t="shared" si="244"/>
        <v>1697589.0962962296</v>
      </c>
      <c r="AM105" s="5"/>
      <c r="AN105" s="79"/>
      <c r="AO105" s="20">
        <f t="shared" si="144"/>
        <v>44165</v>
      </c>
      <c r="AP105" s="300">
        <f t="shared" si="223"/>
        <v>7.4883144823811358</v>
      </c>
      <c r="AQ105" s="126">
        <f t="shared" si="245"/>
        <v>1673889.5662055386</v>
      </c>
      <c r="AT105" s="39"/>
      <c r="AU105" s="20">
        <f t="shared" si="145"/>
        <v>44165</v>
      </c>
      <c r="AV105" s="27">
        <v>2.7340926647069708</v>
      </c>
      <c r="AW105" s="126">
        <f t="shared" si="246"/>
        <v>1343510.5280372275</v>
      </c>
      <c r="AZ105" s="5"/>
      <c r="BA105" s="79"/>
      <c r="BB105" s="20">
        <f t="shared" si="146"/>
        <v>44165</v>
      </c>
      <c r="BC105" s="300">
        <f t="shared" si="224"/>
        <v>4.2249352451905677</v>
      </c>
      <c r="BD105" s="126">
        <f t="shared" si="247"/>
        <v>1404376.5283434519</v>
      </c>
      <c r="BG105" s="39"/>
      <c r="BH105" s="20">
        <f t="shared" si="147"/>
        <v>44165</v>
      </c>
      <c r="BI105" s="27">
        <v>2.7091500700227429</v>
      </c>
      <c r="BJ105" s="126">
        <f t="shared" si="138"/>
        <v>1074449.3314994844</v>
      </c>
      <c r="BN105" s="79"/>
      <c r="BO105" s="20">
        <f t="shared" si="148"/>
        <v>44165</v>
      </c>
      <c r="BP105" s="300">
        <f t="shared" si="235"/>
        <v>2.5932456265952837</v>
      </c>
      <c r="BQ105" s="126">
        <f t="shared" si="55"/>
        <v>1089705.834850756</v>
      </c>
      <c r="BV105" s="39"/>
      <c r="BW105" s="20">
        <f t="shared" si="149"/>
        <v>44165</v>
      </c>
      <c r="BX105" s="27">
        <v>3.5286446796088056</v>
      </c>
      <c r="BY105" s="126">
        <f t="shared" si="248"/>
        <v>1604568.5156759783</v>
      </c>
      <c r="CB105" s="5"/>
      <c r="CC105" s="79"/>
      <c r="CD105" s="20">
        <f t="shared" si="150"/>
        <v>44165</v>
      </c>
      <c r="CE105" s="300">
        <f t="shared" si="225"/>
        <v>5.8566248637858509</v>
      </c>
      <c r="CF105" s="126">
        <f t="shared" si="250"/>
        <v>1560790.6458920862</v>
      </c>
      <c r="CI105" s="39"/>
    </row>
    <row r="106" spans="1:87" x14ac:dyDescent="0.25">
      <c r="A106" s="20">
        <v>44196</v>
      </c>
      <c r="B106" s="24">
        <f t="shared" si="241"/>
        <v>91</v>
      </c>
      <c r="C106" s="297">
        <f>'LC (Gross)'!K268</f>
        <v>3.8413089999999999</v>
      </c>
      <c r="D106" s="297">
        <v>4.6788981604304611</v>
      </c>
      <c r="E106" s="297">
        <v>0.13773009999999999</v>
      </c>
      <c r="F106" s="297">
        <v>0</v>
      </c>
      <c r="G106" s="39"/>
      <c r="H106" s="20">
        <f t="shared" si="188"/>
        <v>44196</v>
      </c>
      <c r="I106" s="27">
        <v>4.0556504132263891</v>
      </c>
      <c r="J106" s="126">
        <f t="shared" si="211"/>
        <v>1999357.0018328205</v>
      </c>
      <c r="K106" s="6">
        <f>(J106-J$94)/J$94*100</f>
        <v>4.0335150858009863</v>
      </c>
      <c r="L106" s="49">
        <f>(J106/J103-1)*100</f>
        <v>9.0496118365347442</v>
      </c>
      <c r="M106" s="16">
        <f>STDEVP(I71:I106)*SQRT(12)</f>
        <v>16.226330066364834</v>
      </c>
      <c r="N106" s="79"/>
      <c r="O106" s="20">
        <f t="shared" si="189"/>
        <v>44196</v>
      </c>
      <c r="P106" s="300">
        <f t="shared" si="221"/>
        <v>3.9286502954443705</v>
      </c>
      <c r="Q106" s="126">
        <f t="shared" si="236"/>
        <v>1972356.6685634253</v>
      </c>
      <c r="R106" s="6">
        <f>(Q106-Q$94)/Q$94*100</f>
        <v>16.106205807032183</v>
      </c>
      <c r="S106" s="49">
        <f>(Q106/Q103-1)*100</f>
        <v>12.682018554147811</v>
      </c>
      <c r="T106" s="39"/>
      <c r="U106" s="20">
        <f t="shared" si="190"/>
        <v>44196</v>
      </c>
      <c r="V106" s="27">
        <v>3.4282650656534206</v>
      </c>
      <c r="W106" s="126">
        <f t="shared" si="242"/>
        <v>1901883.2121682593</v>
      </c>
      <c r="X106" s="6">
        <f>(W106-W$94)/W$94*100</f>
        <v>4.9470214345057828</v>
      </c>
      <c r="Y106" s="49">
        <f>(W106/W103-1)*100</f>
        <v>7.54896412383812</v>
      </c>
      <c r="Z106" s="16">
        <f>STDEVP(V71:V106)*SQRT(12)</f>
        <v>14.257058744123373</v>
      </c>
      <c r="AA106" s="79"/>
      <c r="AB106" s="20">
        <f t="shared" si="191"/>
        <v>44196</v>
      </c>
      <c r="AC106" s="300">
        <f t="shared" si="222"/>
        <v>3.2318528836688736</v>
      </c>
      <c r="AD106" s="126">
        <f t="shared" si="243"/>
        <v>1822514.6410021388</v>
      </c>
      <c r="AE106" s="6">
        <f>(AD106-AD$94)/AD$94*100</f>
        <v>14.934204817669746</v>
      </c>
      <c r="AF106" s="49">
        <f>(AD106/AD103-1)*100</f>
        <v>10.468177003802337</v>
      </c>
      <c r="AG106" s="44"/>
      <c r="AH106" s="20">
        <f t="shared" si="183"/>
        <v>44196</v>
      </c>
      <c r="AI106" s="27">
        <v>2.6273780853935946</v>
      </c>
      <c r="AJ106" s="126">
        <f t="shared" si="244"/>
        <v>1742191.1801923478</v>
      </c>
      <c r="AK106" s="6">
        <f>(AJ106-AJ$94)/AJ$94*100</f>
        <v>5.2773360364835815</v>
      </c>
      <c r="AL106" s="49">
        <f>(AJ106/AJ103-1)*100</f>
        <v>6.3072116160981073</v>
      </c>
      <c r="AM106" s="16">
        <f>STDEVP(AI71:AI106)*SQRT(12)</f>
        <v>11.846459059395258</v>
      </c>
      <c r="AN106" s="79"/>
      <c r="AO106" s="20">
        <f t="shared" si="144"/>
        <v>44196</v>
      </c>
      <c r="AP106" s="300">
        <f t="shared" si="223"/>
        <v>2.4576335372516551</v>
      </c>
      <c r="AQ106" s="126">
        <f t="shared" si="245"/>
        <v>1715027.6375611622</v>
      </c>
      <c r="AR106" s="6">
        <f>(AQ106-AQ$94)/AQ$94*100</f>
        <v>13.389199046050059</v>
      </c>
      <c r="AS106" s="49">
        <f>(AQ106/AQ103-1)*100</f>
        <v>8.010450921267287</v>
      </c>
      <c r="AT106" s="39"/>
      <c r="AU106" s="20">
        <f t="shared" si="145"/>
        <v>44196</v>
      </c>
      <c r="AV106" s="27">
        <v>1.5209003656782052</v>
      </c>
      <c r="AW106" s="126">
        <f t="shared" si="246"/>
        <v>1363943.9845710709</v>
      </c>
      <c r="AX106" s="6">
        <f>(AW106-AW$94)/AW$94*100</f>
        <v>6.0325125200083161</v>
      </c>
      <c r="AY106" s="49">
        <f>(AW106/AW103-1)*100</f>
        <v>3.577043038055816</v>
      </c>
      <c r="AZ106" s="16">
        <f>STDEVP(AV71:AV106)*SQRT(12)</f>
        <v>6.2829397783459155</v>
      </c>
      <c r="BA106" s="79"/>
      <c r="BB106" s="20">
        <f t="shared" si="146"/>
        <v>44196</v>
      </c>
      <c r="BC106" s="300">
        <f t="shared" si="224"/>
        <v>1.2963045176258277</v>
      </c>
      <c r="BD106" s="126">
        <f t="shared" si="247"/>
        <v>1422581.5247248448</v>
      </c>
      <c r="BE106" s="6">
        <f>(BD106-BD$94)/BD$94*100</f>
        <v>10.620501869853014</v>
      </c>
      <c r="BF106" s="49">
        <f>(BD106/BD103-1)*100</f>
        <v>4.329066787119995</v>
      </c>
      <c r="BG106" s="39"/>
      <c r="BH106" s="20">
        <f t="shared" si="147"/>
        <v>44196</v>
      </c>
      <c r="BI106" s="27">
        <v>0.93929869372237174</v>
      </c>
      <c r="BJ106" s="126">
        <f t="shared" si="138"/>
        <v>1084541.6200349678</v>
      </c>
      <c r="BK106" s="6">
        <f>(BJ106-BJ$97)/BJ$97*100</f>
        <v>8.4541620034967782</v>
      </c>
      <c r="BL106" s="49">
        <f>(BJ106/BJ103-1)*100</f>
        <v>2.8338482179324442</v>
      </c>
      <c r="BN106" s="79"/>
      <c r="BO106" s="20">
        <f t="shared" si="148"/>
        <v>44196</v>
      </c>
      <c r="BP106" s="300">
        <f>12%*$C106+3%*$D106+83%*$E106+2%*$F106</f>
        <v>0.71564000781291381</v>
      </c>
      <c r="BQ106" s="126">
        <f t="shared" si="55"/>
        <v>1097504.2057724197</v>
      </c>
      <c r="BR106" s="6">
        <f>(BQ106-BQ$97)/BQ$97*100</f>
        <v>9.7504205772419699</v>
      </c>
      <c r="BS106" s="49">
        <f>(BQ106/BQ103-1)*100</f>
        <v>2.4911748448789295</v>
      </c>
      <c r="BV106" s="39"/>
      <c r="BW106" s="20">
        <f t="shared" si="149"/>
        <v>44196</v>
      </c>
      <c r="BX106" s="27">
        <v>2.0300466785195437</v>
      </c>
      <c r="BY106" s="126">
        <f t="shared" si="248"/>
        <v>1637142.0055330289</v>
      </c>
      <c r="BZ106" s="6">
        <f>(BY106-BY$94)/BY$94*100</f>
        <v>7.5371775262060403</v>
      </c>
      <c r="CA106" s="49">
        <f t="shared" ref="CA106" si="251">(BY106/BY103-1)*100</f>
        <v>4.7877232252793611</v>
      </c>
      <c r="CB106" s="16">
        <f>STDEVP(BX71:BX106)*SQRT(12)</f>
        <v>7.9712788270834718</v>
      </c>
      <c r="CC106" s="79"/>
      <c r="CD106" s="20">
        <f t="shared" si="150"/>
        <v>44196</v>
      </c>
      <c r="CE106" s="300">
        <f t="shared" si="225"/>
        <v>1.8769690274387414</v>
      </c>
      <c r="CF106" s="126">
        <f t="shared" si="250"/>
        <v>1590086.2028986418</v>
      </c>
      <c r="CG106" s="6">
        <f>(CF106-CF$94)/CF$94*100</f>
        <v>12.07028421812784</v>
      </c>
      <c r="CH106" s="49">
        <f>(CF106/CF103-1)*100</f>
        <v>6.1688959222475637</v>
      </c>
      <c r="CI106" s="39"/>
    </row>
    <row r="107" spans="1:87" x14ac:dyDescent="0.25">
      <c r="A107" s="20">
        <v>44227</v>
      </c>
      <c r="B107" s="24">
        <f t="shared" ref="B107:B110" si="252">IF(A107&gt;A106,1+B106,"-")</f>
        <v>92</v>
      </c>
      <c r="C107" s="297">
        <f>'LC (Gross)'!K269</f>
        <v>-1.0177430000000001</v>
      </c>
      <c r="D107" s="297">
        <v>-1.048791</v>
      </c>
      <c r="E107" s="297">
        <v>-0.71696720000000003</v>
      </c>
      <c r="F107" s="297">
        <v>0</v>
      </c>
      <c r="G107" s="39"/>
      <c r="H107" s="20">
        <f t="shared" si="188"/>
        <v>44227</v>
      </c>
      <c r="I107" s="27">
        <v>-0.8675465036448804</v>
      </c>
      <c r="J107" s="126">
        <f t="shared" si="211"/>
        <v>1982011.6500680407</v>
      </c>
      <c r="K107" s="8"/>
      <c r="M107" s="17"/>
      <c r="N107" s="79"/>
      <c r="O107" s="20">
        <f t="shared" si="189"/>
        <v>44227</v>
      </c>
      <c r="P107" s="300">
        <f t="shared" si="221"/>
        <v>-1.0034735480000001</v>
      </c>
      <c r="Q107" s="126">
        <f t="shared" si="236"/>
        <v>1952564.5911221772</v>
      </c>
      <c r="R107" s="8"/>
      <c r="T107" s="39"/>
      <c r="U107" s="20">
        <f t="shared" si="190"/>
        <v>44227</v>
      </c>
      <c r="V107" s="27">
        <v>-1.1050634450938668</v>
      </c>
      <c r="W107" s="126">
        <f t="shared" si="242"/>
        <v>1880866.1960222109</v>
      </c>
      <c r="X107" s="8"/>
      <c r="AA107" s="79"/>
      <c r="AB107" s="20">
        <f t="shared" si="191"/>
        <v>44227</v>
      </c>
      <c r="AC107" s="300">
        <f t="shared" si="222"/>
        <v>-0.94821617600000008</v>
      </c>
      <c r="AD107" s="126">
        <f t="shared" ref="AD107:AD112" si="253">AD106*AC107/100+AD106</f>
        <v>1805233.2623661882</v>
      </c>
      <c r="AG107" s="44"/>
      <c r="AH107" s="20">
        <f t="shared" si="183"/>
        <v>44227</v>
      </c>
      <c r="AI107" s="27">
        <v>-1.042748367916851</v>
      </c>
      <c r="AJ107" s="126">
        <f t="shared" si="244"/>
        <v>1724024.5100949008</v>
      </c>
      <c r="AN107" s="79"/>
      <c r="AO107" s="20">
        <f t="shared" si="144"/>
        <v>44227</v>
      </c>
      <c r="AP107" s="300">
        <f>48%*$C107+12%*$D107+38%*$E107+2%*$F107</f>
        <v>-0.88681909599999997</v>
      </c>
      <c r="AQ107" s="126">
        <f t="shared" ref="AQ107:AQ112" si="254">AQ106*AP107/100+AQ106</f>
        <v>1699818.4449695922</v>
      </c>
      <c r="AT107" s="39"/>
      <c r="AU107" s="20">
        <f t="shared" si="145"/>
        <v>44227</v>
      </c>
      <c r="AV107" s="27">
        <v>-0.84645246039986122</v>
      </c>
      <c r="AW107" s="126">
        <f t="shared" si="246"/>
        <v>1352398.8471551931</v>
      </c>
      <c r="BA107" s="79"/>
      <c r="BB107" s="20">
        <f t="shared" si="146"/>
        <v>44227</v>
      </c>
      <c r="BC107" s="300">
        <f>24%*$C107+6%*$D107+68%*$E107+2%*$F107</f>
        <v>-0.79472347600000015</v>
      </c>
      <c r="BD107" s="126">
        <f t="shared" ref="BD107:BD112" si="255">BD106*BC107/100+BD106</f>
        <v>1411275.9353826176</v>
      </c>
      <c r="BG107" s="39"/>
      <c r="BH107" s="20">
        <f t="shared" si="147"/>
        <v>44227</v>
      </c>
      <c r="BI107" s="27">
        <v>-0.76996980668382398</v>
      </c>
      <c r="BJ107" s="126">
        <f t="shared" si="138"/>
        <v>1076190.9770197789</v>
      </c>
      <c r="BN107" s="79"/>
      <c r="BO107" s="20">
        <f t="shared" si="148"/>
        <v>44227</v>
      </c>
      <c r="BP107" s="300">
        <f t="shared" ref="BP107:BP166" si="256">12%*$C107+3%*$D107+83%*$E107+2%*$F107</f>
        <v>-0.74867566600000002</v>
      </c>
      <c r="BQ107" s="126">
        <f t="shared" si="55"/>
        <v>1089287.458850475</v>
      </c>
      <c r="BV107" s="39"/>
      <c r="BW107" s="20">
        <f t="shared" si="149"/>
        <v>44227</v>
      </c>
      <c r="BX107" s="27">
        <v>-0.94884472757852756</v>
      </c>
      <c r="BY107" s="126">
        <f t="shared" si="248"/>
        <v>1621608.0699305553</v>
      </c>
      <c r="CC107" s="79"/>
      <c r="CD107" s="20">
        <f t="shared" si="150"/>
        <v>44227</v>
      </c>
      <c r="CE107" s="300">
        <f>36%*$C107+9%*$D107+53%*$E107+2%*$F107</f>
        <v>-0.84077128600000006</v>
      </c>
      <c r="CF107" s="126">
        <f t="shared" ref="CF107:CF112" si="257">CF106*CE107/100+CF106</f>
        <v>1576717.2146820223</v>
      </c>
      <c r="CI107" s="39"/>
    </row>
    <row r="108" spans="1:87" x14ac:dyDescent="0.25">
      <c r="A108" s="20">
        <v>44255</v>
      </c>
      <c r="B108" s="24">
        <f t="shared" si="252"/>
        <v>93</v>
      </c>
      <c r="C108" s="297">
        <f>'LC (Gross)'!K270</f>
        <v>2.7575729999999998</v>
      </c>
      <c r="D108" s="297">
        <v>2.2658040000000002</v>
      </c>
      <c r="E108" s="297">
        <v>-1.4438690000000001</v>
      </c>
      <c r="F108" s="297">
        <v>0</v>
      </c>
      <c r="G108" s="39"/>
      <c r="H108" s="20">
        <f t="shared" si="188"/>
        <v>44255</v>
      </c>
      <c r="I108" s="27">
        <v>0.35244790578150248</v>
      </c>
      <c r="J108" s="126">
        <f t="shared" si="211"/>
        <v>1988997.2086210509</v>
      </c>
      <c r="K108" s="8"/>
      <c r="L108" s="49"/>
      <c r="M108" s="17"/>
      <c r="N108" s="79"/>
      <c r="O108" s="20">
        <f t="shared" si="189"/>
        <v>44255</v>
      </c>
      <c r="P108" s="300">
        <f t="shared" si="221"/>
        <v>2.6060348160000002</v>
      </c>
      <c r="Q108" s="126">
        <f t="shared" si="236"/>
        <v>2003449.1041717092</v>
      </c>
      <c r="R108" s="8"/>
      <c r="S108" s="5"/>
      <c r="T108" s="39"/>
      <c r="U108" s="20">
        <f t="shared" si="190"/>
        <v>44255</v>
      </c>
      <c r="V108" s="27">
        <v>-0.26756170755257824</v>
      </c>
      <c r="W108" s="126">
        <f t="shared" si="242"/>
        <v>1875833.7183113545</v>
      </c>
      <c r="X108" s="8"/>
      <c r="Y108" s="5"/>
      <c r="Z108" s="295"/>
      <c r="AA108" s="79"/>
      <c r="AB108" s="20">
        <f t="shared" si="191"/>
        <v>44255</v>
      </c>
      <c r="AC108" s="300">
        <f t="shared" si="222"/>
        <v>1.8674789399999998</v>
      </c>
      <c r="AD108" s="126">
        <f t="shared" si="253"/>
        <v>1838945.6133587516</v>
      </c>
      <c r="AG108" s="44"/>
      <c r="AH108" s="20">
        <f t="shared" si="183"/>
        <v>44255</v>
      </c>
      <c r="AI108" s="27">
        <v>-0.40742551385689146</v>
      </c>
      <c r="AJ108" s="126">
        <f t="shared" si="244"/>
        <v>1717000.3943756279</v>
      </c>
      <c r="AN108" s="79"/>
      <c r="AO108" s="20">
        <f t="shared" si="144"/>
        <v>44255</v>
      </c>
      <c r="AP108" s="300">
        <f t="shared" si="223"/>
        <v>1.0468612999999998</v>
      </c>
      <c r="AQ108" s="126">
        <f t="shared" si="254"/>
        <v>1717613.1864402406</v>
      </c>
      <c r="AT108" s="39"/>
      <c r="AU108" s="20">
        <f t="shared" si="145"/>
        <v>44255</v>
      </c>
      <c r="AV108" s="27">
        <v>-0.60173555825114322</v>
      </c>
      <c r="AW108" s="126">
        <f t="shared" si="246"/>
        <v>1344260.9824024818</v>
      </c>
      <c r="BA108" s="79"/>
      <c r="BB108" s="20">
        <f t="shared" si="146"/>
        <v>44255</v>
      </c>
      <c r="BC108" s="300">
        <f t="shared" si="224"/>
        <v>-0.18406516000000028</v>
      </c>
      <c r="BD108" s="126">
        <f t="shared" si="255"/>
        <v>1408678.2680741141</v>
      </c>
      <c r="BG108" s="39"/>
      <c r="BH108" s="20">
        <f t="shared" si="147"/>
        <v>44255</v>
      </c>
      <c r="BI108" s="27">
        <v>-0.94406623100201736</v>
      </c>
      <c r="BJ108" s="126">
        <f t="shared" si="138"/>
        <v>1066031.0214246444</v>
      </c>
      <c r="BN108" s="79"/>
      <c r="BO108" s="20">
        <f t="shared" si="148"/>
        <v>44255</v>
      </c>
      <c r="BP108" s="300">
        <f t="shared" si="256"/>
        <v>-0.79952839000000009</v>
      </c>
      <c r="BQ108" s="126">
        <f t="shared" si="55"/>
        <v>1080578.296368256</v>
      </c>
      <c r="BV108" s="39"/>
      <c r="BW108" s="20">
        <f t="shared" si="149"/>
        <v>44255</v>
      </c>
      <c r="BX108" s="27">
        <v>-0.6055722852554225</v>
      </c>
      <c r="BY108" s="126">
        <f t="shared" si="248"/>
        <v>1611788.0608835905</v>
      </c>
      <c r="CC108" s="79"/>
      <c r="CD108" s="20">
        <f t="shared" si="150"/>
        <v>44255</v>
      </c>
      <c r="CE108" s="300">
        <f t="shared" si="225"/>
        <v>0.43139806999999974</v>
      </c>
      <c r="CF108" s="126">
        <f t="shared" si="257"/>
        <v>1583519.1423155183</v>
      </c>
      <c r="CI108" s="39"/>
    </row>
    <row r="109" spans="1:87" x14ac:dyDescent="0.25">
      <c r="A109" s="20">
        <v>44286</v>
      </c>
      <c r="B109" s="24">
        <f t="shared" si="252"/>
        <v>94</v>
      </c>
      <c r="C109" s="297">
        <f>'LC (Gross)'!K271</f>
        <v>4.3791500000000001</v>
      </c>
      <c r="D109" s="297">
        <v>2.385764</v>
      </c>
      <c r="E109" s="297">
        <v>-1.2488360000000001</v>
      </c>
      <c r="F109" s="297">
        <v>0</v>
      </c>
      <c r="G109" s="39"/>
      <c r="H109" s="20">
        <f t="shared" si="188"/>
        <v>44286</v>
      </c>
      <c r="I109" s="27">
        <v>2.2128490718694818</v>
      </c>
      <c r="J109" s="126">
        <f t="shared" si="211"/>
        <v>2033010.7148915317</v>
      </c>
      <c r="K109" s="6"/>
      <c r="L109" s="49">
        <f>(J109/J106-1)*100</f>
        <v>1.6832268088120772</v>
      </c>
      <c r="M109" s="17"/>
      <c r="N109" s="79"/>
      <c r="O109" s="20">
        <f t="shared" si="189"/>
        <v>44286</v>
      </c>
      <c r="P109" s="300">
        <f t="shared" si="221"/>
        <v>3.9008633440000002</v>
      </c>
      <c r="Q109" s="126">
        <f t="shared" si="236"/>
        <v>2081600.9158920397</v>
      </c>
      <c r="R109" s="6"/>
      <c r="S109" s="49">
        <f>(Q109/Q106-1)*100</f>
        <v>5.5387673573351615</v>
      </c>
      <c r="T109" s="39"/>
      <c r="U109" s="20">
        <f t="shared" si="190"/>
        <v>44286</v>
      </c>
      <c r="V109" s="27">
        <v>2.1475533369709736</v>
      </c>
      <c r="W109" s="126">
        <f t="shared" si="242"/>
        <v>1916118.2479249767</v>
      </c>
      <c r="X109" s="6"/>
      <c r="Y109" s="49">
        <f>(W109/W106-1)*100</f>
        <v>0.74847055095925707</v>
      </c>
      <c r="AA109" s="79"/>
      <c r="AB109" s="20">
        <f t="shared" si="191"/>
        <v>44286</v>
      </c>
      <c r="AC109" s="300">
        <f t="shared" si="222"/>
        <v>2.9595877599999998</v>
      </c>
      <c r="AD109" s="126">
        <f t="shared" si="253"/>
        <v>1893370.8226447741</v>
      </c>
      <c r="AE109" s="6"/>
      <c r="AF109" s="49">
        <f>(AD109/AD106-1)*100</f>
        <v>3.8878250988246599</v>
      </c>
      <c r="AG109" s="44"/>
      <c r="AH109" s="20">
        <f t="shared" si="183"/>
        <v>44286</v>
      </c>
      <c r="AI109" s="27">
        <v>1.5281274728210017</v>
      </c>
      <c r="AJ109" s="126">
        <f t="shared" si="244"/>
        <v>1743238.3491105267</v>
      </c>
      <c r="AK109" s="6"/>
      <c r="AL109" s="49">
        <f>(AJ109/AJ106-1)*100</f>
        <v>6.010642976985725E-2</v>
      </c>
      <c r="AN109" s="79"/>
      <c r="AO109" s="20">
        <f t="shared" si="144"/>
        <v>44286</v>
      </c>
      <c r="AP109" s="300">
        <f t="shared" si="223"/>
        <v>1.9137260000000003</v>
      </c>
      <c r="AQ109" s="126">
        <f t="shared" si="254"/>
        <v>1750483.5965685761</v>
      </c>
      <c r="AR109" s="6"/>
      <c r="AS109" s="49">
        <f>(AQ109/AQ106-1)*100</f>
        <v>2.067369541509767</v>
      </c>
      <c r="AT109" s="39"/>
      <c r="AU109" s="20">
        <f t="shared" si="145"/>
        <v>44286</v>
      </c>
      <c r="AV109" s="27">
        <v>0.53799815395068618</v>
      </c>
      <c r="AW109" s="126">
        <f t="shared" si="246"/>
        <v>1351493.0816720866</v>
      </c>
      <c r="AX109" s="6"/>
      <c r="AY109" s="49">
        <f>(AW109/AW106-1)*100</f>
        <v>-0.91286028164124788</v>
      </c>
      <c r="BA109" s="79"/>
      <c r="BB109" s="20">
        <f t="shared" si="146"/>
        <v>44286</v>
      </c>
      <c r="BC109" s="300">
        <f t="shared" si="224"/>
        <v>0.34493335999999997</v>
      </c>
      <c r="BD109" s="126">
        <f t="shared" si="255"/>
        <v>1413537.2693557721</v>
      </c>
      <c r="BE109" s="6"/>
      <c r="BF109" s="49">
        <f>(BD109/BD106-1)*100</f>
        <v>-0.63576358977542879</v>
      </c>
      <c r="BG109" s="39"/>
      <c r="BH109" s="20">
        <f t="shared" si="147"/>
        <v>44286</v>
      </c>
      <c r="BI109" s="27">
        <v>0.22120615741391991</v>
      </c>
      <c r="BJ109" s="126">
        <f t="shared" si="138"/>
        <v>1068389.1476839783</v>
      </c>
      <c r="BK109" s="6"/>
      <c r="BL109" s="49">
        <f>(BJ109/BJ106-1)*100</f>
        <v>-1.489336329063029</v>
      </c>
      <c r="BN109" s="79"/>
      <c r="BO109" s="20">
        <f t="shared" si="148"/>
        <v>44286</v>
      </c>
      <c r="BP109" s="300">
        <f t="shared" si="256"/>
        <v>-0.43946295999999985</v>
      </c>
      <c r="BQ109" s="126">
        <f t="shared" si="55"/>
        <v>1075829.5550019185</v>
      </c>
      <c r="BR109" s="6"/>
      <c r="BS109" s="49">
        <f>(BQ109/BQ106-1)*100</f>
        <v>-1.9749036638312178</v>
      </c>
      <c r="BV109" s="39"/>
      <c r="BW109" s="20">
        <f t="shared" si="149"/>
        <v>44286</v>
      </c>
      <c r="BX109" s="27">
        <v>0.99030830361038802</v>
      </c>
      <c r="BY109" s="126">
        <f t="shared" si="248"/>
        <v>1627749.7318871215</v>
      </c>
      <c r="BZ109" s="6"/>
      <c r="CA109" s="49">
        <f>(BY109/BY106-1)*100</f>
        <v>-0.57369938674619592</v>
      </c>
      <c r="CC109" s="79"/>
      <c r="CD109" s="20">
        <f t="shared" si="150"/>
        <v>44286</v>
      </c>
      <c r="CE109" s="300">
        <f t="shared" si="225"/>
        <v>1.1293296800000001</v>
      </c>
      <c r="CF109" s="126">
        <f t="shared" si="257"/>
        <v>1601402.2939781689</v>
      </c>
      <c r="CG109" s="6"/>
      <c r="CH109" s="49">
        <f>(CF109/CF106-1)*100</f>
        <v>0.71166525807835335</v>
      </c>
      <c r="CI109" s="39"/>
    </row>
    <row r="110" spans="1:87" x14ac:dyDescent="0.25">
      <c r="A110" s="20">
        <v>44316</v>
      </c>
      <c r="B110" s="24">
        <f t="shared" si="252"/>
        <v>95</v>
      </c>
      <c r="C110" s="297">
        <f>'LC (Gross)'!K272</f>
        <v>5.3368120000000001</v>
      </c>
      <c r="D110" s="297">
        <v>3.0761560000000001</v>
      </c>
      <c r="E110" s="297">
        <v>0.79001449999999995</v>
      </c>
      <c r="F110" s="297">
        <v>0</v>
      </c>
      <c r="G110" s="39"/>
      <c r="H110" s="20">
        <f>$A110</f>
        <v>44316</v>
      </c>
      <c r="I110" s="27">
        <v>3.3887268159453039</v>
      </c>
      <c r="J110" s="126">
        <f t="shared" si="211"/>
        <v>2101903.8941581026</v>
      </c>
      <c r="K110" s="6"/>
      <c r="L110" s="49"/>
      <c r="M110" s="17"/>
      <c r="N110" s="79"/>
      <c r="O110" s="20">
        <f t="shared" si="189"/>
        <v>44316</v>
      </c>
      <c r="P110" s="300">
        <f t="shared" si="221"/>
        <v>4.786987184</v>
      </c>
      <c r="Q110" s="126">
        <f t="shared" si="236"/>
        <v>2181246.8849578183</v>
      </c>
      <c r="R110" s="8"/>
      <c r="T110" s="39"/>
      <c r="U110" s="20">
        <f t="shared" si="190"/>
        <v>44316</v>
      </c>
      <c r="V110" s="27">
        <v>3.3730057148535746</v>
      </c>
      <c r="W110" s="126">
        <f t="shared" si="242"/>
        <v>1980749.0259308384</v>
      </c>
      <c r="X110" s="8"/>
      <c r="AA110" s="79"/>
      <c r="AB110" s="20">
        <f t="shared" si="191"/>
        <v>44316</v>
      </c>
      <c r="AC110" s="300">
        <f t="shared" si="222"/>
        <v>4.0499472499999998</v>
      </c>
      <c r="AD110" s="126">
        <f t="shared" si="253"/>
        <v>1970051.3422087785</v>
      </c>
      <c r="AG110" s="44"/>
      <c r="AH110" s="20">
        <f t="shared" si="183"/>
        <v>44316</v>
      </c>
      <c r="AI110" s="27">
        <v>2.8411386165963193</v>
      </c>
      <c r="AJ110" s="126">
        <f t="shared" si="244"/>
        <v>1792766.167026422</v>
      </c>
      <c r="AN110" s="79"/>
      <c r="AO110" s="20">
        <f t="shared" si="144"/>
        <v>44316</v>
      </c>
      <c r="AP110" s="300">
        <f t="shared" si="223"/>
        <v>3.2310139900000001</v>
      </c>
      <c r="AQ110" s="126">
        <f t="shared" si="254"/>
        <v>1807041.9664663619</v>
      </c>
      <c r="AT110" s="39"/>
      <c r="AU110" s="20">
        <f t="shared" si="145"/>
        <v>44316</v>
      </c>
      <c r="AV110" s="27">
        <v>1.9513389595978738</v>
      </c>
      <c r="AW110" s="126">
        <f t="shared" si="246"/>
        <v>1377865.2927110239</v>
      </c>
      <c r="BA110" s="79"/>
      <c r="BB110" s="20">
        <f t="shared" si="146"/>
        <v>44316</v>
      </c>
      <c r="BC110" s="300">
        <f t="shared" si="224"/>
        <v>2.0026141000000002</v>
      </c>
      <c r="BD110" s="126">
        <f t="shared" si="255"/>
        <v>1441844.9660206458</v>
      </c>
      <c r="BG110" s="39"/>
      <c r="BH110" s="20">
        <f t="shared" si="147"/>
        <v>44316</v>
      </c>
      <c r="BI110" s="27">
        <v>1.6416452720085839</v>
      </c>
      <c r="BJ110" s="126">
        <f t="shared" si="138"/>
        <v>1085928.3076135851</v>
      </c>
      <c r="BK110" s="6"/>
      <c r="BN110" s="79"/>
      <c r="BO110" s="20">
        <f t="shared" si="148"/>
        <v>44316</v>
      </c>
      <c r="BP110" s="300">
        <f t="shared" si="256"/>
        <v>1.388414155</v>
      </c>
      <c r="BQ110" s="126">
        <f t="shared" si="55"/>
        <v>1090766.5248272386</v>
      </c>
      <c r="BV110" s="39"/>
      <c r="BW110" s="20">
        <f t="shared" si="149"/>
        <v>44316</v>
      </c>
      <c r="BX110" s="27">
        <v>2.4032484460512071</v>
      </c>
      <c r="BY110" s="126">
        <f t="shared" si="248"/>
        <v>1666868.6020243014</v>
      </c>
      <c r="CC110" s="79"/>
      <c r="CD110" s="20">
        <f t="shared" si="150"/>
        <v>44316</v>
      </c>
      <c r="CE110" s="300">
        <f t="shared" si="225"/>
        <v>2.6168140449999999</v>
      </c>
      <c r="CF110" s="126">
        <f t="shared" si="257"/>
        <v>1643308.0141239418</v>
      </c>
      <c r="CI110" s="39"/>
    </row>
    <row r="111" spans="1:87" x14ac:dyDescent="0.25">
      <c r="A111" s="20">
        <v>44347</v>
      </c>
      <c r="B111" s="24">
        <f t="shared" ref="B111:B114" si="258">IF(A111&gt;A110,1+B110,"-")</f>
        <v>96</v>
      </c>
      <c r="C111" s="297">
        <f>'LC (Gross)'!K273</f>
        <v>0.69815649999999996</v>
      </c>
      <c r="D111" s="297">
        <v>3.3360400000000001</v>
      </c>
      <c r="E111" s="297">
        <v>0.32666410000000001</v>
      </c>
      <c r="F111" s="297">
        <v>0</v>
      </c>
      <c r="G111" s="39"/>
      <c r="H111" s="20">
        <f t="shared" ref="H111:H166" si="259">$A111</f>
        <v>44347</v>
      </c>
      <c r="I111" s="27">
        <v>0.66930012537265182</v>
      </c>
      <c r="J111" s="126">
        <f t="shared" si="211"/>
        <v>2115971.9395569153</v>
      </c>
      <c r="K111" s="37"/>
      <c r="L111" s="49"/>
      <c r="M111" s="17"/>
      <c r="N111" s="79"/>
      <c r="O111" s="20">
        <f t="shared" si="189"/>
        <v>44347</v>
      </c>
      <c r="P111" s="300">
        <f t="shared" si="221"/>
        <v>1.2012185360000001</v>
      </c>
      <c r="Q111" s="126">
        <f t="shared" si="236"/>
        <v>2207448.4268558542</v>
      </c>
      <c r="R111" s="11"/>
      <c r="S111" s="5"/>
      <c r="T111" s="39"/>
      <c r="U111" s="20">
        <f t="shared" si="190"/>
        <v>44347</v>
      </c>
      <c r="V111" s="27">
        <v>0.5087450734875858</v>
      </c>
      <c r="W111" s="126">
        <f t="shared" si="242"/>
        <v>1990825.9890184149</v>
      </c>
      <c r="X111" s="11"/>
      <c r="Y111" s="5"/>
      <c r="Z111" s="5"/>
      <c r="AA111" s="79"/>
      <c r="AB111" s="20">
        <f t="shared" si="191"/>
        <v>44347</v>
      </c>
      <c r="AC111" s="300">
        <f t="shared" si="222"/>
        <v>1.039386098</v>
      </c>
      <c r="AD111" s="126">
        <f t="shared" si="253"/>
        <v>1990527.781983159</v>
      </c>
      <c r="AG111" s="44"/>
      <c r="AH111" s="20">
        <f t="shared" si="183"/>
        <v>44347</v>
      </c>
      <c r="AI111" s="27">
        <v>0.43244532564303595</v>
      </c>
      <c r="AJ111" s="126">
        <f t="shared" si="244"/>
        <v>1800518.9005154376</v>
      </c>
      <c r="AN111" s="79"/>
      <c r="AO111" s="20">
        <f t="shared" si="144"/>
        <v>44347</v>
      </c>
      <c r="AP111" s="300">
        <f t="shared" si="223"/>
        <v>0.85957227799999991</v>
      </c>
      <c r="AQ111" s="126">
        <f t="shared" si="254"/>
        <v>1822574.7982619328</v>
      </c>
      <c r="AT111" s="39"/>
      <c r="AU111" s="20">
        <f t="shared" si="145"/>
        <v>44347</v>
      </c>
      <c r="AV111" s="27">
        <v>0.29590897447801501</v>
      </c>
      <c r="AW111" s="126">
        <f t="shared" si="246"/>
        <v>1381942.5197683736</v>
      </c>
      <c r="BA111" s="79"/>
      <c r="BB111" s="20">
        <f t="shared" si="146"/>
        <v>44347</v>
      </c>
      <c r="BC111" s="300">
        <f t="shared" si="224"/>
        <v>0.58985154799999995</v>
      </c>
      <c r="BD111" s="126">
        <f t="shared" si="255"/>
        <v>1450349.7108724786</v>
      </c>
      <c r="BG111" s="39"/>
      <c r="BH111" s="20">
        <f t="shared" si="147"/>
        <v>44347</v>
      </c>
      <c r="BI111" s="27">
        <v>0.26545243613306491</v>
      </c>
      <c r="BJ111" s="126">
        <f t="shared" si="138"/>
        <v>1088810.9307608039</v>
      </c>
      <c r="BN111" s="79"/>
      <c r="BO111" s="20">
        <f t="shared" si="148"/>
        <v>44347</v>
      </c>
      <c r="BP111" s="300">
        <f t="shared" si="256"/>
        <v>0.45499118299999997</v>
      </c>
      <c r="BQ111" s="126">
        <f t="shared" si="55"/>
        <v>1095729.4163423181</v>
      </c>
      <c r="BV111" s="39"/>
      <c r="BW111" s="20">
        <f t="shared" si="149"/>
        <v>44347</v>
      </c>
      <c r="BX111" s="27">
        <v>0.33642798867322349</v>
      </c>
      <c r="BY111" s="126">
        <f t="shared" si="248"/>
        <v>1672476.4145359173</v>
      </c>
      <c r="CC111" s="79"/>
      <c r="CD111" s="20">
        <f t="shared" si="150"/>
        <v>44347</v>
      </c>
      <c r="CE111" s="300">
        <f t="shared" si="225"/>
        <v>0.72471191300000004</v>
      </c>
      <c r="CF111" s="126">
        <f t="shared" si="257"/>
        <v>1655217.2630695817</v>
      </c>
      <c r="CI111" s="39"/>
    </row>
    <row r="112" spans="1:87" x14ac:dyDescent="0.25">
      <c r="A112" s="20">
        <v>44377</v>
      </c>
      <c r="B112" s="24">
        <f t="shared" si="258"/>
        <v>97</v>
      </c>
      <c r="C112" s="297">
        <f>'LC (Gross)'!K274</f>
        <v>2.3341850000000002</v>
      </c>
      <c r="D112" s="297">
        <v>-1.089275</v>
      </c>
      <c r="E112" s="297">
        <v>0.70254399999999995</v>
      </c>
      <c r="F112" s="297">
        <v>0</v>
      </c>
      <c r="G112" s="39"/>
      <c r="H112" s="20">
        <f t="shared" si="259"/>
        <v>44377</v>
      </c>
      <c r="I112" s="27">
        <v>1.9035309405321961</v>
      </c>
      <c r="J112" s="126">
        <f t="shared" si="211"/>
        <v>2156250.1201193603</v>
      </c>
      <c r="K112" s="6"/>
      <c r="L112" s="49">
        <f>(J112/J109-1)*100</f>
        <v>6.0619161682285538</v>
      </c>
      <c r="M112" s="17"/>
      <c r="N112" s="79"/>
      <c r="O112" s="20">
        <f t="shared" si="189"/>
        <v>44377</v>
      </c>
      <c r="P112" s="300">
        <f t="shared" si="221"/>
        <v>1.6165031400000003</v>
      </c>
      <c r="Q112" s="126">
        <f t="shared" si="236"/>
        <v>2243131.8999898597</v>
      </c>
      <c r="R112" s="6"/>
      <c r="S112" s="49">
        <f>(Q112/Q109-1)*100</f>
        <v>7.75994009536638</v>
      </c>
      <c r="T112" s="39"/>
      <c r="U112" s="20">
        <f t="shared" si="190"/>
        <v>44377</v>
      </c>
      <c r="V112" s="27">
        <v>1.8236711017940159</v>
      </c>
      <c r="W112" s="126">
        <f t="shared" si="242"/>
        <v>2027132.1072671486</v>
      </c>
      <c r="X112" s="6"/>
      <c r="Y112" s="49">
        <f>(W112/W109-1)*100</f>
        <v>5.7936851998769967</v>
      </c>
      <c r="AA112" s="79"/>
      <c r="AB112" s="20">
        <f t="shared" si="191"/>
        <v>44377</v>
      </c>
      <c r="AC112" s="300">
        <f t="shared" si="222"/>
        <v>1.4460523200000002</v>
      </c>
      <c r="AD112" s="126">
        <f t="shared" si="253"/>
        <v>2019311.8551547711</v>
      </c>
      <c r="AE112" s="6"/>
      <c r="AF112" s="49">
        <f>(AD112/AD109-1)*100</f>
        <v>6.6516833894205263</v>
      </c>
      <c r="AG112" s="44"/>
      <c r="AH112" s="20">
        <f t="shared" si="183"/>
        <v>44377</v>
      </c>
      <c r="AI112" s="27">
        <v>1.6831487965840135</v>
      </c>
      <c r="AJ112" s="126">
        <f t="shared" si="244"/>
        <v>1830824.3127217309</v>
      </c>
      <c r="AK112" s="6"/>
      <c r="AL112" s="49">
        <f>(AJ112/AJ109-1)*100</f>
        <v>5.0243251966028746</v>
      </c>
      <c r="AN112" s="79"/>
      <c r="AO112" s="20">
        <f t="shared" si="144"/>
        <v>44377</v>
      </c>
      <c r="AP112" s="300">
        <f t="shared" si="223"/>
        <v>1.2566625200000001</v>
      </c>
      <c r="AQ112" s="126">
        <f t="shared" si="254"/>
        <v>1845478.4126506562</v>
      </c>
      <c r="AR112" s="6"/>
      <c r="AS112" s="49">
        <f>(AQ112/AQ109-1)*100</f>
        <v>5.426775564666575</v>
      </c>
      <c r="AT112" s="39"/>
      <c r="AU112" s="20">
        <f t="shared" si="145"/>
        <v>44377</v>
      </c>
      <c r="AV112" s="27">
        <v>1.46422836505872</v>
      </c>
      <c r="AW112" s="126">
        <f t="shared" si="246"/>
        <v>1402177.3141316294</v>
      </c>
      <c r="AX112" s="6"/>
      <c r="AY112" s="49">
        <f>(AW112/AW109-1)*100</f>
        <v>3.7502398752079058</v>
      </c>
      <c r="BA112" s="79"/>
      <c r="BB112" s="20">
        <f t="shared" si="146"/>
        <v>44377</v>
      </c>
      <c r="BC112" s="300">
        <f t="shared" si="224"/>
        <v>0.97257782000000004</v>
      </c>
      <c r="BD112" s="126">
        <f t="shared" si="255"/>
        <v>1464455.4904728583</v>
      </c>
      <c r="BE112" s="6"/>
      <c r="BF112" s="49">
        <f>(BD112/BD109-1)*100</f>
        <v>3.6021845494241811</v>
      </c>
      <c r="BG112" s="39"/>
      <c r="BH112" s="20">
        <f t="shared" si="147"/>
        <v>44377</v>
      </c>
      <c r="BI112" s="27">
        <v>1.2991502985634957</v>
      </c>
      <c r="BJ112" s="126">
        <f t="shared" si="138"/>
        <v>1102956.2212185748</v>
      </c>
      <c r="BK112" s="6"/>
      <c r="BL112" s="49">
        <f>(BJ112/BJ109-1)*100</f>
        <v>3.2354384738491504</v>
      </c>
      <c r="BN112" s="79"/>
      <c r="BO112" s="20">
        <f t="shared" si="148"/>
        <v>44377</v>
      </c>
      <c r="BP112" s="300">
        <f t="shared" si="256"/>
        <v>0.83053546999999994</v>
      </c>
      <c r="BQ112" s="126">
        <f t="shared" si="55"/>
        <v>1104829.8378002651</v>
      </c>
      <c r="BR112" s="6"/>
      <c r="BS112" s="49">
        <f>(BQ112/BQ109-1)*100</f>
        <v>2.6956205714477655</v>
      </c>
      <c r="BV112" s="39"/>
      <c r="BW112" s="20">
        <f t="shared" si="149"/>
        <v>44377</v>
      </c>
      <c r="BX112" s="27">
        <v>1.6279941360417722</v>
      </c>
      <c r="BY112" s="126">
        <f t="shared" si="248"/>
        <v>1699704.2324912439</v>
      </c>
      <c r="BZ112" s="6"/>
      <c r="CA112" s="49">
        <f>(BY112/BY109-1)*100</f>
        <v>4.4204891694684889</v>
      </c>
      <c r="CC112" s="79"/>
      <c r="CD112" s="20">
        <f t="shared" si="150"/>
        <v>44377</v>
      </c>
      <c r="CE112" s="300">
        <f t="shared" si="225"/>
        <v>1.11462017</v>
      </c>
      <c r="CF112" s="126">
        <f t="shared" si="257"/>
        <v>1673666.6485410773</v>
      </c>
      <c r="CG112" s="6"/>
      <c r="CH112" s="49">
        <f>(CF112/CF109-1)*100</f>
        <v>4.512567194055328</v>
      </c>
      <c r="CI112" s="39"/>
    </row>
    <row r="113" spans="1:87" x14ac:dyDescent="0.25">
      <c r="A113" s="20">
        <v>44408</v>
      </c>
      <c r="B113" s="24">
        <f t="shared" si="258"/>
        <v>98</v>
      </c>
      <c r="C113" s="297">
        <f>'LC (Gross)'!K275</f>
        <v>2.3753169999999999</v>
      </c>
      <c r="D113" s="297">
        <v>0.77167520000000001</v>
      </c>
      <c r="E113" s="297">
        <v>1.1182678744412979</v>
      </c>
      <c r="F113" s="297">
        <v>0</v>
      </c>
      <c r="G113" s="39"/>
      <c r="H113" s="20">
        <f t="shared" si="259"/>
        <v>44408</v>
      </c>
      <c r="I113" s="27">
        <v>0.4766610656174039</v>
      </c>
      <c r="J113" s="126">
        <f t="shared" ref="J113" si="260">J112*I113/100+J112</f>
        <v>2166528.1249192976</v>
      </c>
      <c r="K113" s="6"/>
      <c r="M113" s="17"/>
      <c r="N113" s="79"/>
      <c r="O113" s="20">
        <f t="shared" si="189"/>
        <v>44408</v>
      </c>
      <c r="P113" s="300">
        <f t="shared" si="221"/>
        <v>2.0134968672000002</v>
      </c>
      <c r="Q113" s="126">
        <f t="shared" ref="Q113" si="261">Q112*P113/100+Q112</f>
        <v>2288297.2905233195</v>
      </c>
      <c r="R113" s="6"/>
      <c r="T113" s="39"/>
      <c r="U113" s="20">
        <f t="shared" si="190"/>
        <v>44408</v>
      </c>
      <c r="V113" s="27">
        <v>0.69912070331341913</v>
      </c>
      <c r="W113" s="126">
        <f t="shared" ref="W113" si="262">W112*V113/100+W112</f>
        <v>2041304.2075125668</v>
      </c>
      <c r="X113" s="6"/>
      <c r="AA113" s="79"/>
      <c r="AB113" s="20">
        <f t="shared" si="191"/>
        <v>44408</v>
      </c>
      <c r="AC113" s="300">
        <f t="shared" si="222"/>
        <v>1.8449591293994339</v>
      </c>
      <c r="AD113" s="126">
        <f t="shared" ref="AD113" si="263">AD112*AC113/100+AD112</f>
        <v>2056567.3335774941</v>
      </c>
      <c r="AE113" s="6"/>
      <c r="AG113" s="44"/>
      <c r="AH113" s="20">
        <f t="shared" si="183"/>
        <v>44408</v>
      </c>
      <c r="AI113" s="27">
        <v>0.87286233458753781</v>
      </c>
      <c r="AJ113" s="126">
        <f t="shared" ref="AJ113" si="264">AJ112*AI113/100+AJ112</f>
        <v>1846804.88855995</v>
      </c>
      <c r="AK113" s="6"/>
      <c r="AN113" s="79"/>
      <c r="AO113" s="20">
        <f t="shared" si="144"/>
        <v>44408</v>
      </c>
      <c r="AP113" s="300">
        <f t="shared" si="223"/>
        <v>1.6576949762876931</v>
      </c>
      <c r="AQ113" s="126">
        <f t="shared" ref="AQ113" si="265">AQ112*AP113/100+AQ112</f>
        <v>1876070.81558564</v>
      </c>
      <c r="AR113" s="6"/>
      <c r="AT113" s="39"/>
      <c r="AU113" s="20">
        <f t="shared" si="145"/>
        <v>44408</v>
      </c>
      <c r="AV113" s="27">
        <v>0.88536661482497714</v>
      </c>
      <c r="AW113" s="126">
        <f t="shared" ref="AW113" si="266">AW112*AV113/100+AW112</f>
        <v>1414591.7239516005</v>
      </c>
      <c r="AX113" s="6"/>
      <c r="BA113" s="79"/>
      <c r="BB113" s="20">
        <f t="shared" si="146"/>
        <v>44408</v>
      </c>
      <c r="BC113" s="300">
        <f t="shared" si="224"/>
        <v>1.3767987466200826</v>
      </c>
      <c r="BD113" s="126">
        <f t="shared" ref="BD113" si="267">BD112*BC113/100+BD112</f>
        <v>1484618.0953104976</v>
      </c>
      <c r="BE113" s="6"/>
      <c r="BG113" s="39"/>
      <c r="BH113" s="20">
        <f t="shared" si="147"/>
        <v>44408</v>
      </c>
      <c r="BI113" s="27">
        <v>0.87694325886056612</v>
      </c>
      <c r="BJ113" s="126">
        <f t="shared" ref="BJ113" si="268">BJ112*BI113/100+BJ112</f>
        <v>1112628.5214487342</v>
      </c>
      <c r="BK113" s="6"/>
      <c r="BN113" s="79"/>
      <c r="BO113" s="20">
        <f t="shared" si="148"/>
        <v>44408</v>
      </c>
      <c r="BP113" s="300">
        <f t="shared" si="256"/>
        <v>1.2363506317862774</v>
      </c>
      <c r="BQ113" s="126">
        <f t="shared" ref="BQ113" si="269">BQ112*BP113/100+BQ112</f>
        <v>1118489.4084800719</v>
      </c>
      <c r="BR113" s="6"/>
      <c r="BV113" s="39"/>
      <c r="BW113" s="20">
        <f t="shared" si="149"/>
        <v>44408</v>
      </c>
      <c r="BX113" s="27">
        <v>1.0010584005666057</v>
      </c>
      <c r="BY113" s="126">
        <f t="shared" ref="BY113" si="270">BY112*BX113/100+BY112</f>
        <v>1716719.2644953837</v>
      </c>
      <c r="BZ113" s="6"/>
      <c r="CC113" s="79"/>
      <c r="CD113" s="20">
        <f t="shared" si="150"/>
        <v>44408</v>
      </c>
      <c r="CE113" s="300">
        <f t="shared" si="225"/>
        <v>1.5172468614538879</v>
      </c>
      <c r="CF113" s="126">
        <f t="shared" ref="CF113" si="271">CF112*CE113/100+CF112</f>
        <v>1699060.3032372673</v>
      </c>
      <c r="CG113" s="6"/>
      <c r="CI113" s="39"/>
    </row>
    <row r="114" spans="1:87" x14ac:dyDescent="0.25">
      <c r="A114" s="20">
        <v>44439</v>
      </c>
      <c r="B114" s="24">
        <f t="shared" si="258"/>
        <v>99</v>
      </c>
      <c r="C114" s="297">
        <f>'LC (Gross)'!K276</f>
        <v>3.0406559999999998</v>
      </c>
      <c r="D114" s="297">
        <v>1.7881</v>
      </c>
      <c r="E114" s="297">
        <v>-0.19033929999999999</v>
      </c>
      <c r="F114" s="297">
        <v>0</v>
      </c>
      <c r="G114" s="39"/>
      <c r="H114" s="20">
        <f t="shared" si="259"/>
        <v>44439</v>
      </c>
      <c r="I114" s="27">
        <v>1.6447369935510241</v>
      </c>
      <c r="J114" s="126">
        <f t="shared" ref="J114" si="272">J113*I114/100+J113</f>
        <v>2202161.8144655325</v>
      </c>
      <c r="K114" s="6"/>
      <c r="L114" s="49"/>
      <c r="M114" s="17"/>
      <c r="N114" s="79"/>
      <c r="O114" s="20">
        <f t="shared" si="189"/>
        <v>44439</v>
      </c>
      <c r="P114" s="300">
        <f t="shared" si="221"/>
        <v>2.7343419039999999</v>
      </c>
      <c r="Q114" s="126">
        <f t="shared" ref="Q114:Q117" si="273">Q113*P114/100+Q113</f>
        <v>2350867.1622261954</v>
      </c>
      <c r="R114" s="6"/>
      <c r="S114" s="5"/>
      <c r="T114" s="39"/>
      <c r="U114" s="20">
        <f t="shared" si="190"/>
        <v>44439</v>
      </c>
      <c r="V114" s="27">
        <v>1.5975639538095838</v>
      </c>
      <c r="W114" s="126">
        <f t="shared" ref="W114" si="274">W113*V114/100+W113</f>
        <v>2073915.347719386</v>
      </c>
      <c r="X114" s="6"/>
      <c r="Y114" s="5"/>
      <c r="Z114" s="5"/>
      <c r="AA114" s="79"/>
      <c r="AB114" s="20">
        <f t="shared" si="191"/>
        <v>44439</v>
      </c>
      <c r="AC114" s="300">
        <f t="shared" si="222"/>
        <v>2.1978547660000003</v>
      </c>
      <c r="AD114" s="126">
        <f t="shared" ref="AD114" si="275">AD113*AC114/100+AD113</f>
        <v>2101767.6967345262</v>
      </c>
      <c r="AE114" s="6"/>
      <c r="AG114" s="44"/>
      <c r="AH114" s="20">
        <f t="shared" si="183"/>
        <v>44439</v>
      </c>
      <c r="AI114" s="27">
        <v>1.2953693252883276</v>
      </c>
      <c r="AJ114" s="126">
        <f t="shared" ref="AJ114" si="276">AJ113*AI114/100+AJ113</f>
        <v>1870727.832584281</v>
      </c>
      <c r="AK114" s="6"/>
      <c r="AN114" s="79"/>
      <c r="AO114" s="20">
        <f t="shared" si="144"/>
        <v>44439</v>
      </c>
      <c r="AP114" s="300">
        <f t="shared" si="223"/>
        <v>1.601757946</v>
      </c>
      <c r="AQ114" s="126">
        <f t="shared" ref="AQ114:AQ117" si="277">AQ113*AP114/100+AQ113</f>
        <v>1906120.9289468699</v>
      </c>
      <c r="AR114" s="6"/>
      <c r="AT114" s="39"/>
      <c r="AU114" s="20">
        <f t="shared" si="145"/>
        <v>44439</v>
      </c>
      <c r="AV114" s="27">
        <v>0.80379664119081573</v>
      </c>
      <c r="AW114" s="126">
        <f t="shared" ref="AW114" si="278">AW113*AV114/100+AW113</f>
        <v>1425962.1647152868</v>
      </c>
      <c r="AX114" s="6"/>
      <c r="BA114" s="79"/>
      <c r="BB114" s="20">
        <f t="shared" si="146"/>
        <v>44439</v>
      </c>
      <c r="BC114" s="300">
        <f t="shared" si="224"/>
        <v>0.70761271599999997</v>
      </c>
      <c r="BD114" s="126">
        <f t="shared" ref="BD114" si="279">BD113*BC114/100+BD113</f>
        <v>1495123.4417369517</v>
      </c>
      <c r="BE114" s="6"/>
      <c r="BG114" s="39"/>
      <c r="BH114" s="20">
        <f t="shared" si="147"/>
        <v>44439</v>
      </c>
      <c r="BI114" s="27">
        <v>0.47503898731337346</v>
      </c>
      <c r="BJ114" s="126">
        <f t="shared" ref="BJ114:BJ118" si="280">BJ113*BI114/100+BJ113</f>
        <v>1117913.9407095839</v>
      </c>
      <c r="BK114" s="6"/>
      <c r="BN114" s="79"/>
      <c r="BO114" s="20">
        <f t="shared" si="148"/>
        <v>44439</v>
      </c>
      <c r="BP114" s="300">
        <f t="shared" si="256"/>
        <v>0.26054010100000002</v>
      </c>
      <c r="BQ114" s="126">
        <f t="shared" ref="BQ114" si="281">BQ113*BP114/100+BQ113</f>
        <v>1121403.5219146002</v>
      </c>
      <c r="BR114" s="6"/>
      <c r="BV114" s="39"/>
      <c r="BW114" s="20">
        <f t="shared" si="149"/>
        <v>44439</v>
      </c>
      <c r="BX114" s="27">
        <v>1.0543266359822723</v>
      </c>
      <c r="BY114" s="126">
        <f t="shared" ref="BY114" si="282">BY113*BX114/100+BY113</f>
        <v>1734819.0929659975</v>
      </c>
      <c r="BZ114" s="6"/>
      <c r="CC114" s="79"/>
      <c r="CD114" s="20">
        <f t="shared" si="150"/>
        <v>44439</v>
      </c>
      <c r="CE114" s="300">
        <f t="shared" si="225"/>
        <v>1.1546853309999998</v>
      </c>
      <c r="CF114" s="126">
        <f t="shared" ref="CF114" si="283">CF113*CE114/100+CF113</f>
        <v>1718679.1033235921</v>
      </c>
      <c r="CG114" s="6"/>
      <c r="CI114" s="39"/>
    </row>
    <row r="115" spans="1:87" x14ac:dyDescent="0.25">
      <c r="A115" s="20">
        <v>44469</v>
      </c>
      <c r="B115" s="24">
        <f t="shared" ref="B115:B118" si="284">IF(A115&gt;A114,1+B114,"-")</f>
        <v>100</v>
      </c>
      <c r="C115" s="297">
        <f>'LC (Gross)'!K277</f>
        <v>-4.6523870000000001</v>
      </c>
      <c r="D115" s="297">
        <v>-2.7983060000000002</v>
      </c>
      <c r="E115" s="297">
        <v>-0.86594850000000001</v>
      </c>
      <c r="F115" s="297">
        <v>0</v>
      </c>
      <c r="G115" s="39"/>
      <c r="H115" s="20">
        <f t="shared" si="259"/>
        <v>44469</v>
      </c>
      <c r="I115" s="27">
        <v>-3.8411589095810821</v>
      </c>
      <c r="J115" s="126">
        <f t="shared" ref="J115:J120" si="285">J114*I115/100+J114</f>
        <v>2117573.2797257975</v>
      </c>
      <c r="K115" s="6"/>
      <c r="L115" s="49">
        <f>(J115/J112-1)*100</f>
        <v>-1.7937084400682535</v>
      </c>
      <c r="M115" s="17"/>
      <c r="N115" s="79"/>
      <c r="O115" s="20">
        <f t="shared" si="189"/>
        <v>44469</v>
      </c>
      <c r="P115" s="300">
        <f t="shared" si="221"/>
        <v>-4.1959393840000008</v>
      </c>
      <c r="Q115" s="126">
        <f t="shared" si="273"/>
        <v>2252226.2011008235</v>
      </c>
      <c r="R115" s="6"/>
      <c r="S115" s="49">
        <f>(Q115/Q112-1)*100</f>
        <v>0.40542872717403977</v>
      </c>
      <c r="T115" s="39"/>
      <c r="U115" s="20">
        <f t="shared" si="190"/>
        <v>44469</v>
      </c>
      <c r="V115" s="27">
        <v>-3.5374253187402123</v>
      </c>
      <c r="W115" s="126">
        <f t="shared" ref="W115:W118" si="286">W114*V115/100+W114</f>
        <v>2000552.1411199213</v>
      </c>
      <c r="X115" s="6"/>
      <c r="Y115" s="49">
        <f>(W115/W112-1)*100</f>
        <v>-1.3112103573289402</v>
      </c>
      <c r="AA115" s="79"/>
      <c r="AB115" s="20">
        <f t="shared" si="191"/>
        <v>44469</v>
      </c>
      <c r="AC115" s="300">
        <f t="shared" si="222"/>
        <v>-3.5811273700000004</v>
      </c>
      <c r="AD115" s="126">
        <f t="shared" ref="AD115:AD117" si="287">AD114*AC115/100+AD114</f>
        <v>2026500.7184929475</v>
      </c>
      <c r="AE115" s="6"/>
      <c r="AF115" s="49">
        <f>(AD115/AD112-1)*100</f>
        <v>0.35600560259303471</v>
      </c>
      <c r="AG115" s="44"/>
      <c r="AH115" s="20">
        <f t="shared" si="183"/>
        <v>44469</v>
      </c>
      <c r="AI115" s="27">
        <v>-2.9892382663783228</v>
      </c>
      <c r="AJ115" s="126">
        <f t="shared" ref="AJ115:AJ118" si="288">AJ114*AI115/100+AJ114</f>
        <v>1814807.3203528819</v>
      </c>
      <c r="AK115" s="6"/>
      <c r="AL115" s="49">
        <f>(AJ115/AJ112-1)*100</f>
        <v>-0.8748514129702567</v>
      </c>
      <c r="AN115" s="79"/>
      <c r="AO115" s="20">
        <f t="shared" si="144"/>
        <v>44469</v>
      </c>
      <c r="AP115" s="300">
        <f t="shared" si="223"/>
        <v>-2.8980029099999998</v>
      </c>
      <c r="AQ115" s="126">
        <f t="shared" si="277"/>
        <v>1850881.4889578705</v>
      </c>
      <c r="AR115" s="6"/>
      <c r="AS115" s="49">
        <f>(AQ115/AQ112-1)*100</f>
        <v>0.29277374745628748</v>
      </c>
      <c r="AT115" s="39"/>
      <c r="AU115" s="20">
        <f t="shared" si="145"/>
        <v>44469</v>
      </c>
      <c r="AV115" s="27">
        <v>-2.0630643277447889</v>
      </c>
      <c r="AW115" s="126">
        <f t="shared" ref="AW115:AW118" si="289">AW114*AV115/100+AW114</f>
        <v>1396543.6479679083</v>
      </c>
      <c r="AX115" s="6"/>
      <c r="AY115" s="49">
        <f>(AW115/AW112-1)*100</f>
        <v>-0.4017798681338669</v>
      </c>
      <c r="BA115" s="79"/>
      <c r="BB115" s="20">
        <f t="shared" si="146"/>
        <v>44469</v>
      </c>
      <c r="BC115" s="300">
        <f t="shared" si="224"/>
        <v>-1.87331622</v>
      </c>
      <c r="BD115" s="126">
        <f t="shared" ref="BD115:BD118" si="290">BD114*BC115/100+BD114</f>
        <v>1467115.0517938712</v>
      </c>
      <c r="BE115" s="6"/>
      <c r="BF115" s="49">
        <f>(BD115/BD112-1)*100</f>
        <v>0.18160752158840054</v>
      </c>
      <c r="BG115" s="39"/>
      <c r="BH115" s="20">
        <f t="shared" si="147"/>
        <v>44469</v>
      </c>
      <c r="BI115" s="27">
        <v>-1.6293707985119439</v>
      </c>
      <c r="BJ115" s="126">
        <f t="shared" si="280"/>
        <v>1099698.9774071679</v>
      </c>
      <c r="BK115" s="6"/>
      <c r="BL115" s="49">
        <f>(BJ115/BJ112-1)*100</f>
        <v>-0.29531941057535649</v>
      </c>
      <c r="BN115" s="79"/>
      <c r="BO115" s="20">
        <f t="shared" si="148"/>
        <v>44469</v>
      </c>
      <c r="BP115" s="300">
        <f t="shared" si="256"/>
        <v>-1.3609728749999999</v>
      </c>
      <c r="BQ115" s="126">
        <f t="shared" ref="BQ115:BQ118" si="291">BQ114*BP115/100+BQ114</f>
        <v>1106141.5241620478</v>
      </c>
      <c r="BR115" s="6"/>
      <c r="BS115" s="49">
        <f>(BQ115/BQ112-1)*100</f>
        <v>0.11872293061836459</v>
      </c>
      <c r="BV115" s="39"/>
      <c r="BW115" s="20">
        <f t="shared" si="149"/>
        <v>44469</v>
      </c>
      <c r="BX115" s="27">
        <v>-2.6113133806478825</v>
      </c>
      <c r="BY115" s="126">
        <f t="shared" ref="BY115:BY118" si="292">BY114*BX115/100+BY114</f>
        <v>1689517.5298613422</v>
      </c>
      <c r="BZ115" s="6"/>
      <c r="CA115" s="49">
        <f>(BY115/BY112-1)*100</f>
        <v>-0.59932207234496548</v>
      </c>
      <c r="CC115" s="79"/>
      <c r="CD115" s="20">
        <f t="shared" si="150"/>
        <v>44469</v>
      </c>
      <c r="CE115" s="300">
        <f t="shared" si="225"/>
        <v>-2.3856595650000001</v>
      </c>
      <c r="CF115" s="126">
        <f t="shared" ref="CF115:CF118" si="293">CF114*CE115/100+CF114</f>
        <v>1677677.2709034965</v>
      </c>
      <c r="CG115" s="6"/>
      <c r="CH115" s="49">
        <f>(CF115/CF112-1)*100</f>
        <v>0.23963089459393405</v>
      </c>
      <c r="CI115" s="39"/>
    </row>
    <row r="116" spans="1:87" x14ac:dyDescent="0.25">
      <c r="A116" s="20">
        <v>44500</v>
      </c>
      <c r="B116" s="24">
        <f t="shared" si="284"/>
        <v>101</v>
      </c>
      <c r="C116" s="297">
        <f>'LC (Gross)'!K278</f>
        <v>7.0051259999999997</v>
      </c>
      <c r="D116" s="297">
        <v>2.46678</v>
      </c>
      <c r="E116" s="297">
        <v>-2.760249E-2</v>
      </c>
      <c r="F116" s="297">
        <v>0</v>
      </c>
      <c r="G116" s="39"/>
      <c r="H116" s="20">
        <f t="shared" si="259"/>
        <v>44500</v>
      </c>
      <c r="I116" s="27">
        <v>5.3728861342452348</v>
      </c>
      <c r="J116" s="126">
        <f t="shared" si="285"/>
        <v>2231348.0808546669</v>
      </c>
      <c r="K116" s="54"/>
      <c r="M116" s="17"/>
      <c r="N116" s="79"/>
      <c r="O116" s="20">
        <f t="shared" si="189"/>
        <v>44500</v>
      </c>
      <c r="P116" s="300">
        <f t="shared" si="221"/>
        <v>5.9755076640000002</v>
      </c>
      <c r="Q116" s="126">
        <f t="shared" si="273"/>
        <v>2386808.1503582192</v>
      </c>
      <c r="R116" s="8"/>
      <c r="T116" s="39"/>
      <c r="U116" s="20">
        <f t="shared" si="190"/>
        <v>44500</v>
      </c>
      <c r="V116" s="27">
        <v>4.9015461346166935</v>
      </c>
      <c r="W116" s="126">
        <f t="shared" si="286"/>
        <v>2098610.1272639763</v>
      </c>
      <c r="X116" s="8"/>
      <c r="AA116" s="79"/>
      <c r="AB116" s="20">
        <f t="shared" si="191"/>
        <v>44500</v>
      </c>
      <c r="AC116" s="300">
        <f t="shared" si="222"/>
        <v>4.8729969918000009</v>
      </c>
      <c r="AD116" s="126">
        <f t="shared" si="287"/>
        <v>2125252.0375439143</v>
      </c>
      <c r="AG116" s="44"/>
      <c r="AH116" s="20">
        <f t="shared" si="183"/>
        <v>44500</v>
      </c>
      <c r="AI116" s="27">
        <v>3.9131097246135491</v>
      </c>
      <c r="AJ116" s="126">
        <f t="shared" si="288"/>
        <v>1885822.7220886091</v>
      </c>
      <c r="AN116" s="79"/>
      <c r="AO116" s="20">
        <f t="shared" si="144"/>
        <v>44500</v>
      </c>
      <c r="AP116" s="300">
        <f t="shared" si="223"/>
        <v>3.6479851337999993</v>
      </c>
      <c r="AQ116" s="126">
        <f t="shared" si="277"/>
        <v>1918401.3705193098</v>
      </c>
      <c r="AT116" s="39"/>
      <c r="AU116" s="20">
        <f t="shared" si="145"/>
        <v>44500</v>
      </c>
      <c r="AV116" s="27">
        <v>2.2586840752029618</v>
      </c>
      <c r="AW116" s="126">
        <f t="shared" si="289"/>
        <v>1428087.1569478179</v>
      </c>
      <c r="BA116" s="79"/>
      <c r="BB116" s="20">
        <f t="shared" si="146"/>
        <v>44500</v>
      </c>
      <c r="BC116" s="300">
        <f t="shared" si="224"/>
        <v>1.8104673467999997</v>
      </c>
      <c r="BD116" s="126">
        <f t="shared" si="290"/>
        <v>1493676.6907465872</v>
      </c>
      <c r="BG116" s="39"/>
      <c r="BH116" s="20">
        <f t="shared" si="147"/>
        <v>44500</v>
      </c>
      <c r="BI116" s="27">
        <v>1.5046386938277514</v>
      </c>
      <c r="BJ116" s="126">
        <f t="shared" si="280"/>
        <v>1116245.4737368643</v>
      </c>
      <c r="BN116" s="79"/>
      <c r="BO116" s="20">
        <f t="shared" si="148"/>
        <v>44500</v>
      </c>
      <c r="BP116" s="300">
        <f t="shared" si="256"/>
        <v>0.89170845329999993</v>
      </c>
      <c r="BQ116" s="126">
        <f t="shared" si="291"/>
        <v>1116005.0816384621</v>
      </c>
      <c r="BV116" s="39"/>
      <c r="BW116" s="20">
        <f t="shared" si="149"/>
        <v>44500</v>
      </c>
      <c r="BX116" s="27">
        <v>3.2143512528188602</v>
      </c>
      <c r="BY116" s="126">
        <f t="shared" si="292"/>
        <v>1743824.5577490344</v>
      </c>
      <c r="CC116" s="79"/>
      <c r="CD116" s="20">
        <f t="shared" si="150"/>
        <v>44500</v>
      </c>
      <c r="CE116" s="300">
        <f t="shared" si="225"/>
        <v>2.7292262403000001</v>
      </c>
      <c r="CF116" s="126">
        <f t="shared" si="293"/>
        <v>1723464.8792085436</v>
      </c>
      <c r="CI116" s="39"/>
    </row>
    <row r="117" spans="1:87" x14ac:dyDescent="0.25">
      <c r="A117" s="20">
        <v>44530</v>
      </c>
      <c r="B117" s="24">
        <f t="shared" si="284"/>
        <v>102</v>
      </c>
      <c r="C117" s="297">
        <f>'LC (Gross)'!K279</f>
        <v>-0.69502620000000004</v>
      </c>
      <c r="D117" s="297">
        <v>-4.6339509999999997</v>
      </c>
      <c r="E117" s="297">
        <v>0.29606529999999998</v>
      </c>
      <c r="F117" s="297">
        <v>0</v>
      </c>
      <c r="G117" s="39"/>
      <c r="H117" s="20">
        <f t="shared" si="259"/>
        <v>44530</v>
      </c>
      <c r="I117" s="27">
        <v>-2.5037514084872563</v>
      </c>
      <c r="J117" s="126">
        <f t="shared" si="285"/>
        <v>2175480.671852015</v>
      </c>
      <c r="K117" s="54"/>
      <c r="L117" s="49"/>
      <c r="M117" s="17"/>
      <c r="N117" s="79"/>
      <c r="O117" s="20">
        <f t="shared" si="189"/>
        <v>44530</v>
      </c>
      <c r="P117" s="300">
        <f t="shared" si="221"/>
        <v>-1.4531549368000001</v>
      </c>
      <c r="Q117" s="126">
        <f t="shared" si="273"/>
        <v>2352124.1298893439</v>
      </c>
      <c r="R117" s="8"/>
      <c r="S117" s="5"/>
      <c r="T117" s="39"/>
      <c r="U117" s="20">
        <f t="shared" si="190"/>
        <v>44530</v>
      </c>
      <c r="V117" s="27">
        <v>-2.1376070491630128</v>
      </c>
      <c r="W117" s="126">
        <f t="shared" si="286"/>
        <v>2053750.0892491327</v>
      </c>
      <c r="X117" s="8"/>
      <c r="Y117" s="5"/>
      <c r="Z117" s="5"/>
      <c r="AA117" s="79"/>
      <c r="AB117" s="20">
        <f t="shared" si="191"/>
        <v>44530</v>
      </c>
      <c r="AC117" s="300">
        <f t="shared" si="222"/>
        <v>-1.132957174</v>
      </c>
      <c r="AD117" s="126">
        <f t="shared" si="287"/>
        <v>2101173.8421189794</v>
      </c>
      <c r="AG117" s="44"/>
      <c r="AH117" s="20">
        <f t="shared" si="183"/>
        <v>44530</v>
      </c>
      <c r="AI117" s="27">
        <v>-1.5822177985477459</v>
      </c>
      <c r="AJ117" s="126">
        <f t="shared" si="288"/>
        <v>1855984.8993306656</v>
      </c>
      <c r="AN117" s="79"/>
      <c r="AO117" s="20">
        <f t="shared" si="144"/>
        <v>44530</v>
      </c>
      <c r="AP117" s="300">
        <f t="shared" si="223"/>
        <v>-0.77718188199999982</v>
      </c>
      <c r="AQ117" s="126">
        <f t="shared" si="277"/>
        <v>1903491.902643594</v>
      </c>
      <c r="AT117" s="39"/>
      <c r="AU117" s="20">
        <f t="shared" si="145"/>
        <v>44530</v>
      </c>
      <c r="AV117" s="27">
        <v>-0.76806815684511276</v>
      </c>
      <c r="AW117" s="126">
        <f t="shared" si="289"/>
        <v>1417118.474243307</v>
      </c>
      <c r="BA117" s="79"/>
      <c r="BB117" s="20">
        <f t="shared" si="146"/>
        <v>44530</v>
      </c>
      <c r="BC117" s="300">
        <f t="shared" si="224"/>
        <v>-0.24351894399999993</v>
      </c>
      <c r="BD117" s="126">
        <f t="shared" si="290"/>
        <v>1490039.3050425069</v>
      </c>
      <c r="BG117" s="39"/>
      <c r="BH117" s="20">
        <f t="shared" si="147"/>
        <v>44530</v>
      </c>
      <c r="BI117" s="27">
        <v>-0.41222923058132632</v>
      </c>
      <c r="BJ117" s="126">
        <f t="shared" si="280"/>
        <v>1111643.9836090798</v>
      </c>
      <c r="BN117" s="79"/>
      <c r="BO117" s="20">
        <f t="shared" si="148"/>
        <v>44530</v>
      </c>
      <c r="BP117" s="300">
        <f t="shared" si="256"/>
        <v>2.3312525000000001E-2</v>
      </c>
      <c r="BQ117" s="126">
        <f t="shared" si="291"/>
        <v>1116265.2506021203</v>
      </c>
      <c r="BV117" s="39"/>
      <c r="BW117" s="20">
        <f t="shared" si="149"/>
        <v>44530</v>
      </c>
      <c r="BX117" s="27">
        <v>-1.2144242308603019</v>
      </c>
      <c r="BY117" s="126">
        <f t="shared" si="292"/>
        <v>1722647.1297760375</v>
      </c>
      <c r="CC117" s="79"/>
      <c r="CD117" s="20">
        <f t="shared" si="150"/>
        <v>44530</v>
      </c>
      <c r="CE117" s="300">
        <f t="shared" si="225"/>
        <v>-0.51035041300000006</v>
      </c>
      <c r="CF117" s="126">
        <f t="shared" si="293"/>
        <v>1714669.1690795929</v>
      </c>
      <c r="CI117" s="39"/>
    </row>
    <row r="118" spans="1:87" x14ac:dyDescent="0.25">
      <c r="A118" s="20">
        <v>44561</v>
      </c>
      <c r="B118" s="24">
        <f t="shared" si="284"/>
        <v>103</v>
      </c>
      <c r="C118" s="297">
        <f>'LC (Gross)'!K280</f>
        <v>4.4741809999999997</v>
      </c>
      <c r="D118" s="297">
        <v>5.1348950000000002</v>
      </c>
      <c r="E118" s="297">
        <v>-0.25580429999999998</v>
      </c>
      <c r="F118" s="297">
        <v>0</v>
      </c>
      <c r="G118" s="39"/>
      <c r="H118" s="20">
        <f t="shared" si="259"/>
        <v>44561</v>
      </c>
      <c r="I118" s="27">
        <v>4.028623588876048</v>
      </c>
      <c r="J118" s="126">
        <f t="shared" si="285"/>
        <v>2263122.5993696842</v>
      </c>
      <c r="K118" s="6">
        <f>(J118-J$106)/J$106*100</f>
        <v>13.192521260338625</v>
      </c>
      <c r="L118" s="49">
        <f>(J118/J115-1)*100</f>
        <v>6.8734017867251307</v>
      </c>
      <c r="M118" s="16">
        <f>STDEVP(I83:I118)*SQRT(12)</f>
        <v>14.72245128191606</v>
      </c>
      <c r="N118" s="79"/>
      <c r="O118" s="20">
        <f t="shared" si="189"/>
        <v>44561</v>
      </c>
      <c r="P118" s="300">
        <f t="shared" si="221"/>
        <v>4.5141973239999995</v>
      </c>
      <c r="Q118" s="126">
        <f t="shared" ref="Q118" si="294">Q117*P118/100+Q117</f>
        <v>2458303.654417967</v>
      </c>
      <c r="R118" s="6">
        <f>(Q118-Q$106)/Q$106*100</f>
        <v>24.637885915861418</v>
      </c>
      <c r="S118" s="49">
        <f>(Q118/Q115-1)*100</f>
        <v>9.149944762050044</v>
      </c>
      <c r="T118" s="39"/>
      <c r="U118" s="20">
        <f t="shared" si="190"/>
        <v>44561</v>
      </c>
      <c r="V118" s="27">
        <v>3.497796352302144</v>
      </c>
      <c r="W118" s="126">
        <f t="shared" si="286"/>
        <v>2125586.0849562907</v>
      </c>
      <c r="X118" s="6">
        <f>(W118-W$106)/W$106*100</f>
        <v>11.762177159816078</v>
      </c>
      <c r="Y118" s="49">
        <f>(W118/W115-1)*100</f>
        <v>6.2499717586153247</v>
      </c>
      <c r="Z118" s="16">
        <f>STDEVP(AC83:AC118)*SQRT(12)</f>
        <v>12.95274448378694</v>
      </c>
      <c r="AA118" s="79"/>
      <c r="AB118" s="20">
        <f t="shared" si="191"/>
        <v>44561</v>
      </c>
      <c r="AC118" s="300">
        <f t="shared" si="222"/>
        <v>3.6390142660000002</v>
      </c>
      <c r="AD118" s="126">
        <f t="shared" ref="AD118" si="295">AD117*AC118/100+AD117</f>
        <v>2177635.8579871496</v>
      </c>
      <c r="AE118" s="6">
        <f>(AD118-AD$106)/AD$106*100</f>
        <v>19.485232600915715</v>
      </c>
      <c r="AF118" s="49">
        <f>(AD118/AD115-1)*100</f>
        <v>7.4579366350581378</v>
      </c>
      <c r="AG118" s="44"/>
      <c r="AH118" s="20">
        <f t="shared" si="183"/>
        <v>44561</v>
      </c>
      <c r="AI118" s="27">
        <v>2.6536687408981736</v>
      </c>
      <c r="AJ118" s="126">
        <f t="shared" si="288"/>
        <v>1905236.5904399939</v>
      </c>
      <c r="AK118" s="6">
        <f>(AJ118-AJ$106)/AJ$106*100</f>
        <v>9.3586405499794179</v>
      </c>
      <c r="AL118" s="49">
        <f>(AJ118/AJ115-1)*100</f>
        <v>4.9828579085480218</v>
      </c>
      <c r="AM118" s="16">
        <f>STDEVP(AP83:AP118)*SQRT(12)</f>
        <v>9.9165047896446996</v>
      </c>
      <c r="AN118" s="79"/>
      <c r="AO118" s="20">
        <f t="shared" si="144"/>
        <v>44561</v>
      </c>
      <c r="AP118" s="300">
        <f t="shared" si="223"/>
        <v>2.6665886460000001</v>
      </c>
      <c r="AQ118" s="126">
        <f t="shared" ref="AQ118" si="296">AQ117*AP118/100+AQ117</f>
        <v>1954250.2015970175</v>
      </c>
      <c r="AR118" s="6">
        <f>(AQ118-AQ$106)/AQ$106*100</f>
        <v>13.948612768482219</v>
      </c>
      <c r="AS118" s="49">
        <f>(AQ118/AQ115-1)*100</f>
        <v>5.5848369145097498</v>
      </c>
      <c r="AT118" s="39"/>
      <c r="AU118" s="20">
        <f t="shared" si="145"/>
        <v>44561</v>
      </c>
      <c r="AV118" s="27">
        <v>1.1685928198979361</v>
      </c>
      <c r="AW118" s="126">
        <f t="shared" si="289"/>
        <v>1433678.8189827616</v>
      </c>
      <c r="AX118" s="6">
        <f>(AW118-AW$106)/AW$106*100</f>
        <v>5.1127344818065028</v>
      </c>
      <c r="AY118" s="49">
        <f>(AW118/AW115-1)*100</f>
        <v>2.6590770054977009</v>
      </c>
      <c r="AZ118" s="16">
        <f>STDEVP(BC83:BC118)*SQRT(12)</f>
        <v>5.4255016942782603</v>
      </c>
      <c r="BA118" s="79"/>
      <c r="BB118" s="20">
        <f t="shared" si="146"/>
        <v>44561</v>
      </c>
      <c r="BC118" s="300">
        <f t="shared" si="224"/>
        <v>1.207950216</v>
      </c>
      <c r="BD118" s="126">
        <f t="shared" si="290"/>
        <v>1508038.2380462529</v>
      </c>
      <c r="BE118" s="6">
        <f>(BD118-BD$106)/BD$106*100</f>
        <v>6.0071575397365731</v>
      </c>
      <c r="BF118" s="49">
        <f>(BD118/BD115-1)*100</f>
        <v>2.789364487968693</v>
      </c>
      <c r="BG118" s="39"/>
      <c r="BH118" s="20">
        <f t="shared" si="147"/>
        <v>44561</v>
      </c>
      <c r="BI118" s="27">
        <v>0.61833901367672428</v>
      </c>
      <c r="BJ118" s="126">
        <f t="shared" si="280"/>
        <v>1118517.7120529248</v>
      </c>
      <c r="BK118" s="6">
        <f>(BJ118-BJ$106)/BJ$106*100</f>
        <v>3.1327605497391193</v>
      </c>
      <c r="BL118" s="49">
        <f>(BJ118/BJ115-1)*100</f>
        <v>1.7112623574614183</v>
      </c>
      <c r="BN118" s="79"/>
      <c r="BO118" s="20">
        <f t="shared" si="148"/>
        <v>44561</v>
      </c>
      <c r="BP118" s="300">
        <f t="shared" si="256"/>
        <v>0.478631001</v>
      </c>
      <c r="BQ118" s="126">
        <f t="shared" si="291"/>
        <v>1121608.0421448923</v>
      </c>
      <c r="BR118" s="6">
        <f>(BQ118-BQ$106)/BQ$106*100</f>
        <v>2.1962409114877497</v>
      </c>
      <c r="BS118" s="49">
        <f>(BQ118/BQ115-1)*100</f>
        <v>1.3982404281008387</v>
      </c>
      <c r="BV118" s="39"/>
      <c r="BW118" s="20">
        <f t="shared" si="149"/>
        <v>44561</v>
      </c>
      <c r="BX118" s="27">
        <v>1.9856658868210988</v>
      </c>
      <c r="BY118" s="126">
        <f t="shared" si="292"/>
        <v>1756853.1461823031</v>
      </c>
      <c r="BZ118" s="6">
        <f>(BY118-BY$106)/BY$106*100</f>
        <v>7.3122026216838814</v>
      </c>
      <c r="CA118" s="49">
        <f>(BY118/BY115-1)*100</f>
        <v>3.9854937951716352</v>
      </c>
      <c r="CB118" s="16">
        <f>STDEVP(CE83:CE118)*SQRT(12)</f>
        <v>7.5698073385208033</v>
      </c>
      <c r="CC118" s="79"/>
      <c r="CD118" s="20">
        <f t="shared" si="150"/>
        <v>44561</v>
      </c>
      <c r="CE118" s="300">
        <f t="shared" si="225"/>
        <v>1.9372694309999998</v>
      </c>
      <c r="CF118" s="126">
        <f t="shared" si="293"/>
        <v>1747886.9307349536</v>
      </c>
      <c r="CG118" s="6">
        <f>(CF118-CF$106)/CF$106*100</f>
        <v>9.9240360395964409</v>
      </c>
      <c r="CH118" s="49">
        <f>(CF118/CF115-1)*100</f>
        <v>4.1849324091782103</v>
      </c>
      <c r="CI118" s="39"/>
    </row>
    <row r="119" spans="1:87" x14ac:dyDescent="0.25">
      <c r="A119" s="20">
        <v>44592</v>
      </c>
      <c r="B119" s="24">
        <f t="shared" ref="B119:B126" si="297">IF(A119&gt;A118,1+B118,"-")</f>
        <v>104</v>
      </c>
      <c r="C119" s="297">
        <f>'LC (Gross)'!K281</f>
        <v>-5.1748589999999997</v>
      </c>
      <c r="D119" s="297">
        <v>-4.8183049999999996</v>
      </c>
      <c r="E119" s="297">
        <v>-2.1544370000000002</v>
      </c>
      <c r="F119" s="297">
        <v>0</v>
      </c>
      <c r="G119" s="39"/>
      <c r="H119" s="20">
        <f t="shared" si="259"/>
        <v>44592</v>
      </c>
      <c r="I119" s="27">
        <v>-5.2499885955052044</v>
      </c>
      <c r="J119" s="126">
        <f t="shared" si="285"/>
        <v>2144308.9210004751</v>
      </c>
      <c r="M119" s="17"/>
      <c r="N119" s="79"/>
      <c r="O119" s="20">
        <f t="shared" si="189"/>
        <v>44592</v>
      </c>
      <c r="P119" s="300">
        <f t="shared" si="221"/>
        <v>-5.0014772359999995</v>
      </c>
      <c r="Q119" s="126">
        <f t="shared" ref="Q119" si="298">Q118*P119/100+Q118</f>
        <v>2335352.1567504965</v>
      </c>
      <c r="R119" s="8"/>
      <c r="T119" s="39"/>
      <c r="U119" s="20">
        <f t="shared" si="190"/>
        <v>44592</v>
      </c>
      <c r="V119" s="27">
        <v>-4.5778938526733572</v>
      </c>
      <c r="W119" s="126">
        <f t="shared" ref="W119:W120" si="299">W118*V119/100+W118</f>
        <v>2028279.0102397962</v>
      </c>
      <c r="X119" s="8"/>
      <c r="AA119" s="79"/>
      <c r="AB119" s="20">
        <f t="shared" si="191"/>
        <v>44592</v>
      </c>
      <c r="AC119" s="300">
        <f t="shared" si="222"/>
        <v>-4.4706372199999995</v>
      </c>
      <c r="AD119" s="126">
        <f t="shared" ref="AD119" si="300">AD118*AC119/100+AD118</f>
        <v>2080281.6588039098</v>
      </c>
      <c r="AG119" s="44"/>
      <c r="AH119" s="20">
        <f t="shared" si="183"/>
        <v>44592</v>
      </c>
      <c r="AI119" s="27">
        <v>-4.0952729493907594</v>
      </c>
      <c r="AJ119" s="126">
        <f t="shared" ref="AJ119:AJ120" si="301">AJ118*AI119/100+AJ118</f>
        <v>1827211.9517298101</v>
      </c>
      <c r="AN119" s="79"/>
      <c r="AO119" s="20">
        <f t="shared" si="144"/>
        <v>44592</v>
      </c>
      <c r="AP119" s="300">
        <f t="shared" si="223"/>
        <v>-3.8808149799999998</v>
      </c>
      <c r="AQ119" s="126">
        <f t="shared" ref="AQ119" si="302">AQ118*AP119/100+AQ118</f>
        <v>1878409.3670267602</v>
      </c>
      <c r="AT119" s="39"/>
      <c r="AU119" s="20">
        <f t="shared" si="145"/>
        <v>44592</v>
      </c>
      <c r="AV119" s="27">
        <v>-3.1948464503796243</v>
      </c>
      <c r="AW119" s="126">
        <f t="shared" ref="AW119:AW120" si="303">AW118*AV119/100+AW118</f>
        <v>1387874.9821246462</v>
      </c>
      <c r="BA119" s="79"/>
      <c r="BB119" s="20">
        <f t="shared" si="146"/>
        <v>44592</v>
      </c>
      <c r="BC119" s="300">
        <f t="shared" si="224"/>
        <v>-2.99608162</v>
      </c>
      <c r="BD119" s="126">
        <f t="shared" ref="BD119" si="304">BD118*BC119/100+BD118</f>
        <v>1462856.1815735772</v>
      </c>
      <c r="BG119" s="39"/>
      <c r="BH119" s="20">
        <f t="shared" si="147"/>
        <v>44592</v>
      </c>
      <c r="BI119" s="27">
        <v>-2.8336884799748052</v>
      </c>
      <c r="BJ119" s="126">
        <f t="shared" ref="BJ119" si="305">BJ118*BI119/100+BJ118</f>
        <v>1086822.4045000032</v>
      </c>
      <c r="BN119" s="79"/>
      <c r="BO119" s="20">
        <f t="shared" si="148"/>
        <v>44592</v>
      </c>
      <c r="BP119" s="300">
        <f t="shared" si="256"/>
        <v>-2.5537149399999999</v>
      </c>
      <c r="BQ119" s="126">
        <f t="shared" ref="BQ119" si="306">BQ118*BP119/100+BQ118</f>
        <v>1092965.3700043967</v>
      </c>
      <c r="BR119" s="6"/>
      <c r="BV119" s="39"/>
      <c r="BW119" s="20">
        <f t="shared" si="149"/>
        <v>44592</v>
      </c>
      <c r="BX119" s="27">
        <v>-3.8316934309952546</v>
      </c>
      <c r="BY119" s="126">
        <f t="shared" ref="BY119:BY120" si="307">BY118*BX119/100+BY118</f>
        <v>1689535.9195878024</v>
      </c>
      <c r="CC119" s="79"/>
      <c r="CD119" s="20">
        <f t="shared" si="150"/>
        <v>44592</v>
      </c>
      <c r="CE119" s="300">
        <f t="shared" si="225"/>
        <v>-3.4384483000000001</v>
      </c>
      <c r="CF119" s="126">
        <f t="shared" ref="CF119" si="308">CF118*CE119/100+CF118</f>
        <v>1687786.7422791754</v>
      </c>
      <c r="CI119" s="39"/>
    </row>
    <row r="120" spans="1:87" x14ac:dyDescent="0.25">
      <c r="A120" s="20">
        <v>44620</v>
      </c>
      <c r="B120" s="24">
        <f t="shared" si="297"/>
        <v>105</v>
      </c>
      <c r="C120" s="297">
        <f>'LC (Gross)'!K282</f>
        <v>-2.9970180000000002</v>
      </c>
      <c r="D120" s="297">
        <v>-1.723857</v>
      </c>
      <c r="E120" s="297">
        <v>-1.1156919999999999</v>
      </c>
      <c r="F120" s="297">
        <v>0</v>
      </c>
      <c r="G120" s="39"/>
      <c r="H120" s="20">
        <f t="shared" si="259"/>
        <v>44620</v>
      </c>
      <c r="I120" s="27">
        <v>-1.9044689257365088</v>
      </c>
      <c r="J120" s="126">
        <f t="shared" si="285"/>
        <v>2103471.2239282252</v>
      </c>
      <c r="K120" s="6"/>
      <c r="L120" s="49"/>
      <c r="M120" s="17"/>
      <c r="N120" s="79"/>
      <c r="O120" s="20">
        <f t="shared" si="189"/>
        <v>44620</v>
      </c>
      <c r="P120" s="300">
        <f t="shared" si="221"/>
        <v>-2.6875380840000003</v>
      </c>
      <c r="Q120" s="126">
        <f t="shared" ref="Q120" si="309">Q119*P120/100+Q119</f>
        <v>2272588.6781423115</v>
      </c>
      <c r="R120" s="6"/>
      <c r="S120" s="5"/>
      <c r="T120" s="39"/>
      <c r="U120" s="20">
        <f t="shared" si="190"/>
        <v>44620</v>
      </c>
      <c r="V120" s="27">
        <v>-1.8812870929942958</v>
      </c>
      <c r="W120" s="126">
        <f t="shared" si="299"/>
        <v>1990121.2590102425</v>
      </c>
      <c r="X120" s="6"/>
      <c r="Y120" s="5"/>
      <c r="Z120" s="5"/>
      <c r="AA120" s="79"/>
      <c r="AB120" s="20">
        <f t="shared" si="191"/>
        <v>44620</v>
      </c>
      <c r="AC120" s="300">
        <f t="shared" si="222"/>
        <v>-2.3947332000000001</v>
      </c>
      <c r="AD120" s="126">
        <f t="shared" ref="AD120" si="310">AD119*AC120/100+AD119</f>
        <v>2030464.4632670218</v>
      </c>
      <c r="AE120" s="6"/>
      <c r="AG120" s="44"/>
      <c r="AH120" s="20">
        <f t="shared" si="183"/>
        <v>44620</v>
      </c>
      <c r="AI120" s="27">
        <v>-1.65502337709332</v>
      </c>
      <c r="AJ120" s="126">
        <f t="shared" si="301"/>
        <v>1796971.1667796387</v>
      </c>
      <c r="AK120" s="6"/>
      <c r="AM120" s="5"/>
      <c r="AN120" s="79"/>
      <c r="AO120" s="20">
        <f t="shared" si="144"/>
        <v>44620</v>
      </c>
      <c r="AP120" s="300">
        <f t="shared" si="223"/>
        <v>-2.0693944399999999</v>
      </c>
      <c r="AQ120" s="126">
        <f t="shared" ref="AQ120" si="311">AQ119*AP120/100+AQ119</f>
        <v>1839537.6680250692</v>
      </c>
      <c r="AR120" s="6"/>
      <c r="AT120" s="39"/>
      <c r="AU120" s="20">
        <f t="shared" si="145"/>
        <v>44620</v>
      </c>
      <c r="AV120" s="27">
        <v>-1.3186070074027001</v>
      </c>
      <c r="AW120" s="126">
        <f t="shared" si="303"/>
        <v>1369574.3653563617</v>
      </c>
      <c r="AX120" s="6"/>
      <c r="AZ120" s="5"/>
      <c r="BA120" s="79"/>
      <c r="BB120" s="20">
        <f t="shared" si="146"/>
        <v>44620</v>
      </c>
      <c r="BC120" s="300">
        <f t="shared" si="224"/>
        <v>-1.5813863000000001</v>
      </c>
      <c r="BD120" s="126">
        <f t="shared" ref="BD120" si="312">BD119*BC120/100+BD119</f>
        <v>1439722.7743294695</v>
      </c>
      <c r="BE120" s="6"/>
      <c r="BG120" s="39"/>
      <c r="BH120" s="20">
        <f t="shared" si="147"/>
        <v>44620</v>
      </c>
      <c r="BI120" s="27">
        <v>-1.1209402281115877</v>
      </c>
      <c r="BJ120" s="126">
        <f t="shared" ref="BJ120" si="313">BJ119*BI120/100+BJ119</f>
        <v>1074639.7749598331</v>
      </c>
      <c r="BK120" s="6"/>
      <c r="BN120" s="79"/>
      <c r="BO120" s="20">
        <f t="shared" si="148"/>
        <v>44620</v>
      </c>
      <c r="BP120" s="300">
        <f t="shared" si="256"/>
        <v>-1.3373822299999998</v>
      </c>
      <c r="BQ120" s="126">
        <f t="shared" ref="BQ120" si="314">BQ119*BP120/100+BQ119</f>
        <v>1078348.2453659042</v>
      </c>
      <c r="BR120" s="6"/>
      <c r="BV120" s="39"/>
      <c r="BW120" s="20">
        <f t="shared" si="149"/>
        <v>44620</v>
      </c>
      <c r="BX120" s="27">
        <v>-1.502376424718012</v>
      </c>
      <c r="BY120" s="126">
        <f t="shared" si="307"/>
        <v>1664152.7302447725</v>
      </c>
      <c r="BZ120" s="6"/>
      <c r="CB120" s="5"/>
      <c r="CC120" s="79"/>
      <c r="CD120" s="20">
        <f t="shared" si="150"/>
        <v>44620</v>
      </c>
      <c r="CE120" s="300">
        <f t="shared" si="225"/>
        <v>-1.82539037</v>
      </c>
      <c r="CF120" s="126">
        <f t="shared" ref="CF120" si="315">CF119*CE120/100+CF119</f>
        <v>1656978.0456194747</v>
      </c>
      <c r="CG120" s="6"/>
      <c r="CI120" s="39"/>
    </row>
    <row r="121" spans="1:87" x14ac:dyDescent="0.25">
      <c r="A121" s="20">
        <v>44651</v>
      </c>
      <c r="B121" s="24">
        <f t="shared" si="297"/>
        <v>106</v>
      </c>
      <c r="C121" s="297">
        <f>'LC (Gross)'!K283</f>
        <v>3.7118120000000001</v>
      </c>
      <c r="D121" s="297">
        <v>0.78433059999999999</v>
      </c>
      <c r="E121" s="297">
        <v>-2.7783509999999998</v>
      </c>
      <c r="F121" s="297">
        <v>0</v>
      </c>
      <c r="G121" s="39"/>
      <c r="H121" s="20">
        <f t="shared" si="259"/>
        <v>44651</v>
      </c>
      <c r="I121" s="27">
        <v>1.8550054757890944</v>
      </c>
      <c r="J121" s="126">
        <f t="shared" ref="J121" si="316">J120*I121/100+J120</f>
        <v>2142490.7303137416</v>
      </c>
      <c r="K121" s="6"/>
      <c r="L121" s="49">
        <f>(J121/J118-1)*100</f>
        <v>-5.3303285067075272</v>
      </c>
      <c r="M121" s="17"/>
      <c r="N121" s="79"/>
      <c r="O121" s="20">
        <f t="shared" si="189"/>
        <v>44651</v>
      </c>
      <c r="P121" s="300">
        <f t="shared" si="221"/>
        <v>3.0637894056000001</v>
      </c>
      <c r="Q121" s="126">
        <f t="shared" ref="Q121" si="317">Q120*P121/100+Q120</f>
        <v>2342216.0092961006</v>
      </c>
      <c r="R121" s="6"/>
      <c r="S121" s="49">
        <f>(Q121/Q118-1)*100</f>
        <v>-4.7222663039709563</v>
      </c>
      <c r="T121" s="39"/>
      <c r="U121" s="20">
        <f t="shared" si="190"/>
        <v>44651</v>
      </c>
      <c r="V121" s="27">
        <v>1.4693376452666507</v>
      </c>
      <c r="W121" s="126">
        <f t="shared" ref="W121" si="318">W120*V121/100+W120</f>
        <v>2019362.8598553347</v>
      </c>
      <c r="X121" s="6"/>
      <c r="Y121" s="49">
        <f>(W121/W118-1)*100</f>
        <v>-4.997361708977321</v>
      </c>
      <c r="Z121" s="5"/>
      <c r="AA121" s="79"/>
      <c r="AB121" s="20">
        <f t="shared" si="191"/>
        <v>44651</v>
      </c>
      <c r="AC121" s="300">
        <f t="shared" si="222"/>
        <v>2.0009493960000002</v>
      </c>
      <c r="AD121" s="126">
        <f t="shared" ref="AD121" si="319">AD120*AC121/100+AD120</f>
        <v>2071093.029680758</v>
      </c>
      <c r="AE121" s="6"/>
      <c r="AF121" s="49">
        <f>(AD121/AD118-1)*100</f>
        <v>-4.8925915650962937</v>
      </c>
      <c r="AG121" s="44"/>
      <c r="AH121" s="20">
        <f t="shared" si="183"/>
        <v>44651</v>
      </c>
      <c r="AI121" s="27">
        <v>0.64960786337304477</v>
      </c>
      <c r="AJ121" s="126">
        <f t="shared" ref="AJ121" si="320">AJ120*AI121/100+AJ120</f>
        <v>1808644.4327815857</v>
      </c>
      <c r="AK121" s="6"/>
      <c r="AL121" s="49">
        <f>(AJ121/AJ118-1)*100</f>
        <v>-5.069824826117852</v>
      </c>
      <c r="AM121" s="5"/>
      <c r="AN121" s="79"/>
      <c r="AO121" s="20">
        <f t="shared" si="144"/>
        <v>44651</v>
      </c>
      <c r="AP121" s="300">
        <f t="shared" si="223"/>
        <v>0.82001605199999994</v>
      </c>
      <c r="AQ121" s="126">
        <f t="shared" ref="AQ121" si="321">AQ120*AP121/100+AQ120</f>
        <v>1854622.1721854613</v>
      </c>
      <c r="AR121" s="6"/>
      <c r="AS121" s="49">
        <f>(AQ121/AQ118-1)*100</f>
        <v>-5.0980181212282876</v>
      </c>
      <c r="AT121" s="39"/>
      <c r="AU121" s="20">
        <f t="shared" si="145"/>
        <v>44651</v>
      </c>
      <c r="AV121" s="27">
        <v>-0.83351719711335737</v>
      </c>
      <c r="AW121" s="126">
        <f t="shared" ref="AW121" si="322">AW120*AV121/100+AW120</f>
        <v>1358158.7274938603</v>
      </c>
      <c r="AX121" s="6"/>
      <c r="AY121" s="49">
        <f>(AW121/AW118-1)*100</f>
        <v>-5.267573914671142</v>
      </c>
      <c r="AZ121" s="5"/>
      <c r="BA121" s="79"/>
      <c r="BB121" s="20">
        <f t="shared" si="146"/>
        <v>44651</v>
      </c>
      <c r="BC121" s="300">
        <f t="shared" si="224"/>
        <v>-0.95138396400000014</v>
      </c>
      <c r="BD121" s="126">
        <f t="shared" ref="BD121" si="323">BD120*BC121/100+BD120</f>
        <v>1426025.4827284431</v>
      </c>
      <c r="BE121" s="6"/>
      <c r="BF121" s="49">
        <f>(BD121/BD118-1)*100</f>
        <v>-5.4383737261239347</v>
      </c>
      <c r="BG121" s="39"/>
      <c r="BH121" s="20">
        <f t="shared" si="147"/>
        <v>44651</v>
      </c>
      <c r="BI121" s="27">
        <v>-1.4570283211184543</v>
      </c>
      <c r="BJ121" s="126">
        <f t="shared" ref="BJ121" si="324">BJ120*BI121/100+BJ120</f>
        <v>1058981.9690886647</v>
      </c>
      <c r="BK121" s="6"/>
      <c r="BL121" s="49">
        <f>(BJ121/BJ118-1)*100</f>
        <v>-5.3227358246288548</v>
      </c>
      <c r="BN121" s="79"/>
      <c r="BO121" s="20">
        <f t="shared" si="148"/>
        <v>44651</v>
      </c>
      <c r="BP121" s="300">
        <f t="shared" si="256"/>
        <v>-1.8370839719999998</v>
      </c>
      <c r="BQ121" s="126">
        <f t="shared" ref="BQ121" si="325">BQ120*BP121/100+BQ120</f>
        <v>1058538.0825879439</v>
      </c>
      <c r="BR121" s="6"/>
      <c r="BS121" s="49">
        <f>(BQ121/BQ118-1)*100</f>
        <v>-5.6231729077421244</v>
      </c>
      <c r="BV121" s="39"/>
      <c r="BW121" s="20">
        <f t="shared" si="149"/>
        <v>44651</v>
      </c>
      <c r="BX121" s="27">
        <v>1.1814197238373032E-2</v>
      </c>
      <c r="BY121" s="126">
        <f t="shared" ref="BY121" si="326">BY120*BX121/100+BY120</f>
        <v>1664349.3365306715</v>
      </c>
      <c r="BZ121" s="6"/>
      <c r="CA121" s="49">
        <f>(BY121/BY118-1)*100</f>
        <v>-5.2653125762187507</v>
      </c>
      <c r="CB121" s="5"/>
      <c r="CC121" s="79"/>
      <c r="CD121" s="20">
        <f t="shared" si="150"/>
        <v>44651</v>
      </c>
      <c r="CE121" s="300">
        <f t="shared" si="225"/>
        <v>-6.5683955999999988E-2</v>
      </c>
      <c r="CF121" s="126">
        <f t="shared" ref="CF121" si="327">CF120*CE121/100+CF120</f>
        <v>1655889.6768890603</v>
      </c>
      <c r="CG121" s="6"/>
      <c r="CH121" s="49">
        <f>(CF121/CF118-1)*100</f>
        <v>-5.2633412509818456</v>
      </c>
      <c r="CI121" s="39"/>
    </row>
    <row r="122" spans="1:87" x14ac:dyDescent="0.25">
      <c r="A122" s="20">
        <v>44681</v>
      </c>
      <c r="B122" s="24">
        <f t="shared" si="297"/>
        <v>107</v>
      </c>
      <c r="C122" s="297">
        <f>'LC (Gross)'!K284</f>
        <v>-8.7200340000000001</v>
      </c>
      <c r="D122" s="297">
        <v>-6.4028049999999999</v>
      </c>
      <c r="E122" s="297">
        <v>-3.7948339999999998</v>
      </c>
      <c r="F122" s="297">
        <v>0</v>
      </c>
      <c r="G122" s="39"/>
      <c r="H122" s="20">
        <f t="shared" si="259"/>
        <v>44681</v>
      </c>
      <c r="I122" s="27">
        <v>-5.2709341561623821</v>
      </c>
      <c r="J122" s="126">
        <f t="shared" ref="J122:J124" si="328">J121*I122/100+J121</f>
        <v>2029561.4546170218</v>
      </c>
      <c r="K122" s="6"/>
      <c r="M122" s="17"/>
      <c r="N122" s="79"/>
      <c r="O122" s="20">
        <f t="shared" si="189"/>
        <v>44681</v>
      </c>
      <c r="P122" s="300">
        <f t="shared" si="221"/>
        <v>-8.0914564359999996</v>
      </c>
      <c r="Q122" s="126">
        <f t="shared" ref="Q122" si="329">Q121*P122/100+Q121</f>
        <v>2152696.6212668889</v>
      </c>
      <c r="R122" s="6"/>
      <c r="S122" s="49"/>
      <c r="T122" s="39"/>
      <c r="U122" s="20">
        <f t="shared" si="190"/>
        <v>44681</v>
      </c>
      <c r="V122" s="27">
        <v>-5.0645954911782827</v>
      </c>
      <c r="W122" s="126">
        <f t="shared" ref="W122" si="330">W121*V122/100+W121</f>
        <v>1917090.2995045725</v>
      </c>
      <c r="X122" s="6"/>
      <c r="AA122" s="79"/>
      <c r="AB122" s="20">
        <f t="shared" si="191"/>
        <v>44681</v>
      </c>
      <c r="AC122" s="300">
        <f t="shared" si="222"/>
        <v>-7.2883406800000001</v>
      </c>
      <c r="AD122" s="126">
        <f t="shared" ref="AD122:AD124" si="331">AD121*AC122/100+AD121</f>
        <v>1920144.7138778907</v>
      </c>
      <c r="AE122" s="6"/>
      <c r="AG122" s="44"/>
      <c r="AH122" s="20">
        <f t="shared" si="183"/>
        <v>44681</v>
      </c>
      <c r="AI122" s="27">
        <v>-4.5341118545935473</v>
      </c>
      <c r="AJ122" s="126">
        <f t="shared" ref="AJ122:AJ124" si="332">AJ121*AI122/100+AJ121</f>
        <v>1726638.4711473896</v>
      </c>
      <c r="AK122" s="6"/>
      <c r="AN122" s="79"/>
      <c r="AO122" s="20">
        <f t="shared" si="144"/>
        <v>44681</v>
      </c>
      <c r="AP122" s="300">
        <f t="shared" si="223"/>
        <v>-6.3959898400000004</v>
      </c>
      <c r="AQ122" s="126">
        <f t="shared" ref="AQ122:AQ124" si="333">AQ121*AP122/100+AQ121</f>
        <v>1736000.7264820919</v>
      </c>
      <c r="AR122" s="6"/>
      <c r="AS122" s="49"/>
      <c r="AT122" s="39"/>
      <c r="AU122" s="20">
        <f t="shared" si="145"/>
        <v>44681</v>
      </c>
      <c r="AV122" s="27">
        <v>-3.7373033462983889</v>
      </c>
      <c r="AW122" s="126">
        <f t="shared" ref="AW122:AW124" si="334">AW121*AV122/100+AW121</f>
        <v>1307400.2159231887</v>
      </c>
      <c r="AX122" s="6"/>
      <c r="BA122" s="79"/>
      <c r="BB122" s="20">
        <f t="shared" si="146"/>
        <v>44681</v>
      </c>
      <c r="BC122" s="300">
        <f t="shared" si="224"/>
        <v>-5.0574635800000003</v>
      </c>
      <c r="BD122" s="126">
        <f t="shared" ref="BD122:BD124" si="335">BD121*BC122/100+BD121</f>
        <v>1353904.7632979329</v>
      </c>
      <c r="BE122" s="6"/>
      <c r="BG122" s="39"/>
      <c r="BH122" s="20">
        <f t="shared" si="147"/>
        <v>44681</v>
      </c>
      <c r="BI122" s="27">
        <v>-3.4843842317791558</v>
      </c>
      <c r="BJ122" s="126">
        <f t="shared" ref="BJ122:BJ124" si="336">BJ121*BI122/100+BJ121</f>
        <v>1022082.9683403549</v>
      </c>
      <c r="BK122" s="6"/>
      <c r="BN122" s="79"/>
      <c r="BO122" s="20">
        <f t="shared" si="148"/>
        <v>44681</v>
      </c>
      <c r="BP122" s="300">
        <f t="shared" si="256"/>
        <v>-4.3882004499999994</v>
      </c>
      <c r="BQ122" s="126">
        <f t="shared" ref="BQ122:BQ124" si="337">BQ121*BP122/100+BQ121</f>
        <v>1012087.3096843984</v>
      </c>
      <c r="BR122" s="6"/>
      <c r="BV122" s="39"/>
      <c r="BW122" s="20">
        <f t="shared" si="149"/>
        <v>44681</v>
      </c>
      <c r="BX122" s="27">
        <v>-4.1421956112644196</v>
      </c>
      <c r="BY122" s="126">
        <f t="shared" ref="BY122:BY124" si="338">BY121*BX122/100+BY121</f>
        <v>1595408.7313567896</v>
      </c>
      <c r="BZ122" s="6"/>
      <c r="CC122" s="79"/>
      <c r="CD122" s="20">
        <f t="shared" si="150"/>
        <v>44681</v>
      </c>
      <c r="CE122" s="300">
        <f t="shared" si="225"/>
        <v>-5.7267267100000003</v>
      </c>
      <c r="CF122" s="126">
        <f t="shared" ref="CF122:CF124" si="339">CF121*CE122/100+CF121</f>
        <v>1561061.4004745218</v>
      </c>
      <c r="CG122" s="6"/>
      <c r="CI122" s="39"/>
    </row>
    <row r="123" spans="1:87" x14ac:dyDescent="0.25">
      <c r="A123" s="20">
        <v>44712</v>
      </c>
      <c r="B123" s="24">
        <f t="shared" si="297"/>
        <v>108</v>
      </c>
      <c r="C123" s="297">
        <f>'LC (Gross)'!K285</f>
        <v>0.18353</v>
      </c>
      <c r="D123" s="297">
        <v>0.87984079999999998</v>
      </c>
      <c r="E123" s="297">
        <v>0.64467390000000002</v>
      </c>
      <c r="F123" s="297">
        <v>0</v>
      </c>
      <c r="G123" s="39"/>
      <c r="H123" s="20">
        <f t="shared" si="259"/>
        <v>44712</v>
      </c>
      <c r="I123" s="27">
        <v>1.480106688972624</v>
      </c>
      <c r="J123" s="126">
        <f t="shared" si="328"/>
        <v>2059601.1294636184</v>
      </c>
      <c r="K123" s="37"/>
      <c r="L123" s="49"/>
      <c r="M123" s="17"/>
      <c r="N123" s="79"/>
      <c r="O123" s="20">
        <f t="shared" si="189"/>
        <v>44712</v>
      </c>
      <c r="P123" s="300">
        <f t="shared" si="221"/>
        <v>0.31633631679999996</v>
      </c>
      <c r="Q123" s="126">
        <f t="shared" ref="Q123:Q124" si="340">Q122*P123/100+Q122</f>
        <v>2159506.3824704825</v>
      </c>
      <c r="R123" s="6"/>
      <c r="S123" s="5"/>
      <c r="T123" s="39"/>
      <c r="U123" s="20">
        <f t="shared" si="190"/>
        <v>44712</v>
      </c>
      <c r="V123" s="27">
        <v>1.3525287707703899</v>
      </c>
      <c r="W123" s="126">
        <f t="shared" ref="W123:W124" si="341">W122*V123/100+W122</f>
        <v>1943019.49736702</v>
      </c>
      <c r="X123" s="6"/>
      <c r="Y123" s="5"/>
      <c r="Z123" s="5"/>
      <c r="AA123" s="79"/>
      <c r="AB123" s="20">
        <f t="shared" si="191"/>
        <v>44712</v>
      </c>
      <c r="AC123" s="300">
        <f t="shared" si="222"/>
        <v>0.37427503000000001</v>
      </c>
      <c r="AD123" s="126">
        <f t="shared" si="331"/>
        <v>1927331.3360818005</v>
      </c>
      <c r="AG123" s="44"/>
      <c r="AH123" s="20">
        <f t="shared" si="183"/>
        <v>44712</v>
      </c>
      <c r="AI123" s="27">
        <v>1.2672318671132057</v>
      </c>
      <c r="AJ123" s="126">
        <f t="shared" si="332"/>
        <v>1748518.9840836057</v>
      </c>
      <c r="AM123" s="5"/>
      <c r="AN123" s="79"/>
      <c r="AO123" s="20">
        <f t="shared" si="144"/>
        <v>44712</v>
      </c>
      <c r="AP123" s="300">
        <f t="shared" si="223"/>
        <v>0.43865137799999998</v>
      </c>
      <c r="AQ123" s="126">
        <f t="shared" si="333"/>
        <v>1743615.7175908957</v>
      </c>
      <c r="AT123" s="39"/>
      <c r="AU123" s="20">
        <f t="shared" si="145"/>
        <v>44712</v>
      </c>
      <c r="AV123" s="27">
        <v>1.1184764844065445</v>
      </c>
      <c r="AW123" s="126">
        <f t="shared" si="334"/>
        <v>1322023.17989537</v>
      </c>
      <c r="AZ123" s="5"/>
      <c r="BA123" s="79"/>
      <c r="BB123" s="20">
        <f t="shared" si="146"/>
        <v>44712</v>
      </c>
      <c r="BC123" s="300">
        <f t="shared" si="224"/>
        <v>0.53521590000000008</v>
      </c>
      <c r="BD123" s="126">
        <f t="shared" si="335"/>
        <v>1361151.0768619608</v>
      </c>
      <c r="BG123" s="39"/>
      <c r="BH123" s="20">
        <f t="shared" si="147"/>
        <v>44712</v>
      </c>
      <c r="BI123" s="27">
        <v>0.99233906275820682</v>
      </c>
      <c r="BJ123" s="126">
        <f t="shared" si="336"/>
        <v>1032225.4968889948</v>
      </c>
      <c r="BN123" s="79"/>
      <c r="BO123" s="20">
        <f t="shared" si="148"/>
        <v>44712</v>
      </c>
      <c r="BP123" s="300">
        <f t="shared" si="256"/>
        <v>0.58349816099999996</v>
      </c>
      <c r="BQ123" s="126">
        <f t="shared" si="337"/>
        <v>1017992.8205241212</v>
      </c>
      <c r="BV123" s="39"/>
      <c r="BW123" s="20">
        <f t="shared" si="149"/>
        <v>44712</v>
      </c>
      <c r="BX123" s="27">
        <v>1.2260369014754593</v>
      </c>
      <c r="BY123" s="126">
        <f t="shared" si="338"/>
        <v>1614969.0311325854</v>
      </c>
      <c r="CB123" s="5"/>
      <c r="CC123" s="79"/>
      <c r="CD123" s="20">
        <f t="shared" si="150"/>
        <v>44712</v>
      </c>
      <c r="CE123" s="300">
        <f t="shared" si="225"/>
        <v>0.48693363899999997</v>
      </c>
      <c r="CF123" s="126">
        <f t="shared" si="339"/>
        <v>1568662.7335588767</v>
      </c>
      <c r="CI123" s="39"/>
    </row>
    <row r="124" spans="1:87" x14ac:dyDescent="0.25">
      <c r="A124" s="20">
        <v>44742</v>
      </c>
      <c r="B124" s="24">
        <f t="shared" si="297"/>
        <v>109</v>
      </c>
      <c r="C124" s="297">
        <f>'LC (Gross)'!K286</f>
        <v>-8.2601279999999999</v>
      </c>
      <c r="D124" s="297">
        <v>-9.2557460000000003</v>
      </c>
      <c r="E124" s="297">
        <v>-1.5687279999999999</v>
      </c>
      <c r="F124" s="297">
        <v>0</v>
      </c>
      <c r="G124" s="39"/>
      <c r="H124" s="20">
        <f t="shared" si="259"/>
        <v>44742</v>
      </c>
      <c r="I124" s="27">
        <v>-6.3614967366857371</v>
      </c>
      <c r="J124" s="126">
        <f t="shared" si="328"/>
        <v>1928579.6708240476</v>
      </c>
      <c r="K124" s="6"/>
      <c r="L124" s="49">
        <f>(J124/J121-1)*100</f>
        <v>-9.9842233370302296</v>
      </c>
      <c r="M124" s="17"/>
      <c r="N124" s="79"/>
      <c r="O124" s="20">
        <f t="shared" si="189"/>
        <v>44742</v>
      </c>
      <c r="P124" s="300">
        <f t="shared" si="221"/>
        <v>-8.2900665680000003</v>
      </c>
      <c r="Q124" s="126">
        <f t="shared" si="340"/>
        <v>1980481.8658234708</v>
      </c>
      <c r="R124" s="6"/>
      <c r="S124" s="49">
        <f>(Q124/Q121-1)*100</f>
        <v>-15.444098325557121</v>
      </c>
      <c r="T124" s="39"/>
      <c r="U124" s="20">
        <f t="shared" si="190"/>
        <v>44742</v>
      </c>
      <c r="V124" s="27">
        <v>-6.1661328751946982</v>
      </c>
      <c r="W124" s="126">
        <f t="shared" si="341"/>
        <v>1823210.3333684294</v>
      </c>
      <c r="X124" s="6"/>
      <c r="Y124" s="49">
        <f>(W124/W121-1)*100</f>
        <v>-9.7135849324750616</v>
      </c>
      <c r="AA124" s="79"/>
      <c r="AB124" s="20">
        <f t="shared" si="191"/>
        <v>44742</v>
      </c>
      <c r="AC124" s="300">
        <f t="shared" si="222"/>
        <v>-7.0497723199999998</v>
      </c>
      <c r="AD124" s="126">
        <f t="shared" si="331"/>
        <v>1791458.8650360196</v>
      </c>
      <c r="AE124" s="6"/>
      <c r="AF124" s="49">
        <f>(AD124/AD121-1)*100</f>
        <v>-13.501767455025515</v>
      </c>
      <c r="AG124" s="44"/>
      <c r="AH124" s="20">
        <f t="shared" si="183"/>
        <v>44742</v>
      </c>
      <c r="AI124" s="27">
        <v>-4.8837790105730159</v>
      </c>
      <c r="AJ124" s="126">
        <f t="shared" si="332"/>
        <v>1663125.180943046</v>
      </c>
      <c r="AK124" s="6"/>
      <c r="AL124" s="49">
        <f>(AJ124/AJ121-1)*100</f>
        <v>-8.0457634016399719</v>
      </c>
      <c r="AN124" s="79"/>
      <c r="AO124" s="20">
        <f t="shared" si="144"/>
        <v>44742</v>
      </c>
      <c r="AP124" s="300">
        <f t="shared" si="223"/>
        <v>-5.6716676000000001</v>
      </c>
      <c r="AQ124" s="126">
        <f t="shared" si="333"/>
        <v>1644723.6298677854</v>
      </c>
      <c r="AR124" s="6"/>
      <c r="AS124" s="49">
        <f>(AQ124/AQ121-1)*100</f>
        <v>-11.317590475602602</v>
      </c>
      <c r="AT124" s="39"/>
      <c r="AU124" s="20">
        <f t="shared" si="145"/>
        <v>44742</v>
      </c>
      <c r="AV124" s="27">
        <v>-3.3766786798121085</v>
      </c>
      <c r="AW124" s="126">
        <f t="shared" si="334"/>
        <v>1277382.705037669</v>
      </c>
      <c r="AX124" s="6"/>
      <c r="AY124" s="49">
        <f>(AW124/AW121-1)*100</f>
        <v>-5.9474655517800183</v>
      </c>
      <c r="BA124" s="79"/>
      <c r="BB124" s="20">
        <f t="shared" si="146"/>
        <v>44742</v>
      </c>
      <c r="BC124" s="300">
        <f t="shared" si="224"/>
        <v>-3.6045105199999998</v>
      </c>
      <c r="BD124" s="126">
        <f t="shared" si="335"/>
        <v>1312088.2431033782</v>
      </c>
      <c r="BE124" s="6"/>
      <c r="BF124" s="49">
        <f>(BD124/BD121-1)*100</f>
        <v>-7.989845974355692</v>
      </c>
      <c r="BG124" s="39"/>
      <c r="BH124" s="20">
        <f t="shared" si="147"/>
        <v>44742</v>
      </c>
      <c r="BI124" s="27">
        <v>-2.5968983018083325</v>
      </c>
      <c r="BJ124" s="126">
        <f t="shared" si="336"/>
        <v>1005419.6504894519</v>
      </c>
      <c r="BK124" s="6"/>
      <c r="BL124" s="49">
        <f>(BJ124/BJ121-1)*100</f>
        <v>-5.0579065709029258</v>
      </c>
      <c r="BN124" s="79"/>
      <c r="BO124" s="20">
        <f t="shared" si="148"/>
        <v>44742</v>
      </c>
      <c r="BP124" s="300">
        <f t="shared" si="256"/>
        <v>-2.5709319800000001</v>
      </c>
      <c r="BQ124" s="126">
        <f t="shared" si="337"/>
        <v>991820.91754716251</v>
      </c>
      <c r="BR124" s="6"/>
      <c r="BS124" s="49">
        <f>(BQ124/BQ121-1)*100</f>
        <v>-6.3027647411295185</v>
      </c>
      <c r="BV124" s="39"/>
      <c r="BW124" s="20">
        <f t="shared" si="149"/>
        <v>44742</v>
      </c>
      <c r="BX124" s="27">
        <v>-4.2227881427919893</v>
      </c>
      <c r="BY124" s="126">
        <f t="shared" si="338"/>
        <v>1546772.3103761559</v>
      </c>
      <c r="BZ124" s="6"/>
      <c r="CA124" s="49">
        <f>(BY124/BY121-1)*100</f>
        <v>-7.0644439585985204</v>
      </c>
      <c r="CC124" s="79"/>
      <c r="CD124" s="20">
        <f t="shared" si="150"/>
        <v>44742</v>
      </c>
      <c r="CE124" s="300">
        <f t="shared" si="225"/>
        <v>-4.6380890599999995</v>
      </c>
      <c r="CF124" s="126">
        <f t="shared" si="339"/>
        <v>1495906.7589253855</v>
      </c>
      <c r="CG124" s="6"/>
      <c r="CH124" s="49">
        <f>(CF124/CF121-1)*100</f>
        <v>-9.6614478727976909</v>
      </c>
      <c r="CI124" s="39"/>
    </row>
    <row r="125" spans="1:87" x14ac:dyDescent="0.25">
      <c r="A125" s="20">
        <v>44773</v>
      </c>
      <c r="B125" s="24">
        <f t="shared" si="297"/>
        <v>110</v>
      </c>
      <c r="C125" s="297">
        <f>'LC (Gross)'!K287</f>
        <v>9.2206969999999995</v>
      </c>
      <c r="D125" s="297">
        <v>5.0033500000000002</v>
      </c>
      <c r="E125" s="297">
        <v>2.4434019999999999</v>
      </c>
      <c r="F125" s="297">
        <v>0</v>
      </c>
      <c r="G125" s="39"/>
      <c r="H125" s="20">
        <f t="shared" si="259"/>
        <v>44773</v>
      </c>
      <c r="I125" s="27">
        <v>5.9547955297801556</v>
      </c>
      <c r="J125" s="126">
        <f t="shared" ref="J125" si="342">J124*I125/100+J124</f>
        <v>2043422.6468505268</v>
      </c>
      <c r="K125" s="6"/>
      <c r="M125" s="17"/>
      <c r="N125" s="79"/>
      <c r="O125" s="20">
        <f t="shared" si="189"/>
        <v>44773</v>
      </c>
      <c r="P125" s="300">
        <f t="shared" si="221"/>
        <v>8.2096830480000005</v>
      </c>
      <c r="Q125" s="126">
        <f t="shared" ref="Q125" si="343">Q124*P125/100+Q124</f>
        <v>2143073.1498306943</v>
      </c>
      <c r="R125" s="6"/>
      <c r="T125" s="39"/>
      <c r="U125" s="20">
        <f t="shared" si="190"/>
        <v>44773</v>
      </c>
      <c r="V125" s="27">
        <v>5.449851405691418</v>
      </c>
      <c r="W125" s="126">
        <f t="shared" ref="W125" si="344">W124*V125/100+W124</f>
        <v>1922572.58735022</v>
      </c>
      <c r="X125" s="6"/>
      <c r="AA125" s="79"/>
      <c r="AB125" s="20">
        <f t="shared" si="191"/>
        <v>44773</v>
      </c>
      <c r="AC125" s="300">
        <f t="shared" si="222"/>
        <v>7.1415944400000004</v>
      </c>
      <c r="AD125" s="126">
        <f t="shared" ref="AD125" si="345">AD124*AC125/100+AD124</f>
        <v>1919397.591736319</v>
      </c>
      <c r="AE125" s="6"/>
      <c r="AG125" s="44"/>
      <c r="AH125" s="20">
        <f t="shared" si="183"/>
        <v>44773</v>
      </c>
      <c r="AI125" s="27">
        <v>4.3040313118079956</v>
      </c>
      <c r="AJ125" s="126">
        <f t="shared" ref="AJ125" si="346">AJ124*AI125/100+AJ124</f>
        <v>1734706.609485398</v>
      </c>
      <c r="AK125" s="6"/>
      <c r="AN125" s="79"/>
      <c r="AO125" s="20">
        <f t="shared" si="144"/>
        <v>44773</v>
      </c>
      <c r="AP125" s="300">
        <f t="shared" si="223"/>
        <v>5.95482932</v>
      </c>
      <c r="AQ125" s="126">
        <f t="shared" ref="AQ125" si="347">AQ124*AP125/100+AQ124</f>
        <v>1742664.1148121206</v>
      </c>
      <c r="AR125" s="6"/>
      <c r="AT125" s="39"/>
      <c r="AU125" s="20">
        <f t="shared" si="145"/>
        <v>44773</v>
      </c>
      <c r="AV125" s="27">
        <v>2.8730323120084811</v>
      </c>
      <c r="AW125" s="126">
        <f t="shared" ref="AW125" si="348">AW124*AV125/100+AW124</f>
        <v>1314082.3229014094</v>
      </c>
      <c r="AX125" s="6"/>
      <c r="BA125" s="79"/>
      <c r="BB125" s="20">
        <f t="shared" si="146"/>
        <v>44773</v>
      </c>
      <c r="BC125" s="300">
        <f t="shared" si="224"/>
        <v>4.1746816400000002</v>
      </c>
      <c r="BD125" s="126">
        <f t="shared" ref="BD125" si="349">BD124*BC125/100+BD124</f>
        <v>1366863.7500888135</v>
      </c>
      <c r="BE125" s="6"/>
      <c r="BG125" s="39"/>
      <c r="BH125" s="20">
        <f t="shared" si="147"/>
        <v>44773</v>
      </c>
      <c r="BI125" s="27">
        <v>2.3410652893390416</v>
      </c>
      <c r="BJ125" s="126">
        <f t="shared" ref="BJ125" si="350">BJ124*BI125/100+BJ124</f>
        <v>1028957.1809392545</v>
      </c>
      <c r="BK125" s="6"/>
      <c r="BN125" s="79"/>
      <c r="BO125" s="20">
        <f t="shared" si="148"/>
        <v>44773</v>
      </c>
      <c r="BP125" s="300">
        <f t="shared" si="256"/>
        <v>3.2846077999999999</v>
      </c>
      <c r="BQ125" s="126">
        <f t="shared" ref="BQ125" si="351">BQ124*BP125/100+BQ124</f>
        <v>1024398.3447669481</v>
      </c>
      <c r="BR125" s="6"/>
      <c r="BV125" s="39"/>
      <c r="BW125" s="20">
        <f t="shared" si="149"/>
        <v>44773</v>
      </c>
      <c r="BX125" s="27">
        <v>3.6680647643137623</v>
      </c>
      <c r="BY125" s="126">
        <f t="shared" ref="BY125" si="352">BY124*BX125/100+BY124</f>
        <v>1603508.9204772257</v>
      </c>
      <c r="BZ125" s="6"/>
      <c r="CC125" s="79"/>
      <c r="CD125" s="20">
        <f t="shared" si="150"/>
        <v>44773</v>
      </c>
      <c r="CE125" s="300">
        <f t="shared" si="225"/>
        <v>5.0647554799999996</v>
      </c>
      <c r="CF125" s="126">
        <f t="shared" ref="CF125" si="353">CF124*CE125/100+CF124</f>
        <v>1571670.7784737493</v>
      </c>
      <c r="CG125" s="6"/>
      <c r="CI125" s="39"/>
    </row>
    <row r="126" spans="1:87" x14ac:dyDescent="0.25">
      <c r="A126" s="20">
        <v>44804</v>
      </c>
      <c r="B126" s="24">
        <f t="shared" si="297"/>
        <v>111</v>
      </c>
      <c r="C126" s="297">
        <f>'LC (Gross)'!K288</f>
        <v>-4.0782619999999996</v>
      </c>
      <c r="D126" s="297">
        <v>-4.7230889999999999</v>
      </c>
      <c r="E126" s="297">
        <v>-2.825256</v>
      </c>
      <c r="F126" s="297">
        <v>0</v>
      </c>
      <c r="G126" s="39"/>
      <c r="H126" s="20">
        <f t="shared" si="259"/>
        <v>44804</v>
      </c>
      <c r="I126" s="27">
        <v>-2.8640243184992173</v>
      </c>
      <c r="J126" s="126">
        <f t="shared" ref="J126" si="354">J125*I126/100+J125</f>
        <v>1984898.5253150074</v>
      </c>
      <c r="K126" s="6"/>
      <c r="M126" s="17"/>
      <c r="N126" s="79"/>
      <c r="O126" s="20">
        <f t="shared" si="189"/>
        <v>44804</v>
      </c>
      <c r="P126" s="300">
        <f>78.4%*$C126+19.6%*$D126+0%*$E126+2%*$F126</f>
        <v>-4.1230828519999996</v>
      </c>
      <c r="Q126" s="126">
        <f t="shared" ref="Q126" si="355">Q125*P126/100+Q125</f>
        <v>2054712.4682842088</v>
      </c>
      <c r="R126" s="6"/>
      <c r="T126" s="39"/>
      <c r="U126" s="20">
        <f t="shared" si="190"/>
        <v>44804</v>
      </c>
      <c r="V126" s="27">
        <v>-3.3451722495656582</v>
      </c>
      <c r="W126" s="126">
        <f t="shared" ref="W126" si="356">W125*V126/100+W125</f>
        <v>1858259.2226804239</v>
      </c>
      <c r="X126" s="6"/>
      <c r="AA126" s="79"/>
      <c r="AB126" s="20">
        <f t="shared" si="191"/>
        <v>44804</v>
      </c>
      <c r="AC126" s="300">
        <f t="shared" si="222"/>
        <v>-3.8743279999999998</v>
      </c>
      <c r="AD126" s="126">
        <f t="shared" ref="AD126" si="357">AD125*AC126/100+AD125</f>
        <v>1845033.8334083532</v>
      </c>
      <c r="AE126" s="6"/>
      <c r="AG126" s="44"/>
      <c r="AH126" s="20">
        <f t="shared" si="183"/>
        <v>44804</v>
      </c>
      <c r="AI126" s="27">
        <v>-2.9342679300249142</v>
      </c>
      <c r="AJ126" s="126">
        <f t="shared" ref="AJ126" si="358">AJ125*AI126/100+AJ125</f>
        <v>1683805.6697632454</v>
      </c>
      <c r="AK126" s="6"/>
      <c r="AN126" s="79"/>
      <c r="AO126" s="20">
        <f t="shared" si="144"/>
        <v>44804</v>
      </c>
      <c r="AP126" s="300">
        <f t="shared" si="223"/>
        <v>-3.5979337199999999</v>
      </c>
      <c r="AQ126" s="126">
        <f t="shared" ref="AQ126" si="359">AQ125*AP126/100+AQ125</f>
        <v>1679964.2149989558</v>
      </c>
      <c r="AR126" s="6"/>
      <c r="AT126" s="39"/>
      <c r="AU126" s="20">
        <f t="shared" si="145"/>
        <v>44804</v>
      </c>
      <c r="AV126" s="27">
        <v>-2.51605118191226</v>
      </c>
      <c r="AW126" s="126">
        <f t="shared" ref="AW126" si="360">AW125*AV126/100+AW125</f>
        <v>1281019.3390847484</v>
      </c>
      <c r="AX126" s="6"/>
      <c r="BA126" s="79"/>
      <c r="BB126" s="20">
        <f t="shared" si="146"/>
        <v>44804</v>
      </c>
      <c r="BC126" s="300">
        <f t="shared" si="224"/>
        <v>-3.1833423000000001</v>
      </c>
      <c r="BD126" s="126">
        <f t="shared" ref="BD126" si="361">BD125*BC126/100+BD125</f>
        <v>1323351.79814887</v>
      </c>
      <c r="BE126" s="6"/>
      <c r="BG126" s="39"/>
      <c r="BH126" s="20">
        <f t="shared" si="147"/>
        <v>44804</v>
      </c>
      <c r="BI126" s="27">
        <v>-2.2509667504012509</v>
      </c>
      <c r="BJ126" s="126">
        <f t="shared" ref="BJ126" si="362">BJ125*BI126/100+BJ125</f>
        <v>1005795.6969204458</v>
      </c>
      <c r="BK126" s="6"/>
      <c r="BN126" s="79"/>
      <c r="BO126" s="20">
        <f t="shared" si="148"/>
        <v>44804</v>
      </c>
      <c r="BP126" s="300">
        <f t="shared" si="256"/>
        <v>-2.9760465900000002</v>
      </c>
      <c r="BQ126" s="126">
        <f t="shared" ref="BQ126" si="363">BQ125*BP126/100+BQ125</f>
        <v>993911.77275949495</v>
      </c>
      <c r="BR126" s="6"/>
      <c r="BV126" s="39"/>
      <c r="BW126" s="20">
        <f t="shared" si="149"/>
        <v>44804</v>
      </c>
      <c r="BX126" s="27">
        <v>-2.7229113478772651</v>
      </c>
      <c r="BY126" s="126">
        <f t="shared" ref="BY126" si="364">BY125*BX126/100+BY125</f>
        <v>1559846.7941173271</v>
      </c>
      <c r="BZ126" s="6"/>
      <c r="CC126" s="79"/>
      <c r="CD126" s="20">
        <f t="shared" si="150"/>
        <v>44804</v>
      </c>
      <c r="CE126" s="300">
        <f t="shared" si="225"/>
        <v>-3.39063801</v>
      </c>
      <c r="CF126" s="126">
        <f t="shared" ref="CF126" si="365">CF125*CE126/100+CF125</f>
        <v>1518381.1116667555</v>
      </c>
      <c r="CG126" s="6"/>
      <c r="CI126" s="39"/>
    </row>
    <row r="127" spans="1:87" x14ac:dyDescent="0.25">
      <c r="A127" s="20">
        <v>44834</v>
      </c>
      <c r="B127" s="24">
        <f t="shared" ref="B127:B130" si="366">IF(A127&gt;A126,1+B126,"-")</f>
        <v>112</v>
      </c>
      <c r="C127" s="297">
        <f>'LC (Gross)'!K289</f>
        <v>-9.2175670000000007</v>
      </c>
      <c r="D127" s="297">
        <v>-9.2662139999999997</v>
      </c>
      <c r="E127" s="297">
        <v>-4.320894</v>
      </c>
      <c r="F127" s="297">
        <v>0</v>
      </c>
      <c r="G127" s="39"/>
      <c r="H127" s="20">
        <f t="shared" si="259"/>
        <v>44834</v>
      </c>
      <c r="I127" s="27">
        <v>-7.9088280291930237</v>
      </c>
      <c r="J127" s="126">
        <f t="shared" ref="J127" si="367">J126*I127/100+J126</f>
        <v>1827916.3143938552</v>
      </c>
      <c r="K127" s="6"/>
      <c r="L127" s="49">
        <f>(J127/J124-1)*100</f>
        <v>-5.2195591373822126</v>
      </c>
      <c r="M127" s="17"/>
      <c r="N127" s="79"/>
      <c r="O127" s="20">
        <f t="shared" si="189"/>
        <v>44834</v>
      </c>
      <c r="P127" s="300">
        <f>78.4%*$C127+19.6%*$D127+0%*$E127+2%*$F127</f>
        <v>-9.0427504720000016</v>
      </c>
      <c r="Q127" s="126">
        <f t="shared" ref="Q127" si="368">Q126*P127/100+Q126</f>
        <v>1868909.9468601956</v>
      </c>
      <c r="R127" s="6"/>
      <c r="S127" s="49">
        <f>(Q127/Q124-1)*100</f>
        <v>-5.6335743784699748</v>
      </c>
      <c r="T127" s="39"/>
      <c r="U127" s="20">
        <f t="shared" si="190"/>
        <v>44834</v>
      </c>
      <c r="V127" s="27">
        <v>-7.4833302620032978</v>
      </c>
      <c r="W127" s="126">
        <f t="shared" ref="W127" si="369">W126*V127/100+W126</f>
        <v>1719199.5479231125</v>
      </c>
      <c r="X127" s="6"/>
      <c r="Y127" s="49">
        <f>(W127/W124-1)*100</f>
        <v>-5.7048154862721852</v>
      </c>
      <c r="AA127" s="79"/>
      <c r="AB127" s="20">
        <f t="shared" si="191"/>
        <v>44834</v>
      </c>
      <c r="AC127" s="300">
        <f t="shared" si="222"/>
        <v>-8.1595980400000006</v>
      </c>
      <c r="AD127" s="126">
        <f t="shared" ref="AD127" si="370">AD126*AC127/100+AD126</f>
        <v>1694486.4889002284</v>
      </c>
      <c r="AE127" s="6"/>
      <c r="AF127" s="49">
        <f>(AD127/AD124-1)*100</f>
        <v>-5.4130395081017575</v>
      </c>
      <c r="AG127" s="44"/>
      <c r="AH127" s="20">
        <f t="shared" si="183"/>
        <v>44834</v>
      </c>
      <c r="AI127" s="27">
        <v>-6.0631317417128887</v>
      </c>
      <c r="AJ127" s="126">
        <f t="shared" ref="AJ127" si="371">AJ126*AI127/100+AJ126</f>
        <v>1581714.3137310687</v>
      </c>
      <c r="AK127" s="6"/>
      <c r="AL127" s="49">
        <f>(AJ127/AJ124-1)*100</f>
        <v>-4.8950534899492411</v>
      </c>
      <c r="AN127" s="79"/>
      <c r="AO127" s="20">
        <f t="shared" si="144"/>
        <v>44834</v>
      </c>
      <c r="AP127" s="300">
        <f t="shared" si="223"/>
        <v>-7.17831756</v>
      </c>
      <c r="AQ127" s="126">
        <f t="shared" ref="AQ127" si="372">AQ126*AP127/100+AQ126</f>
        <v>1559371.0487519696</v>
      </c>
      <c r="AR127" s="6"/>
      <c r="AS127" s="49">
        <f>(AQ127/AQ124-1)*100</f>
        <v>-5.1894786191329363</v>
      </c>
      <c r="AT127" s="39"/>
      <c r="AU127" s="20">
        <f t="shared" si="145"/>
        <v>44834</v>
      </c>
      <c r="AV127" s="27">
        <v>-4.5587877327021964</v>
      </c>
      <c r="AW127" s="126">
        <f t="shared" ref="AW127" si="373">AW126*AV127/100+AW126</f>
        <v>1222620.3866010101</v>
      </c>
      <c r="AX127" s="6"/>
      <c r="AY127" s="49">
        <f>(AW127/AW124-1)*100</f>
        <v>-4.2870721687940812</v>
      </c>
      <c r="BA127" s="79"/>
      <c r="BB127" s="20">
        <f t="shared" si="146"/>
        <v>44834</v>
      </c>
      <c r="BC127" s="300">
        <f t="shared" si="224"/>
        <v>-5.70639684</v>
      </c>
      <c r="BD127" s="126">
        <f t="shared" ref="BD127" si="374">BD126*BC127/100+BD126</f>
        <v>1247836.0929572198</v>
      </c>
      <c r="BE127" s="6"/>
      <c r="BF127" s="49">
        <f>(BD127/BD124-1)*100</f>
        <v>-4.8969381810927466</v>
      </c>
      <c r="BG127" s="39"/>
      <c r="BH127" s="20">
        <f t="shared" si="147"/>
        <v>44834</v>
      </c>
      <c r="BI127" s="27">
        <v>-3.8103536345958857</v>
      </c>
      <c r="BJ127" s="126">
        <f t="shared" ref="BJ127" si="375">BJ126*BI127/100+BJ126</f>
        <v>967471.32402622851</v>
      </c>
      <c r="BK127" s="6"/>
      <c r="BL127" s="49">
        <f>(BJ127/BJ124-1)*100</f>
        <v>-3.7743768430177016</v>
      </c>
      <c r="BN127" s="79"/>
      <c r="BO127" s="20">
        <f t="shared" si="148"/>
        <v>44834</v>
      </c>
      <c r="BP127" s="300">
        <f t="shared" si="256"/>
        <v>-4.97043648</v>
      </c>
      <c r="BQ127" s="126">
        <f t="shared" ref="BQ127" si="376">BQ126*BP127/100+BQ126</f>
        <v>944510.01942724234</v>
      </c>
      <c r="BR127" s="6"/>
      <c r="BS127" s="49">
        <f>(BQ127/BQ124-1)*100</f>
        <v>-4.7701048932223706</v>
      </c>
      <c r="BV127" s="39"/>
      <c r="BW127" s="20">
        <f t="shared" si="149"/>
        <v>44834</v>
      </c>
      <c r="BX127" s="27">
        <v>-5.3602401221440648</v>
      </c>
      <c r="BY127" s="126">
        <f t="shared" ref="BY127" si="377">BY126*BX127/100+BY126</f>
        <v>1476235.2604150721</v>
      </c>
      <c r="BZ127" s="6"/>
      <c r="CA127" s="49">
        <f>(BY127/BY124-1)*100</f>
        <v>-4.5602736413047129</v>
      </c>
      <c r="CC127" s="79"/>
      <c r="CD127" s="20">
        <f t="shared" si="150"/>
        <v>44834</v>
      </c>
      <c r="CE127" s="300">
        <f t="shared" si="225"/>
        <v>-6.4423572</v>
      </c>
      <c r="CF127" s="126">
        <f t="shared" ref="CF127" si="378">CF126*CE127/100+CF126</f>
        <v>1420561.5767958523</v>
      </c>
      <c r="CG127" s="6"/>
      <c r="CH127" s="49">
        <f>(CF127/CF124-1)*100</f>
        <v>-5.0367565812496906</v>
      </c>
      <c r="CI127" s="39"/>
    </row>
    <row r="128" spans="1:87" x14ac:dyDescent="0.25">
      <c r="A128" s="20">
        <v>44865</v>
      </c>
      <c r="B128" s="24">
        <f t="shared" si="366"/>
        <v>113</v>
      </c>
      <c r="C128" s="297">
        <f>'LC (Gross)'!K290</f>
        <v>8.0963370000000001</v>
      </c>
      <c r="D128" s="297">
        <v>5.3822539999999996</v>
      </c>
      <c r="E128" s="297">
        <v>-1.295337</v>
      </c>
      <c r="F128" s="297">
        <v>0</v>
      </c>
      <c r="G128" s="39"/>
      <c r="H128" s="20">
        <f t="shared" si="259"/>
        <v>44865</v>
      </c>
      <c r="I128" s="27">
        <v>8.1379265097207032</v>
      </c>
      <c r="J128" s="126">
        <f t="shared" ref="J128" si="379">J127*I128/100+J127</f>
        <v>1976670.8007184223</v>
      </c>
      <c r="K128" s="6"/>
      <c r="L128" s="49"/>
      <c r="M128" s="17"/>
      <c r="N128" s="79"/>
      <c r="O128" s="20">
        <f t="shared" si="189"/>
        <v>44865</v>
      </c>
      <c r="P128" s="300">
        <f>78.4%*$C128+19.6%*$D128+0%*$E128+2%*$F128</f>
        <v>7.4024499920000002</v>
      </c>
      <c r="Q128" s="126">
        <f t="shared" ref="Q128" si="380">Q127*P128/100+Q127</f>
        <v>2007255.0710720355</v>
      </c>
      <c r="R128" s="6"/>
      <c r="S128" s="49"/>
      <c r="T128" s="39"/>
      <c r="U128" s="20">
        <f t="shared" si="190"/>
        <v>44865</v>
      </c>
      <c r="V128" s="27">
        <v>7.4988333407870087</v>
      </c>
      <c r="W128" s="126">
        <f t="shared" ref="W128" si="381">W127*V128/100+W127</f>
        <v>1848119.4568174304</v>
      </c>
      <c r="X128" s="6"/>
      <c r="Y128" s="49"/>
      <c r="AA128" s="79"/>
      <c r="AB128" s="20">
        <f t="shared" si="191"/>
        <v>44865</v>
      </c>
      <c r="AC128" s="300">
        <f t="shared" si="222"/>
        <v>5.8096556599999998</v>
      </c>
      <c r="AD128" s="126">
        <f t="shared" ref="AD128" si="382">AD127*AC128/100+AD127</f>
        <v>1792930.3191105558</v>
      </c>
      <c r="AE128" s="6"/>
      <c r="AF128" s="49"/>
      <c r="AG128" s="44"/>
      <c r="AH128" s="20">
        <f t="shared" si="183"/>
        <v>44865</v>
      </c>
      <c r="AI128" s="27">
        <v>5.6241169626671033</v>
      </c>
      <c r="AJ128" s="126">
        <f t="shared" ref="AJ128" si="383">AJ127*AI128/100+AJ127</f>
        <v>1670671.7767505513</v>
      </c>
      <c r="AK128" s="6"/>
      <c r="AL128" s="49"/>
      <c r="AN128" s="79"/>
      <c r="AO128" s="20">
        <f t="shared" si="144"/>
        <v>44865</v>
      </c>
      <c r="AP128" s="300">
        <f t="shared" si="223"/>
        <v>4.0398841799999996</v>
      </c>
      <c r="AQ128" s="126">
        <f t="shared" ref="AQ128" si="384">AQ127*AP128/100+AQ127</f>
        <v>1622367.8330580005</v>
      </c>
      <c r="AR128" s="6"/>
      <c r="AS128" s="49"/>
      <c r="AT128" s="39"/>
      <c r="AU128" s="20">
        <f t="shared" si="145"/>
        <v>44865</v>
      </c>
      <c r="AV128" s="27">
        <v>3.0873866338582618</v>
      </c>
      <c r="AW128" s="126">
        <f t="shared" ref="AW128" si="385">AW127*AV128/100+AW127</f>
        <v>1260367.4049997558</v>
      </c>
      <c r="AX128" s="6"/>
      <c r="AY128" s="49"/>
      <c r="BA128" s="79"/>
      <c r="BB128" s="20">
        <f t="shared" si="146"/>
        <v>44865</v>
      </c>
      <c r="BC128" s="300">
        <f t="shared" si="224"/>
        <v>1.38522696</v>
      </c>
      <c r="BD128" s="126">
        <f t="shared" ref="BD128" si="386">BD127*BC128/100+BD127</f>
        <v>1265121.4549334738</v>
      </c>
      <c r="BE128" s="6"/>
      <c r="BF128" s="49"/>
      <c r="BG128" s="39"/>
      <c r="BH128" s="20">
        <f t="shared" si="147"/>
        <v>44865</v>
      </c>
      <c r="BI128" s="27">
        <v>1.9070257586199724</v>
      </c>
      <c r="BJ128" s="126">
        <f t="shared" ref="BJ128" si="387">BJ127*BI128/100+BJ127</f>
        <v>985921.25138267037</v>
      </c>
      <c r="BK128" s="6"/>
      <c r="BL128" s="49"/>
      <c r="BN128" s="79"/>
      <c r="BO128" s="20">
        <f t="shared" si="148"/>
        <v>44865</v>
      </c>
      <c r="BP128" s="300">
        <f t="shared" si="256"/>
        <v>5.7898350000000098E-2</v>
      </c>
      <c r="BQ128" s="126">
        <f t="shared" ref="BQ128" si="388">BQ127*BP128/100+BQ127</f>
        <v>945056.87514407537</v>
      </c>
      <c r="BR128" s="6"/>
      <c r="BS128" s="49"/>
      <c r="BV128" s="39"/>
      <c r="BW128" s="20">
        <f t="shared" si="149"/>
        <v>44865</v>
      </c>
      <c r="BX128" s="27">
        <v>4.6023342999328731</v>
      </c>
      <c r="BY128" s="126">
        <f t="shared" ref="BY128" si="389">BY127*BX128/100+BY127</f>
        <v>1544176.5421528583</v>
      </c>
      <c r="BZ128" s="6"/>
      <c r="CA128" s="49"/>
      <c r="CC128" s="79"/>
      <c r="CD128" s="20">
        <f t="shared" si="150"/>
        <v>44865</v>
      </c>
      <c r="CE128" s="300">
        <f t="shared" si="225"/>
        <v>2.7125555700000001</v>
      </c>
      <c r="CF128" s="126">
        <f t="shared" ref="CF128" si="390">CF127*CE128/100+CF127</f>
        <v>1459095.098972508</v>
      </c>
      <c r="CG128" s="6"/>
      <c r="CH128" s="49"/>
      <c r="CI128" s="39"/>
    </row>
    <row r="129" spans="1:87" x14ac:dyDescent="0.25">
      <c r="A129" s="20">
        <v>44895</v>
      </c>
      <c r="B129" s="24">
        <f t="shared" si="366"/>
        <v>114</v>
      </c>
      <c r="C129" s="297">
        <f>'LC (Gross)'!K291</f>
        <v>5.5884159999999996</v>
      </c>
      <c r="D129" s="297">
        <v>11.28983</v>
      </c>
      <c r="E129" s="297">
        <v>3.6775630000000001</v>
      </c>
      <c r="F129" s="297">
        <v>0</v>
      </c>
      <c r="G129" s="39"/>
      <c r="H129" s="20">
        <f t="shared" si="259"/>
        <v>44895</v>
      </c>
      <c r="I129" s="27">
        <v>5.0515884930107706</v>
      </c>
      <c r="J129" s="126">
        <f t="shared" ref="J129:J135" si="391">J128*I129/100+J128</f>
        <v>2076524.0754322179</v>
      </c>
      <c r="K129" s="6"/>
      <c r="L129" s="49"/>
      <c r="M129" s="17"/>
      <c r="N129" s="79"/>
      <c r="O129" s="20">
        <f t="shared" si="189"/>
        <v>44895</v>
      </c>
      <c r="P129" s="300">
        <f>78.4%*$C129+19.6%*$D129+0%*$E129+2%*$F129</f>
        <v>6.5941248239999997</v>
      </c>
      <c r="Q129" s="126">
        <f t="shared" ref="Q129:Q135" si="392">Q128*P129/100+Q128</f>
        <v>2139615.9759945953</v>
      </c>
      <c r="R129" s="6"/>
      <c r="S129" s="49"/>
      <c r="T129" s="39"/>
      <c r="U129" s="20">
        <f t="shared" si="190"/>
        <v>44895</v>
      </c>
      <c r="V129" s="27">
        <v>5.0941441145786541</v>
      </c>
      <c r="W129" s="126">
        <f t="shared" ref="W129:W135" si="393">W128*V129/100+W128</f>
        <v>1942265.3253572786</v>
      </c>
      <c r="X129" s="6"/>
      <c r="Y129" s="49"/>
      <c r="AA129" s="79"/>
      <c r="AB129" s="20">
        <f t="shared" si="191"/>
        <v>44895</v>
      </c>
      <c r="AC129" s="300">
        <f t="shared" si="222"/>
        <v>6.0449203799999989</v>
      </c>
      <c r="AD129" s="126">
        <f t="shared" ref="AD129:AD135" si="394">AD128*AC129/100+AD128</f>
        <v>1901311.5293696688</v>
      </c>
      <c r="AE129" s="6"/>
      <c r="AF129" s="49"/>
      <c r="AG129" s="44"/>
      <c r="AH129" s="20">
        <f t="shared" si="183"/>
        <v>44895</v>
      </c>
      <c r="AI129" s="27">
        <v>4.2582827372010605</v>
      </c>
      <c r="AJ129" s="126">
        <f t="shared" ref="AJ129:AJ135" si="395">AJ128*AI129/100+AJ128</f>
        <v>1741813.7046152102</v>
      </c>
      <c r="AK129" s="6"/>
      <c r="AL129" s="49"/>
      <c r="AN129" s="79"/>
      <c r="AO129" s="20">
        <f t="shared" si="144"/>
        <v>44895</v>
      </c>
      <c r="AP129" s="300">
        <f t="shared" si="223"/>
        <v>5.4346932200000007</v>
      </c>
      <c r="AQ129" s="126">
        <f t="shared" ref="AQ129:AQ135" si="396">AQ128*AP129/100+AQ128</f>
        <v>1710538.5476846646</v>
      </c>
      <c r="AR129" s="6"/>
      <c r="AS129" s="49"/>
      <c r="AT129" s="39"/>
      <c r="AU129" s="20">
        <f t="shared" si="145"/>
        <v>44895</v>
      </c>
      <c r="AV129" s="27">
        <v>3.5646579139780399</v>
      </c>
      <c r="AW129" s="126">
        <f t="shared" ref="AW129:AW135" si="397">AW128*AV129/100+AW128</f>
        <v>1305295.1914472792</v>
      </c>
      <c r="AX129" s="6"/>
      <c r="AY129" s="49"/>
      <c r="BA129" s="79"/>
      <c r="BB129" s="20">
        <f t="shared" si="146"/>
        <v>44895</v>
      </c>
      <c r="BC129" s="300">
        <f t="shared" si="224"/>
        <v>4.5193524800000002</v>
      </c>
      <c r="BD129" s="126">
        <f t="shared" ref="BD129:BD135" si="398">BD128*BC129/100+BD128</f>
        <v>1322296.7527820219</v>
      </c>
      <c r="BE129" s="6"/>
      <c r="BF129" s="49"/>
      <c r="BG129" s="39"/>
      <c r="BH129" s="20">
        <f t="shared" si="147"/>
        <v>44895</v>
      </c>
      <c r="BI129" s="27">
        <v>3.0165699537917581</v>
      </c>
      <c r="BJ129" s="126">
        <f t="shared" ref="BJ129:BJ135" si="399">BJ128*BI129/100+BJ128</f>
        <v>1015662.2556199277</v>
      </c>
      <c r="BK129" s="6"/>
      <c r="BL129" s="49"/>
      <c r="BN129" s="79"/>
      <c r="BO129" s="20">
        <f t="shared" si="148"/>
        <v>44895</v>
      </c>
      <c r="BP129" s="300">
        <f t="shared" si="256"/>
        <v>4.0616821099999996</v>
      </c>
      <c r="BQ129" s="126">
        <f t="shared" ref="BQ129:BQ135" si="400">BQ128*BP129/100+BQ128</f>
        <v>983442.08117112727</v>
      </c>
      <c r="BR129" s="6"/>
      <c r="BS129" s="49"/>
      <c r="BV129" s="39"/>
      <c r="BW129" s="20">
        <f t="shared" si="149"/>
        <v>44895</v>
      </c>
      <c r="BX129" s="27">
        <v>3.8304846066972091</v>
      </c>
      <c r="BY129" s="126">
        <f t="shared" ref="BY129:BY135" si="401">BY128*BX129/100+BY128</f>
        <v>1603325.9869002528</v>
      </c>
      <c r="BZ129" s="6"/>
      <c r="CA129" s="49"/>
      <c r="CC129" s="79"/>
      <c r="CD129" s="20">
        <f t="shared" si="150"/>
        <v>44895</v>
      </c>
      <c r="CE129" s="300">
        <f t="shared" si="225"/>
        <v>4.97702285</v>
      </c>
      <c r="CF129" s="126">
        <f t="shared" ref="CF129:CF135" si="402">CF128*CE129/100+CF128</f>
        <v>1531714.5954515999</v>
      </c>
      <c r="CG129" s="6"/>
      <c r="CH129" s="49"/>
      <c r="CI129" s="39"/>
    </row>
    <row r="130" spans="1:87" x14ac:dyDescent="0.25">
      <c r="A130" s="20">
        <v>44926</v>
      </c>
      <c r="B130" s="24">
        <f t="shared" si="366"/>
        <v>115</v>
      </c>
      <c r="C130" s="297">
        <f>'LC (Gross)'!K292</f>
        <v>-5.7714730000000003</v>
      </c>
      <c r="D130" s="297">
        <v>0.1090134</v>
      </c>
      <c r="E130" s="297">
        <v>-0.45092100000000002</v>
      </c>
      <c r="F130" s="297">
        <v>0</v>
      </c>
      <c r="G130" s="39"/>
      <c r="H130" s="20">
        <f t="shared" si="259"/>
        <v>44926</v>
      </c>
      <c r="I130" s="27">
        <v>-4.746960362073648</v>
      </c>
      <c r="J130" s="126">
        <f t="shared" si="391"/>
        <v>1977952.3006625343</v>
      </c>
      <c r="K130" s="6">
        <f>(J130-J$118)/J$118*100</f>
        <v>-12.600744598926033</v>
      </c>
      <c r="L130" s="49">
        <f>(J130/J127-1)*100</f>
        <v>8.2080336548903574</v>
      </c>
      <c r="M130" s="16">
        <f>STDEVP(I95:I130)*SQRT(12)</f>
        <v>17.075857961218031</v>
      </c>
      <c r="N130" s="79"/>
      <c r="O130" s="20">
        <f t="shared" si="189"/>
        <v>44926</v>
      </c>
      <c r="P130" s="300">
        <f>78.4%*$C130+19.6%*$D130+0%*$E130+2%*$F130</f>
        <v>-4.5034682056000008</v>
      </c>
      <c r="Q130" s="126">
        <f t="shared" si="392"/>
        <v>2043259.0507937407</v>
      </c>
      <c r="R130" s="6">
        <f>(Q130-Q$118)/Q$118*100</f>
        <v>-16.883374146164751</v>
      </c>
      <c r="S130" s="49">
        <f>(Q130/Q127-1)*100</f>
        <v>9.3289194712915311</v>
      </c>
      <c r="T130" s="39"/>
      <c r="U130" s="20">
        <f t="shared" si="190"/>
        <v>44926</v>
      </c>
      <c r="V130" s="27">
        <v>-4.5510218031534562</v>
      </c>
      <c r="W130" s="126">
        <f t="shared" si="393"/>
        <v>1853872.4069251795</v>
      </c>
      <c r="X130" s="6">
        <f>(W130-W$118)/W$118*100</f>
        <v>-12.783000413587036</v>
      </c>
      <c r="Y130" s="49">
        <f>(W130/W127-1)*100</f>
        <v>7.8334629138751888</v>
      </c>
      <c r="Z130" s="16">
        <f>STDEVP(AC95:AC130)*SQRT(12)</f>
        <v>16.829709653964457</v>
      </c>
      <c r="AA130" s="79"/>
      <c r="AB130" s="20">
        <f t="shared" si="191"/>
        <v>44926</v>
      </c>
      <c r="AC130" s="300">
        <f t="shared" si="222"/>
        <v>-3.7574663560000006</v>
      </c>
      <c r="AD130" s="126">
        <f t="shared" si="394"/>
        <v>1829870.3883308545</v>
      </c>
      <c r="AE130" s="6">
        <f>(AD130-AD$118)/AD$118*100</f>
        <v>-15.969863298345233</v>
      </c>
      <c r="AF130" s="49">
        <f>(AD130/AD127-1)*100</f>
        <v>7.9896712259118763</v>
      </c>
      <c r="AG130" s="44"/>
      <c r="AH130" s="20">
        <f t="shared" si="183"/>
        <v>44926</v>
      </c>
      <c r="AI130" s="27">
        <v>-3.4849347869952405</v>
      </c>
      <c r="AJ130" s="126">
        <f t="shared" si="395"/>
        <v>1681112.6328984243</v>
      </c>
      <c r="AK130" s="6">
        <f>(AJ130-AJ$118)/AJ$118*100</f>
        <v>-11.76357617033854</v>
      </c>
      <c r="AL130" s="49">
        <f>(AJ130/AJ127-1)*100</f>
        <v>6.2842144314220194</v>
      </c>
      <c r="AM130" s="16">
        <f>STDEVP(AP95:AP130)*SQRT(12)</f>
        <v>13.449232876141187</v>
      </c>
      <c r="AN130" s="79"/>
      <c r="AO130" s="20">
        <f t="shared" si="144"/>
        <v>44926</v>
      </c>
      <c r="AP130" s="300">
        <f t="shared" si="223"/>
        <v>-2.9285754120000003</v>
      </c>
      <c r="AQ130" s="126">
        <f t="shared" si="396"/>
        <v>1660444.1363643897</v>
      </c>
      <c r="AR130" s="6">
        <f>(AQ130-AQ$118)/AQ$118*100</f>
        <v>-15.034209283567112</v>
      </c>
      <c r="AS130" s="49">
        <f>(AQ130/AQ127-1)*100</f>
        <v>6.4816573126269761</v>
      </c>
      <c r="AT130" s="39"/>
      <c r="AU130" s="20">
        <f t="shared" si="145"/>
        <v>44926</v>
      </c>
      <c r="AV130" s="27">
        <v>-2.2675348550296932</v>
      </c>
      <c r="AW130" s="126">
        <f t="shared" si="397"/>
        <v>1275697.1680201855</v>
      </c>
      <c r="AX130" s="6">
        <f>(AW130-AW$118)/AW$118*100</f>
        <v>-11.019319590329777</v>
      </c>
      <c r="AY130" s="49">
        <f>(AW130/AW127-1)*100</f>
        <v>4.3412315057769879</v>
      </c>
      <c r="AZ130" s="16">
        <f>STDEVP(BC95:BC130)*SQRT(12)</f>
        <v>8.7623913454715225</v>
      </c>
      <c r="BA130" s="79"/>
      <c r="BB130" s="20">
        <f t="shared" si="146"/>
        <v>44926</v>
      </c>
      <c r="BC130" s="300">
        <f t="shared" si="224"/>
        <v>-1.6852389960000003</v>
      </c>
      <c r="BD130" s="126">
        <f t="shared" si="398"/>
        <v>1300012.8922612974</v>
      </c>
      <c r="BE130" s="6">
        <f>(BD130-BD$118)/BD$118*100</f>
        <v>-13.794434420606191</v>
      </c>
      <c r="BF130" s="49">
        <f>(BD130/BD127-1)*100</f>
        <v>4.1813824426591983</v>
      </c>
      <c r="BG130" s="39"/>
      <c r="BH130" s="20">
        <f t="shared" si="147"/>
        <v>44926</v>
      </c>
      <c r="BI130" s="27">
        <v>-1.5843070988601673</v>
      </c>
      <c r="BJ130" s="126">
        <f t="shared" si="399"/>
        <v>999571.04640369781</v>
      </c>
      <c r="BK130" s="6">
        <f>(BJ130-BJ$118)/BJ$118*100</f>
        <v>-10.634312212268195</v>
      </c>
      <c r="BL130" s="49">
        <f>(BJ130/BJ127-1)*100</f>
        <v>3.3178991025680338</v>
      </c>
      <c r="BN130" s="79"/>
      <c r="BO130" s="20">
        <f t="shared" si="148"/>
        <v>44926</v>
      </c>
      <c r="BP130" s="300">
        <f t="shared" si="256"/>
        <v>-1.063570788</v>
      </c>
      <c r="BQ130" s="126">
        <f t="shared" si="400"/>
        <v>972982.47847889189</v>
      </c>
      <c r="BR130" s="6">
        <f>(BQ130-BQ$118)/BQ$118*100</f>
        <v>-13.251114300302113</v>
      </c>
      <c r="BS130" s="49">
        <f>(BQ130/BQ127-1)*100</f>
        <v>3.0145216531334951</v>
      </c>
      <c r="BV130" s="39"/>
      <c r="BW130" s="20">
        <f t="shared" si="149"/>
        <v>44926</v>
      </c>
      <c r="BX130" s="27">
        <v>-2.976780767516833</v>
      </c>
      <c r="BY130" s="126">
        <f t="shared" si="401"/>
        <v>1555598.4872816065</v>
      </c>
      <c r="BZ130" s="6">
        <f>(BY130-BY$118)/BY$118*100</f>
        <v>-11.455405896504738</v>
      </c>
      <c r="CA130" s="49">
        <f>(BY130/BY127-1)*100</f>
        <v>5.3760554970228691</v>
      </c>
      <c r="CB130" s="16">
        <f>STDEVP(CE95:CE130)*SQRT(12)</f>
        <v>11.018877165380458</v>
      </c>
      <c r="CC130" s="79"/>
      <c r="CD130" s="20">
        <f t="shared" si="150"/>
        <v>44926</v>
      </c>
      <c r="CE130" s="300">
        <f t="shared" si="225"/>
        <v>-2.3069072039999998</v>
      </c>
      <c r="CF130" s="126">
        <f t="shared" si="402"/>
        <v>1496379.3611044076</v>
      </c>
      <c r="CG130" s="6">
        <f>(CF130-CF$118)/CF$118*100</f>
        <v>-14.389235665535402</v>
      </c>
      <c r="CH130" s="49">
        <f>(CF130/CF127-1)*100</f>
        <v>5.3371698592303174</v>
      </c>
      <c r="CI130" s="39"/>
    </row>
    <row r="131" spans="1:87" x14ac:dyDescent="0.25">
      <c r="A131" s="20">
        <v>44957</v>
      </c>
      <c r="B131" s="24">
        <f t="shared" ref="B131:B135" si="403">IF(A131&gt;A130,1+B130,"-")</f>
        <v>116</v>
      </c>
      <c r="C131" s="297">
        <f>'LC (Gross)'!K293</f>
        <v>6.2828720000000002</v>
      </c>
      <c r="D131" s="297">
        <v>8.1190599999999993</v>
      </c>
      <c r="E131" s="297">
        <v>3.0765400000000001</v>
      </c>
      <c r="F131" s="297">
        <v>0</v>
      </c>
      <c r="G131" s="39"/>
      <c r="H131" s="20">
        <f t="shared" si="259"/>
        <v>44957</v>
      </c>
      <c r="I131" s="27">
        <v>6.0052129391654283</v>
      </c>
      <c r="J131" s="126">
        <f t="shared" si="391"/>
        <v>2096732.5481524412</v>
      </c>
      <c r="K131" s="6"/>
      <c r="L131" s="49"/>
      <c r="M131" s="17"/>
      <c r="N131" s="79"/>
      <c r="O131" s="20">
        <f t="shared" si="189"/>
        <v>44957</v>
      </c>
      <c r="P131" s="300">
        <f t="shared" ref="P131:P166" si="404">78.4%*$C131+19.6%*$D131+0%*$E131+2%*$F131</f>
        <v>6.5171074080000002</v>
      </c>
      <c r="Q131" s="126">
        <f t="shared" si="392"/>
        <v>2176420.4377576499</v>
      </c>
      <c r="R131" s="6"/>
      <c r="S131" s="49"/>
      <c r="T131" s="39"/>
      <c r="U131" s="20">
        <f t="shared" si="190"/>
        <v>44957</v>
      </c>
      <c r="V131" s="27">
        <v>5.8313215242677598</v>
      </c>
      <c r="W131" s="126">
        <f t="shared" si="393"/>
        <v>1961977.6676226682</v>
      </c>
      <c r="X131" s="6"/>
      <c r="Y131" s="49"/>
      <c r="AA131" s="79"/>
      <c r="AB131" s="20">
        <f t="shared" si="191"/>
        <v>44957</v>
      </c>
      <c r="AC131" s="300">
        <f t="shared" si="222"/>
        <v>5.8738648800000002</v>
      </c>
      <c r="AD131" s="126">
        <f t="shared" si="394"/>
        <v>1937354.5024205402</v>
      </c>
      <c r="AE131" s="6"/>
      <c r="AF131" s="49"/>
      <c r="AG131" s="44"/>
      <c r="AH131" s="20">
        <f t="shared" si="183"/>
        <v>44957</v>
      </c>
      <c r="AI131" s="27">
        <v>4.6239931980769162</v>
      </c>
      <c r="AJ131" s="126">
        <f t="shared" si="395"/>
        <v>1758847.1666956593</v>
      </c>
      <c r="AK131" s="6"/>
      <c r="AL131" s="49"/>
      <c r="AN131" s="79"/>
      <c r="AO131" s="20">
        <f t="shared" si="144"/>
        <v>44957</v>
      </c>
      <c r="AP131" s="300">
        <f t="shared" si="223"/>
        <v>5.1591509599999998</v>
      </c>
      <c r="AQ131" s="126">
        <f t="shared" si="396"/>
        <v>1746108.9559658968</v>
      </c>
      <c r="AR131" s="6"/>
      <c r="AS131" s="49"/>
      <c r="AT131" s="39"/>
      <c r="AU131" s="20">
        <f t="shared" si="145"/>
        <v>44957</v>
      </c>
      <c r="AV131" s="27">
        <v>3.4597658335060286</v>
      </c>
      <c r="AW131" s="126">
        <f t="shared" si="397"/>
        <v>1319833.3027783518</v>
      </c>
      <c r="AX131" s="6"/>
      <c r="AY131" s="49"/>
      <c r="BA131" s="79"/>
      <c r="BB131" s="20">
        <f t="shared" si="146"/>
        <v>44957</v>
      </c>
      <c r="BC131" s="300">
        <f t="shared" si="224"/>
        <v>4.0870800799999998</v>
      </c>
      <c r="BD131" s="126">
        <f t="shared" si="398"/>
        <v>1353145.4602183409</v>
      </c>
      <c r="BE131" s="6"/>
      <c r="BF131" s="49"/>
      <c r="BG131" s="39"/>
      <c r="BH131" s="20">
        <f t="shared" si="147"/>
        <v>44957</v>
      </c>
      <c r="BI131" s="27">
        <v>2.805910937225546</v>
      </c>
      <c r="BJ131" s="126">
        <f t="shared" si="399"/>
        <v>1027618.119720079</v>
      </c>
      <c r="BK131" s="6"/>
      <c r="BL131" s="49"/>
      <c r="BN131" s="79"/>
      <c r="BO131" s="20">
        <f t="shared" si="148"/>
        <v>44957</v>
      </c>
      <c r="BP131" s="300">
        <f t="shared" si="256"/>
        <v>3.5510446400000002</v>
      </c>
      <c r="BQ131" s="126">
        <f t="shared" si="400"/>
        <v>1007533.5206290558</v>
      </c>
      <c r="BR131" s="6"/>
      <c r="BS131" s="49"/>
      <c r="BV131" s="39"/>
      <c r="BW131" s="20">
        <f t="shared" si="149"/>
        <v>44957</v>
      </c>
      <c r="BX131" s="27">
        <v>4.0540598610265395</v>
      </c>
      <c r="BY131" s="126">
        <f t="shared" si="401"/>
        <v>1618663.3811532261</v>
      </c>
      <c r="BZ131" s="6"/>
      <c r="CA131" s="49"/>
      <c r="CC131" s="79"/>
      <c r="CD131" s="20">
        <f t="shared" si="150"/>
        <v>44957</v>
      </c>
      <c r="CE131" s="300">
        <f t="shared" si="225"/>
        <v>4.6231155199999998</v>
      </c>
      <c r="CF131" s="126">
        <f t="shared" si="402"/>
        <v>1565558.7075857022</v>
      </c>
      <c r="CG131" s="6"/>
      <c r="CH131" s="49"/>
      <c r="CI131" s="39"/>
    </row>
    <row r="132" spans="1:87" x14ac:dyDescent="0.25">
      <c r="A132" s="20">
        <v>44985</v>
      </c>
      <c r="B132" s="24">
        <f t="shared" si="403"/>
        <v>117</v>
      </c>
      <c r="C132" s="297">
        <f>'LC (Gross)'!K294</f>
        <v>-2.449071</v>
      </c>
      <c r="D132" s="297">
        <v>-2.0618569999999998</v>
      </c>
      <c r="E132" s="297">
        <v>-2.585521</v>
      </c>
      <c r="F132" s="297">
        <v>0</v>
      </c>
      <c r="G132" s="39"/>
      <c r="H132" s="20">
        <f t="shared" si="259"/>
        <v>44985</v>
      </c>
      <c r="I132" s="27">
        <v>-2.0157845922230919</v>
      </c>
      <c r="J132" s="126">
        <f t="shared" si="391"/>
        <v>2054466.9365066576</v>
      </c>
      <c r="K132" s="6"/>
      <c r="L132" s="49"/>
      <c r="M132" s="17"/>
      <c r="N132" s="79"/>
      <c r="O132" s="20">
        <f t="shared" si="189"/>
        <v>44985</v>
      </c>
      <c r="P132" s="300">
        <f t="shared" si="404"/>
        <v>-2.3241956360000002</v>
      </c>
      <c r="Q132" s="126">
        <f t="shared" si="392"/>
        <v>2125836.1689222744</v>
      </c>
      <c r="R132" s="6"/>
      <c r="S132" s="49"/>
      <c r="T132" s="39"/>
      <c r="U132" s="20">
        <f t="shared" si="190"/>
        <v>44985</v>
      </c>
      <c r="V132" s="27">
        <v>-2.1921363426643805</v>
      </c>
      <c r="W132" s="126">
        <f t="shared" si="393"/>
        <v>1918968.4421357526</v>
      </c>
      <c r="X132" s="6"/>
      <c r="Y132" s="49"/>
      <c r="AA132" s="79"/>
      <c r="AB132" s="20">
        <f t="shared" si="191"/>
        <v>44985</v>
      </c>
      <c r="AC132" s="300">
        <f t="shared" si="222"/>
        <v>-2.3626963399999998</v>
      </c>
      <c r="AD132" s="126">
        <f t="shared" si="394"/>
        <v>1891580.6984990248</v>
      </c>
      <c r="AE132" s="6"/>
      <c r="AF132" s="49"/>
      <c r="AG132" s="44"/>
      <c r="AH132" s="20">
        <f t="shared" si="183"/>
        <v>44985</v>
      </c>
      <c r="AI132" s="27">
        <v>-2.1841445910140975</v>
      </c>
      <c r="AJ132" s="126">
        <f t="shared" si="395"/>
        <v>1720431.4014400714</v>
      </c>
      <c r="AK132" s="6"/>
      <c r="AL132" s="49"/>
      <c r="AN132" s="79"/>
      <c r="AO132" s="20">
        <f t="shared" si="144"/>
        <v>44985</v>
      </c>
      <c r="AP132" s="300">
        <f t="shared" si="223"/>
        <v>-2.4054748999999997</v>
      </c>
      <c r="AQ132" s="126">
        <f t="shared" si="396"/>
        <v>1704106.7433034852</v>
      </c>
      <c r="AR132" s="6"/>
      <c r="AS132" s="49"/>
      <c r="AT132" s="39"/>
      <c r="AU132" s="20">
        <f t="shared" si="145"/>
        <v>44985</v>
      </c>
      <c r="AV132" s="27">
        <v>-2.1652158749090362</v>
      </c>
      <c r="AW132" s="126">
        <f t="shared" si="397"/>
        <v>1291256.0625842586</v>
      </c>
      <c r="AX132" s="6"/>
      <c r="AY132" s="49"/>
      <c r="BA132" s="79"/>
      <c r="BB132" s="20">
        <f t="shared" si="146"/>
        <v>44985</v>
      </c>
      <c r="BC132" s="300">
        <f t="shared" si="224"/>
        <v>-2.4696427400000003</v>
      </c>
      <c r="BD132" s="126">
        <f t="shared" si="398"/>
        <v>1319727.601598419</v>
      </c>
      <c r="BE132" s="6"/>
      <c r="BF132" s="49"/>
      <c r="BG132" s="39"/>
      <c r="BH132" s="20">
        <f t="shared" si="147"/>
        <v>44985</v>
      </c>
      <c r="BI132" s="27">
        <v>-1.9684571294121236</v>
      </c>
      <c r="BJ132" s="126">
        <f t="shared" si="399"/>
        <v>1007389.8975793183</v>
      </c>
      <c r="BK132" s="6"/>
      <c r="BL132" s="49"/>
      <c r="BN132" s="79"/>
      <c r="BO132" s="20">
        <f t="shared" si="148"/>
        <v>44985</v>
      </c>
      <c r="BP132" s="300">
        <f t="shared" si="256"/>
        <v>-2.5017266599999997</v>
      </c>
      <c r="BQ132" s="126">
        <f t="shared" si="400"/>
        <v>982327.78593504208</v>
      </c>
      <c r="BR132" s="6"/>
      <c r="BS132" s="49"/>
      <c r="BV132" s="39"/>
      <c r="BW132" s="20">
        <f t="shared" si="149"/>
        <v>44985</v>
      </c>
      <c r="BX132" s="27">
        <v>-2.1264353276646979</v>
      </c>
      <c r="BY132" s="126">
        <f t="shared" si="401"/>
        <v>1584243.5511804121</v>
      </c>
      <c r="BZ132" s="6"/>
      <c r="CA132" s="49"/>
      <c r="CC132" s="79"/>
      <c r="CD132" s="20">
        <f t="shared" si="150"/>
        <v>44985</v>
      </c>
      <c r="CE132" s="300">
        <f t="shared" si="225"/>
        <v>-2.43755882</v>
      </c>
      <c r="CF132" s="126">
        <f t="shared" si="402"/>
        <v>1527397.2932266688</v>
      </c>
      <c r="CG132" s="6"/>
      <c r="CH132" s="49"/>
      <c r="CI132" s="39"/>
    </row>
    <row r="133" spans="1:87" x14ac:dyDescent="0.25">
      <c r="A133" s="20">
        <v>45016</v>
      </c>
      <c r="B133" s="24">
        <f t="shared" si="403"/>
        <v>118</v>
      </c>
      <c r="C133" s="297">
        <f>'LC (Gross)'!K295</f>
        <v>3.669584</v>
      </c>
      <c r="D133" s="297">
        <v>2.647653</v>
      </c>
      <c r="E133" s="297">
        <v>2.5399090000000002</v>
      </c>
      <c r="F133" s="297">
        <v>0</v>
      </c>
      <c r="G133" s="39"/>
      <c r="H133" s="20">
        <f t="shared" si="259"/>
        <v>45016</v>
      </c>
      <c r="I133" s="27">
        <v>0.16447018788712081</v>
      </c>
      <c r="J133" s="126">
        <f t="shared" si="391"/>
        <v>2057845.922137209</v>
      </c>
      <c r="K133" s="6"/>
      <c r="L133" s="49">
        <f>(J133/J130-1)*100</f>
        <v>4.0392087032590895</v>
      </c>
      <c r="M133" s="17"/>
      <c r="N133" s="79"/>
      <c r="O133" s="20">
        <f t="shared" si="189"/>
        <v>45016</v>
      </c>
      <c r="P133" s="300">
        <f t="shared" si="404"/>
        <v>3.3958938440000002</v>
      </c>
      <c r="Q133" s="126">
        <f t="shared" si="392"/>
        <v>2198027.3085162314</v>
      </c>
      <c r="R133" s="6"/>
      <c r="S133" s="49">
        <f>(Q133/Q130-1)*100</f>
        <v>7.5745783513044174</v>
      </c>
      <c r="T133" s="39"/>
      <c r="U133" s="20">
        <f t="shared" si="190"/>
        <v>45016</v>
      </c>
      <c r="V133" s="27">
        <v>0.69110233801416665</v>
      </c>
      <c r="W133" s="126">
        <f t="shared" si="393"/>
        <v>1932230.477905107</v>
      </c>
      <c r="X133" s="6"/>
      <c r="Y133" s="49">
        <f>(W133/W130-1)*100</f>
        <v>4.2267240553998775</v>
      </c>
      <c r="AA133" s="79"/>
      <c r="AB133" s="20">
        <f t="shared" si="191"/>
        <v>45016</v>
      </c>
      <c r="AC133" s="300">
        <f t="shared" si="222"/>
        <v>3.2293418599999999</v>
      </c>
      <c r="AD133" s="126">
        <f t="shared" si="394"/>
        <v>1952666.3058113342</v>
      </c>
      <c r="AE133" s="6"/>
      <c r="AF133" s="49">
        <f>(AD133/AD130-1)*100</f>
        <v>6.7106347129038957</v>
      </c>
      <c r="AG133" s="44"/>
      <c r="AH133" s="20">
        <f t="shared" si="183"/>
        <v>45016</v>
      </c>
      <c r="AI133" s="27">
        <v>1.1269038247138643</v>
      </c>
      <c r="AJ133" s="126">
        <f t="shared" si="395"/>
        <v>1739819.0087044779</v>
      </c>
      <c r="AK133" s="6"/>
      <c r="AL133" s="49">
        <f>(AJ133/AJ130-1)*100</f>
        <v>3.49211436861534</v>
      </c>
      <c r="AN133" s="79"/>
      <c r="AO133" s="20">
        <f t="shared" si="144"/>
        <v>45016</v>
      </c>
      <c r="AP133" s="300">
        <f t="shared" si="223"/>
        <v>3.0442840999999996</v>
      </c>
      <c r="AQ133" s="126">
        <f t="shared" si="396"/>
        <v>1755984.5939369011</v>
      </c>
      <c r="AR133" s="6"/>
      <c r="AS133" s="49">
        <f>(AQ133/AQ130-1)*100</f>
        <v>5.7539097811324824</v>
      </c>
      <c r="AT133" s="39"/>
      <c r="AU133" s="20">
        <f t="shared" si="145"/>
        <v>45016</v>
      </c>
      <c r="AV133" s="27">
        <v>1.5461740560788675</v>
      </c>
      <c r="AW133" s="126">
        <f t="shared" si="397"/>
        <v>1311221.128821482</v>
      </c>
      <c r="AX133" s="6"/>
      <c r="AY133" s="49">
        <f>(AW133/AW130-1)*100</f>
        <v>2.7846703505995718</v>
      </c>
      <c r="BA133" s="79"/>
      <c r="BB133" s="20">
        <f t="shared" si="146"/>
        <v>45016</v>
      </c>
      <c r="BC133" s="300">
        <f t="shared" si="224"/>
        <v>2.7666974600000001</v>
      </c>
      <c r="BD133" s="126">
        <f t="shared" si="398"/>
        <v>1356240.4716307614</v>
      </c>
      <c r="BE133" s="6"/>
      <c r="BF133" s="49">
        <f>(BD133/BD130-1)*100</f>
        <v>4.325155519931756</v>
      </c>
      <c r="BG133" s="39"/>
      <c r="BH133" s="20">
        <f t="shared" si="147"/>
        <v>45016</v>
      </c>
      <c r="BI133" s="27">
        <v>1.6367159025145774</v>
      </c>
      <c r="BJ133" s="126">
        <f t="shared" si="399"/>
        <v>1023878.0082333243</v>
      </c>
      <c r="BK133" s="6"/>
      <c r="BL133" s="49">
        <f>(BJ133/BJ130-1)*100</f>
        <v>2.4317392862747589</v>
      </c>
      <c r="BN133" s="79"/>
      <c r="BO133" s="20">
        <f t="shared" si="148"/>
        <v>45016</v>
      </c>
      <c r="BP133" s="300">
        <f t="shared" si="256"/>
        <v>2.6279041400000001</v>
      </c>
      <c r="BQ133" s="126">
        <f t="shared" si="400"/>
        <v>1008142.4184899994</v>
      </c>
      <c r="BR133" s="6"/>
      <c r="BS133" s="49">
        <f>(BQ133/BQ130-1)*100</f>
        <v>3.6136251976576883</v>
      </c>
      <c r="BV133" s="39"/>
      <c r="BW133" s="20">
        <f t="shared" si="149"/>
        <v>45016</v>
      </c>
      <c r="BX133" s="27">
        <v>1.1599199906268296</v>
      </c>
      <c r="BY133" s="126">
        <f t="shared" si="401"/>
        <v>1602619.5088307702</v>
      </c>
      <c r="BZ133" s="6"/>
      <c r="CA133" s="49">
        <f>(BY133/BY130-1)*100</f>
        <v>3.0226965334308353</v>
      </c>
      <c r="CC133" s="79"/>
      <c r="CD133" s="20">
        <f t="shared" si="150"/>
        <v>45016</v>
      </c>
      <c r="CE133" s="300">
        <f t="shared" si="225"/>
        <v>2.9054907800000001</v>
      </c>
      <c r="CF133" s="126">
        <f t="shared" si="402"/>
        <v>1571775.6807553393</v>
      </c>
      <c r="CG133" s="6"/>
      <c r="CH133" s="49">
        <f>(CF133/CF130-1)*100</f>
        <v>5.0385832370265504</v>
      </c>
      <c r="CI133" s="39"/>
    </row>
    <row r="134" spans="1:87" x14ac:dyDescent="0.25">
      <c r="A134" s="20">
        <v>45046</v>
      </c>
      <c r="B134" s="24">
        <f t="shared" si="403"/>
        <v>119</v>
      </c>
      <c r="C134" s="297">
        <f>'LC (Gross)'!K296</f>
        <v>1.560872</v>
      </c>
      <c r="D134" s="297">
        <v>2.9155859999999998</v>
      </c>
      <c r="E134" s="297">
        <v>0.6063307</v>
      </c>
      <c r="F134" s="297">
        <v>0</v>
      </c>
      <c r="G134" s="39"/>
      <c r="H134" s="20">
        <f t="shared" si="259"/>
        <v>45046</v>
      </c>
      <c r="I134" s="27">
        <v>0.52314206674942321</v>
      </c>
      <c r="J134" s="126">
        <f t="shared" si="391"/>
        <v>2068611.3798247962</v>
      </c>
      <c r="K134" s="6"/>
      <c r="L134" s="49"/>
      <c r="M134" s="17"/>
      <c r="N134" s="79"/>
      <c r="O134" s="20">
        <f t="shared" si="189"/>
        <v>45046</v>
      </c>
      <c r="P134" s="300">
        <f t="shared" si="404"/>
        <v>1.7951785039999999</v>
      </c>
      <c r="Q134" s="126">
        <f t="shared" si="392"/>
        <v>2237485.8222707645</v>
      </c>
      <c r="R134" s="6"/>
      <c r="S134" s="49"/>
      <c r="T134" s="39"/>
      <c r="U134" s="20">
        <f t="shared" si="190"/>
        <v>45046</v>
      </c>
      <c r="V134" s="27">
        <v>0.68868040390937735</v>
      </c>
      <c r="W134" s="126">
        <f t="shared" si="393"/>
        <v>1945537.3705648039</v>
      </c>
      <c r="X134" s="6"/>
      <c r="Y134" s="49"/>
      <c r="AA134" s="79"/>
      <c r="AB134" s="20">
        <f t="shared" si="191"/>
        <v>45046</v>
      </c>
      <c r="AC134" s="300">
        <f t="shared" si="222"/>
        <v>1.5745913660000002</v>
      </c>
      <c r="AD134" s="126">
        <f t="shared" si="394"/>
        <v>1983412.8208694307</v>
      </c>
      <c r="AE134" s="6"/>
      <c r="AF134" s="49"/>
      <c r="AG134" s="44"/>
      <c r="AH134" s="20">
        <f t="shared" si="183"/>
        <v>45046</v>
      </c>
      <c r="AI134" s="27">
        <v>0.648200801368914</v>
      </c>
      <c r="AJ134" s="126">
        <f t="shared" si="395"/>
        <v>1751096.529461269</v>
      </c>
      <c r="AK134" s="6"/>
      <c r="AL134" s="49"/>
      <c r="AN134" s="79"/>
      <c r="AO134" s="20">
        <f t="shared" si="144"/>
        <v>45046</v>
      </c>
      <c r="AP134" s="300">
        <f t="shared" si="223"/>
        <v>1.3294945460000001</v>
      </c>
      <c r="AQ134" s="126">
        <f t="shared" si="396"/>
        <v>1779330.3133418923</v>
      </c>
      <c r="AR134" s="6"/>
      <c r="AS134" s="49"/>
      <c r="AT134" s="39"/>
      <c r="AU134" s="20">
        <f t="shared" si="145"/>
        <v>45046</v>
      </c>
      <c r="AV134" s="27">
        <v>0.63815197560952075</v>
      </c>
      <c r="AW134" s="126">
        <f t="shared" si="397"/>
        <v>1319588.7123596657</v>
      </c>
      <c r="AX134" s="6"/>
      <c r="AY134" s="49"/>
      <c r="BA134" s="79"/>
      <c r="BB134" s="20">
        <f t="shared" si="146"/>
        <v>45046</v>
      </c>
      <c r="BC134" s="300">
        <f t="shared" si="224"/>
        <v>0.96184931600000012</v>
      </c>
      <c r="BD134" s="126">
        <f t="shared" si="398"/>
        <v>1369285.4613304571</v>
      </c>
      <c r="BE134" s="6"/>
      <c r="BF134" s="49"/>
      <c r="BG134" s="39"/>
      <c r="BH134" s="20">
        <f t="shared" si="147"/>
        <v>45046</v>
      </c>
      <c r="BI134" s="27">
        <v>0.57582702938904284</v>
      </c>
      <c r="BJ134" s="126">
        <f t="shared" si="399"/>
        <v>1029773.774552702</v>
      </c>
      <c r="BK134" s="6"/>
      <c r="BL134" s="49"/>
      <c r="BN134" s="79"/>
      <c r="BO134" s="20">
        <f t="shared" si="148"/>
        <v>45046</v>
      </c>
      <c r="BP134" s="300">
        <f t="shared" si="256"/>
        <v>0.77802670100000004</v>
      </c>
      <c r="BQ134" s="126">
        <f t="shared" si="400"/>
        <v>1015986.0356899587</v>
      </c>
      <c r="BR134" s="6"/>
      <c r="BS134" s="49"/>
      <c r="BV134" s="39"/>
      <c r="BW134" s="20">
        <f t="shared" si="149"/>
        <v>45046</v>
      </c>
      <c r="BX134" s="27">
        <v>0.62055837358902144</v>
      </c>
      <c r="BY134" s="126">
        <f t="shared" si="401"/>
        <v>1612564.6983895907</v>
      </c>
      <c r="BZ134" s="6"/>
      <c r="CA134" s="49"/>
      <c r="CC134" s="79"/>
      <c r="CD134" s="20">
        <f t="shared" si="150"/>
        <v>45046</v>
      </c>
      <c r="CE134" s="300">
        <f t="shared" si="225"/>
        <v>1.1456719309999999</v>
      </c>
      <c r="CF134" s="126">
        <f t="shared" si="402"/>
        <v>1589783.0735480373</v>
      </c>
      <c r="CG134" s="6"/>
      <c r="CH134" s="49"/>
      <c r="CI134" s="39"/>
    </row>
    <row r="135" spans="1:87" x14ac:dyDescent="0.25">
      <c r="A135" s="20">
        <v>45077</v>
      </c>
      <c r="B135" s="24">
        <f t="shared" si="403"/>
        <v>120</v>
      </c>
      <c r="C135" s="297">
        <f>'LC (Gross)'!K297</f>
        <v>0.43486429999999998</v>
      </c>
      <c r="D135" s="297">
        <v>-4.1233149999999998</v>
      </c>
      <c r="E135" s="297">
        <v>-1.088964</v>
      </c>
      <c r="F135" s="297">
        <v>0</v>
      </c>
      <c r="G135" s="39"/>
      <c r="H135" s="20">
        <f t="shared" si="259"/>
        <v>45077</v>
      </c>
      <c r="I135" s="27">
        <v>-2.2773989220327229</v>
      </c>
      <c r="J135" s="126">
        <f t="shared" si="391"/>
        <v>2021500.84655962</v>
      </c>
      <c r="K135" s="6"/>
      <c r="L135" s="49"/>
      <c r="M135" s="17"/>
      <c r="N135" s="79"/>
      <c r="O135" s="20">
        <f t="shared" si="189"/>
        <v>45077</v>
      </c>
      <c r="P135" s="300">
        <f t="shared" si="404"/>
        <v>-0.46723612879999998</v>
      </c>
      <c r="Q135" s="126">
        <f t="shared" si="392"/>
        <v>2227031.4801323377</v>
      </c>
      <c r="R135" s="6"/>
      <c r="S135" s="49"/>
      <c r="T135" s="39"/>
      <c r="U135" s="20">
        <f t="shared" si="190"/>
        <v>45077</v>
      </c>
      <c r="V135" s="27">
        <v>-2.1450429228625016</v>
      </c>
      <c r="W135" s="126">
        <f t="shared" si="393"/>
        <v>1903804.7588858583</v>
      </c>
      <c r="X135" s="6"/>
      <c r="Y135" s="49"/>
      <c r="AA135" s="79"/>
      <c r="AB135" s="20">
        <f t="shared" si="191"/>
        <v>45077</v>
      </c>
      <c r="AC135" s="300">
        <f t="shared" si="222"/>
        <v>-0.57743076799999993</v>
      </c>
      <c r="AD135" s="126">
        <f t="shared" si="394"/>
        <v>1971959.9849852738</v>
      </c>
      <c r="AE135" s="6"/>
      <c r="AF135" s="49"/>
      <c r="AG135" s="44"/>
      <c r="AH135" s="20">
        <f t="shared" si="183"/>
        <v>45077</v>
      </c>
      <c r="AI135" s="27">
        <v>-1.6646574891239805</v>
      </c>
      <c r="AJ135" s="126">
        <f t="shared" si="395"/>
        <v>1721946.7699418019</v>
      </c>
      <c r="AK135" s="6"/>
      <c r="AL135" s="49"/>
      <c r="AN135" s="79"/>
      <c r="AO135" s="20">
        <f t="shared" si="144"/>
        <v>45077</v>
      </c>
      <c r="AP135" s="300">
        <f t="shared" si="223"/>
        <v>-0.69986925599999994</v>
      </c>
      <c r="AQ135" s="126">
        <f t="shared" si="396"/>
        <v>1766877.3275161239</v>
      </c>
      <c r="AR135" s="6"/>
      <c r="AS135" s="49"/>
      <c r="AT135" s="39"/>
      <c r="AU135" s="20">
        <f t="shared" si="145"/>
        <v>45077</v>
      </c>
      <c r="AV135" s="27">
        <v>-1.224288749657638</v>
      </c>
      <c r="AW135" s="126">
        <f t="shared" si="397"/>
        <v>1303433.1362124942</v>
      </c>
      <c r="AX135" s="6"/>
      <c r="AY135" s="49"/>
      <c r="BA135" s="79"/>
      <c r="BB135" s="20">
        <f t="shared" si="146"/>
        <v>45077</v>
      </c>
      <c r="BC135" s="300">
        <f t="shared" si="224"/>
        <v>-0.88352698800000007</v>
      </c>
      <c r="BD135" s="126">
        <f t="shared" si="398"/>
        <v>1357187.4547368423</v>
      </c>
      <c r="BE135" s="6"/>
      <c r="BF135" s="49"/>
      <c r="BG135" s="39"/>
      <c r="BH135" s="20">
        <f t="shared" si="147"/>
        <v>45077</v>
      </c>
      <c r="BI135" s="27">
        <v>-0.99518207198848463</v>
      </c>
      <c r="BJ135" s="126">
        <f t="shared" si="399"/>
        <v>1019525.6505663143</v>
      </c>
      <c r="BK135" s="6"/>
      <c r="BL135" s="49"/>
      <c r="BN135" s="79"/>
      <c r="BO135" s="20">
        <f t="shared" si="148"/>
        <v>45077</v>
      </c>
      <c r="BP135" s="300">
        <f t="shared" si="256"/>
        <v>-0.97535585400000002</v>
      </c>
      <c r="BQ135" s="126">
        <f t="shared" si="400"/>
        <v>1006076.5564150342</v>
      </c>
      <c r="BR135" s="6"/>
      <c r="BS135" s="49"/>
      <c r="BV135" s="39"/>
      <c r="BW135" s="20">
        <f t="shared" si="149"/>
        <v>45077</v>
      </c>
      <c r="BX135" s="27">
        <v>-1.4815120699925157</v>
      </c>
      <c r="BY135" s="126">
        <f t="shared" si="401"/>
        <v>1588674.3577465105</v>
      </c>
      <c r="BZ135" s="6"/>
      <c r="CA135" s="49"/>
      <c r="CC135" s="79"/>
      <c r="CD135" s="20">
        <f t="shared" si="150"/>
        <v>45077</v>
      </c>
      <c r="CE135" s="300">
        <f t="shared" si="225"/>
        <v>-0.791698122</v>
      </c>
      <c r="CF135" s="126">
        <f t="shared" si="402"/>
        <v>1577196.7908108837</v>
      </c>
      <c r="CG135" s="6"/>
      <c r="CH135" s="49"/>
      <c r="CI135" s="39"/>
    </row>
    <row r="136" spans="1:87" x14ac:dyDescent="0.25">
      <c r="A136" s="20">
        <v>45107</v>
      </c>
      <c r="B136" s="24">
        <f t="shared" ref="B136:B139" si="405">IF(A136&gt;A135,1+B135,"-")</f>
        <v>121</v>
      </c>
      <c r="C136" s="297">
        <f>'LC (Gross)'!K298</f>
        <v>6.60738</v>
      </c>
      <c r="D136" s="297">
        <v>4.580006</v>
      </c>
      <c r="E136" s="297">
        <v>-0.35682130000000001</v>
      </c>
      <c r="F136" s="297">
        <v>0</v>
      </c>
      <c r="G136" s="39"/>
      <c r="H136" s="20">
        <f t="shared" si="259"/>
        <v>45107</v>
      </c>
      <c r="I136" s="27">
        <v>5.8268305505264646</v>
      </c>
      <c r="J136" s="126">
        <f t="shared" ref="J136" si="406">J135*I136/100+J135</f>
        <v>2139290.2754661068</v>
      </c>
      <c r="K136" s="6"/>
      <c r="L136" s="49">
        <f>(J136/J133-1)*100</f>
        <v>3.9577478786318787</v>
      </c>
      <c r="M136" s="16"/>
      <c r="N136" s="79"/>
      <c r="O136" s="20">
        <f t="shared" si="189"/>
        <v>45107</v>
      </c>
      <c r="P136" s="300">
        <f t="shared" si="404"/>
        <v>6.0778670960000003</v>
      </c>
      <c r="Q136" s="126">
        <f t="shared" ref="Q136" si="407">Q135*P136/100+Q135</f>
        <v>2362387.4936808627</v>
      </c>
      <c r="R136" s="6"/>
      <c r="S136" s="49">
        <f>(Q136/Q133-1)*100</f>
        <v>7.4776225267001895</v>
      </c>
      <c r="T136" s="39"/>
      <c r="U136" s="20">
        <f t="shared" si="190"/>
        <v>45107</v>
      </c>
      <c r="V136" s="27">
        <v>5.0477525114567587</v>
      </c>
      <c r="W136" s="126">
        <f t="shared" ref="W136" si="408">W135*V136/100+W135</f>
        <v>1999904.1114157527</v>
      </c>
      <c r="X136" s="6"/>
      <c r="Y136" s="49">
        <f>(W136/W133-1)*100</f>
        <v>3.5023582478636905</v>
      </c>
      <c r="AA136" s="79"/>
      <c r="AB136" s="20">
        <f t="shared" si="191"/>
        <v>45107</v>
      </c>
      <c r="AC136" s="300">
        <f t="shared" si="222"/>
        <v>4.8972963259999993</v>
      </c>
      <c r="AD136" s="126">
        <f t="shared" ref="AD136" si="409">AD135*AC136/100+AD135</f>
        <v>2068532.7088801477</v>
      </c>
      <c r="AE136" s="6"/>
      <c r="AF136" s="49">
        <f>(AD136/AD133-1)*100</f>
        <v>5.9337533875595261</v>
      </c>
      <c r="AG136" s="44"/>
      <c r="AH136" s="20">
        <f t="shared" si="183"/>
        <v>45107</v>
      </c>
      <c r="AI136" s="27">
        <v>3.9313294115614781</v>
      </c>
      <c r="AJ136" s="126">
        <f t="shared" ref="AJ136" si="410">AJ135*AI136/100+AJ135</f>
        <v>1789642.1697599569</v>
      </c>
      <c r="AK136" s="6"/>
      <c r="AL136" s="49">
        <f>(AJ136/AJ133-1)*100</f>
        <v>2.8636979367514082</v>
      </c>
      <c r="AN136" s="79"/>
      <c r="AO136" s="20">
        <f t="shared" si="144"/>
        <v>45107</v>
      </c>
      <c r="AP136" s="300">
        <f t="shared" si="223"/>
        <v>3.5855510259999996</v>
      </c>
      <c r="AQ136" s="126">
        <f t="shared" ref="AQ136" si="411">AQ135*AP136/100+AQ135</f>
        <v>1830229.6156610397</v>
      </c>
      <c r="AR136" s="6"/>
      <c r="AS136" s="49">
        <f>(AQ136/AQ133-1)*100</f>
        <v>4.2281135028458205</v>
      </c>
      <c r="AT136" s="39"/>
      <c r="AU136" s="20">
        <f t="shared" si="145"/>
        <v>45107</v>
      </c>
      <c r="AV136" s="27">
        <v>2.1611405608204111</v>
      </c>
      <c r="AW136" s="126">
        <f t="shared" ref="AW136" si="412">AW135*AV136/100+AW135</f>
        <v>1331602.1584023561</v>
      </c>
      <c r="AX136" s="6"/>
      <c r="AY136" s="49">
        <f>(AW136/AW133-1)*100</f>
        <v>1.554354878279951</v>
      </c>
      <c r="AZ136" s="16"/>
      <c r="BA136" s="79"/>
      <c r="BB136" s="20">
        <f t="shared" si="146"/>
        <v>45107</v>
      </c>
      <c r="BC136" s="300">
        <f t="shared" si="224"/>
        <v>1.6179330759999999</v>
      </c>
      <c r="BD136" s="126">
        <f t="shared" ref="BD136" si="413">BD135*BC136/100+BD135</f>
        <v>1379145.8394703523</v>
      </c>
      <c r="BE136" s="6"/>
      <c r="BF136" s="49">
        <f>(BD136/BD133-1)*100</f>
        <v>1.6888869133988571</v>
      </c>
      <c r="BG136" s="39"/>
      <c r="BH136" s="20">
        <f t="shared" si="147"/>
        <v>45107</v>
      </c>
      <c r="BI136" s="27">
        <v>1.3679216127066043</v>
      </c>
      <c r="BJ136" s="126">
        <f t="shared" ref="BJ136" si="414">BJ135*BI136/100+BJ135</f>
        <v>1033471.9622874985</v>
      </c>
      <c r="BK136" s="6"/>
      <c r="BL136" s="49">
        <f>(BJ136/BJ133-1)*100</f>
        <v>0.93702120536101052</v>
      </c>
      <c r="BM136" s="16"/>
      <c r="BN136" s="79"/>
      <c r="BO136" s="20">
        <f t="shared" si="148"/>
        <v>45107</v>
      </c>
      <c r="BP136" s="300">
        <f t="shared" si="256"/>
        <v>0.63412410099999994</v>
      </c>
      <c r="BQ136" s="126">
        <f t="shared" ref="BQ136" si="415">BQ135*BP136/100+BQ135</f>
        <v>1012456.3303337728</v>
      </c>
      <c r="BR136" s="6"/>
      <c r="BS136" s="49">
        <f>(BQ136/BQ133-1)*100</f>
        <v>0.42790698661749893</v>
      </c>
      <c r="BT136" s="16"/>
      <c r="BU136" s="16"/>
      <c r="BV136" s="39"/>
      <c r="BW136" s="20">
        <f t="shared" si="149"/>
        <v>45107</v>
      </c>
      <c r="BX136" s="27">
        <v>3.1786989861728627</v>
      </c>
      <c r="BY136" s="126">
        <f t="shared" ref="BY136" si="416">BY135*BX136/100+BY135</f>
        <v>1639173.5334497872</v>
      </c>
      <c r="BZ136" s="6"/>
      <c r="CA136" s="49">
        <f>(BY136/BY133-1)*100</f>
        <v>2.2808922777737717</v>
      </c>
      <c r="CC136" s="79"/>
      <c r="CD136" s="20">
        <f t="shared" si="150"/>
        <v>45107</v>
      </c>
      <c r="CE136" s="300">
        <f t="shared" si="225"/>
        <v>2.601742051</v>
      </c>
      <c r="CF136" s="126">
        <f t="shared" ref="CF136" si="417">CF135*CE136/100+CF135</f>
        <v>1618231.382944433</v>
      </c>
      <c r="CG136" s="6"/>
      <c r="CH136" s="49">
        <f>(CF136/CF133-1)*100</f>
        <v>2.9556190974254548</v>
      </c>
      <c r="CI136" s="39"/>
    </row>
    <row r="137" spans="1:87" x14ac:dyDescent="0.25">
      <c r="A137" s="20">
        <v>45138</v>
      </c>
      <c r="B137" s="24">
        <f t="shared" si="405"/>
        <v>122</v>
      </c>
      <c r="C137" s="297">
        <f>'LC (Gross)'!K299</f>
        <v>3.2124999999999999</v>
      </c>
      <c r="D137" s="297">
        <v>3.258105</v>
      </c>
      <c r="E137" s="297">
        <v>-6.9324919999999998E-2</v>
      </c>
      <c r="F137" s="297">
        <v>0</v>
      </c>
      <c r="G137" s="39"/>
      <c r="H137" s="20">
        <f t="shared" si="259"/>
        <v>45138</v>
      </c>
      <c r="I137" s="27">
        <v>2.6171501749282848</v>
      </c>
      <c r="J137" s="126">
        <f t="shared" ref="J137" si="418">J136*I137/100+J136</f>
        <v>2195278.714652692</v>
      </c>
      <c r="K137" s="6"/>
      <c r="L137" s="49"/>
      <c r="M137" s="16"/>
      <c r="N137" s="79"/>
      <c r="O137" s="20">
        <f t="shared" si="189"/>
        <v>45138</v>
      </c>
      <c r="P137" s="300">
        <f t="shared" si="404"/>
        <v>3.1571885800000001</v>
      </c>
      <c r="Q137" s="126">
        <f t="shared" ref="Q137" si="419">Q136*P137/100+Q136</f>
        <v>2436972.5218467033</v>
      </c>
      <c r="R137" s="6"/>
      <c r="S137" s="49"/>
      <c r="T137" s="39"/>
      <c r="U137" s="20">
        <f t="shared" si="190"/>
        <v>45138</v>
      </c>
      <c r="V137" s="27">
        <v>2.2355402418306904</v>
      </c>
      <c r="W137" s="126">
        <f t="shared" ref="W137" si="420">W136*V137/100+W136</f>
        <v>2044612.7726244782</v>
      </c>
      <c r="X137" s="6"/>
      <c r="Y137" s="49"/>
      <c r="AA137" s="79"/>
      <c r="AB137" s="20">
        <f t="shared" si="191"/>
        <v>45138</v>
      </c>
      <c r="AC137" s="300">
        <f t="shared" si="222"/>
        <v>2.5648183144000001</v>
      </c>
      <c r="AD137" s="126">
        <f t="shared" ref="AD137" si="421">AD136*AC137/100+AD136</f>
        <v>2121586.81463686</v>
      </c>
      <c r="AE137" s="6"/>
      <c r="AF137" s="49"/>
      <c r="AG137" s="44"/>
      <c r="AH137" s="20">
        <f t="shared" si="183"/>
        <v>45138</v>
      </c>
      <c r="AI137" s="27">
        <v>1.9445320984126799</v>
      </c>
      <c r="AJ137" s="126">
        <f t="shared" ref="AJ137" si="422">AJ136*AI137/100+AJ136</f>
        <v>1824442.3361976685</v>
      </c>
      <c r="AK137" s="6"/>
      <c r="AL137" s="49"/>
      <c r="AN137" s="79"/>
      <c r="AO137" s="20">
        <f t="shared" si="144"/>
        <v>45138</v>
      </c>
      <c r="AP137" s="300">
        <f t="shared" si="223"/>
        <v>1.9066291303999998</v>
      </c>
      <c r="AQ137" s="126">
        <f t="shared" ref="AQ137" si="423">AQ136*AP137/100+AQ136</f>
        <v>1865125.306666441</v>
      </c>
      <c r="AR137" s="6"/>
      <c r="AS137" s="49"/>
      <c r="AT137" s="39"/>
      <c r="AU137" s="20">
        <f t="shared" si="145"/>
        <v>45138</v>
      </c>
      <c r="AV137" s="27">
        <v>1.2512384029894483</v>
      </c>
      <c r="AW137" s="126">
        <f t="shared" ref="AW137" si="424">AW136*AV137/100+AW136</f>
        <v>1348263.6759833228</v>
      </c>
      <c r="AX137" s="6"/>
      <c r="AY137" s="49"/>
      <c r="AZ137" s="16"/>
      <c r="BA137" s="79"/>
      <c r="BB137" s="20">
        <f t="shared" si="146"/>
        <v>45138</v>
      </c>
      <c r="BC137" s="300">
        <f t="shared" si="224"/>
        <v>0.91934535439999987</v>
      </c>
      <c r="BD137" s="126">
        <f t="shared" ref="BD137" si="425">BD136*BC137/100+BD136</f>
        <v>1391824.9526759239</v>
      </c>
      <c r="BE137" s="6"/>
      <c r="BF137" s="49"/>
      <c r="BG137" s="39"/>
      <c r="BH137" s="20">
        <f t="shared" si="147"/>
        <v>45138</v>
      </c>
      <c r="BI137" s="27">
        <v>0.93254830154173751</v>
      </c>
      <c r="BJ137" s="126">
        <f t="shared" ref="BJ137" si="426">BJ136*BI137/100+BJ136</f>
        <v>1043109.5875187207</v>
      </c>
      <c r="BK137" s="6"/>
      <c r="BL137" s="49"/>
      <c r="BM137" s="16"/>
      <c r="BN137" s="79"/>
      <c r="BO137" s="20">
        <f t="shared" si="148"/>
        <v>45138</v>
      </c>
      <c r="BP137" s="300">
        <f t="shared" si="256"/>
        <v>0.42570346639999995</v>
      </c>
      <c r="BQ137" s="126">
        <f t="shared" ref="BQ137" si="427">BQ136*BP137/100+BQ136</f>
        <v>1016766.39202779</v>
      </c>
      <c r="BR137" s="6"/>
      <c r="BS137" s="49"/>
      <c r="BT137" s="16"/>
      <c r="BU137" s="16"/>
      <c r="BV137" s="39"/>
      <c r="BW137" s="20">
        <f t="shared" si="149"/>
        <v>45138</v>
      </c>
      <c r="BX137" s="27">
        <v>1.6384987895587024</v>
      </c>
      <c r="BY137" s="126">
        <f t="shared" ref="BY137" si="428">BY136*BX137/100+BY136</f>
        <v>1666031.3719541286</v>
      </c>
      <c r="BZ137" s="6"/>
      <c r="CA137" s="49"/>
      <c r="CC137" s="79"/>
      <c r="CD137" s="20">
        <f t="shared" si="150"/>
        <v>45138</v>
      </c>
      <c r="CE137" s="300">
        <f t="shared" si="225"/>
        <v>1.4129872424000001</v>
      </c>
      <c r="CF137" s="126">
        <f t="shared" ref="CF137" si="429">CF136*CE137/100+CF136</f>
        <v>1641096.7859379509</v>
      </c>
      <c r="CG137" s="6"/>
      <c r="CH137" s="49"/>
      <c r="CI137" s="39"/>
    </row>
    <row r="138" spans="1:87" x14ac:dyDescent="0.25">
      <c r="A138" s="20">
        <v>45169</v>
      </c>
      <c r="B138" s="24">
        <f t="shared" si="405"/>
        <v>123</v>
      </c>
      <c r="C138" s="297">
        <f>'LC (Gross)'!K300</f>
        <v>-1.592168</v>
      </c>
      <c r="D138" s="297">
        <v>-3.8156780000000001</v>
      </c>
      <c r="E138" s="297">
        <v>-0.63871009999999995</v>
      </c>
      <c r="F138" s="297">
        <v>0</v>
      </c>
      <c r="G138" s="39"/>
      <c r="H138" s="20">
        <f t="shared" si="259"/>
        <v>45169</v>
      </c>
      <c r="I138" s="27">
        <v>-2.761955250925662</v>
      </c>
      <c r="J138" s="126">
        <f t="shared" ref="J138" si="430">J137*I138/100+J137</f>
        <v>2134646.0989208887</v>
      </c>
      <c r="K138" s="6"/>
      <c r="L138" s="49"/>
      <c r="M138" s="16"/>
      <c r="N138" s="79"/>
      <c r="O138" s="20">
        <f t="shared" si="189"/>
        <v>45169</v>
      </c>
      <c r="P138" s="300">
        <f t="shared" si="404"/>
        <v>-1.9961326000000001</v>
      </c>
      <c r="Q138" s="126">
        <f t="shared" ref="Q138" si="431">Q137*P138/100+Q137</f>
        <v>2388327.3188850791</v>
      </c>
      <c r="R138" s="6"/>
      <c r="S138" s="49"/>
      <c r="T138" s="39"/>
      <c r="U138" s="20">
        <f t="shared" si="190"/>
        <v>45169</v>
      </c>
      <c r="V138" s="27">
        <v>-2.4949725147131252</v>
      </c>
      <c r="W138" s="126">
        <f t="shared" ref="W138" si="432">W137*V138/100+W137</f>
        <v>1993600.2459151836</v>
      </c>
      <c r="X138" s="6"/>
      <c r="Y138" s="49"/>
      <c r="AA138" s="79"/>
      <c r="AB138" s="20">
        <f t="shared" si="191"/>
        <v>45169</v>
      </c>
      <c r="AC138" s="300">
        <f t="shared" si="222"/>
        <v>-1.7444638180000001</v>
      </c>
      <c r="AD138" s="126">
        <f t="shared" ref="AD138" si="433">AD137*AC138/100+AD137</f>
        <v>2084576.5002880613</v>
      </c>
      <c r="AE138" s="6"/>
      <c r="AF138" s="49"/>
      <c r="AG138" s="44"/>
      <c r="AH138" s="20">
        <f t="shared" si="183"/>
        <v>45169</v>
      </c>
      <c r="AI138" s="27">
        <v>-1.9769030599219615</v>
      </c>
      <c r="AJ138" s="126">
        <f t="shared" ref="AJ138" si="434">AJ137*AI138/100+AJ137</f>
        <v>1788374.8798268649</v>
      </c>
      <c r="AK138" s="6"/>
      <c r="AL138" s="49"/>
      <c r="AN138" s="79"/>
      <c r="AO138" s="20">
        <f t="shared" si="144"/>
        <v>45169</v>
      </c>
      <c r="AP138" s="300">
        <f t="shared" si="223"/>
        <v>-1.4648318380000001</v>
      </c>
      <c r="AQ138" s="126">
        <f t="shared" ref="AQ138" si="435">AQ137*AP138/100+AQ137</f>
        <v>1837804.3573557958</v>
      </c>
      <c r="AR138" s="6"/>
      <c r="AS138" s="49"/>
      <c r="AT138" s="39"/>
      <c r="AU138" s="20">
        <f t="shared" si="145"/>
        <v>45169</v>
      </c>
      <c r="AV138" s="27">
        <v>-1.3287812995670911</v>
      </c>
      <c r="AW138" s="126">
        <f t="shared" ref="AW138" si="436">AW137*AV138/100+AW137</f>
        <v>1330348.2003880006</v>
      </c>
      <c r="AX138" s="6"/>
      <c r="AY138" s="49"/>
      <c r="AZ138" s="16"/>
      <c r="BA138" s="79"/>
      <c r="BB138" s="20">
        <f t="shared" si="146"/>
        <v>45169</v>
      </c>
      <c r="BC138" s="300">
        <f t="shared" si="224"/>
        <v>-1.045383868</v>
      </c>
      <c r="BD138" s="126">
        <f t="shared" ref="BD138" si="437">BD137*BC138/100+BD137</f>
        <v>1377275.0391498513</v>
      </c>
      <c r="BE138" s="6"/>
      <c r="BF138" s="49"/>
      <c r="BG138" s="39"/>
      <c r="BH138" s="20">
        <f t="shared" si="147"/>
        <v>45169</v>
      </c>
      <c r="BI138" s="27">
        <v>-0.99914468733281347</v>
      </c>
      <c r="BJ138" s="126">
        <f t="shared" ref="BJ138" si="438">BJ137*BI138/100+BJ137</f>
        <v>1032687.4134919682</v>
      </c>
      <c r="BK138" s="6"/>
      <c r="BL138" s="49"/>
      <c r="BM138" s="16"/>
      <c r="BN138" s="79"/>
      <c r="BO138" s="20">
        <f t="shared" si="148"/>
        <v>45169</v>
      </c>
      <c r="BP138" s="300">
        <f t="shared" si="256"/>
        <v>-0.83565988299999994</v>
      </c>
      <c r="BQ138" s="126">
        <f t="shared" ref="BQ138" si="439">BQ137*BP138/100+BQ137</f>
        <v>1008269.6831857872</v>
      </c>
      <c r="BR138" s="6"/>
      <c r="BS138" s="49"/>
      <c r="BV138" s="39"/>
      <c r="BW138" s="20">
        <f t="shared" si="149"/>
        <v>45169</v>
      </c>
      <c r="BX138" s="27">
        <v>-1.7197298504927947</v>
      </c>
      <c r="BY138" s="126">
        <f t="shared" ref="BY138" si="440">BY137*BX138/100+BY137</f>
        <v>1637380.1331320589</v>
      </c>
      <c r="BZ138" s="6"/>
      <c r="CA138" s="49"/>
      <c r="CC138" s="79"/>
      <c r="CD138" s="20">
        <f t="shared" si="150"/>
        <v>45169</v>
      </c>
      <c r="CE138" s="300">
        <f t="shared" si="225"/>
        <v>-1.2551078529999999</v>
      </c>
      <c r="CF138" s="126">
        <f t="shared" ref="CF138" si="441">CF137*CE138/100+CF137</f>
        <v>1620499.2513023131</v>
      </c>
      <c r="CG138" s="6"/>
      <c r="CH138" s="49"/>
      <c r="CI138" s="39"/>
    </row>
    <row r="139" spans="1:87" x14ac:dyDescent="0.25">
      <c r="A139" s="20">
        <v>45199</v>
      </c>
      <c r="B139" s="24">
        <f t="shared" si="405"/>
        <v>124</v>
      </c>
      <c r="C139" s="297">
        <f>'LC (Gross)'!K301</f>
        <v>-4.7678450000000003</v>
      </c>
      <c r="D139" s="297">
        <v>-3.342495</v>
      </c>
      <c r="E139" s="297">
        <v>-2.5414099999999999</v>
      </c>
      <c r="F139" s="297">
        <v>0</v>
      </c>
      <c r="G139" s="39"/>
      <c r="H139" s="20">
        <f t="shared" si="259"/>
        <v>45199</v>
      </c>
      <c r="I139" s="27">
        <v>-3.3093399770454517</v>
      </c>
      <c r="J139" s="126">
        <f t="shared" ref="J139" si="442">J138*I139/100+J138</f>
        <v>2064003.4022008586</v>
      </c>
      <c r="K139" s="6"/>
      <c r="L139" s="49">
        <f>(J139/J136-1)*100</f>
        <v>-3.5192453370473498</v>
      </c>
      <c r="M139" s="16"/>
      <c r="N139" s="79"/>
      <c r="O139" s="20">
        <f t="shared" si="189"/>
        <v>45199</v>
      </c>
      <c r="P139" s="300">
        <f t="shared" si="404"/>
        <v>-4.393119500000001</v>
      </c>
      <c r="Q139" s="126">
        <f t="shared" ref="Q139" si="443">Q138*P139/100+Q138</f>
        <v>2283405.2457153117</v>
      </c>
      <c r="R139" s="6"/>
      <c r="S139" s="49">
        <f>(Q139/Q136-1)*100</f>
        <v>-3.3433231498566696</v>
      </c>
      <c r="T139" s="39"/>
      <c r="U139" s="20">
        <f t="shared" si="190"/>
        <v>45199</v>
      </c>
      <c r="V139" s="27">
        <v>-3.2346022324987809</v>
      </c>
      <c r="W139" s="126">
        <f t="shared" ref="W139" si="444">W138*V139/100+W138</f>
        <v>1929115.2078537098</v>
      </c>
      <c r="X139" s="6"/>
      <c r="Y139" s="49">
        <f>(W139/W136-1)*100</f>
        <v>-3.5396148824320739</v>
      </c>
      <c r="AA139" s="79"/>
      <c r="AB139" s="20">
        <f t="shared" si="191"/>
        <v>45199</v>
      </c>
      <c r="AC139" s="300">
        <f t="shared" si="222"/>
        <v>-4.0436738000000005</v>
      </c>
      <c r="AD139" s="126">
        <f t="shared" ref="AD139" si="445">AD138*AC139/100+AD138</f>
        <v>2000283.026504956</v>
      </c>
      <c r="AE139" s="6"/>
      <c r="AF139" s="49">
        <f>(AD139/AD136-1)*100</f>
        <v>-3.2994248571558971</v>
      </c>
      <c r="AG139" s="44"/>
      <c r="AH139" s="20">
        <f t="shared" si="183"/>
        <v>45199</v>
      </c>
      <c r="AI139" s="27">
        <v>-2.9829844528692759</v>
      </c>
      <c r="AJ139" s="126">
        <f t="shared" ref="AJ139" si="446">AJ138*AI139/100+AJ138</f>
        <v>1735027.93520261</v>
      </c>
      <c r="AK139" s="6"/>
      <c r="AL139" s="49">
        <f>(AJ139/AJ136-1)*100</f>
        <v>-3.0516846037815681</v>
      </c>
      <c r="AN139" s="79"/>
      <c r="AO139" s="20">
        <f t="shared" si="144"/>
        <v>45199</v>
      </c>
      <c r="AP139" s="300">
        <f t="shared" si="223"/>
        <v>-3.6554008000000002</v>
      </c>
      <c r="AQ139" s="126">
        <f t="shared" ref="AQ139" si="447">AQ138*AP139/100+AQ138</f>
        <v>1770625.2421745772</v>
      </c>
      <c r="AR139" s="6"/>
      <c r="AS139" s="49">
        <f>(AQ139/AQ136-1)*100</f>
        <v>-3.2566609662763368</v>
      </c>
      <c r="AT139" s="39"/>
      <c r="AU139" s="20">
        <f t="shared" si="145"/>
        <v>45199</v>
      </c>
      <c r="AV139" s="27">
        <v>-2.5274642781688117</v>
      </c>
      <c r="AW139" s="126">
        <f t="shared" ref="AW139" si="448">AW138*AV139/100+AW138</f>
        <v>1296724.1248479323</v>
      </c>
      <c r="AX139" s="6"/>
      <c r="AY139" s="49">
        <f>(AW139/AW136-1)*100</f>
        <v>-2.6192533058274847</v>
      </c>
      <c r="AZ139" s="16"/>
      <c r="BA139" s="79"/>
      <c r="BB139" s="20">
        <f t="shared" si="146"/>
        <v>45199</v>
      </c>
      <c r="BC139" s="300">
        <f t="shared" si="224"/>
        <v>-3.0729913</v>
      </c>
      <c r="BD139" s="126">
        <f t="shared" ref="BD139" si="449">BD138*BC139/100+BD138</f>
        <v>1334951.4970197049</v>
      </c>
      <c r="BE139" s="6"/>
      <c r="BF139" s="49">
        <f>(BD139/BD136-1)*100</f>
        <v>-3.2044720134615901</v>
      </c>
      <c r="BG139" s="39"/>
      <c r="BH139" s="20">
        <f t="shared" si="147"/>
        <v>45199</v>
      </c>
      <c r="BI139" s="27">
        <v>-2.2883462820547025</v>
      </c>
      <c r="BJ139" s="126">
        <f t="shared" ref="BJ139" si="450">BJ138*BI139/100+BJ138</f>
        <v>1009055.9494600778</v>
      </c>
      <c r="BK139" s="6"/>
      <c r="BL139" s="49">
        <f>(BJ139/BJ136-1)*100</f>
        <v>-2.362523001918504</v>
      </c>
      <c r="BM139" s="16"/>
      <c r="BN139" s="79"/>
      <c r="BO139" s="20">
        <f t="shared" si="148"/>
        <v>45199</v>
      </c>
      <c r="BP139" s="300">
        <f t="shared" si="256"/>
        <v>-2.7817865499999996</v>
      </c>
      <c r="BQ139" s="126">
        <f t="shared" ref="BQ139" si="451">BQ138*BP139/100+BQ138</f>
        <v>980221.77275119734</v>
      </c>
      <c r="BR139" s="6"/>
      <c r="BS139" s="49">
        <f>(BQ139/BQ136-1)*100</f>
        <v>-3.1837973270361974</v>
      </c>
      <c r="BT139" s="16"/>
      <c r="BU139" s="16"/>
      <c r="BV139" s="39"/>
      <c r="BW139" s="20">
        <f t="shared" si="149"/>
        <v>45199</v>
      </c>
      <c r="BX139" s="27">
        <v>-2.7590084664626091</v>
      </c>
      <c r="BY139" s="126">
        <f t="shared" ref="BY139" si="452">BY138*BX139/100+BY138</f>
        <v>1592204.6766307687</v>
      </c>
      <c r="BZ139" s="6"/>
      <c r="CA139" s="49">
        <f>(BY139/BY136-1)*100</f>
        <v>-2.8653986817471555</v>
      </c>
      <c r="CC139" s="79"/>
      <c r="CD139" s="20">
        <f t="shared" si="150"/>
        <v>45199</v>
      </c>
      <c r="CE139" s="300">
        <f t="shared" si="225"/>
        <v>-3.3641960500000003</v>
      </c>
      <c r="CF139" s="126">
        <f t="shared" ref="CF139" si="453">CF138*CE139/100+CF138</f>
        <v>1565982.479499721</v>
      </c>
      <c r="CG139" s="6"/>
      <c r="CH139" s="49">
        <f>(CF139/CF136-1)*100</f>
        <v>-3.2287659228090848</v>
      </c>
      <c r="CI139" s="39"/>
    </row>
    <row r="140" spans="1:87" x14ac:dyDescent="0.25">
      <c r="A140" s="20">
        <v>45230</v>
      </c>
      <c r="B140" s="24">
        <f t="shared" ref="B140:B143" si="454">IF(A140&gt;A139,1+B139,"-")</f>
        <v>125</v>
      </c>
      <c r="C140" s="297">
        <f>'LC (Gross)'!K302</f>
        <v>-2.102582</v>
      </c>
      <c r="D140" s="297">
        <v>-4.0452089999999998</v>
      </c>
      <c r="E140" s="297">
        <v>-1.5780479999999999</v>
      </c>
      <c r="F140" s="297">
        <v>0</v>
      </c>
      <c r="G140" s="39"/>
      <c r="H140" s="20">
        <f t="shared" si="259"/>
        <v>45230</v>
      </c>
      <c r="I140" s="27">
        <v>-2.5407482297758364</v>
      </c>
      <c r="J140" s="126">
        <f t="shared" ref="J140:J142" si="455">J139*I140/100+J139</f>
        <v>2011562.2722969272</v>
      </c>
      <c r="K140" s="6"/>
      <c r="L140" s="49"/>
      <c r="M140" s="16"/>
      <c r="N140" s="79"/>
      <c r="O140" s="20">
        <f t="shared" si="189"/>
        <v>45230</v>
      </c>
      <c r="P140" s="300">
        <f t="shared" si="404"/>
        <v>-2.4412852520000001</v>
      </c>
      <c r="Q140" s="126">
        <f t="shared" ref="Q140:Q142" si="456">Q139*P140/100+Q139</f>
        <v>2227660.8102082694</v>
      </c>
      <c r="R140" s="6"/>
      <c r="S140" s="49"/>
      <c r="T140" s="39"/>
      <c r="U140" s="20">
        <f t="shared" si="190"/>
        <v>45230</v>
      </c>
      <c r="V140" s="27">
        <v>-2.2661815037291455</v>
      </c>
      <c r="W140" s="126">
        <f t="shared" ref="W140:W142" si="457">W139*V140/100+W139</f>
        <v>1885397.955827703</v>
      </c>
      <c r="X140" s="6"/>
      <c r="Y140" s="49"/>
      <c r="AA140" s="79"/>
      <c r="AB140" s="20">
        <f t="shared" si="191"/>
        <v>45230</v>
      </c>
      <c r="AC140" s="300">
        <f t="shared" si="222"/>
        <v>-2.2769345599999999</v>
      </c>
      <c r="AD140" s="126">
        <f t="shared" ref="AD140:AD142" si="458">AD139*AC140/100+AD139</f>
        <v>1954737.8909766506</v>
      </c>
      <c r="AE140" s="6"/>
      <c r="AF140" s="49"/>
      <c r="AG140" s="44"/>
      <c r="AH140" s="20">
        <f t="shared" si="183"/>
        <v>45230</v>
      </c>
      <c r="AI140" s="27">
        <v>-1.8358238367111714</v>
      </c>
      <c r="AJ140" s="126">
        <f t="shared" ref="AJ140:AJ142" si="459">AJ139*AI140/100+AJ139</f>
        <v>1703175.8787945628</v>
      </c>
      <c r="AK140" s="6"/>
      <c r="AL140" s="49"/>
      <c r="AN140" s="79"/>
      <c r="AO140" s="20">
        <f t="shared" si="144"/>
        <v>45230</v>
      </c>
      <c r="AP140" s="300">
        <f t="shared" si="223"/>
        <v>-2.0943226799999999</v>
      </c>
      <c r="AQ140" s="126">
        <f t="shared" ref="AQ140:AQ142" si="460">AQ139*AP140/100+AQ139</f>
        <v>1733542.63614991</v>
      </c>
      <c r="AR140" s="6"/>
      <c r="AS140" s="49"/>
      <c r="AT140" s="39"/>
      <c r="AU140" s="20">
        <f t="shared" si="145"/>
        <v>45230</v>
      </c>
      <c r="AV140" s="27">
        <v>-1.3541024196567748</v>
      </c>
      <c r="AW140" s="126">
        <f t="shared" ref="AW140:AW142" si="461">AW139*AV140/100+AW139</f>
        <v>1279165.1520970932</v>
      </c>
      <c r="AX140" s="6"/>
      <c r="AY140" s="49"/>
      <c r="AZ140" s="16"/>
      <c r="BA140" s="79"/>
      <c r="BB140" s="20">
        <f t="shared" si="146"/>
        <v>45230</v>
      </c>
      <c r="BC140" s="300">
        <f t="shared" si="224"/>
        <v>-1.82040486</v>
      </c>
      <c r="BD140" s="126">
        <f t="shared" ref="BD140:BD142" si="462">BD139*BC140/100+BD139</f>
        <v>1310649.9750893153</v>
      </c>
      <c r="BE140" s="6"/>
      <c r="BF140" s="49"/>
      <c r="BG140" s="39"/>
      <c r="BH140" s="20">
        <f t="shared" si="147"/>
        <v>45230</v>
      </c>
      <c r="BI140" s="27">
        <v>-1.1983945829935303</v>
      </c>
      <c r="BJ140" s="126">
        <f t="shared" ref="BJ140:BJ142" si="463">BJ139*BI140/100+BJ139</f>
        <v>996963.47762237431</v>
      </c>
      <c r="BK140" s="6"/>
      <c r="BL140" s="49"/>
      <c r="BM140" s="16"/>
      <c r="BN140" s="79"/>
      <c r="BO140" s="20">
        <f t="shared" si="148"/>
        <v>45230</v>
      </c>
      <c r="BP140" s="300">
        <f t="shared" si="256"/>
        <v>-1.6834459499999999</v>
      </c>
      <c r="BQ140" s="126">
        <f t="shared" ref="BQ140:BQ142" si="464">BQ139*BP140/100+BQ139</f>
        <v>963720.26901679905</v>
      </c>
      <c r="BR140" s="6"/>
      <c r="BS140" s="49"/>
      <c r="BT140" s="16"/>
      <c r="BU140" s="16"/>
      <c r="BV140" s="39"/>
      <c r="BW140" s="20">
        <f t="shared" si="149"/>
        <v>45230</v>
      </c>
      <c r="BX140" s="27">
        <v>-1.6324114559409075</v>
      </c>
      <c r="BY140" s="126">
        <f t="shared" ref="BY140:BY142" si="465">BY139*BX140/100+BY139</f>
        <v>1566213.3450874211</v>
      </c>
      <c r="BZ140" s="6"/>
      <c r="CA140" s="49"/>
      <c r="CC140" s="79"/>
      <c r="CD140" s="20">
        <f t="shared" si="150"/>
        <v>45230</v>
      </c>
      <c r="CE140" s="300">
        <f t="shared" si="225"/>
        <v>-1.9573637699999999</v>
      </c>
      <c r="CF140" s="126">
        <f t="shared" ref="CF140:CF142" si="466">CF139*CE140/100+CF139</f>
        <v>1535330.5058014458</v>
      </c>
      <c r="CG140" s="6"/>
      <c r="CH140" s="49"/>
      <c r="CI140" s="39"/>
    </row>
    <row r="141" spans="1:87" x14ac:dyDescent="0.25">
      <c r="A141" s="20">
        <v>45260</v>
      </c>
      <c r="B141" s="24">
        <f t="shared" si="454"/>
        <v>126</v>
      </c>
      <c r="C141" s="297">
        <f>'LC (Gross)'!K303</f>
        <v>9.1325979999999998</v>
      </c>
      <c r="D141" s="297">
        <v>9.3031269999999999</v>
      </c>
      <c r="E141" s="297">
        <v>4.5284329999999997</v>
      </c>
      <c r="F141" s="297">
        <v>0</v>
      </c>
      <c r="G141" s="39"/>
      <c r="H141" s="20">
        <f t="shared" si="259"/>
        <v>45260</v>
      </c>
      <c r="I141" s="27">
        <v>6.9187142977403235</v>
      </c>
      <c r="J141" s="126">
        <f t="shared" si="455"/>
        <v>2150736.518838285</v>
      </c>
      <c r="K141" s="6"/>
      <c r="L141" s="49"/>
      <c r="M141" s="16"/>
      <c r="N141" s="79"/>
      <c r="O141" s="20">
        <f t="shared" si="189"/>
        <v>45260</v>
      </c>
      <c r="P141" s="300">
        <f t="shared" si="404"/>
        <v>8.9833697239999992</v>
      </c>
      <c r="Q141" s="126">
        <f t="shared" si="456"/>
        <v>2427779.8169859322</v>
      </c>
      <c r="R141" s="6"/>
      <c r="S141" s="49"/>
      <c r="T141" s="39"/>
      <c r="U141" s="20">
        <f t="shared" si="190"/>
        <v>45260</v>
      </c>
      <c r="V141" s="27">
        <v>6.6125963269694017</v>
      </c>
      <c r="W141" s="126">
        <f t="shared" si="457"/>
        <v>2010071.711803522</v>
      </c>
      <c r="X141" s="6"/>
      <c r="Y141" s="49"/>
      <c r="AA141" s="79"/>
      <c r="AB141" s="20">
        <f t="shared" si="191"/>
        <v>45260</v>
      </c>
      <c r="AC141" s="300">
        <f t="shared" si="222"/>
        <v>8.1484809800000004</v>
      </c>
      <c r="AD141" s="126">
        <f t="shared" si="458"/>
        <v>2114019.336231736</v>
      </c>
      <c r="AE141" s="6"/>
      <c r="AF141" s="49"/>
      <c r="AG141" s="44"/>
      <c r="AH141" s="20">
        <f t="shared" si="183"/>
        <v>45260</v>
      </c>
      <c r="AI141" s="27">
        <v>5.9671344813228373</v>
      </c>
      <c r="AJ141" s="126">
        <f t="shared" si="459"/>
        <v>1804806.6739356865</v>
      </c>
      <c r="AK141" s="6"/>
      <c r="AL141" s="49"/>
      <c r="AN141" s="79"/>
      <c r="AO141" s="20">
        <f t="shared" si="144"/>
        <v>45260</v>
      </c>
      <c r="AP141" s="300">
        <f t="shared" si="223"/>
        <v>7.2208268199999992</v>
      </c>
      <c r="AQ141" s="126">
        <f t="shared" si="460"/>
        <v>1858718.7477571578</v>
      </c>
      <c r="AR141" s="6"/>
      <c r="AS141" s="49"/>
      <c r="AT141" s="39"/>
      <c r="AU141" s="20">
        <f t="shared" si="145"/>
        <v>45260</v>
      </c>
      <c r="AV141" s="27">
        <v>4.8449206291283158</v>
      </c>
      <c r="AW141" s="126">
        <f t="shared" si="461"/>
        <v>1341139.6884316658</v>
      </c>
      <c r="AX141" s="6"/>
      <c r="AY141" s="49"/>
      <c r="AZ141" s="16"/>
      <c r="BA141" s="79"/>
      <c r="BB141" s="20">
        <f t="shared" si="146"/>
        <v>45260</v>
      </c>
      <c r="BC141" s="300">
        <f t="shared" si="224"/>
        <v>5.82934558</v>
      </c>
      <c r="BD141" s="126">
        <f t="shared" si="462"/>
        <v>1387052.2914814553</v>
      </c>
      <c r="BE141" s="6"/>
      <c r="BF141" s="49"/>
      <c r="BG141" s="39"/>
      <c r="BH141" s="20">
        <f t="shared" si="147"/>
        <v>45260</v>
      </c>
      <c r="BI141" s="27">
        <v>4.2980463902892083</v>
      </c>
      <c r="BJ141" s="126">
        <f t="shared" si="463"/>
        <v>1039813.4303848245</v>
      </c>
      <c r="BK141" s="6"/>
      <c r="BL141" s="49"/>
      <c r="BM141" s="16"/>
      <c r="BN141" s="79"/>
      <c r="BO141" s="20">
        <f t="shared" si="148"/>
        <v>45260</v>
      </c>
      <c r="BP141" s="300">
        <f t="shared" si="256"/>
        <v>5.1336049599999996</v>
      </c>
      <c r="BQ141" s="126">
        <f t="shared" si="464"/>
        <v>1013193.8605475707</v>
      </c>
      <c r="BR141" s="6"/>
      <c r="BS141" s="49"/>
      <c r="BT141" s="16"/>
      <c r="BU141" s="16"/>
      <c r="BV141" s="39"/>
      <c r="BW141" s="20">
        <f t="shared" si="149"/>
        <v>45260</v>
      </c>
      <c r="BX141" s="27">
        <v>5.4138312010000611</v>
      </c>
      <c r="BY141" s="126">
        <f t="shared" si="465"/>
        <v>1651005.4918379907</v>
      </c>
      <c r="BZ141" s="6"/>
      <c r="CA141" s="49"/>
      <c r="CC141" s="79"/>
      <c r="CD141" s="20">
        <f t="shared" si="150"/>
        <v>45260</v>
      </c>
      <c r="CE141" s="300">
        <f t="shared" si="225"/>
        <v>6.5250861999999996</v>
      </c>
      <c r="CF141" s="126">
        <f t="shared" si="466"/>
        <v>1635512.1447598862</v>
      </c>
      <c r="CG141" s="6"/>
      <c r="CH141" s="49"/>
      <c r="CI141" s="39"/>
    </row>
    <row r="142" spans="1:87" x14ac:dyDescent="0.25">
      <c r="A142" s="20">
        <v>45291</v>
      </c>
      <c r="B142" s="24">
        <f t="shared" si="454"/>
        <v>127</v>
      </c>
      <c r="C142" s="297">
        <f>'LC (Gross)'!K304</f>
        <v>4.5311300000000001</v>
      </c>
      <c r="D142" s="297">
        <v>5.3310050000000002</v>
      </c>
      <c r="E142" s="297">
        <v>3.8279969999999999</v>
      </c>
      <c r="F142" s="297">
        <v>0</v>
      </c>
      <c r="G142" s="39"/>
      <c r="H142" s="20">
        <f t="shared" si="259"/>
        <v>45291</v>
      </c>
      <c r="I142" s="27">
        <v>5.9662602912770559</v>
      </c>
      <c r="J142" s="126">
        <f t="shared" si="455"/>
        <v>2279055.0577317281</v>
      </c>
      <c r="K142" s="6">
        <f>(J142-J$130)/J$130*100</f>
        <v>15.222953403291701</v>
      </c>
      <c r="L142" s="49">
        <f t="shared" ref="L142" si="467">(J142/J139-1)*100</f>
        <v>10.419152182673663</v>
      </c>
      <c r="M142" s="16">
        <f>STDEVP(I107:I142)*SQRT(12)</f>
        <v>14.184911168534533</v>
      </c>
      <c r="N142" s="79"/>
      <c r="O142" s="20">
        <f t="shared" si="189"/>
        <v>45291</v>
      </c>
      <c r="P142" s="300">
        <f t="shared" si="404"/>
        <v>4.5972829000000006</v>
      </c>
      <c r="Q142" s="126">
        <f t="shared" si="456"/>
        <v>2539391.7233618777</v>
      </c>
      <c r="R142" s="6">
        <f>(Q142-Q$130)/Q$130*100</f>
        <v>24.281437655954853</v>
      </c>
      <c r="S142" s="49">
        <f t="shared" ref="S142" si="468">(Q142/Q139-1)*100</f>
        <v>11.210733536104067</v>
      </c>
      <c r="T142" s="39"/>
      <c r="U142" s="20">
        <f t="shared" si="190"/>
        <v>45291</v>
      </c>
      <c r="V142" s="27">
        <v>5.4488519804506028</v>
      </c>
      <c r="W142" s="126">
        <f t="shared" si="457"/>
        <v>2119597.5440806057</v>
      </c>
      <c r="X142" s="6">
        <f>(W142-W$130)/W$130*100</f>
        <v>14.333518108517303</v>
      </c>
      <c r="Y142" s="49">
        <f t="shared" ref="Y142" si="469">(W142/W139-1)*100</f>
        <v>9.8740777871334284</v>
      </c>
      <c r="Z142" s="16">
        <f>STDEVP(AC107:AC142)*SQRT(12)</f>
        <v>14.404276247297684</v>
      </c>
      <c r="AA142" s="79"/>
      <c r="AB142" s="20">
        <f t="shared" si="191"/>
        <v>45291</v>
      </c>
      <c r="AC142" s="300">
        <f t="shared" si="222"/>
        <v>4.4419234599999999</v>
      </c>
      <c r="AD142" s="126">
        <f t="shared" si="458"/>
        <v>2207922.4570767498</v>
      </c>
      <c r="AE142" s="6">
        <f>(AD142-AD$130)/AD$130*100</f>
        <v>20.660046261021879</v>
      </c>
      <c r="AF142" s="49">
        <f t="shared" ref="AF142" si="470">(AD142/AD139-1)*100</f>
        <v>10.380502549911498</v>
      </c>
      <c r="AG142" s="44"/>
      <c r="AH142" s="20">
        <f t="shared" si="183"/>
        <v>45291</v>
      </c>
      <c r="AI142" s="27">
        <v>4.7681987020343524</v>
      </c>
      <c r="AJ142" s="126">
        <f t="shared" si="459"/>
        <v>1890863.4423365172</v>
      </c>
      <c r="AK142" s="6">
        <f>(AJ142-AJ$130)/AJ$130*100</f>
        <v>12.476904005917751</v>
      </c>
      <c r="AL142" s="49">
        <f t="shared" ref="AL142" si="471">(AJ142/AJ139-1)*100</f>
        <v>8.9817289953725954</v>
      </c>
      <c r="AN142" s="79"/>
      <c r="AO142" s="20">
        <f t="shared" si="144"/>
        <v>45291</v>
      </c>
      <c r="AP142" s="300">
        <f t="shared" si="223"/>
        <v>4.2693018599999997</v>
      </c>
      <c r="AQ142" s="126">
        <f t="shared" si="460"/>
        <v>1938073.0618273229</v>
      </c>
      <c r="AR142" s="6">
        <f>(AQ142-AQ$130)/AQ$130*100</f>
        <v>16.720160551189224</v>
      </c>
      <c r="AS142" s="49">
        <f t="shared" ref="AS142" si="472">(AQ142/AQ139-1)*100</f>
        <v>9.4569881680381052</v>
      </c>
      <c r="AT142" s="39"/>
      <c r="AU142" s="20">
        <f t="shared" si="145"/>
        <v>45291</v>
      </c>
      <c r="AV142" s="27">
        <v>3.7361034662563304</v>
      </c>
      <c r="AW142" s="126">
        <f t="shared" si="461"/>
        <v>1391246.0548185005</v>
      </c>
      <c r="AX142" s="6">
        <f>(AW142-AW$130)/AW$130*100</f>
        <v>9.0577050490470832</v>
      </c>
      <c r="AY142" s="49">
        <f t="shared" ref="AY142" si="473">(AW142/AW139-1)*100</f>
        <v>7.2892859907000673</v>
      </c>
      <c r="AZ142" s="16"/>
      <c r="BA142" s="79"/>
      <c r="BB142" s="20">
        <f t="shared" si="146"/>
        <v>45291</v>
      </c>
      <c r="BC142" s="300">
        <f t="shared" si="224"/>
        <v>4.0103694599999997</v>
      </c>
      <c r="BD142" s="126">
        <f t="shared" si="462"/>
        <v>1442678.2129732578</v>
      </c>
      <c r="BE142" s="6">
        <f>(BD142-BD$130)/BD$130*100</f>
        <v>10.97414660740804</v>
      </c>
      <c r="BF142" s="49">
        <f t="shared" ref="BF142" si="474">(BD142/BD139-1)*100</f>
        <v>8.0697101126186332</v>
      </c>
      <c r="BG142" s="39"/>
      <c r="BH142" s="20">
        <f t="shared" si="147"/>
        <v>45291</v>
      </c>
      <c r="BI142" s="27">
        <v>3.3587647799076956</v>
      </c>
      <c r="BJ142" s="126">
        <f t="shared" si="463"/>
        <v>1074738.3176613401</v>
      </c>
      <c r="BK142" s="6">
        <f t="shared" ref="BK142" si="475">(BJ142-BJ$130)/BJ$130*100</f>
        <v>7.5199528365775041</v>
      </c>
      <c r="BL142" s="49">
        <f t="shared" ref="BL142" si="476">(BJ142/BJ139-1)*100</f>
        <v>6.5092890276706061</v>
      </c>
      <c r="BM142" s="16">
        <f t="shared" ref="BM142" si="477">STDEVP(BI107:BI142)*SQRT(12)</f>
        <v>6.8302616415347348</v>
      </c>
      <c r="BN142" s="79"/>
      <c r="BO142" s="20">
        <f t="shared" si="148"/>
        <v>45291</v>
      </c>
      <c r="BP142" s="300">
        <f t="shared" si="256"/>
        <v>3.8809032599999997</v>
      </c>
      <c r="BQ142" s="126">
        <f t="shared" si="464"/>
        <v>1052514.9341116813</v>
      </c>
      <c r="BR142" s="6">
        <f>(BQ142-BQ$130)/BQ$130*100</f>
        <v>8.1740891939931082</v>
      </c>
      <c r="BS142" s="49">
        <f t="shared" ref="BS142" si="478">(BQ142/BQ139-1)*100</f>
        <v>7.3751842052618422</v>
      </c>
      <c r="BT142" s="16">
        <f t="shared" ref="BT142" si="479">STDEVP(BP107:BP142)*SQRT(12)</f>
        <v>7.9345967148863137</v>
      </c>
      <c r="BU142" s="16"/>
      <c r="BV142" s="39"/>
      <c r="BW142" s="20">
        <f t="shared" si="149"/>
        <v>45291</v>
      </c>
      <c r="BX142" s="27">
        <v>4.3392689913704725</v>
      </c>
      <c r="BY142" s="126">
        <f t="shared" si="465"/>
        <v>1722647.0611911402</v>
      </c>
      <c r="BZ142" s="6">
        <f>(BY142-BY$130)/BY$130*100</f>
        <v>10.738540521561541</v>
      </c>
      <c r="CA142" s="49">
        <f t="shared" ref="CA142" si="480">(BY142/BY139-1)*100</f>
        <v>8.1925638377346122</v>
      </c>
      <c r="CC142" s="79"/>
      <c r="CD142" s="20">
        <f t="shared" si="150"/>
        <v>45291</v>
      </c>
      <c r="CE142" s="300">
        <f t="shared" si="225"/>
        <v>4.1398356600000001</v>
      </c>
      <c r="CF142" s="126">
        <f t="shared" si="466"/>
        <v>1703219.6597522867</v>
      </c>
      <c r="CG142" s="6">
        <f>(CF142-CF$130)/CF$130*100</f>
        <v>13.822717956709857</v>
      </c>
      <c r="CH142" s="49">
        <f t="shared" ref="CH142" si="481">(CF142/CF139-1)*100</f>
        <v>8.7636472341892748</v>
      </c>
      <c r="CI142" s="39"/>
    </row>
    <row r="143" spans="1:87" x14ac:dyDescent="0.25">
      <c r="A143" s="20">
        <v>45322</v>
      </c>
      <c r="B143" s="24">
        <f t="shared" si="454"/>
        <v>128</v>
      </c>
      <c r="C143" s="297">
        <f>'LC (Gross)'!K305</f>
        <v>1.6793610000000001</v>
      </c>
      <c r="D143" s="297">
        <v>0.59375020000000001</v>
      </c>
      <c r="E143" s="297">
        <v>-0.27474559999999998</v>
      </c>
      <c r="F143" s="297">
        <v>0</v>
      </c>
      <c r="G143" s="39"/>
      <c r="H143" s="20">
        <f t="shared" si="259"/>
        <v>45322</v>
      </c>
      <c r="I143" s="27">
        <v>0.46193683912707073</v>
      </c>
      <c r="J143" s="126">
        <f t="shared" ref="J143:J145" si="482">J142*I143/100+J142</f>
        <v>2289582.8526273798</v>
      </c>
      <c r="K143" s="6"/>
      <c r="L143" s="49"/>
      <c r="M143" s="16"/>
      <c r="N143" s="79"/>
      <c r="O143" s="20">
        <f t="shared" si="189"/>
        <v>45322</v>
      </c>
      <c r="P143" s="300">
        <f t="shared" si="404"/>
        <v>1.4329940632000002</v>
      </c>
      <c r="Q143" s="126">
        <f t="shared" ref="Q143:Q145" si="483">Q142*P143/100+Q142</f>
        <v>2575781.0559990457</v>
      </c>
      <c r="R143" s="6"/>
      <c r="S143" s="49"/>
      <c r="T143" s="39"/>
      <c r="U143" s="20">
        <f t="shared" si="190"/>
        <v>45322</v>
      </c>
      <c r="V143" s="27">
        <v>0.61530096003062129</v>
      </c>
      <c r="W143" s="126">
        <f t="shared" ref="W143:W145" si="484">W142*V143/100+W142</f>
        <v>2132639.448118119</v>
      </c>
      <c r="X143" s="6"/>
      <c r="Y143" s="49"/>
      <c r="AA143" s="79"/>
      <c r="AB143" s="20">
        <f t="shared" si="191"/>
        <v>45322</v>
      </c>
      <c r="AC143" s="300">
        <f t="shared" si="222"/>
        <v>1.120336864</v>
      </c>
      <c r="AD143" s="126">
        <f t="shared" ref="AD143:AD145" si="485">AD142*AC143/100+AD142</f>
        <v>2232658.6262919153</v>
      </c>
      <c r="AE143" s="6"/>
      <c r="AF143" s="49"/>
      <c r="AG143" s="44"/>
      <c r="AH143" s="20">
        <f t="shared" si="183"/>
        <v>45322</v>
      </c>
      <c r="AI143" s="27">
        <v>0.72985787054698814</v>
      </c>
      <c r="AJ143" s="126">
        <f t="shared" ref="AJ143:AJ145" si="486">AJ142*AI143/100+AJ142</f>
        <v>1904664.0579917058</v>
      </c>
      <c r="AK143" s="6"/>
      <c r="AL143" s="49"/>
      <c r="AN143" s="79"/>
      <c r="AO143" s="20">
        <f t="shared" si="144"/>
        <v>45322</v>
      </c>
      <c r="AP143" s="300">
        <f t="shared" si="223"/>
        <v>0.77293997600000008</v>
      </c>
      <c r="AQ143" s="126">
        <f t="shared" ref="AQ143:AQ145" si="487">AQ142*AP143/100+AQ142</f>
        <v>1953053.2032862734</v>
      </c>
      <c r="AR143" s="6"/>
      <c r="AS143" s="49"/>
      <c r="AT143" s="39"/>
      <c r="AU143" s="20">
        <f t="shared" si="145"/>
        <v>45322</v>
      </c>
      <c r="AV143" s="27">
        <v>0.59953925028952237</v>
      </c>
      <c r="AW143" s="126">
        <f t="shared" ref="AW143:AW145" si="488">AW142*AV143/100+AW142</f>
        <v>1399587.1209852418</v>
      </c>
      <c r="AX143" s="6"/>
      <c r="AY143" s="49"/>
      <c r="AZ143" s="16"/>
      <c r="BA143" s="79"/>
      <c r="BB143" s="20">
        <f t="shared" si="146"/>
        <v>45322</v>
      </c>
      <c r="BC143" s="300">
        <f t="shared" si="224"/>
        <v>0.25184464400000006</v>
      </c>
      <c r="BD143" s="126">
        <f t="shared" ref="BD143:BD145" si="489">BD142*BC143/100+BD142</f>
        <v>1446311.5207827857</v>
      </c>
      <c r="BE143" s="6"/>
      <c r="BF143" s="49"/>
      <c r="BG143" s="39"/>
      <c r="BH143" s="20">
        <f t="shared" si="147"/>
        <v>45322</v>
      </c>
      <c r="BI143" s="27">
        <v>0.47768932943333509</v>
      </c>
      <c r="BJ143" s="126">
        <f t="shared" ref="BJ143:BJ145" si="490">BJ142*BI143/100+BJ142</f>
        <v>1079872.2279241397</v>
      </c>
      <c r="BK143" s="6"/>
      <c r="BL143" s="49"/>
      <c r="BM143" s="16"/>
      <c r="BN143" s="79"/>
      <c r="BO143" s="20">
        <f t="shared" si="148"/>
        <v>45322</v>
      </c>
      <c r="BP143" s="300">
        <f t="shared" si="256"/>
        <v>-8.7030219999999492E-3</v>
      </c>
      <c r="BQ143" s="126">
        <f t="shared" ref="BQ143:BQ145" si="491">BQ142*BP143/100+BQ142</f>
        <v>1052423.3335054123</v>
      </c>
      <c r="BR143" s="6"/>
      <c r="BS143" s="49"/>
      <c r="BT143" s="16"/>
      <c r="BU143" s="16"/>
      <c r="BV143" s="39"/>
      <c r="BW143" s="20">
        <f t="shared" si="149"/>
        <v>45322</v>
      </c>
      <c r="BX143" s="27">
        <v>0.64981526379695564</v>
      </c>
      <c r="BY143" s="126">
        <f t="shared" ref="BY143:BY145" si="492">BY142*BX143/100+BY142</f>
        <v>1733841.0847361099</v>
      </c>
      <c r="BZ143" s="6"/>
      <c r="CA143" s="49"/>
      <c r="CC143" s="79"/>
      <c r="CD143" s="20">
        <f t="shared" si="150"/>
        <v>45322</v>
      </c>
      <c r="CE143" s="300">
        <f t="shared" si="225"/>
        <v>0.51239230999999996</v>
      </c>
      <c r="CF143" s="126">
        <f t="shared" ref="CF143:CF145" si="493">CF142*CE143/100+CF142</f>
        <v>1711946.8263112656</v>
      </c>
      <c r="CG143" s="6"/>
      <c r="CH143" s="49"/>
      <c r="CI143" s="39"/>
    </row>
    <row r="144" spans="1:87" x14ac:dyDescent="0.25">
      <c r="A144" s="20">
        <v>45351</v>
      </c>
      <c r="B144" s="24">
        <f t="shared" ref="B144:B149" si="494">IF(A144&gt;A143,1+B143,"-")</f>
        <v>129</v>
      </c>
      <c r="C144" s="297">
        <f>'LC (Gross)'!K306</f>
        <v>5.3395099999999998</v>
      </c>
      <c r="D144" s="297">
        <v>1.8570199999999999</v>
      </c>
      <c r="E144" s="297">
        <v>-1.4127620000000001</v>
      </c>
      <c r="F144" s="297">
        <v>0</v>
      </c>
      <c r="G144" s="39"/>
      <c r="H144" s="20">
        <f t="shared" si="259"/>
        <v>45351</v>
      </c>
      <c r="I144" s="27">
        <v>3.0769706073860954</v>
      </c>
      <c r="J144" s="126">
        <f t="shared" si="482"/>
        <v>2360032.6440344765</v>
      </c>
      <c r="K144" s="6"/>
      <c r="L144" s="49"/>
      <c r="M144" s="16"/>
      <c r="N144" s="79"/>
      <c r="O144" s="20">
        <f t="shared" si="189"/>
        <v>45351</v>
      </c>
      <c r="P144" s="300">
        <f t="shared" si="404"/>
        <v>4.5501517599999994</v>
      </c>
      <c r="Q144" s="126">
        <f t="shared" si="483"/>
        <v>2692983.0030523329</v>
      </c>
      <c r="R144" s="6"/>
      <c r="S144" s="49"/>
      <c r="T144" s="39"/>
      <c r="U144" s="20">
        <f t="shared" si="190"/>
        <v>45351</v>
      </c>
      <c r="V144" s="27">
        <v>2.8518718403651326</v>
      </c>
      <c r="W144" s="126">
        <f t="shared" si="484"/>
        <v>2193459.5919955182</v>
      </c>
      <c r="X144" s="6"/>
      <c r="Y144" s="49"/>
      <c r="AA144" s="79"/>
      <c r="AB144" s="20">
        <f t="shared" si="191"/>
        <v>45351</v>
      </c>
      <c r="AC144" s="300">
        <f t="shared" si="222"/>
        <v>3.4601124400000001</v>
      </c>
      <c r="AD144" s="126">
        <f t="shared" si="485"/>
        <v>2309911.1251629749</v>
      </c>
      <c r="AE144" s="6"/>
      <c r="AF144" s="49"/>
      <c r="AG144" s="44"/>
      <c r="AH144" s="20">
        <f t="shared" si="183"/>
        <v>45351</v>
      </c>
      <c r="AI144" s="27">
        <v>2.383827768958048</v>
      </c>
      <c r="AJ144" s="126">
        <f t="shared" si="486"/>
        <v>1950067.9687114754</v>
      </c>
      <c r="AK144" s="6"/>
      <c r="AL144" s="49"/>
      <c r="AN144" s="79"/>
      <c r="AO144" s="20">
        <f t="shared" si="144"/>
        <v>45351</v>
      </c>
      <c r="AP144" s="300">
        <f t="shared" si="223"/>
        <v>2.2489576399999995</v>
      </c>
      <c r="AQ144" s="126">
        <f t="shared" si="487"/>
        <v>1996976.5425148448</v>
      </c>
      <c r="AR144" s="6"/>
      <c r="AS144" s="49"/>
      <c r="AT144" s="39"/>
      <c r="AU144" s="20">
        <f t="shared" si="145"/>
        <v>45351</v>
      </c>
      <c r="AV144" s="27">
        <v>1.3524319693244895</v>
      </c>
      <c r="AW144" s="126">
        <f t="shared" si="488"/>
        <v>1418515.5846479945</v>
      </c>
      <c r="AX144" s="6"/>
      <c r="AY144" s="49"/>
      <c r="AZ144" s="16"/>
      <c r="BA144" s="79"/>
      <c r="BB144" s="20">
        <f t="shared" si="146"/>
        <v>45351</v>
      </c>
      <c r="BC144" s="300">
        <f t="shared" si="224"/>
        <v>0.43222543999999952</v>
      </c>
      <c r="BD144" s="126">
        <f t="shared" si="489"/>
        <v>1452562.8471172599</v>
      </c>
      <c r="BE144" s="6"/>
      <c r="BF144" s="49"/>
      <c r="BG144" s="39"/>
      <c r="BH144" s="20">
        <f t="shared" si="147"/>
        <v>45351</v>
      </c>
      <c r="BI144" s="27">
        <v>0.64236818907229298</v>
      </c>
      <c r="BJ144" s="126">
        <f t="shared" si="490"/>
        <v>1086808.9835989506</v>
      </c>
      <c r="BK144" s="6"/>
      <c r="BL144" s="49"/>
      <c r="BM144" s="16"/>
      <c r="BN144" s="79"/>
      <c r="BO144" s="20">
        <f t="shared" si="148"/>
        <v>45351</v>
      </c>
      <c r="BP144" s="300">
        <f t="shared" si="256"/>
        <v>-0.4761406600000001</v>
      </c>
      <c r="BQ144" s="126">
        <f t="shared" si="491"/>
        <v>1047412.3180992657</v>
      </c>
      <c r="BR144" s="6"/>
      <c r="BS144" s="49"/>
      <c r="BT144" s="16"/>
      <c r="BU144" s="16"/>
      <c r="BV144" s="39"/>
      <c r="BW144" s="20">
        <f t="shared" si="149"/>
        <v>45351</v>
      </c>
      <c r="BX144" s="27">
        <v>1.9558018464925546</v>
      </c>
      <c r="BY144" s="126">
        <f t="shared" si="492"/>
        <v>1767751.5806866253</v>
      </c>
      <c r="BZ144" s="6"/>
      <c r="CA144" s="49"/>
      <c r="CC144" s="79"/>
      <c r="CD144" s="20">
        <f t="shared" si="150"/>
        <v>45351</v>
      </c>
      <c r="CE144" s="300">
        <f t="shared" si="225"/>
        <v>1.3405915400000001</v>
      </c>
      <c r="CF144" s="126">
        <f t="shared" si="493"/>
        <v>1734897.0406340929</v>
      </c>
      <c r="CG144" s="6"/>
      <c r="CH144" s="49"/>
      <c r="CI144" s="39"/>
    </row>
    <row r="145" spans="1:87" x14ac:dyDescent="0.25">
      <c r="A145" s="20">
        <v>45382</v>
      </c>
      <c r="B145" s="24">
        <f t="shared" si="494"/>
        <v>130</v>
      </c>
      <c r="C145" s="297">
        <f>'LC (Gross)'!K307</f>
        <v>3.2173630000000002</v>
      </c>
      <c r="D145" s="297">
        <v>3.4422739999999998</v>
      </c>
      <c r="E145" s="297">
        <v>0.92350399999999999</v>
      </c>
      <c r="F145" s="297">
        <v>0</v>
      </c>
      <c r="G145" s="39"/>
      <c r="H145" s="20">
        <f t="shared" si="259"/>
        <v>45382</v>
      </c>
      <c r="I145" s="27">
        <v>3.0284066964046028</v>
      </c>
      <c r="J145" s="126">
        <f t="shared" si="482"/>
        <v>2431504.0306637511</v>
      </c>
      <c r="K145" s="6"/>
      <c r="L145" s="49">
        <f t="shared" ref="L145" si="495">(J145/J142-1)*100</f>
        <v>6.6891307612265694</v>
      </c>
      <c r="M145" s="16"/>
      <c r="N145" s="79"/>
      <c r="O145" s="20">
        <f t="shared" si="189"/>
        <v>45382</v>
      </c>
      <c r="P145" s="300">
        <f t="shared" si="404"/>
        <v>3.1970982960000001</v>
      </c>
      <c r="Q145" s="126">
        <f t="shared" si="483"/>
        <v>2779080.3167544887</v>
      </c>
      <c r="R145" s="6"/>
      <c r="S145" s="49">
        <f t="shared" ref="S145" si="496">(Q145/Q142-1)*100</f>
        <v>9.4388191938851165</v>
      </c>
      <c r="T145" s="39"/>
      <c r="U145" s="20">
        <f t="shared" si="190"/>
        <v>45382</v>
      </c>
      <c r="V145" s="27">
        <v>2.728126088488581</v>
      </c>
      <c r="W145" s="126">
        <f t="shared" si="484"/>
        <v>2253299.9353652033</v>
      </c>
      <c r="X145" s="6"/>
      <c r="Y145" s="49">
        <f t="shared" ref="Y145" si="497">(W145/W142-1)*100</f>
        <v>6.3079140499095132</v>
      </c>
      <c r="AA145" s="79"/>
      <c r="AB145" s="20">
        <f t="shared" si="191"/>
        <v>45382</v>
      </c>
      <c r="AC145" s="300">
        <f t="shared" si="222"/>
        <v>2.7761068800000004</v>
      </c>
      <c r="AD145" s="126">
        <f t="shared" si="485"/>
        <v>2374036.7268305095</v>
      </c>
      <c r="AE145" s="6"/>
      <c r="AF145" s="49">
        <f t="shared" ref="AF145" si="498">(AD145/AD142-1)*100</f>
        <v>7.5235554229423407</v>
      </c>
      <c r="AG145" s="44"/>
      <c r="AH145" s="20">
        <f t="shared" si="183"/>
        <v>45382</v>
      </c>
      <c r="AI145" s="27">
        <v>2.388533169532526</v>
      </c>
      <c r="AJ145" s="126">
        <f t="shared" si="486"/>
        <v>1996645.9889725782</v>
      </c>
      <c r="AK145" s="6"/>
      <c r="AL145" s="49">
        <f t="shared" ref="AL145" si="499">(AJ145/AJ142-1)*100</f>
        <v>5.5944043481715777</v>
      </c>
      <c r="AN145" s="79"/>
      <c r="AO145" s="20">
        <f t="shared" si="144"/>
        <v>45382</v>
      </c>
      <c r="AP145" s="300">
        <f t="shared" si="223"/>
        <v>2.3083386400000001</v>
      </c>
      <c r="AQ145" s="126">
        <f t="shared" si="487"/>
        <v>2043073.5236774511</v>
      </c>
      <c r="AR145" s="6"/>
      <c r="AS145" s="49">
        <f t="shared" ref="AS145" si="500">(AQ145/AQ142-1)*100</f>
        <v>5.4177762396185436</v>
      </c>
      <c r="AT145" s="39"/>
      <c r="AU145" s="20">
        <f t="shared" si="145"/>
        <v>45382</v>
      </c>
      <c r="AV145" s="27">
        <v>1.8610099618479057</v>
      </c>
      <c r="AW145" s="126">
        <f t="shared" si="488"/>
        <v>1444914.3009886588</v>
      </c>
      <c r="AX145" s="6"/>
      <c r="AY145" s="49">
        <f t="shared" ref="AY145" si="501">(AW145/AW142-1)*100</f>
        <v>3.8575668181973555</v>
      </c>
      <c r="AZ145" s="16"/>
      <c r="BA145" s="79"/>
      <c r="BB145" s="20">
        <f t="shared" si="146"/>
        <v>45382</v>
      </c>
      <c r="BC145" s="300">
        <f t="shared" si="224"/>
        <v>1.6066862799999999</v>
      </c>
      <c r="BD145" s="126">
        <f t="shared" si="489"/>
        <v>1475900.9750902702</v>
      </c>
      <c r="BE145" s="6"/>
      <c r="BF145" s="49">
        <f t="shared" ref="BF145" si="502">(BD145/BD142-1)*100</f>
        <v>2.3028532501743859</v>
      </c>
      <c r="BG145" s="39"/>
      <c r="BH145" s="20">
        <f t="shared" si="147"/>
        <v>45382</v>
      </c>
      <c r="BI145" s="27">
        <v>1.3686942540673086</v>
      </c>
      <c r="BJ145" s="126">
        <f t="shared" si="490"/>
        <v>1101684.0757101567</v>
      </c>
      <c r="BK145" s="6"/>
      <c r="BL145" s="49">
        <f t="shared" ref="BL145" si="503">(BJ145/BJ142-1)*100</f>
        <v>2.5071924584815442</v>
      </c>
      <c r="BM145" s="16"/>
      <c r="BN145" s="79"/>
      <c r="BO145" s="20">
        <f t="shared" si="148"/>
        <v>45382</v>
      </c>
      <c r="BP145" s="300">
        <f t="shared" si="256"/>
        <v>1.2558601</v>
      </c>
      <c r="BQ145" s="126">
        <f t="shared" si="491"/>
        <v>1060566.3514847595</v>
      </c>
      <c r="BR145" s="6"/>
      <c r="BS145" s="49">
        <f t="shared" ref="BS145" si="504">(BQ145/BQ142-1)*100</f>
        <v>0.76496941868797741</v>
      </c>
      <c r="BT145" s="16"/>
      <c r="BU145" s="16"/>
      <c r="BV145" s="39"/>
      <c r="BW145" s="20">
        <f t="shared" si="149"/>
        <v>45382</v>
      </c>
      <c r="BX145" s="27">
        <v>2.0396354404424817</v>
      </c>
      <c r="BY145" s="126">
        <f t="shared" si="492"/>
        <v>1803807.2684252919</v>
      </c>
      <c r="BZ145" s="6"/>
      <c r="CA145" s="49">
        <f t="shared" ref="CA145" si="505">(BY145/BY142-1)*100</f>
        <v>4.7113659589697265</v>
      </c>
      <c r="CC145" s="79"/>
      <c r="CD145" s="20">
        <f t="shared" si="150"/>
        <v>45382</v>
      </c>
      <c r="CE145" s="300">
        <f t="shared" si="225"/>
        <v>1.95751246</v>
      </c>
      <c r="CF145" s="126">
        <f t="shared" si="493"/>
        <v>1768857.8663726766</v>
      </c>
      <c r="CG145" s="6"/>
      <c r="CH145" s="49">
        <f t="shared" ref="CH145" si="506">(CF145/CF142-1)*100</f>
        <v>3.8537722509577099</v>
      </c>
      <c r="CI145" s="39"/>
    </row>
    <row r="146" spans="1:87" x14ac:dyDescent="0.25">
      <c r="A146" s="20">
        <v>45412</v>
      </c>
      <c r="B146" s="24">
        <f t="shared" si="494"/>
        <v>131</v>
      </c>
      <c r="C146" s="297">
        <f>'LC (Gross)'!K308</f>
        <v>-4.0844069999999997</v>
      </c>
      <c r="D146" s="297">
        <v>-2.4667119999999998</v>
      </c>
      <c r="E146" s="297">
        <v>-2.5260690000000001</v>
      </c>
      <c r="F146" s="297">
        <v>0</v>
      </c>
      <c r="G146" s="39"/>
      <c r="H146" s="20">
        <f t="shared" si="259"/>
        <v>45412</v>
      </c>
      <c r="I146" s="27">
        <v>-4.219749841938766</v>
      </c>
      <c r="J146" s="126">
        <f t="shared" ref="J146:J148" si="507">J145*I146/100+J145</f>
        <v>2328900.6431730827</v>
      </c>
      <c r="K146" s="6"/>
      <c r="L146" s="49"/>
      <c r="M146" s="16"/>
      <c r="N146" s="79"/>
      <c r="O146" s="20">
        <f t="shared" si="189"/>
        <v>45412</v>
      </c>
      <c r="P146" s="300">
        <f t="shared" si="404"/>
        <v>-3.6856506399999995</v>
      </c>
      <c r="Q146" s="126">
        <f t="shared" ref="Q146:Q148" si="508">Q145*P146/100+Q145</f>
        <v>2676653.1252739127</v>
      </c>
      <c r="R146" s="6"/>
      <c r="S146" s="49"/>
      <c r="T146" s="39"/>
      <c r="U146" s="20">
        <f t="shared" si="190"/>
        <v>45412</v>
      </c>
      <c r="V146" s="27">
        <v>-3.6334670770183291</v>
      </c>
      <c r="W146" s="126">
        <f t="shared" ref="W146:W148" si="509">W145*V146/100+W145</f>
        <v>2171427.0240672333</v>
      </c>
      <c r="X146" s="6"/>
      <c r="Y146" s="49"/>
      <c r="AA146" s="79"/>
      <c r="AB146" s="20">
        <f t="shared" si="191"/>
        <v>45412</v>
      </c>
      <c r="AC146" s="300">
        <f t="shared" si="222"/>
        <v>-3.4633868199999993</v>
      </c>
      <c r="AD146" s="126">
        <f t="shared" ref="AD146:AD148" si="510">AD145*AC146/100+AD145</f>
        <v>2291814.6517315023</v>
      </c>
      <c r="AE146" s="6"/>
      <c r="AF146" s="49"/>
      <c r="AG146" s="44"/>
      <c r="AH146" s="20">
        <f t="shared" si="183"/>
        <v>45412</v>
      </c>
      <c r="AI146" s="27">
        <v>-3.5284596402059631</v>
      </c>
      <c r="AJ146" s="126">
        <f t="shared" ref="AJ146:AJ148" si="511">AJ145*AI146/100+AJ145</f>
        <v>1926195.1410938895</v>
      </c>
      <c r="AK146" s="6"/>
      <c r="AL146" s="49"/>
      <c r="AN146" s="79"/>
      <c r="AO146" s="20">
        <f t="shared" si="144"/>
        <v>45412</v>
      </c>
      <c r="AP146" s="300">
        <f t="shared" si="223"/>
        <v>-3.2164270199999998</v>
      </c>
      <c r="AQ146" s="126">
        <f t="shared" ref="AQ146:AQ148" si="512">AQ145*AP146/100+AQ145</f>
        <v>1977359.5548234235</v>
      </c>
      <c r="AR146" s="6"/>
      <c r="AS146" s="49"/>
      <c r="AT146" s="39"/>
      <c r="AU146" s="20">
        <f t="shared" si="145"/>
        <v>45412</v>
      </c>
      <c r="AV146" s="27">
        <v>-2.6104237453269499</v>
      </c>
      <c r="AW146" s="126">
        <f t="shared" ref="AW146:AW148" si="513">AW145*AV146/100+AW145</f>
        <v>1407195.9149760259</v>
      </c>
      <c r="AX146" s="6"/>
      <c r="AY146" s="49"/>
      <c r="AZ146" s="16"/>
      <c r="BA146" s="79"/>
      <c r="BB146" s="20">
        <f t="shared" si="146"/>
        <v>45412</v>
      </c>
      <c r="BC146" s="300">
        <f t="shared" si="224"/>
        <v>-2.8459873199999999</v>
      </c>
      <c r="BD146" s="126">
        <f t="shared" ref="BD146:BD148" si="514">BD145*BC146/100+BD145</f>
        <v>1433897.0204834447</v>
      </c>
      <c r="BE146" s="6"/>
      <c r="BF146" s="49"/>
      <c r="BG146" s="39"/>
      <c r="BH146" s="20">
        <f t="shared" si="147"/>
        <v>45412</v>
      </c>
      <c r="BI146" s="27">
        <v>-2.2766357404075115</v>
      </c>
      <c r="BJ146" s="126">
        <f t="shared" ref="BJ146:BJ148" si="515">BJ145*BI146/100+BJ145</f>
        <v>1076602.7422961611</v>
      </c>
      <c r="BK146" s="6"/>
      <c r="BL146" s="49"/>
      <c r="BM146" s="16"/>
      <c r="BN146" s="79"/>
      <c r="BO146" s="20">
        <f t="shared" si="148"/>
        <v>45412</v>
      </c>
      <c r="BP146" s="300">
        <f t="shared" si="256"/>
        <v>-2.6607674699999997</v>
      </c>
      <c r="BQ146" s="126">
        <f t="shared" ref="BQ146:BQ148" si="516">BQ145*BP146/100+BQ145</f>
        <v>1032347.1470066871</v>
      </c>
      <c r="BR146" s="6"/>
      <c r="BS146" s="49"/>
      <c r="BT146" s="16"/>
      <c r="BU146" s="16"/>
      <c r="BV146" s="39"/>
      <c r="BW146" s="20">
        <f t="shared" si="149"/>
        <v>45412</v>
      </c>
      <c r="BX146" s="27">
        <v>-3.0658050935791512</v>
      </c>
      <c r="BY146" s="126">
        <f t="shared" ref="BY146:BY148" si="517">BY145*BX146/100+BY145</f>
        <v>1748506.0533115582</v>
      </c>
      <c r="BZ146" s="6"/>
      <c r="CA146" s="49"/>
      <c r="CC146" s="79"/>
      <c r="CD146" s="20">
        <f t="shared" si="150"/>
        <v>45412</v>
      </c>
      <c r="CE146" s="300">
        <f t="shared" si="225"/>
        <v>-3.0312071700000001</v>
      </c>
      <c r="CF146" s="126">
        <f t="shared" ref="CF146:CF148" si="518">CF145*CE146/100+CF145</f>
        <v>1715240.119900079</v>
      </c>
      <c r="CG146" s="6"/>
      <c r="CH146" s="49"/>
      <c r="CI146" s="39"/>
    </row>
    <row r="147" spans="1:87" x14ac:dyDescent="0.25">
      <c r="A147" s="20">
        <v>45443</v>
      </c>
      <c r="B147" s="24">
        <f t="shared" si="494"/>
        <v>132</v>
      </c>
      <c r="C147" s="297">
        <f>'LC (Gross)'!K309</f>
        <v>4.9585549999999996</v>
      </c>
      <c r="D147" s="297">
        <v>3.9796049999999998</v>
      </c>
      <c r="E147" s="297">
        <v>1.6953290000000001</v>
      </c>
      <c r="F147" s="297">
        <v>0</v>
      </c>
      <c r="G147" s="39"/>
      <c r="H147" s="20">
        <f t="shared" si="259"/>
        <v>45443</v>
      </c>
      <c r="I147" s="27">
        <v>4.0068796049062394</v>
      </c>
      <c r="J147" s="126">
        <f t="shared" si="507"/>
        <v>2422216.8880629153</v>
      </c>
      <c r="K147" s="6"/>
      <c r="L147" s="49"/>
      <c r="M147" s="16"/>
      <c r="N147" s="79"/>
      <c r="O147" s="20">
        <f t="shared" si="189"/>
        <v>45443</v>
      </c>
      <c r="P147" s="300">
        <f t="shared" si="404"/>
        <v>4.6675097000000001</v>
      </c>
      <c r="Q147" s="126">
        <f t="shared" si="508"/>
        <v>2801586.1695314259</v>
      </c>
      <c r="R147" s="6"/>
      <c r="S147" s="49"/>
      <c r="T147" s="39"/>
      <c r="U147" s="20">
        <f t="shared" si="190"/>
        <v>45443</v>
      </c>
      <c r="V147" s="27">
        <v>3.4390178938037996</v>
      </c>
      <c r="W147" s="126">
        <f t="shared" si="509"/>
        <v>2246102.787975797</v>
      </c>
      <c r="X147" s="6"/>
      <c r="Y147" s="49"/>
      <c r="AA147" s="79"/>
      <c r="AB147" s="20">
        <f t="shared" si="191"/>
        <v>45443</v>
      </c>
      <c r="AC147" s="300">
        <f t="shared" si="222"/>
        <v>4.1153712200000001</v>
      </c>
      <c r="AD147" s="126">
        <f t="shared" si="510"/>
        <v>2386131.3323246036</v>
      </c>
      <c r="AE147" s="6"/>
      <c r="AF147" s="49"/>
      <c r="AG147" s="44"/>
      <c r="AH147" s="20">
        <f t="shared" si="183"/>
        <v>45443</v>
      </c>
      <c r="AI147" s="27">
        <v>3.2337504022156525</v>
      </c>
      <c r="AJ147" s="126">
        <f t="shared" si="511"/>
        <v>1988483.4842164714</v>
      </c>
      <c r="AK147" s="6"/>
      <c r="AL147" s="49"/>
      <c r="AN147" s="79"/>
      <c r="AO147" s="20">
        <f t="shared" ref="AO147:AO166" si="519">$A147</f>
        <v>45443</v>
      </c>
      <c r="AP147" s="300">
        <f t="shared" si="223"/>
        <v>3.5018840199999999</v>
      </c>
      <c r="AQ147" s="126">
        <f t="shared" si="512"/>
        <v>2046604.3930917282</v>
      </c>
      <c r="AR147" s="6"/>
      <c r="AS147" s="49"/>
      <c r="AT147" s="39"/>
      <c r="AU147" s="20">
        <f t="shared" ref="AU147:AU166" si="520">$A147</f>
        <v>45443</v>
      </c>
      <c r="AV147" s="27">
        <v>2.4690024052101318</v>
      </c>
      <c r="AW147" s="126">
        <f t="shared" si="513"/>
        <v>1441939.6159628027</v>
      </c>
      <c r="AX147" s="6"/>
      <c r="AY147" s="49"/>
      <c r="AZ147" s="16"/>
      <c r="BA147" s="79"/>
      <c r="BB147" s="20">
        <f t="shared" ref="BB147:BB166" si="521">$A147</f>
        <v>45443</v>
      </c>
      <c r="BC147" s="300">
        <f t="shared" si="224"/>
        <v>2.5816532200000002</v>
      </c>
      <c r="BD147" s="126">
        <f t="shared" si="514"/>
        <v>1470915.2690842396</v>
      </c>
      <c r="BE147" s="6"/>
      <c r="BF147" s="49"/>
      <c r="BG147" s="39"/>
      <c r="BH147" s="20">
        <f t="shared" ref="BH147:BH166" si="522">$A147</f>
        <v>45443</v>
      </c>
      <c r="BI147" s="27">
        <v>2.0612508409839454</v>
      </c>
      <c r="BJ147" s="126">
        <f t="shared" si="515"/>
        <v>1098794.2253757969</v>
      </c>
      <c r="BK147" s="6"/>
      <c r="BL147" s="49"/>
      <c r="BM147" s="16"/>
      <c r="BN147" s="79"/>
      <c r="BO147" s="20">
        <f t="shared" ref="BO147:BO166" si="523">$A147</f>
        <v>45443</v>
      </c>
      <c r="BP147" s="300">
        <f t="shared" si="256"/>
        <v>2.1215378199999999</v>
      </c>
      <c r="BQ147" s="126">
        <f t="shared" si="516"/>
        <v>1054248.782164125</v>
      </c>
      <c r="BR147" s="6"/>
      <c r="BS147" s="49"/>
      <c r="BT147" s="16"/>
      <c r="BU147" s="16"/>
      <c r="BV147" s="39"/>
      <c r="BW147" s="20">
        <f t="shared" ref="BW147:BW154" si="524">$A147</f>
        <v>45443</v>
      </c>
      <c r="BX147" s="27">
        <v>2.8105326177162637</v>
      </c>
      <c r="BY147" s="126">
        <f t="shared" si="517"/>
        <v>1797648.3862626229</v>
      </c>
      <c r="BZ147" s="6"/>
      <c r="CA147" s="49"/>
      <c r="CC147" s="79"/>
      <c r="CD147" s="20">
        <f t="shared" ref="CD147:CD154" si="525">$A147</f>
        <v>45443</v>
      </c>
      <c r="CE147" s="300">
        <f t="shared" si="225"/>
        <v>3.04176862</v>
      </c>
      <c r="CF147" s="126">
        <f t="shared" si="518"/>
        <v>1767413.75562485</v>
      </c>
      <c r="CG147" s="6"/>
      <c r="CH147" s="49"/>
      <c r="CI147" s="39"/>
    </row>
    <row r="148" spans="1:87" x14ac:dyDescent="0.25">
      <c r="A148" s="20">
        <v>45473</v>
      </c>
      <c r="B148" s="24">
        <f t="shared" si="494"/>
        <v>133</v>
      </c>
      <c r="C148" s="297">
        <f>'LC (Gross)'!K310</f>
        <v>3.587879</v>
      </c>
      <c r="D148" s="297">
        <v>-1.591758</v>
      </c>
      <c r="E148" s="297">
        <v>0.94710059999999996</v>
      </c>
      <c r="F148" s="297">
        <v>0</v>
      </c>
      <c r="G148" s="39"/>
      <c r="H148" s="20">
        <f t="shared" si="259"/>
        <v>45473</v>
      </c>
      <c r="I148" s="27">
        <v>0.91504011808140517</v>
      </c>
      <c r="J148" s="126">
        <f t="shared" si="507"/>
        <v>2444381.1443356341</v>
      </c>
      <c r="K148" s="6"/>
      <c r="L148" s="49">
        <f t="shared" ref="L148" si="526">(J148/J145-1)*100</f>
        <v>0.5295945846475858</v>
      </c>
      <c r="M148" s="16"/>
      <c r="N148" s="79"/>
      <c r="O148" s="20">
        <f t="shared" si="189"/>
        <v>45473</v>
      </c>
      <c r="P148" s="300">
        <f t="shared" si="404"/>
        <v>2.5009125679999999</v>
      </c>
      <c r="Q148" s="126">
        <f t="shared" si="508"/>
        <v>2871651.3901485871</v>
      </c>
      <c r="R148" s="6"/>
      <c r="S148" s="49">
        <f t="shared" ref="S148" si="527">(Q148/Q145-1)*100</f>
        <v>3.330996691099819</v>
      </c>
      <c r="T148" s="39"/>
      <c r="U148" s="20">
        <f t="shared" si="190"/>
        <v>45473</v>
      </c>
      <c r="V148" s="27">
        <v>0.94476773619280374</v>
      </c>
      <c r="W148" s="126">
        <f t="shared" si="509"/>
        <v>2267323.2424383191</v>
      </c>
      <c r="X148" s="6"/>
      <c r="Y148" s="49">
        <f t="shared" ref="Y148" si="528">(W148/W145-1)*100</f>
        <v>0.622345336855612</v>
      </c>
      <c r="AA148" s="79"/>
      <c r="AB148" s="20">
        <f t="shared" si="191"/>
        <v>45473</v>
      </c>
      <c r="AC148" s="300">
        <f t="shared" si="222"/>
        <v>2.212039388</v>
      </c>
      <c r="AD148" s="126">
        <f t="shared" si="510"/>
        <v>2438913.4972450328</v>
      </c>
      <c r="AE148" s="6"/>
      <c r="AF148" s="49">
        <f t="shared" ref="AF148" si="529">(AD148/AD145-1)*100</f>
        <v>2.7327618684795052</v>
      </c>
      <c r="AG148" s="44"/>
      <c r="AH148" s="20">
        <f t="shared" si="183"/>
        <v>45473</v>
      </c>
      <c r="AI148" s="27">
        <v>1.1308589671854326</v>
      </c>
      <c r="AJ148" s="126">
        <f t="shared" si="511"/>
        <v>2010970.4280087347</v>
      </c>
      <c r="AK148" s="6"/>
      <c r="AL148" s="49">
        <f t="shared" ref="AL148" si="530">(AJ148/AJ145-1)*100</f>
        <v>0.71742507761867191</v>
      </c>
      <c r="AN148" s="79"/>
      <c r="AO148" s="20">
        <f t="shared" si="519"/>
        <v>45473</v>
      </c>
      <c r="AP148" s="300">
        <f t="shared" si="223"/>
        <v>1.8910691879999999</v>
      </c>
      <c r="AQ148" s="126">
        <f t="shared" si="512"/>
        <v>2085307.0981697403</v>
      </c>
      <c r="AR148" s="6"/>
      <c r="AS148" s="49">
        <f t="shared" ref="AS148" si="531">(AQ148/AQ145-1)*100</f>
        <v>2.0671588174795863</v>
      </c>
      <c r="AT148" s="39"/>
      <c r="AU148" s="20">
        <f t="shared" si="520"/>
        <v>45473</v>
      </c>
      <c r="AV148" s="27">
        <v>1.0323113327097382</v>
      </c>
      <c r="AW148" s="126">
        <f t="shared" si="513"/>
        <v>1456824.9220292179</v>
      </c>
      <c r="AX148" s="6"/>
      <c r="AY148" s="49">
        <f t="shared" ref="AY148" si="532">(AW148/AW145-1)*100</f>
        <v>0.82431331964873955</v>
      </c>
      <c r="AZ148" s="16"/>
      <c r="BA148" s="79"/>
      <c r="BB148" s="20">
        <f t="shared" si="521"/>
        <v>45473</v>
      </c>
      <c r="BC148" s="300">
        <f t="shared" si="224"/>
        <v>1.409613888</v>
      </c>
      <c r="BD148" s="126">
        <f t="shared" si="514"/>
        <v>1491649.4949979635</v>
      </c>
      <c r="BE148" s="6"/>
      <c r="BF148" s="49">
        <f t="shared" ref="BF148" si="533">(BD148/BD145-1)*100</f>
        <v>1.0670444815398472</v>
      </c>
      <c r="BG148" s="39"/>
      <c r="BH148" s="20">
        <f t="shared" si="522"/>
        <v>45473</v>
      </c>
      <c r="BI148" s="27">
        <v>0.91903133772511825</v>
      </c>
      <c r="BJ148" s="126">
        <f t="shared" si="515"/>
        <v>1108892.4886441145</v>
      </c>
      <c r="BK148" s="6"/>
      <c r="BL148" s="49">
        <f t="shared" ref="BL148" si="534">(BJ148/BJ145-1)*100</f>
        <v>0.6543085348048816</v>
      </c>
      <c r="BM148" s="16"/>
      <c r="BN148" s="79"/>
      <c r="BO148" s="20">
        <f t="shared" si="523"/>
        <v>45473</v>
      </c>
      <c r="BP148" s="300">
        <f t="shared" si="256"/>
        <v>1.1688862379999998</v>
      </c>
      <c r="BQ148" s="126">
        <f t="shared" si="516"/>
        <v>1066571.751093124</v>
      </c>
      <c r="BR148" s="6"/>
      <c r="BS148" s="49">
        <f t="shared" ref="BS148" si="535">(BQ148/BQ145-1)*100</f>
        <v>0.56624459185954379</v>
      </c>
      <c r="BT148" s="16"/>
      <c r="BU148" s="16"/>
      <c r="BV148" s="39"/>
      <c r="BW148" s="20">
        <f t="shared" si="524"/>
        <v>45473</v>
      </c>
      <c r="BX148" s="27">
        <v>1.0425563561647679</v>
      </c>
      <c r="BY148" s="126">
        <f t="shared" si="517"/>
        <v>1816389.8837750973</v>
      </c>
      <c r="BZ148" s="6"/>
      <c r="CA148" s="49">
        <f t="shared" ref="CA148" si="536">(BY148/BY145-1)*100</f>
        <v>0.69755874533037332</v>
      </c>
      <c r="CC148" s="79"/>
      <c r="CD148" s="20">
        <f t="shared" si="525"/>
        <v>45473</v>
      </c>
      <c r="CE148" s="300">
        <f t="shared" si="225"/>
        <v>1.6503415380000002</v>
      </c>
      <c r="CF148" s="126">
        <f t="shared" si="518"/>
        <v>1796582.1189822527</v>
      </c>
      <c r="CG148" s="6"/>
      <c r="CH148" s="49">
        <f t="shared" ref="CH148" si="537">(CF148/CF145-1)*100</f>
        <v>1.5673533264958683</v>
      </c>
      <c r="CI148" s="39"/>
    </row>
    <row r="149" spans="1:87" x14ac:dyDescent="0.25">
      <c r="A149" s="20">
        <v>45504</v>
      </c>
      <c r="B149" s="24">
        <f t="shared" si="494"/>
        <v>134</v>
      </c>
      <c r="C149" s="297">
        <f>'LC (Gross)'!K311</f>
        <v>1.2172529999999999</v>
      </c>
      <c r="D149" s="297">
        <v>2.9595729999999998</v>
      </c>
      <c r="E149" s="297">
        <v>2.3357540000000001</v>
      </c>
      <c r="F149" s="297">
        <v>0</v>
      </c>
      <c r="G149" s="39"/>
      <c r="H149" s="20">
        <f t="shared" si="259"/>
        <v>45504</v>
      </c>
      <c r="I149" s="27">
        <v>3.1249392822612041</v>
      </c>
      <c r="J149" s="126">
        <f t="shared" ref="J149:J151" si="538">J148*I149/100+J148</f>
        <v>2520766.570923164</v>
      </c>
      <c r="K149" s="6"/>
      <c r="L149" s="49"/>
      <c r="M149" s="16"/>
      <c r="N149" s="79"/>
      <c r="O149" s="20">
        <f t="shared" si="189"/>
        <v>45504</v>
      </c>
      <c r="P149" s="300">
        <f t="shared" si="404"/>
        <v>1.53440266</v>
      </c>
      <c r="Q149" s="126">
        <f t="shared" ref="Q149:Q151" si="539">Q148*P149/100+Q148</f>
        <v>2915714.0854649539</v>
      </c>
      <c r="R149" s="6"/>
      <c r="S149" s="49"/>
      <c r="T149" s="39"/>
      <c r="U149" s="20">
        <f t="shared" si="190"/>
        <v>45504</v>
      </c>
      <c r="V149" s="27">
        <v>2.8655521216981095</v>
      </c>
      <c r="W149" s="126">
        <f t="shared" ref="W149:W151" si="540">W148*V149/100+W148</f>
        <v>2332294.5717177647</v>
      </c>
      <c r="X149" s="6"/>
      <c r="Y149" s="49"/>
      <c r="AA149" s="79"/>
      <c r="AB149" s="20">
        <f t="shared" si="191"/>
        <v>45504</v>
      </c>
      <c r="AC149" s="300">
        <f t="shared" si="222"/>
        <v>1.6730093199999998</v>
      </c>
      <c r="AD149" s="126">
        <f t="shared" ref="AD149:AD151" si="541">AD148*AC149/100+AD148</f>
        <v>2479716.7473606803</v>
      </c>
      <c r="AE149" s="6"/>
      <c r="AF149" s="49"/>
      <c r="AG149" s="44"/>
      <c r="AH149" s="20">
        <f t="shared" si="183"/>
        <v>45504</v>
      </c>
      <c r="AI149" s="27">
        <v>2.6006242008406533</v>
      </c>
      <c r="AJ149" s="126">
        <f t="shared" ref="AJ149:AJ151" si="542">AJ148*AI149/100+AJ148</f>
        <v>2063268.2116312787</v>
      </c>
      <c r="AK149" s="6"/>
      <c r="AL149" s="49"/>
      <c r="AN149" s="79"/>
      <c r="AO149" s="20">
        <f t="shared" si="519"/>
        <v>45504</v>
      </c>
      <c r="AP149" s="300">
        <f t="shared" si="223"/>
        <v>1.82701672</v>
      </c>
      <c r="AQ149" s="126">
        <f t="shared" ref="AQ149:AQ151" si="543">AQ148*AP149/100+AQ148</f>
        <v>2123406.0075166482</v>
      </c>
      <c r="AR149" s="6"/>
      <c r="AS149" s="49"/>
      <c r="AT149" s="39"/>
      <c r="AU149" s="20">
        <f t="shared" si="520"/>
        <v>45504</v>
      </c>
      <c r="AV149" s="27">
        <v>2.1229195123440054</v>
      </c>
      <c r="AW149" s="126">
        <f t="shared" ref="AW149:AW151" si="544">AW148*AV149/100+AW148</f>
        <v>1487752.1425596667</v>
      </c>
      <c r="AX149" s="6"/>
      <c r="AY149" s="49"/>
      <c r="AZ149" s="16"/>
      <c r="BA149" s="79"/>
      <c r="BB149" s="20">
        <f t="shared" si="521"/>
        <v>45504</v>
      </c>
      <c r="BC149" s="300">
        <f t="shared" si="224"/>
        <v>2.0580278200000004</v>
      </c>
      <c r="BD149" s="126">
        <f t="shared" ref="BD149:BD151" si="545">BD148*BC149/100+BD148</f>
        <v>1522348.0565819112</v>
      </c>
      <c r="BE149" s="6"/>
      <c r="BF149" s="49"/>
      <c r="BG149" s="39"/>
      <c r="BH149" s="20">
        <f t="shared" si="522"/>
        <v>45504</v>
      </c>
      <c r="BI149" s="27">
        <v>2.179227726647174</v>
      </c>
      <c r="BJ149" s="126">
        <f t="shared" ref="BJ149:BJ151" si="546">BJ148*BI149/100+BJ148</f>
        <v>1133057.7812153548</v>
      </c>
      <c r="BK149" s="6"/>
      <c r="BL149" s="49"/>
      <c r="BM149" s="16"/>
      <c r="BN149" s="79"/>
      <c r="BO149" s="20">
        <f t="shared" si="523"/>
        <v>45504</v>
      </c>
      <c r="BP149" s="300">
        <f t="shared" si="256"/>
        <v>2.1735333699999999</v>
      </c>
      <c r="BQ149" s="126">
        <f t="shared" ref="BQ149:BQ151" si="547">BQ148*BP149/100+BQ148</f>
        <v>1089754.0440181263</v>
      </c>
      <c r="BR149" s="6"/>
      <c r="BS149" s="49"/>
      <c r="BT149" s="16"/>
      <c r="BU149" s="16"/>
      <c r="BV149" s="39"/>
      <c r="BW149" s="20">
        <f t="shared" si="524"/>
        <v>45504</v>
      </c>
      <c r="BX149" s="27">
        <v>2.4177107313135697</v>
      </c>
      <c r="BY149" s="126">
        <f t="shared" ref="BY149:BY151" si="548">BY148*BX149/100+BY148</f>
        <v>1860304.9369176219</v>
      </c>
      <c r="BZ149" s="6"/>
      <c r="CA149" s="49"/>
      <c r="CC149" s="79"/>
      <c r="CD149" s="20">
        <f t="shared" si="525"/>
        <v>45504</v>
      </c>
      <c r="CE149" s="300">
        <f t="shared" si="225"/>
        <v>1.9425222700000002</v>
      </c>
      <c r="CF149" s="126">
        <f t="shared" ref="CF149:CF151" si="549">CF148*CE149/100+CF148</f>
        <v>1831481.1267423208</v>
      </c>
      <c r="CG149" s="6"/>
      <c r="CH149" s="49"/>
      <c r="CI149" s="39"/>
    </row>
    <row r="150" spans="1:87" x14ac:dyDescent="0.25">
      <c r="A150" s="20">
        <v>45535</v>
      </c>
      <c r="B150" s="24">
        <f t="shared" ref="B150:B154" si="550">IF(A150&gt;A149,1+B149,"-")</f>
        <v>135</v>
      </c>
      <c r="C150" s="297">
        <f>'LC (Gross)'!K312</f>
        <v>2.425754</v>
      </c>
      <c r="D150" s="297">
        <v>3.270572</v>
      </c>
      <c r="E150" s="297">
        <v>1.436655</v>
      </c>
      <c r="F150" s="297">
        <v>0</v>
      </c>
      <c r="G150" s="39"/>
      <c r="H150" s="20">
        <f t="shared" si="259"/>
        <v>45535</v>
      </c>
      <c r="I150" s="27">
        <v>2.0701638064599801</v>
      </c>
      <c r="J150" s="126">
        <f t="shared" si="538"/>
        <v>2572950.5681197578</v>
      </c>
      <c r="K150" s="6"/>
      <c r="L150" s="49"/>
      <c r="M150" s="16"/>
      <c r="N150" s="79"/>
      <c r="O150" s="20">
        <f t="shared" si="189"/>
        <v>45535</v>
      </c>
      <c r="P150" s="300">
        <f t="shared" si="404"/>
        <v>2.5428232479999999</v>
      </c>
      <c r="Q150" s="126">
        <f t="shared" si="539"/>
        <v>2989855.5410753675</v>
      </c>
      <c r="R150" s="6"/>
      <c r="S150" s="49"/>
      <c r="T150" s="39"/>
      <c r="U150" s="20">
        <f t="shared" si="190"/>
        <v>45535</v>
      </c>
      <c r="V150" s="27">
        <v>2.4423238940846721</v>
      </c>
      <c r="W150" s="126">
        <f t="shared" si="540"/>
        <v>2389256.7593232673</v>
      </c>
      <c r="X150" s="6"/>
      <c r="Y150" s="49"/>
      <c r="AA150" s="79"/>
      <c r="AB150" s="20">
        <f t="shared" si="191"/>
        <v>45535</v>
      </c>
      <c r="AC150" s="300">
        <f t="shared" si="222"/>
        <v>2.3343719799999998</v>
      </c>
      <c r="AD150" s="126">
        <f t="shared" si="541"/>
        <v>2537602.5602944354</v>
      </c>
      <c r="AE150" s="6"/>
      <c r="AF150" s="49"/>
      <c r="AG150" s="44"/>
      <c r="AH150" s="20">
        <f t="shared" si="183"/>
        <v>45535</v>
      </c>
      <c r="AI150" s="27">
        <v>2.3683795072659781</v>
      </c>
      <c r="AJ150" s="126">
        <f t="shared" si="542"/>
        <v>2112134.233135487</v>
      </c>
      <c r="AK150" s="6"/>
      <c r="AL150" s="49"/>
      <c r="AN150" s="79"/>
      <c r="AO150" s="20">
        <f t="shared" si="519"/>
        <v>45535</v>
      </c>
      <c r="AP150" s="300">
        <f t="shared" si="223"/>
        <v>2.1027594599999997</v>
      </c>
      <c r="AQ150" s="126">
        <f t="shared" si="543"/>
        <v>2168056.1282139127</v>
      </c>
      <c r="AR150" s="6"/>
      <c r="AS150" s="49"/>
      <c r="AT150" s="39"/>
      <c r="AU150" s="20">
        <f t="shared" si="520"/>
        <v>45535</v>
      </c>
      <c r="AV150" s="27">
        <v>1.8739637432990941</v>
      </c>
      <c r="AW150" s="126">
        <f t="shared" si="544"/>
        <v>1515632.0783013902</v>
      </c>
      <c r="AX150" s="6"/>
      <c r="AY150" s="49"/>
      <c r="AZ150" s="16"/>
      <c r="BA150" s="79"/>
      <c r="BB150" s="20">
        <f t="shared" si="521"/>
        <v>45535</v>
      </c>
      <c r="BC150" s="300">
        <f t="shared" si="224"/>
        <v>1.75534068</v>
      </c>
      <c r="BD150" s="126">
        <f t="shared" si="545"/>
        <v>1549070.4513102828</v>
      </c>
      <c r="BE150" s="6"/>
      <c r="BF150" s="49"/>
      <c r="BG150" s="39"/>
      <c r="BH150" s="20">
        <f t="shared" si="522"/>
        <v>45535</v>
      </c>
      <c r="BI150" s="27">
        <v>1.7582216507737041</v>
      </c>
      <c r="BJ150" s="126">
        <f t="shared" si="546"/>
        <v>1152979.4484404593</v>
      </c>
      <c r="BK150" s="6"/>
      <c r="BL150" s="49"/>
      <c r="BM150" s="16"/>
      <c r="BN150" s="79"/>
      <c r="BO150" s="20">
        <f t="shared" si="523"/>
        <v>45535</v>
      </c>
      <c r="BP150" s="300">
        <f t="shared" si="256"/>
        <v>1.58163129</v>
      </c>
      <c r="BQ150" s="126">
        <f t="shared" si="547"/>
        <v>1106989.9349623574</v>
      </c>
      <c r="BR150" s="6"/>
      <c r="BS150" s="49"/>
      <c r="BT150" s="16"/>
      <c r="BU150" s="16"/>
      <c r="BV150" s="39"/>
      <c r="BW150" s="20">
        <f t="shared" si="524"/>
        <v>45535</v>
      </c>
      <c r="BX150" s="27">
        <v>2.2368292015502447</v>
      </c>
      <c r="BY150" s="126">
        <f t="shared" si="548"/>
        <v>1901916.7809844762</v>
      </c>
      <c r="BZ150" s="6"/>
      <c r="CA150" s="49"/>
      <c r="CC150" s="79"/>
      <c r="CD150" s="20">
        <f t="shared" si="525"/>
        <v>45535</v>
      </c>
      <c r="CE150" s="300">
        <f t="shared" si="225"/>
        <v>1.92905007</v>
      </c>
      <c r="CF150" s="126">
        <f t="shared" si="549"/>
        <v>1866811.3146997804</v>
      </c>
      <c r="CG150" s="6"/>
      <c r="CH150" s="49"/>
      <c r="CI150" s="39"/>
    </row>
    <row r="151" spans="1:87" x14ac:dyDescent="0.25">
      <c r="A151" s="20">
        <v>45565</v>
      </c>
      <c r="B151" s="24">
        <f t="shared" si="550"/>
        <v>136</v>
      </c>
      <c r="C151" s="297">
        <f>'LC (Gross)'!K313</f>
        <v>2.1354150000000001</v>
      </c>
      <c r="D151" s="297">
        <v>0.99865979999999999</v>
      </c>
      <c r="E151" s="297">
        <v>1.3391189999999999</v>
      </c>
      <c r="F151" s="297">
        <v>0</v>
      </c>
      <c r="G151" s="39"/>
      <c r="H151" s="20">
        <f t="shared" si="259"/>
        <v>45565</v>
      </c>
      <c r="I151" s="27">
        <v>0.7043295452276167</v>
      </c>
      <c r="J151" s="126">
        <f t="shared" si="538"/>
        <v>2591072.6191551271</v>
      </c>
      <c r="K151" s="6"/>
      <c r="L151" s="49">
        <f t="shared" ref="L151" si="551">(J151/J148-1)*100</f>
        <v>6.001170282278645</v>
      </c>
      <c r="M151" s="16"/>
      <c r="N151" s="79"/>
      <c r="O151" s="20">
        <f t="shared" si="189"/>
        <v>45565</v>
      </c>
      <c r="P151" s="300">
        <f t="shared" si="404"/>
        <v>1.8699026808000001</v>
      </c>
      <c r="Q151" s="126">
        <f t="shared" si="539"/>
        <v>3045762.9299899833</v>
      </c>
      <c r="R151" s="6"/>
      <c r="S151" s="49">
        <f t="shared" ref="S151" si="552">(Q151/Q148-1)*100</f>
        <v>6.0631154756005223</v>
      </c>
      <c r="T151" s="39"/>
      <c r="U151" s="20">
        <f t="shared" si="190"/>
        <v>45565</v>
      </c>
      <c r="V151" s="27">
        <v>0.65278475440591199</v>
      </c>
      <c r="W151" s="126">
        <f t="shared" si="540"/>
        <v>2404853.4631917421</v>
      </c>
      <c r="X151" s="6"/>
      <c r="Y151" s="49">
        <f t="shared" ref="Y151" si="553">(W151/W148-1)*100</f>
        <v>6.0657526981252374</v>
      </c>
      <c r="AA151" s="79"/>
      <c r="AB151" s="20">
        <f t="shared" si="191"/>
        <v>45565</v>
      </c>
      <c r="AC151" s="300">
        <f t="shared" si="222"/>
        <v>1.7674925880000001</v>
      </c>
      <c r="AD151" s="126">
        <f t="shared" si="541"/>
        <v>2582454.4974605376</v>
      </c>
      <c r="AE151" s="6"/>
      <c r="AF151" s="49">
        <f t="shared" ref="AF151" si="554">(AD151/AD148-1)*100</f>
        <v>5.8854485974040083</v>
      </c>
      <c r="AG151" s="44"/>
      <c r="AH151" s="20">
        <f t="shared" si="183"/>
        <v>45565</v>
      </c>
      <c r="AI151" s="27">
        <v>0.78743889162146141</v>
      </c>
      <c r="AJ151" s="126">
        <f t="shared" si="542"/>
        <v>2128765.9995304467</v>
      </c>
      <c r="AK151" s="6"/>
      <c r="AL151" s="49">
        <f t="shared" ref="AL151" si="555">(AJ151/AJ148-1)*100</f>
        <v>5.8576481225710131</v>
      </c>
      <c r="AN151" s="79"/>
      <c r="AO151" s="20">
        <f t="shared" si="519"/>
        <v>45565</v>
      </c>
      <c r="AP151" s="300">
        <f t="shared" si="223"/>
        <v>1.6537035959999997</v>
      </c>
      <c r="AQ151" s="126">
        <f t="shared" si="543"/>
        <v>2203909.3503694846</v>
      </c>
      <c r="AR151" s="6"/>
      <c r="AS151" s="49">
        <f t="shared" ref="AS151" si="556">(AQ151/AQ148-1)*100</f>
        <v>5.68751970891197</v>
      </c>
      <c r="AT151" s="39"/>
      <c r="AU151" s="20">
        <f t="shared" si="520"/>
        <v>45565</v>
      </c>
      <c r="AV151" s="27">
        <v>0.93417733941427494</v>
      </c>
      <c r="AW151" s="126">
        <f t="shared" si="544"/>
        <v>1529790.7697257753</v>
      </c>
      <c r="AX151" s="6"/>
      <c r="AY151" s="49">
        <f t="shared" ref="AY151" si="557">(AW151/AW148-1)*100</f>
        <v>5.0085529560355724</v>
      </c>
      <c r="AZ151" s="16"/>
      <c r="BA151" s="79"/>
      <c r="BB151" s="20">
        <f t="shared" si="521"/>
        <v>45565</v>
      </c>
      <c r="BC151" s="300">
        <f t="shared" si="224"/>
        <v>1.4830201079999998</v>
      </c>
      <c r="BD151" s="126">
        <f t="shared" si="545"/>
        <v>1572043.4775903006</v>
      </c>
      <c r="BE151" s="6"/>
      <c r="BF151" s="49">
        <f t="shared" ref="BF151" si="558">(BD151/BD148-1)*100</f>
        <v>5.3896027761164422</v>
      </c>
      <c r="BG151" s="39"/>
      <c r="BH151" s="20">
        <f t="shared" si="522"/>
        <v>45565</v>
      </c>
      <c r="BI151" s="27">
        <v>0.97439867690630799</v>
      </c>
      <c r="BJ151" s="126">
        <f t="shared" si="546"/>
        <v>1164214.0649310648</v>
      </c>
      <c r="BK151" s="6"/>
      <c r="BL151" s="49">
        <f t="shared" ref="BL151" si="559">(BJ151/BJ148-1)*100</f>
        <v>4.9889035098970025</v>
      </c>
      <c r="BM151" s="16"/>
      <c r="BN151" s="79"/>
      <c r="BO151" s="20">
        <f t="shared" si="523"/>
        <v>45565</v>
      </c>
      <c r="BP151" s="300">
        <f t="shared" si="256"/>
        <v>1.3976783639999999</v>
      </c>
      <c r="BQ151" s="126">
        <f t="shared" si="547"/>
        <v>1122462.0937749839</v>
      </c>
      <c r="BR151" s="6"/>
      <c r="BS151" s="49">
        <f t="shared" ref="BS151" si="560">(BQ151/BQ148-1)*100</f>
        <v>5.2401859157227948</v>
      </c>
      <c r="BT151" s="16"/>
      <c r="BU151" s="16"/>
      <c r="BV151" s="39"/>
      <c r="BW151" s="20">
        <f t="shared" si="524"/>
        <v>45565</v>
      </c>
      <c r="BX151" s="27">
        <v>0.83578438802297206</v>
      </c>
      <c r="BY151" s="126">
        <f t="shared" si="548"/>
        <v>1917812.7045131335</v>
      </c>
      <c r="BZ151" s="6"/>
      <c r="CA151" s="49">
        <f t="shared" ref="CA151" si="561">(BY151/BY148-1)*100</f>
        <v>5.5837582913225603</v>
      </c>
      <c r="CC151" s="79"/>
      <c r="CD151" s="20">
        <f t="shared" si="525"/>
        <v>45565</v>
      </c>
      <c r="CE151" s="300">
        <f t="shared" si="225"/>
        <v>1.568361852</v>
      </c>
      <c r="CF151" s="126">
        <f t="shared" si="549"/>
        <v>1896089.6712083514</v>
      </c>
      <c r="CG151" s="6"/>
      <c r="CH151" s="49">
        <f t="shared" ref="CH151" si="562">(CF151/CF148-1)*100</f>
        <v>5.5387143829789931</v>
      </c>
      <c r="CI151" s="39"/>
    </row>
    <row r="152" spans="1:87" x14ac:dyDescent="0.25">
      <c r="A152" s="20">
        <v>45596</v>
      </c>
      <c r="B152" s="24">
        <f t="shared" si="550"/>
        <v>137</v>
      </c>
      <c r="C152" s="297">
        <f>'LC (Gross)'!K314</f>
        <v>-0.91531750000000001</v>
      </c>
      <c r="D152" s="297">
        <v>-5.4258309999999996</v>
      </c>
      <c r="E152" s="297">
        <v>-2.4798840000000002</v>
      </c>
      <c r="F152" s="297">
        <v>0</v>
      </c>
      <c r="G152" s="39"/>
      <c r="H152" s="20">
        <f t="shared" si="259"/>
        <v>45596</v>
      </c>
      <c r="I152" s="27">
        <v>-2.621434566925442</v>
      </c>
      <c r="J152" s="126">
        <f t="shared" ref="J152:J154" si="563">J151*I152/100+J151</f>
        <v>2523149.3458624543</v>
      </c>
      <c r="K152" s="6"/>
      <c r="L152" s="49"/>
      <c r="M152" s="16"/>
      <c r="N152" s="79"/>
      <c r="O152" s="20">
        <f t="shared" si="189"/>
        <v>45596</v>
      </c>
      <c r="P152" s="300">
        <f t="shared" si="404"/>
        <v>-1.781071796</v>
      </c>
      <c r="Q152" s="126">
        <f t="shared" ref="Q152:Q154" si="564">Q151*P152/100+Q151</f>
        <v>2991515.7054709084</v>
      </c>
      <c r="R152" s="6"/>
      <c r="S152" s="49"/>
      <c r="T152" s="39"/>
      <c r="U152" s="20">
        <f t="shared" si="190"/>
        <v>45596</v>
      </c>
      <c r="V152" s="27">
        <v>-2.3552651713080315</v>
      </c>
      <c r="W152" s="126">
        <f t="shared" ref="W152:W154" si="565">W151*V152/100+W151</f>
        <v>2348212.7871521921</v>
      </c>
      <c r="X152" s="6"/>
      <c r="Y152" s="49"/>
      <c r="AA152" s="79"/>
      <c r="AB152" s="20">
        <f t="shared" si="191"/>
        <v>45596</v>
      </c>
      <c r="AC152" s="300">
        <f t="shared" si="222"/>
        <v>-1.9003152800000001</v>
      </c>
      <c r="AD152" s="126">
        <f t="shared" ref="AD152:AD154" si="566">AD151*AC152/100+AD151</f>
        <v>2533379.7200462478</v>
      </c>
      <c r="AE152" s="6"/>
      <c r="AF152" s="49"/>
      <c r="AG152" s="44"/>
      <c r="AH152" s="20">
        <f t="shared" si="183"/>
        <v>45596</v>
      </c>
      <c r="AI152" s="27">
        <v>-2.4238302740927553</v>
      </c>
      <c r="AJ152" s="126">
        <f t="shared" ref="AJ152:AJ154" si="567">AJ151*AI152/100+AJ151</f>
        <v>2077168.3247692345</v>
      </c>
      <c r="AK152" s="6"/>
      <c r="AL152" s="49"/>
      <c r="AN152" s="79"/>
      <c r="AO152" s="20">
        <f t="shared" si="519"/>
        <v>45596</v>
      </c>
      <c r="AP152" s="300">
        <f t="shared" si="223"/>
        <v>-2.0328080399999999</v>
      </c>
      <c r="AQ152" s="126">
        <f t="shared" ref="AQ152:AQ154" si="568">AQ151*AP152/100+AQ151</f>
        <v>2159108.1039008619</v>
      </c>
      <c r="AR152" s="6"/>
      <c r="AS152" s="49"/>
      <c r="AT152" s="39"/>
      <c r="AU152" s="20">
        <f t="shared" si="520"/>
        <v>45596</v>
      </c>
      <c r="AV152" s="27">
        <v>-1.9920584050518144</v>
      </c>
      <c r="AW152" s="126">
        <f t="shared" ref="AW152:AW154" si="569">AW151*AV152/100+AW151</f>
        <v>1499316.4441177461</v>
      </c>
      <c r="AX152" s="6"/>
      <c r="AY152" s="49"/>
      <c r="AZ152" s="16"/>
      <c r="BA152" s="79"/>
      <c r="BB152" s="20">
        <f t="shared" si="521"/>
        <v>45596</v>
      </c>
      <c r="BC152" s="300">
        <f t="shared" si="224"/>
        <v>-2.2315471800000002</v>
      </c>
      <c r="BD152" s="126">
        <f t="shared" ref="BD152:BD154" si="570">BD151*BC152/100+BD151</f>
        <v>1536962.5856977603</v>
      </c>
      <c r="BE152" s="6"/>
      <c r="BF152" s="49"/>
      <c r="BG152" s="39"/>
      <c r="BH152" s="20">
        <f t="shared" si="522"/>
        <v>45596</v>
      </c>
      <c r="BI152" s="27">
        <v>-1.9398148453724766</v>
      </c>
      <c r="BJ152" s="126">
        <f t="shared" ref="BJ152:BJ154" si="571">BJ151*BI152/100+BJ151</f>
        <v>1141630.4676676176</v>
      </c>
      <c r="BK152" s="6"/>
      <c r="BL152" s="49"/>
      <c r="BM152" s="16"/>
      <c r="BN152" s="79"/>
      <c r="BO152" s="20">
        <f t="shared" si="523"/>
        <v>45596</v>
      </c>
      <c r="BP152" s="300">
        <f t="shared" si="256"/>
        <v>-2.3309167500000001</v>
      </c>
      <c r="BQ152" s="126">
        <f t="shared" ref="BQ152:BQ154" si="572">BQ151*BP152/100+BQ151</f>
        <v>1096298.436818782</v>
      </c>
      <c r="BR152" s="6"/>
      <c r="BS152" s="49"/>
      <c r="BT152" s="16"/>
      <c r="BU152" s="16"/>
      <c r="BV152" s="39"/>
      <c r="BW152" s="20">
        <f t="shared" si="524"/>
        <v>45596</v>
      </c>
      <c r="BX152" s="27">
        <v>-2.2697685956066564</v>
      </c>
      <c r="BY152" s="126">
        <f t="shared" ref="BY152:BY154" si="573">BY151*BX152/100+BY151</f>
        <v>1874282.7940235396</v>
      </c>
      <c r="BZ152" s="6"/>
      <c r="CA152" s="49"/>
      <c r="CC152" s="79"/>
      <c r="CD152" s="20">
        <f t="shared" si="525"/>
        <v>45596</v>
      </c>
      <c r="CE152" s="300">
        <f t="shared" si="225"/>
        <v>-2.1321776100000003</v>
      </c>
      <c r="CF152" s="126">
        <f t="shared" ref="CF152:CF154" si="574">CF151*CE152/100+CF151</f>
        <v>1855661.6717733243</v>
      </c>
      <c r="CG152" s="6"/>
      <c r="CH152" s="49"/>
      <c r="CI152" s="39"/>
    </row>
    <row r="153" spans="1:87" x14ac:dyDescent="0.25">
      <c r="A153" s="20">
        <v>45626</v>
      </c>
      <c r="B153" s="24">
        <f t="shared" si="550"/>
        <v>138</v>
      </c>
      <c r="C153" s="297">
        <f>'LC (Gross)'!K315</f>
        <v>5.8699979999999998</v>
      </c>
      <c r="D153" s="297">
        <v>-0.54670450000000004</v>
      </c>
      <c r="E153" s="297">
        <v>1.0571390000000001</v>
      </c>
      <c r="F153" s="297">
        <v>0</v>
      </c>
      <c r="G153" s="39"/>
      <c r="H153" s="20">
        <f t="shared" si="259"/>
        <v>45626</v>
      </c>
      <c r="I153" s="27">
        <v>5.8923991690949942</v>
      </c>
      <c r="J153" s="126">
        <f t="shared" si="563"/>
        <v>2671823.3769530794</v>
      </c>
      <c r="K153" s="6"/>
      <c r="L153" s="49"/>
      <c r="M153" s="16"/>
      <c r="N153" s="79"/>
      <c r="O153" s="20">
        <f t="shared" si="189"/>
        <v>45626</v>
      </c>
      <c r="P153" s="300">
        <f t="shared" si="404"/>
        <v>4.4949243499999998</v>
      </c>
      <c r="Q153" s="126">
        <f t="shared" si="564"/>
        <v>3125982.0733501944</v>
      </c>
      <c r="R153" s="6"/>
      <c r="S153" s="49"/>
      <c r="T153" s="39"/>
      <c r="U153" s="20">
        <f t="shared" si="190"/>
        <v>45626</v>
      </c>
      <c r="V153" s="27">
        <v>5.3668039564871126</v>
      </c>
      <c r="W153" s="126">
        <f t="shared" si="565"/>
        <v>2474236.7639198122</v>
      </c>
      <c r="X153" s="6"/>
      <c r="Y153" s="49"/>
      <c r="AA153" s="79"/>
      <c r="AB153" s="20">
        <f t="shared" si="191"/>
        <v>45626</v>
      </c>
      <c r="AC153" s="300">
        <f t="shared" si="222"/>
        <v>3.85961102</v>
      </c>
      <c r="AD153" s="126">
        <f t="shared" si="566"/>
        <v>2631158.3228995982</v>
      </c>
      <c r="AE153" s="6"/>
      <c r="AF153" s="49"/>
      <c r="AG153" s="44"/>
      <c r="AH153" s="20">
        <f t="shared" ref="AH153:AH166" si="575">$A153</f>
        <v>45626</v>
      </c>
      <c r="AI153" s="27">
        <v>4.6579265761684905</v>
      </c>
      <c r="AJ153" s="126">
        <f t="shared" si="567"/>
        <v>2173921.3002004144</v>
      </c>
      <c r="AK153" s="6"/>
      <c r="AL153" s="49"/>
      <c r="AN153" s="79"/>
      <c r="AO153" s="20">
        <f t="shared" si="519"/>
        <v>45626</v>
      </c>
      <c r="AP153" s="300">
        <f t="shared" si="223"/>
        <v>3.1537073200000001</v>
      </c>
      <c r="AQ153" s="126">
        <f t="shared" si="568"/>
        <v>2227200.0542202964</v>
      </c>
      <c r="AR153" s="6"/>
      <c r="AS153" s="49"/>
      <c r="AT153" s="39"/>
      <c r="AU153" s="20">
        <f t="shared" si="520"/>
        <v>45626</v>
      </c>
      <c r="AV153" s="27">
        <v>3.0483343752679919</v>
      </c>
      <c r="AW153" s="126">
        <f t="shared" si="569"/>
        <v>1545020.6226778331</v>
      </c>
      <c r="AX153" s="6"/>
      <c r="AY153" s="49"/>
      <c r="AZ153" s="16"/>
      <c r="BA153" s="79"/>
      <c r="BB153" s="20">
        <f t="shared" si="521"/>
        <v>45626</v>
      </c>
      <c r="BC153" s="300">
        <f t="shared" si="224"/>
        <v>2.09485177</v>
      </c>
      <c r="BD153" s="126">
        <f t="shared" si="570"/>
        <v>1569159.6736284876</v>
      </c>
      <c r="BE153" s="6"/>
      <c r="BF153" s="49"/>
      <c r="BG153" s="39"/>
      <c r="BH153" s="20">
        <f t="shared" si="522"/>
        <v>45626</v>
      </c>
      <c r="BI153" s="27">
        <v>2.4752254625410104</v>
      </c>
      <c r="BJ153" s="126">
        <f t="shared" si="571"/>
        <v>1169888.3956914525</v>
      </c>
      <c r="BK153" s="6"/>
      <c r="BL153" s="49"/>
      <c r="BM153" s="16"/>
      <c r="BN153" s="79"/>
      <c r="BO153" s="20">
        <f t="shared" si="523"/>
        <v>45626</v>
      </c>
      <c r="BP153" s="300">
        <f t="shared" si="256"/>
        <v>1.565423995</v>
      </c>
      <c r="BQ153" s="126">
        <f t="shared" si="572"/>
        <v>1113460.1556055532</v>
      </c>
      <c r="BR153" s="6"/>
      <c r="BS153" s="49"/>
      <c r="BT153" s="16"/>
      <c r="BU153" s="16"/>
      <c r="BV153" s="39"/>
      <c r="BW153" s="20">
        <f t="shared" si="524"/>
        <v>45626</v>
      </c>
      <c r="BX153" s="27">
        <v>3.912435553083176</v>
      </c>
      <c r="BY153" s="126">
        <f t="shared" si="573"/>
        <v>1947612.9004222373</v>
      </c>
      <c r="BZ153" s="6"/>
      <c r="CA153" s="49"/>
      <c r="CC153" s="79"/>
      <c r="CD153" s="20">
        <f t="shared" si="525"/>
        <v>45626</v>
      </c>
      <c r="CE153" s="300">
        <f t="shared" si="225"/>
        <v>2.6242795449999998</v>
      </c>
      <c r="CF153" s="126">
        <f t="shared" si="574"/>
        <v>1904359.4214500766</v>
      </c>
      <c r="CG153" s="6"/>
      <c r="CH153" s="49"/>
      <c r="CI153" s="39"/>
    </row>
    <row r="154" spans="1:87" x14ac:dyDescent="0.25">
      <c r="A154" s="20">
        <v>45657</v>
      </c>
      <c r="B154" s="24">
        <f t="shared" si="550"/>
        <v>139</v>
      </c>
      <c r="C154" s="297">
        <f>'LC (Gross)'!K316</f>
        <v>-2.3912279999999999</v>
      </c>
      <c r="D154" s="297">
        <v>-2.2515230000000002</v>
      </c>
      <c r="E154" s="297">
        <v>-1.6365229999999999</v>
      </c>
      <c r="F154" s="297">
        <v>0</v>
      </c>
      <c r="G154" s="39"/>
      <c r="H154" s="20">
        <f t="shared" si="259"/>
        <v>45657</v>
      </c>
      <c r="I154" s="27">
        <v>-5.3696616176304088</v>
      </c>
      <c r="J154" s="126">
        <f t="shared" si="563"/>
        <v>2528355.5025899531</v>
      </c>
      <c r="K154" s="6">
        <f t="shared" ref="K154" si="576">(J154-J$142)/J$142*100</f>
        <v>10.93876359030773</v>
      </c>
      <c r="L154" s="49">
        <f t="shared" ref="L154" si="577">(J154/J151-1)*100</f>
        <v>-2.4205078661833968</v>
      </c>
      <c r="M154" s="16">
        <f>STDEVP(I119:I154)*SQRT(12)</f>
        <v>14.756617536396844</v>
      </c>
      <c r="N154" s="79"/>
      <c r="O154" s="20">
        <f t="shared" ref="O154" si="578">$A154</f>
        <v>45657</v>
      </c>
      <c r="P154" s="300">
        <f t="shared" si="404"/>
        <v>-2.3160212600000003</v>
      </c>
      <c r="Q154" s="126">
        <f t="shared" si="564"/>
        <v>3053583.6639476148</v>
      </c>
      <c r="R154" s="6">
        <f t="shared" ref="R154" si="579">(Q154-Q$142)/Q$142*100</f>
        <v>20.248626309020299</v>
      </c>
      <c r="S154" s="49">
        <f t="shared" ref="S154" si="580">(Q154/Q151-1)*100</f>
        <v>0.25677421839451764</v>
      </c>
      <c r="T154" s="39"/>
      <c r="U154" s="20">
        <f t="shared" ref="U154" si="581">$A154</f>
        <v>45657</v>
      </c>
      <c r="V154" s="27">
        <v>-4.8541851986577029</v>
      </c>
      <c r="W154" s="126">
        <f t="shared" si="565"/>
        <v>2354132.7291458691</v>
      </c>
      <c r="X154" s="6">
        <f t="shared" ref="X154" si="582">(W154-W$142)/W$142*100</f>
        <v>11.065080997109531</v>
      </c>
      <c r="Y154" s="49">
        <f t="shared" ref="Y154" si="583">(W154/W151-1)*100</f>
        <v>-2.1090987381225279</v>
      </c>
      <c r="Z154" s="16">
        <f>STDEVP(V119:V154)*SQRT(12)</f>
        <v>13.804098452505837</v>
      </c>
      <c r="AA154" s="79"/>
      <c r="AB154" s="20">
        <f t="shared" ref="AB154" si="584">$A154</f>
        <v>45657</v>
      </c>
      <c r="AC154" s="300">
        <f t="shared" si="222"/>
        <v>-2.18520374</v>
      </c>
      <c r="AD154" s="126">
        <f t="shared" si="566"/>
        <v>2573662.1528222747</v>
      </c>
      <c r="AE154" s="6">
        <f t="shared" ref="AE154" si="585">(AD154-AD$142)/AD$142*100</f>
        <v>16.564879557851768</v>
      </c>
      <c r="AF154" s="49">
        <f t="shared" ref="AF154" si="586">(AD154/AD151-1)*100</f>
        <v>-0.34046464891864803</v>
      </c>
      <c r="AG154" s="44"/>
      <c r="AH154" s="20">
        <f t="shared" si="575"/>
        <v>45657</v>
      </c>
      <c r="AI154" s="27">
        <v>-4.3544171934430747</v>
      </c>
      <c r="AJ154" s="126">
        <f t="shared" si="567"/>
        <v>2079259.6973325664</v>
      </c>
      <c r="AK154" s="6">
        <f t="shared" ref="AK154" si="587">(AJ154-AJ$142)/AJ$142*100</f>
        <v>9.9635040150361274</v>
      </c>
      <c r="AL154" s="49">
        <f t="shared" ref="AL154" si="588">(AJ154/AJ151-1)*100</f>
        <v>-2.3255868521387613</v>
      </c>
      <c r="AM154" s="16">
        <f>STDEVP(AI119:AI154)*SQRT(12)</f>
        <v>11.669278188639845</v>
      </c>
      <c r="AN154" s="79"/>
      <c r="AO154" s="20">
        <f t="shared" si="519"/>
        <v>45657</v>
      </c>
      <c r="AP154" s="300">
        <f t="shared" si="223"/>
        <v>-2.03985094</v>
      </c>
      <c r="AQ154" s="126">
        <f t="shared" si="568"/>
        <v>2181768.4929786031</v>
      </c>
      <c r="AR154" s="6">
        <f t="shared" ref="AR154" si="589">(AQ154-AQ$142)/AQ$142*100</f>
        <v>12.574109611817761</v>
      </c>
      <c r="AS154" s="49">
        <f t="shared" ref="AS154" si="590">(AQ154/AQ151-1)*100</f>
        <v>-1.0046174261736152</v>
      </c>
      <c r="AT154" s="39"/>
      <c r="AU154" s="20">
        <f t="shared" si="520"/>
        <v>45657</v>
      </c>
      <c r="AV154" s="27">
        <v>-3.7707262026075097</v>
      </c>
      <c r="AW154" s="126">
        <f t="shared" si="569"/>
        <v>1486762.1252228303</v>
      </c>
      <c r="AX154" s="6">
        <f t="shared" ref="AX154" si="591">(AW154-AW$142)/AW$142*100</f>
        <v>6.8655052119296514</v>
      </c>
      <c r="AY154" s="49">
        <f t="shared" ref="AY154" si="592">(AW154/AW151-1)*100</f>
        <v>-2.8127143498622442</v>
      </c>
      <c r="AZ154" s="16"/>
      <c r="BA154" s="79"/>
      <c r="BB154" s="20">
        <f t="shared" si="521"/>
        <v>45657</v>
      </c>
      <c r="BC154" s="300">
        <f t="shared" si="224"/>
        <v>-1.8218217400000001</v>
      </c>
      <c r="BD154" s="126">
        <f t="shared" si="570"/>
        <v>1540572.3815590108</v>
      </c>
      <c r="BE154" s="6">
        <f t="shared" ref="BE154" si="593">(BD154-BD$142)/BD$142*100</f>
        <v>6.7855858434293603</v>
      </c>
      <c r="BF154" s="49">
        <f t="shared" ref="BF154" si="594">(BD154/BD151-1)*100</f>
        <v>-2.0019227508599302</v>
      </c>
      <c r="BG154" s="39"/>
      <c r="BH154" s="20">
        <f t="shared" si="522"/>
        <v>45657</v>
      </c>
      <c r="BI154" s="27">
        <v>-3.0808048112482012</v>
      </c>
      <c r="BJ154" s="126">
        <f t="shared" si="571"/>
        <v>1133846.417710756</v>
      </c>
      <c r="BK154" s="6">
        <f t="shared" ref="BK154" si="595">(BJ154-BJ$142)/BJ$142*100</f>
        <v>5.4997666946533252</v>
      </c>
      <c r="BL154" s="49">
        <f t="shared" ref="BL154" si="596">(BJ154/BJ151-1)*100</f>
        <v>-2.6084246991215476</v>
      </c>
      <c r="BM154" s="16">
        <f t="shared" ref="BM154" si="597">STDEVP(BI119:BI154)*SQRT(12)</f>
        <v>7.4907299262473011</v>
      </c>
      <c r="BN154" s="79"/>
      <c r="BO154" s="20">
        <f t="shared" si="523"/>
        <v>45657</v>
      </c>
      <c r="BP154" s="300">
        <f t="shared" si="256"/>
        <v>-1.7128071399999998</v>
      </c>
      <c r="BQ154" s="126">
        <f t="shared" si="572"/>
        <v>1094388.7305592862</v>
      </c>
      <c r="BR154" s="6">
        <f t="shared" ref="BR154" si="598">(BQ154-BQ$142)/BQ$142*100</f>
        <v>3.9784515250556729</v>
      </c>
      <c r="BS154" s="49">
        <f t="shared" ref="BS154" si="599">(BQ154/BQ151-1)*100</f>
        <v>-2.5010522289695691</v>
      </c>
      <c r="BT154" s="16">
        <f t="shared" ref="BT154" si="600">STDEVP(BP119:BP154)*SQRT(12)</f>
        <v>8.4689420538008413</v>
      </c>
      <c r="BU154" s="16"/>
      <c r="BV154" s="39"/>
      <c r="BW154" s="20">
        <f t="shared" si="524"/>
        <v>45657</v>
      </c>
      <c r="BX154" s="27">
        <v>-4.1767343506598449</v>
      </c>
      <c r="BY154" s="126">
        <f t="shared" si="573"/>
        <v>1866266.2833924193</v>
      </c>
      <c r="BZ154" s="6">
        <f>(BY154-BY$142)/BY$142*100</f>
        <v>8.3371240364217325</v>
      </c>
      <c r="CA154" s="49">
        <f t="shared" ref="CA154" si="601">(BY154/BY151-1)*100</f>
        <v>-2.6877713866120256</v>
      </c>
      <c r="CC154" s="79"/>
      <c r="CD154" s="20">
        <f t="shared" si="525"/>
        <v>45657</v>
      </c>
      <c r="CE154" s="300">
        <f t="shared" si="225"/>
        <v>-1.9308363399999999</v>
      </c>
      <c r="CF154" s="126">
        <f t="shared" si="574"/>
        <v>1867589.3576965048</v>
      </c>
      <c r="CG154" s="6">
        <f>(CF154-CF$142)/CF$142*100</f>
        <v>9.650528456683249</v>
      </c>
      <c r="CH154" s="49">
        <f t="shared" ref="CH154" si="602">(CF154/CF151-1)*100</f>
        <v>-1.5031100028979005</v>
      </c>
      <c r="CI154" s="39"/>
    </row>
    <row r="155" spans="1:87" x14ac:dyDescent="0.25">
      <c r="A155" s="20">
        <v>45688</v>
      </c>
      <c r="B155" s="24">
        <f t="shared" ref="B155:B157" si="603">IF(A155&gt;A154,1+B154,"-")</f>
        <v>140</v>
      </c>
      <c r="C155" s="297">
        <f>'LC (Gross)'!K317</f>
        <v>2.7792780000000001</v>
      </c>
      <c r="D155" s="297">
        <v>5.2763119999999999</v>
      </c>
      <c r="E155" s="297">
        <v>0.53037190000000001</v>
      </c>
      <c r="F155" s="297">
        <v>0</v>
      </c>
      <c r="G155" s="39"/>
      <c r="H155" s="20">
        <f t="shared" si="259"/>
        <v>45688</v>
      </c>
      <c r="I155" s="27">
        <v>3.7674340629704526</v>
      </c>
      <c r="J155" s="126">
        <f t="shared" ref="J155:J157" si="604">J154*I155/100+J154</f>
        <v>2623609.6290275147</v>
      </c>
      <c r="K155" s="6"/>
      <c r="L155" s="49"/>
      <c r="M155" s="16"/>
      <c r="N155" s="79"/>
      <c r="O155" s="20">
        <f t="shared" si="189"/>
        <v>45688</v>
      </c>
      <c r="P155" s="300">
        <f t="shared" si="404"/>
        <v>3.2131111040000002</v>
      </c>
      <c r="Q155" s="126">
        <f t="shared" ref="Q155:Q157" si="605">Q154*P155/100+Q154</f>
        <v>3151698.6997238458</v>
      </c>
      <c r="R155" s="6"/>
      <c r="S155" s="49"/>
      <c r="T155" s="39"/>
      <c r="U155" s="20">
        <f t="shared" si="190"/>
        <v>45688</v>
      </c>
      <c r="V155" s="27">
        <v>3.495810558324103</v>
      </c>
      <c r="W155" s="126">
        <f t="shared" ref="W155:W157" si="606">W154*V155/100+W154</f>
        <v>2436428.749648314</v>
      </c>
      <c r="X155" s="6"/>
      <c r="Y155" s="49"/>
      <c r="AA155" s="79"/>
      <c r="AB155" s="20">
        <f t="shared" si="191"/>
        <v>45688</v>
      </c>
      <c r="AC155" s="300">
        <f t="shared" si="222"/>
        <v>2.718414782</v>
      </c>
      <c r="AD155" s="126">
        <f t="shared" ref="AD155:AD157" si="607">AD154*AC155/100+AD154</f>
        <v>2643624.9652233347</v>
      </c>
      <c r="AE155" s="6"/>
      <c r="AF155" s="49"/>
      <c r="AG155" s="44"/>
      <c r="AH155" s="20">
        <f t="shared" si="575"/>
        <v>45688</v>
      </c>
      <c r="AI155" s="27">
        <v>3.0388854334166897</v>
      </c>
      <c r="AJ155" s="126">
        <f t="shared" ref="AJ155:AJ157" si="608">AJ154*AI155/100+AJ154</f>
        <v>2142446.0173977097</v>
      </c>
      <c r="AK155" s="6"/>
      <c r="AL155" s="49"/>
      <c r="AN155" s="79"/>
      <c r="AO155" s="20">
        <f t="shared" si="519"/>
        <v>45688</v>
      </c>
      <c r="AP155" s="300">
        <f t="shared" si="223"/>
        <v>2.1687522019999999</v>
      </c>
      <c r="AQ155" s="126">
        <f t="shared" ref="AQ155:AQ157" si="609">AQ154*AP155/100+AQ154</f>
        <v>2229085.6452126186</v>
      </c>
      <c r="AR155" s="6"/>
      <c r="AS155" s="49"/>
      <c r="AT155" s="39"/>
      <c r="AU155" s="20">
        <f t="shared" si="520"/>
        <v>45688</v>
      </c>
      <c r="AV155" s="27">
        <v>2.6670749042057995</v>
      </c>
      <c r="AW155" s="126">
        <f t="shared" ref="AW155:AW157" si="610">AW154*AV155/100+AW154</f>
        <v>1526415.1847498852</v>
      </c>
      <c r="AX155" s="6"/>
      <c r="AY155" s="49"/>
      <c r="AZ155" s="16"/>
      <c r="BA155" s="79"/>
      <c r="BB155" s="20">
        <f t="shared" si="521"/>
        <v>45688</v>
      </c>
      <c r="BC155" s="300">
        <f t="shared" si="224"/>
        <v>1.3442583319999999</v>
      </c>
      <c r="BD155" s="126">
        <f t="shared" ref="BD155:BD157" si="611">BD154*BC155/100+BD154</f>
        <v>1561281.6541586088</v>
      </c>
      <c r="BE155" s="6"/>
      <c r="BF155" s="49"/>
      <c r="BG155" s="39"/>
      <c r="BH155" s="20">
        <f t="shared" si="522"/>
        <v>45688</v>
      </c>
      <c r="BI155" s="27">
        <v>2.0410659844793781</v>
      </c>
      <c r="BJ155" s="126">
        <f t="shared" ref="BJ155:BJ157" si="612">BJ154*BI155/100+BJ154</f>
        <v>1156988.9712588883</v>
      </c>
      <c r="BK155" s="6"/>
      <c r="BL155" s="49"/>
      <c r="BM155" s="16"/>
      <c r="BN155" s="79"/>
      <c r="BO155" s="20">
        <f t="shared" si="523"/>
        <v>45688</v>
      </c>
      <c r="BP155" s="300">
        <f t="shared" si="256"/>
        <v>0.93201139699999991</v>
      </c>
      <c r="BQ155" s="126">
        <f t="shared" ref="BQ155:BQ157" si="613">BQ154*BP155/100+BQ154</f>
        <v>1104588.5582555823</v>
      </c>
      <c r="BR155" s="6"/>
      <c r="BS155" s="49"/>
      <c r="BT155" s="16"/>
      <c r="BU155" s="16"/>
      <c r="BV155" s="39"/>
      <c r="BW155" s="20"/>
      <c r="BX155" s="27"/>
      <c r="BY155" s="126"/>
      <c r="BZ155" s="6"/>
      <c r="CA155" s="49"/>
    </row>
    <row r="156" spans="1:87" x14ac:dyDescent="0.25">
      <c r="A156" s="20">
        <v>45716</v>
      </c>
      <c r="B156" s="24">
        <f t="shared" si="603"/>
        <v>141</v>
      </c>
      <c r="C156" s="297">
        <f>'LC (Gross)'!K318</f>
        <v>-1.3049580000000001</v>
      </c>
      <c r="D156" s="297">
        <v>1.9627540000000001</v>
      </c>
      <c r="E156" s="297">
        <v>2.200269</v>
      </c>
      <c r="F156" s="297">
        <v>0</v>
      </c>
      <c r="G156" s="39"/>
      <c r="H156" s="20">
        <f t="shared" si="259"/>
        <v>45716</v>
      </c>
      <c r="I156" s="27">
        <v>-0.6617143754720296</v>
      </c>
      <c r="J156" s="126">
        <f t="shared" si="604"/>
        <v>2606248.8269559713</v>
      </c>
      <c r="K156" s="6"/>
      <c r="L156" s="49"/>
      <c r="M156" s="16"/>
      <c r="N156" s="79"/>
      <c r="O156" s="20">
        <f t="shared" ref="O156:O166" si="614">$A156</f>
        <v>45716</v>
      </c>
      <c r="P156" s="300">
        <f t="shared" si="404"/>
        <v>-0.638387288</v>
      </c>
      <c r="Q156" s="126">
        <f t="shared" si="605"/>
        <v>3131578.6558687473</v>
      </c>
      <c r="R156" s="6"/>
      <c r="S156" s="49"/>
      <c r="T156" s="39"/>
      <c r="U156" s="20">
        <f t="shared" ref="U156:U166" si="615">$A156</f>
        <v>45716</v>
      </c>
      <c r="V156" s="27">
        <v>-0.50115542304117844</v>
      </c>
      <c r="W156" s="126">
        <f t="shared" si="606"/>
        <v>2424218.4548409171</v>
      </c>
      <c r="X156" s="6"/>
      <c r="Y156" s="49"/>
      <c r="AA156" s="79"/>
      <c r="AB156" s="20">
        <f t="shared" ref="AB156:AB166" si="616">$A156</f>
        <v>45716</v>
      </c>
      <c r="AC156" s="300">
        <f t="shared" si="222"/>
        <v>-0.12508406000000011</v>
      </c>
      <c r="AD156" s="126">
        <f t="shared" si="607"/>
        <v>2640318.2117856597</v>
      </c>
      <c r="AE156" s="6"/>
      <c r="AF156" s="49"/>
      <c r="AG156" s="44"/>
      <c r="AH156" s="20">
        <f t="shared" si="575"/>
        <v>45716</v>
      </c>
      <c r="AI156" s="27">
        <v>-6.0270491571375748E-2</v>
      </c>
      <c r="AJ156" s="126">
        <f t="shared" si="608"/>
        <v>2141154.7546513728</v>
      </c>
      <c r="AK156" s="6"/>
      <c r="AL156" s="49"/>
      <c r="AN156" s="79"/>
      <c r="AO156" s="20">
        <f t="shared" si="519"/>
        <v>45716</v>
      </c>
      <c r="AP156" s="300">
        <f t="shared" si="223"/>
        <v>0.44525285999999997</v>
      </c>
      <c r="AQ156" s="126">
        <f t="shared" si="609"/>
        <v>2239010.7127997773</v>
      </c>
      <c r="AR156" s="6"/>
      <c r="AS156" s="49"/>
      <c r="AT156" s="39"/>
      <c r="AU156" s="20">
        <f t="shared" si="520"/>
        <v>45716</v>
      </c>
      <c r="AV156" s="27">
        <v>0.37205074984974301</v>
      </c>
      <c r="AW156" s="126">
        <f t="shared" si="610"/>
        <v>1532094.2238905674</v>
      </c>
      <c r="AX156" s="6"/>
      <c r="AY156" s="49"/>
      <c r="AZ156" s="16"/>
      <c r="BA156" s="79"/>
      <c r="BB156" s="20">
        <f t="shared" si="521"/>
        <v>45716</v>
      </c>
      <c r="BC156" s="300">
        <f t="shared" si="224"/>
        <v>1.30075824</v>
      </c>
      <c r="BD156" s="126">
        <f t="shared" si="611"/>
        <v>1581590.1539246852</v>
      </c>
      <c r="BE156" s="6"/>
      <c r="BF156" s="49"/>
      <c r="BG156" s="39"/>
      <c r="BH156" s="20">
        <f t="shared" si="522"/>
        <v>45716</v>
      </c>
      <c r="BI156" s="27">
        <v>1.0634021483109011</v>
      </c>
      <c r="BJ156" s="126">
        <f t="shared" si="612"/>
        <v>1169292.4168349754</v>
      </c>
      <c r="BK156" s="6"/>
      <c r="BL156" s="49"/>
      <c r="BM156" s="16"/>
      <c r="BN156" s="79"/>
      <c r="BO156" s="20">
        <f t="shared" si="523"/>
        <v>45716</v>
      </c>
      <c r="BP156" s="300">
        <f t="shared" si="256"/>
        <v>1.7285109299999999</v>
      </c>
      <c r="BQ156" s="126">
        <f t="shared" si="613"/>
        <v>1123681.4922165596</v>
      </c>
      <c r="BR156" s="6"/>
      <c r="BS156" s="49"/>
      <c r="BT156" s="16"/>
      <c r="BU156" s="16"/>
      <c r="BV156" s="39"/>
      <c r="BW156" s="20"/>
      <c r="BX156" s="27"/>
      <c r="BY156" s="126"/>
      <c r="BZ156" s="6"/>
      <c r="CA156" s="49"/>
    </row>
    <row r="157" spans="1:87" x14ac:dyDescent="0.25">
      <c r="A157" s="20">
        <v>45747</v>
      </c>
      <c r="B157" s="24">
        <f t="shared" si="603"/>
        <v>142</v>
      </c>
      <c r="C157" s="297">
        <f>'LC (Gross)'!K319</f>
        <v>-5.6343949999999996</v>
      </c>
      <c r="D157" s="297">
        <v>-0.26268649999999999</v>
      </c>
      <c r="E157" s="297">
        <v>3.7793569999999999E-2</v>
      </c>
      <c r="F157" s="297">
        <v>0</v>
      </c>
      <c r="G157" s="39"/>
      <c r="H157" s="20">
        <f t="shared" si="259"/>
        <v>45747</v>
      </c>
      <c r="I157" s="27">
        <v>-1.8353480968955969</v>
      </c>
      <c r="J157" s="126">
        <f t="shared" si="604"/>
        <v>2558415.0887100711</v>
      </c>
      <c r="K157" s="6"/>
      <c r="L157" s="49">
        <f>(J157/J154-1)*100</f>
        <v>1.1888987165501907</v>
      </c>
      <c r="M157" s="16">
        <f>STDEVP(I122:I157)*SQRT(12)</f>
        <v>14.493708386069796</v>
      </c>
      <c r="N157" s="79"/>
      <c r="O157" s="20">
        <f t="shared" si="614"/>
        <v>45747</v>
      </c>
      <c r="P157" s="300">
        <f t="shared" si="404"/>
        <v>-4.4688522339999999</v>
      </c>
      <c r="Q157" s="126">
        <f t="shared" si="605"/>
        <v>2991633.0331464894</v>
      </c>
      <c r="R157" s="6"/>
      <c r="S157" s="49">
        <f>(Q157/Q154-1)*100</f>
        <v>-2.0287844584889081</v>
      </c>
      <c r="T157" s="39"/>
      <c r="U157" s="20">
        <f t="shared" si="615"/>
        <v>45747</v>
      </c>
      <c r="V157" s="27">
        <v>-1.6450810953757735</v>
      </c>
      <c r="W157" s="126">
        <f t="shared" si="606"/>
        <v>2384338.0953297187</v>
      </c>
      <c r="X157" s="6"/>
      <c r="Y157" s="49">
        <f>(W157/W154-1)*100</f>
        <v>1.2830782992770517</v>
      </c>
      <c r="Z157" s="16">
        <f>STDEVP(V122:V157)*SQRT(12)</f>
        <v>13.594835028225452</v>
      </c>
      <c r="AA157" s="79"/>
      <c r="AB157" s="20">
        <f t="shared" si="616"/>
        <v>45747</v>
      </c>
      <c r="AC157" s="300">
        <f t="shared" si="222"/>
        <v>-3.6412397973999999</v>
      </c>
      <c r="AD157" s="126">
        <f t="shared" si="607"/>
        <v>2544177.8942801203</v>
      </c>
      <c r="AE157" s="6"/>
      <c r="AF157" s="49">
        <f>(AD157/AD154-1)*100</f>
        <v>-1.1456149560975626</v>
      </c>
      <c r="AG157" s="44"/>
      <c r="AH157" s="20">
        <f t="shared" si="575"/>
        <v>45747</v>
      </c>
      <c r="AI157" s="27">
        <v>-0.84448736071900365</v>
      </c>
      <c r="AJ157" s="126">
        <f t="shared" si="608"/>
        <v>2123072.9733749079</v>
      </c>
      <c r="AK157" s="6"/>
      <c r="AL157" s="49">
        <f>(AJ157/AJ154-1)*100</f>
        <v>2.1071574704472296</v>
      </c>
      <c r="AM157" s="16">
        <f>STDEVP(AI122:AI157)*SQRT(12)</f>
        <v>11.441785693630228</v>
      </c>
      <c r="AN157" s="79"/>
      <c r="AO157" s="20">
        <f t="shared" si="519"/>
        <v>45747</v>
      </c>
      <c r="AP157" s="300">
        <f t="shared" si="223"/>
        <v>-2.7216704234</v>
      </c>
      <c r="AQ157" s="126">
        <f t="shared" si="609"/>
        <v>2178072.2204527482</v>
      </c>
      <c r="AR157" s="6"/>
      <c r="AS157" s="49">
        <f>(AQ157/AQ154-1)*100</f>
        <v>-0.16941634906499914</v>
      </c>
      <c r="AT157" s="39"/>
      <c r="AU157" s="20">
        <f t="shared" si="520"/>
        <v>45747</v>
      </c>
      <c r="AV157" s="27">
        <v>-0.62401180227070852</v>
      </c>
      <c r="AW157" s="126">
        <f t="shared" si="610"/>
        <v>1522533.7751115824</v>
      </c>
      <c r="AX157" s="6"/>
      <c r="AY157" s="49">
        <f>(AW157/AW154-1)*100</f>
        <v>2.4060103013042955</v>
      </c>
      <c r="AZ157" s="16"/>
      <c r="BA157" s="79"/>
      <c r="BB157" s="20">
        <f t="shared" si="521"/>
        <v>45747</v>
      </c>
      <c r="BC157" s="300">
        <f t="shared" si="224"/>
        <v>-1.3423163623999999</v>
      </c>
      <c r="BD157" s="126">
        <f t="shared" si="611"/>
        <v>1560360.2105024469</v>
      </c>
      <c r="BE157" s="6"/>
      <c r="BF157" s="49">
        <f>(BD157/BD154-1)*100</f>
        <v>1.2844465589738396</v>
      </c>
      <c r="BG157" s="39"/>
      <c r="BH157" s="20">
        <f t="shared" si="522"/>
        <v>45747</v>
      </c>
      <c r="BI157" s="27">
        <v>-0.16349834936064472</v>
      </c>
      <c r="BJ157" s="126">
        <f t="shared" si="612"/>
        <v>1167380.6430342509</v>
      </c>
      <c r="BK157" s="6"/>
      <c r="BL157" s="49">
        <f>(BJ157/BJ154-1)*100</f>
        <v>2.9575632819126341</v>
      </c>
      <c r="BM157" s="16">
        <f t="shared" ref="BM157" si="617">STDEVP(BI122:BI157)*SQRT(12)</f>
        <v>7.2866757018777504</v>
      </c>
      <c r="BN157" s="79"/>
      <c r="BO157" s="20">
        <f t="shared" si="523"/>
        <v>45747</v>
      </c>
      <c r="BP157" s="300">
        <f t="shared" si="256"/>
        <v>-0.65263933190000001</v>
      </c>
      <c r="BQ157" s="126">
        <f t="shared" si="613"/>
        <v>1116347.9048330735</v>
      </c>
      <c r="BR157" s="6"/>
      <c r="BS157" s="49">
        <f>(BQ157/BQ154-1)*100</f>
        <v>2.006524159159162</v>
      </c>
      <c r="BT157" s="16">
        <f t="shared" ref="BT157" si="618">STDEVP(BP122:BP157)*SQRT(12)</f>
        <v>8.3005525602266168</v>
      </c>
      <c r="BU157" s="16"/>
      <c r="BV157" s="39"/>
      <c r="BW157" s="20"/>
      <c r="BX157" s="27"/>
      <c r="BY157" s="126"/>
      <c r="BZ157" s="6"/>
      <c r="CA157" s="49"/>
    </row>
    <row r="158" spans="1:87" x14ac:dyDescent="0.25">
      <c r="A158" s="20">
        <v>45777</v>
      </c>
      <c r="B158" s="24">
        <f t="shared" ref="B158:B160" si="619">IF(A158&gt;A157,1+B157,"-")</f>
        <v>143</v>
      </c>
      <c r="C158" s="297">
        <f>'LC (Gross)'!K320</f>
        <v>-0.67813060000000003</v>
      </c>
      <c r="D158" s="297">
        <v>4.6866899999999996</v>
      </c>
      <c r="E158" s="297">
        <v>0.39290459999999999</v>
      </c>
      <c r="F158" s="297">
        <v>0</v>
      </c>
      <c r="G158" s="39"/>
      <c r="H158" s="20">
        <f t="shared" si="259"/>
        <v>45777</v>
      </c>
      <c r="I158" s="27">
        <v>-1.2255708718040588</v>
      </c>
      <c r="J158" s="126">
        <f t="shared" ref="J158:J160" si="620">J157*I158/100+J157</f>
        <v>2527059.8986030007</v>
      </c>
      <c r="K158" s="6"/>
      <c r="L158" s="49"/>
      <c r="M158" s="16"/>
      <c r="N158" s="79"/>
      <c r="O158" s="20">
        <f t="shared" si="614"/>
        <v>45777</v>
      </c>
      <c r="P158" s="300">
        <f t="shared" si="404"/>
        <v>0.38693684959999985</v>
      </c>
      <c r="Q158" s="126">
        <f t="shared" ref="Q158:Q160" si="621">Q157*P158/100+Q157</f>
        <v>3003208.7637565392</v>
      </c>
      <c r="R158" s="6"/>
      <c r="S158" s="49"/>
      <c r="T158" s="39"/>
      <c r="U158" s="20">
        <f t="shared" si="615"/>
        <v>45777</v>
      </c>
      <c r="V158" s="27">
        <v>-1.1110163765458934</v>
      </c>
      <c r="W158" s="126">
        <f t="shared" ref="W158:W160" si="622">W157*V158/100+W157</f>
        <v>2357847.7086183829</v>
      </c>
      <c r="X158" s="6"/>
      <c r="Y158" s="49"/>
      <c r="AA158" s="79"/>
      <c r="AB158" s="20">
        <f t="shared" si="616"/>
        <v>45777</v>
      </c>
      <c r="AC158" s="300">
        <f t="shared" si="222"/>
        <v>0.3865896439999999</v>
      </c>
      <c r="AD158" s="126">
        <f t="shared" ref="AD158:AD160" si="623">AD157*AC158/100+AD157</f>
        <v>2554013.4225443443</v>
      </c>
      <c r="AE158" s="6"/>
      <c r="AF158" s="49"/>
      <c r="AG158" s="44"/>
      <c r="AH158" s="20">
        <f t="shared" si="575"/>
        <v>45777</v>
      </c>
      <c r="AI158" s="27">
        <v>-0.83778028752043709</v>
      </c>
      <c r="AJ158" s="126">
        <f t="shared" ref="AJ158:AJ160" si="624">AJ157*AI158/100+AJ157</f>
        <v>2105286.286514299</v>
      </c>
      <c r="AK158" s="6"/>
      <c r="AL158" s="49"/>
      <c r="AN158" s="79"/>
      <c r="AO158" s="20">
        <f t="shared" si="519"/>
        <v>45777</v>
      </c>
      <c r="AP158" s="300">
        <f t="shared" si="223"/>
        <v>0.38620385999999995</v>
      </c>
      <c r="AQ158" s="126">
        <f t="shared" ref="AQ158:AQ160" si="625">AQ157*AP158/100+AQ157</f>
        <v>2186484.0194417243</v>
      </c>
      <c r="AR158" s="6"/>
      <c r="AS158" s="49"/>
      <c r="AT158" s="39"/>
      <c r="AU158" s="20">
        <f t="shared" si="520"/>
        <v>45777</v>
      </c>
      <c r="AV158" s="27">
        <v>-0.56491968078755339</v>
      </c>
      <c r="AW158" s="126">
        <f t="shared" ref="AW158:AW160" si="626">AW157*AV158/100+AW157</f>
        <v>1513932.6821693394</v>
      </c>
      <c r="AX158" s="6"/>
      <c r="AY158" s="49"/>
      <c r="AZ158" s="16"/>
      <c r="BA158" s="79"/>
      <c r="BB158" s="20">
        <f t="shared" si="521"/>
        <v>45777</v>
      </c>
      <c r="BC158" s="300">
        <f t="shared" si="224"/>
        <v>0.38562518400000001</v>
      </c>
      <c r="BD158" s="126">
        <f t="shared" ref="BD158:BD160" si="627">BD157*BC158/100+BD157</f>
        <v>1566377.3524352596</v>
      </c>
      <c r="BE158" s="6"/>
      <c r="BF158" s="49"/>
      <c r="BG158" s="39"/>
      <c r="BH158" s="20">
        <f t="shared" si="522"/>
        <v>45777</v>
      </c>
      <c r="BI158" s="27">
        <v>-8.4424637601070787E-3</v>
      </c>
      <c r="BJ158" s="126">
        <f t="shared" ref="BJ158:BJ160" si="628">BJ157*BI158/100+BJ157</f>
        <v>1167282.0873465203</v>
      </c>
      <c r="BK158" s="6"/>
      <c r="BL158" s="49"/>
      <c r="BM158" s="16"/>
      <c r="BN158" s="79"/>
      <c r="BO158" s="20">
        <f t="shared" si="523"/>
        <v>45777</v>
      </c>
      <c r="BP158" s="300">
        <f t="shared" si="256"/>
        <v>0.38533584599999998</v>
      </c>
      <c r="BQ158" s="126">
        <f t="shared" ref="BQ158:BQ160" si="629">BQ157*BP158/100+BQ157</f>
        <v>1120649.5934764652</v>
      </c>
      <c r="BR158" s="6"/>
      <c r="BS158" s="49"/>
      <c r="BT158" s="16"/>
      <c r="BU158" s="16"/>
      <c r="BV158" s="39"/>
    </row>
    <row r="159" spans="1:87" x14ac:dyDescent="0.25">
      <c r="A159" s="20">
        <v>45808</v>
      </c>
      <c r="B159" s="24">
        <f t="shared" si="619"/>
        <v>144</v>
      </c>
      <c r="C159" s="297">
        <f>'LC (Gross)'!K321</f>
        <v>6.294619</v>
      </c>
      <c r="D159" s="297">
        <v>4.7265160000000002</v>
      </c>
      <c r="E159" s="297">
        <v>-0.71588269999999998</v>
      </c>
      <c r="F159" s="297">
        <v>0</v>
      </c>
      <c r="G159" s="39"/>
      <c r="H159" s="20">
        <f t="shared" si="259"/>
        <v>45808</v>
      </c>
      <c r="I159" s="27">
        <v>2.602889016602326</v>
      </c>
      <c r="J159" s="126">
        <f t="shared" si="620"/>
        <v>2592836.4631467001</v>
      </c>
      <c r="K159" s="6"/>
      <c r="L159" s="49"/>
      <c r="M159" s="16"/>
      <c r="N159" s="79"/>
      <c r="O159" s="20">
        <f t="shared" si="614"/>
        <v>45808</v>
      </c>
      <c r="P159" s="300">
        <f t="shared" si="404"/>
        <v>5.8613784320000004</v>
      </c>
      <c r="Q159" s="126">
        <f t="shared" si="621"/>
        <v>3179238.194503299</v>
      </c>
      <c r="R159" s="6"/>
      <c r="S159" s="49"/>
      <c r="T159" s="39"/>
      <c r="U159" s="20">
        <f t="shared" si="615"/>
        <v>45808</v>
      </c>
      <c r="V159" s="27">
        <v>2.2309068905677574</v>
      </c>
      <c r="W159" s="126">
        <f t="shared" si="622"/>
        <v>2410449.0956190443</v>
      </c>
      <c r="X159" s="6"/>
      <c r="Y159" s="49"/>
      <c r="AA159" s="79"/>
      <c r="AB159" s="20">
        <f t="shared" si="616"/>
        <v>45808</v>
      </c>
      <c r="AC159" s="300">
        <f t="shared" si="222"/>
        <v>4.6559398339999998</v>
      </c>
      <c r="AD159" s="126">
        <f t="shared" si="623"/>
        <v>2672926.7508502933</v>
      </c>
      <c r="AE159" s="6"/>
      <c r="AF159" s="49"/>
      <c r="AG159" s="44"/>
      <c r="AH159" s="20">
        <f t="shared" si="575"/>
        <v>45808</v>
      </c>
      <c r="AI159" s="27">
        <v>1.716186643647023</v>
      </c>
      <c r="AJ159" s="126">
        <f t="shared" si="624"/>
        <v>2141416.9285739898</v>
      </c>
      <c r="AK159" s="6"/>
      <c r="AL159" s="49"/>
      <c r="AN159" s="79"/>
      <c r="AO159" s="20">
        <f t="shared" si="519"/>
        <v>45808</v>
      </c>
      <c r="AP159" s="300">
        <f t="shared" si="223"/>
        <v>3.3165636139999997</v>
      </c>
      <c r="AQ159" s="126">
        <f t="shared" si="625"/>
        <v>2259000.1528564533</v>
      </c>
      <c r="AR159" s="6"/>
      <c r="AS159" s="49"/>
      <c r="AT159" s="39"/>
      <c r="AU159" s="20">
        <f t="shared" si="520"/>
        <v>45808</v>
      </c>
      <c r="AV159" s="27">
        <v>1.0932737190274033</v>
      </c>
      <c r="AW159" s="126">
        <f t="shared" si="626"/>
        <v>1530484.1103072634</v>
      </c>
      <c r="AX159" s="6"/>
      <c r="AY159" s="49"/>
      <c r="AZ159" s="16"/>
      <c r="BA159" s="79"/>
      <c r="BB159" s="20">
        <f t="shared" si="521"/>
        <v>45808</v>
      </c>
      <c r="BC159" s="300">
        <f t="shared" si="224"/>
        <v>1.3074992839999999</v>
      </c>
      <c r="BD159" s="126">
        <f t="shared" si="627"/>
        <v>1586857.7251030889</v>
      </c>
      <c r="BE159" s="6"/>
      <c r="BF159" s="49"/>
      <c r="BG159" s="39"/>
      <c r="BH159" s="20">
        <f t="shared" si="522"/>
        <v>45808</v>
      </c>
      <c r="BI159" s="27">
        <v>0.38180347996296415</v>
      </c>
      <c r="BJ159" s="126">
        <f t="shared" si="628"/>
        <v>1171738.8109769935</v>
      </c>
      <c r="BK159" s="6"/>
      <c r="BL159" s="49"/>
      <c r="BM159" s="16"/>
      <c r="BN159" s="79"/>
      <c r="BO159" s="20">
        <f t="shared" si="523"/>
        <v>45808</v>
      </c>
      <c r="BP159" s="300">
        <f t="shared" si="256"/>
        <v>0.30296711899999995</v>
      </c>
      <c r="BQ159" s="126">
        <f t="shared" si="629"/>
        <v>1124044.7932639061</v>
      </c>
      <c r="BR159" s="6"/>
      <c r="BS159" s="49"/>
      <c r="BT159" s="16"/>
      <c r="BU159" s="16"/>
      <c r="BV159" s="39"/>
    </row>
    <row r="160" spans="1:87" x14ac:dyDescent="0.25">
      <c r="A160" s="20">
        <v>45838</v>
      </c>
      <c r="B160" s="24">
        <f t="shared" si="619"/>
        <v>145</v>
      </c>
      <c r="C160" s="297">
        <f>'LC (Gross)'!K322</f>
        <v>5.0848300000000002</v>
      </c>
      <c r="D160" s="297">
        <v>2.2243149999999998</v>
      </c>
      <c r="E160" s="297">
        <v>1.537515</v>
      </c>
      <c r="F160" s="297">
        <v>0</v>
      </c>
      <c r="G160" s="39"/>
      <c r="H160" s="20">
        <f t="shared" si="259"/>
        <v>45838</v>
      </c>
      <c r="I160" s="27">
        <v>1.8454240041966872</v>
      </c>
      <c r="J160" s="126">
        <f t="shared" si="620"/>
        <v>2640685.2896271734</v>
      </c>
      <c r="K160" s="6"/>
      <c r="L160" s="49">
        <f>(J160/J157-1)*100</f>
        <v>3.2156705641765981</v>
      </c>
      <c r="M160" s="16">
        <f>STDEVP(I125:I160)*SQRT(12)</f>
        <v>13.551412387468112</v>
      </c>
      <c r="N160" s="79"/>
      <c r="O160" s="20">
        <f t="shared" si="614"/>
        <v>45838</v>
      </c>
      <c r="P160" s="300">
        <f t="shared" si="404"/>
        <v>4.4224724600000007</v>
      </c>
      <c r="Q160" s="126">
        <f t="shared" si="621"/>
        <v>3319839.1280930084</v>
      </c>
      <c r="R160" s="6"/>
      <c r="S160" s="49">
        <f>(Q160/Q157-1)*100</f>
        <v>10.970800606561149</v>
      </c>
      <c r="T160" s="39"/>
      <c r="U160" s="20">
        <f t="shared" si="615"/>
        <v>45838</v>
      </c>
      <c r="V160" s="27">
        <v>1.666577494065332</v>
      </c>
      <c r="W160" s="126">
        <f t="shared" si="622"/>
        <v>2450621.0977525325</v>
      </c>
      <c r="X160" s="6"/>
      <c r="Y160" s="49">
        <f>(W160/W157-1)*100</f>
        <v>2.7799330368727615</v>
      </c>
      <c r="Z160" s="16">
        <f>STDEVP(V125:V160)*SQRT(12)</f>
        <v>12.646827456863249</v>
      </c>
      <c r="AA160" s="79"/>
      <c r="AB160" s="20">
        <f t="shared" si="616"/>
        <v>45838</v>
      </c>
      <c r="AC160" s="300">
        <f t="shared" ref="AC160" si="630">64%*$C160+16%*$D160+18%*$E160+2%*$F160</f>
        <v>3.8869343000000001</v>
      </c>
      <c r="AD160" s="126">
        <f t="shared" si="623"/>
        <v>2776821.6575429691</v>
      </c>
      <c r="AE160" s="6"/>
      <c r="AF160" s="49">
        <f>(AD160/AD157-1)*100</f>
        <v>9.1441625912199065</v>
      </c>
      <c r="AG160" s="44"/>
      <c r="AH160" s="20">
        <f t="shared" si="575"/>
        <v>45838</v>
      </c>
      <c r="AI160" s="27">
        <v>1.4279624974221017</v>
      </c>
      <c r="AJ160" s="126">
        <f t="shared" si="624"/>
        <v>2171995.5592274745</v>
      </c>
      <c r="AK160" s="6"/>
      <c r="AL160" s="49">
        <f>(AJ160/AJ157-1)*100</f>
        <v>2.3043289828515778</v>
      </c>
      <c r="AM160" s="16">
        <f>STDEVP(AI125:AI160)*SQRT(12)</f>
        <v>10.628634314186851</v>
      </c>
      <c r="AN160" s="79"/>
      <c r="AO160" s="20">
        <f t="shared" si="519"/>
        <v>45838</v>
      </c>
      <c r="AP160" s="300">
        <f t="shared" ref="AP160" si="631">48%*$C160+12%*$D160+38%*$E160+2%*$F160</f>
        <v>3.2918919</v>
      </c>
      <c r="AQ160" s="126">
        <f t="shared" si="625"/>
        <v>2333363.9959093225</v>
      </c>
      <c r="AR160" s="6"/>
      <c r="AS160" s="49">
        <f>(AQ160/AQ157-1)*100</f>
        <v>7.1297808216981062</v>
      </c>
      <c r="AT160" s="39"/>
      <c r="AU160" s="20">
        <f t="shared" si="520"/>
        <v>45838</v>
      </c>
      <c r="AV160" s="27">
        <v>1.1989727080956452</v>
      </c>
      <c r="AW160" s="126">
        <f t="shared" si="626"/>
        <v>1548834.1970915881</v>
      </c>
      <c r="AX160" s="6"/>
      <c r="AY160" s="49">
        <f>(AW160/AW157-1)*100</f>
        <v>1.7274113986783801</v>
      </c>
      <c r="AZ160" s="16"/>
      <c r="BA160" s="79"/>
      <c r="BB160" s="20">
        <f t="shared" si="521"/>
        <v>45838</v>
      </c>
      <c r="BC160" s="300">
        <f t="shared" ref="BC160" si="632">24%*$C160+6%*$D160+68%*$E160+2%*$F160</f>
        <v>2.3993283000000001</v>
      </c>
      <c r="BD160" s="126">
        <f t="shared" si="627"/>
        <v>1624931.6515822236</v>
      </c>
      <c r="BE160" s="6"/>
      <c r="BF160" s="49">
        <f>(BD160/BD157-1)*100</f>
        <v>4.1382394042837278</v>
      </c>
      <c r="BG160" s="39"/>
      <c r="BH160" s="20">
        <f t="shared" si="522"/>
        <v>45838</v>
      </c>
      <c r="BI160" s="27">
        <v>1.1234034996955093</v>
      </c>
      <c r="BJ160" s="126">
        <f t="shared" si="628"/>
        <v>1184902.1657867995</v>
      </c>
      <c r="BK160" s="6"/>
      <c r="BL160" s="49">
        <f>(BJ160/BJ157-1)*100</f>
        <v>1.5009262708868265</v>
      </c>
      <c r="BM160" s="16">
        <f t="shared" ref="BM160" si="633">STDEVP(BI125:BI160)*SQRT(12)</f>
        <v>6.7270175675994119</v>
      </c>
      <c r="BN160" s="79"/>
      <c r="BO160" s="20">
        <f t="shared" si="523"/>
        <v>45838</v>
      </c>
      <c r="BP160" s="300">
        <f t="shared" si="256"/>
        <v>1.9530465000000001</v>
      </c>
      <c r="BQ160" s="126">
        <f t="shared" si="629"/>
        <v>1145997.9107571791</v>
      </c>
      <c r="BR160" s="6"/>
      <c r="BS160" s="49">
        <f>(BQ160/BQ157-1)*100</f>
        <v>2.6559825835422934</v>
      </c>
      <c r="BT160" s="16">
        <f t="shared" ref="BT160" si="634">STDEVP(BP125:BP160)*SQRT(12)</f>
        <v>7.7266584726556173</v>
      </c>
      <c r="BU160" s="16"/>
      <c r="BV160" s="39"/>
    </row>
    <row r="161" spans="1:74" x14ac:dyDescent="0.25">
      <c r="A161" s="20">
        <v>45869</v>
      </c>
      <c r="B161" s="24">
        <f t="shared" ref="B161:B163" si="635">IF(A161&gt;A160,1+B160,"-")</f>
        <v>146</v>
      </c>
      <c r="C161" s="297">
        <f>'LC (Gross)'!K323</f>
        <v>2.2442899999999999</v>
      </c>
      <c r="D161" s="297">
        <v>-1.376881</v>
      </c>
      <c r="E161" s="297">
        <v>-0.26393680000000003</v>
      </c>
      <c r="F161" s="297">
        <v>0</v>
      </c>
      <c r="G161" s="39"/>
      <c r="H161" s="20">
        <f t="shared" si="259"/>
        <v>45869</v>
      </c>
      <c r="I161" s="27">
        <v>-0.23451025076763385</v>
      </c>
      <c r="J161" s="126">
        <f t="shared" ref="J161:J163" si="636">J160*I161/100+J160</f>
        <v>2634492.6119324849</v>
      </c>
      <c r="K161" s="6"/>
      <c r="L161" s="49"/>
      <c r="M161" s="16"/>
      <c r="N161" s="79"/>
      <c r="O161" s="20">
        <f t="shared" si="614"/>
        <v>45869</v>
      </c>
      <c r="P161" s="300">
        <f t="shared" si="404"/>
        <v>1.489654684</v>
      </c>
      <c r="Q161" s="126">
        <f t="shared" ref="Q161:Q163" si="637">Q160*P161/100+Q160</f>
        <v>3369293.2671659105</v>
      </c>
      <c r="R161" s="6"/>
      <c r="S161" s="49"/>
      <c r="T161" s="39"/>
      <c r="U161" s="20">
        <f t="shared" si="615"/>
        <v>45869</v>
      </c>
      <c r="V161" s="27">
        <v>-0.20881974414302096</v>
      </c>
      <c r="W161" s="126">
        <f t="shared" ref="W161:W163" si="638">W160*V161/100+W160</f>
        <v>2445503.7170462906</v>
      </c>
      <c r="X161" s="6"/>
      <c r="Y161" s="49"/>
      <c r="AA161" s="79"/>
      <c r="AB161" s="20">
        <f t="shared" si="616"/>
        <v>45869</v>
      </c>
      <c r="AC161" s="300">
        <f t="shared" si="222"/>
        <v>1.1685360159999998</v>
      </c>
      <c r="AD161" s="126">
        <f t="shared" ref="AD161:AD163" si="639">AD160*AC161/100+AD160</f>
        <v>2809269.8187114471</v>
      </c>
      <c r="AE161" s="6"/>
      <c r="AF161" s="49"/>
      <c r="AG161" s="44"/>
      <c r="AH161" s="20">
        <f t="shared" si="575"/>
        <v>45869</v>
      </c>
      <c r="AI161" s="27">
        <v>-0.30211564863569584</v>
      </c>
      <c r="AJ161" s="126">
        <f t="shared" ref="AJ161:AJ163" si="640">AJ160*AI161/100+AJ160</f>
        <v>2165433.6207553758</v>
      </c>
      <c r="AK161" s="6"/>
      <c r="AL161" s="49"/>
      <c r="AN161" s="79"/>
      <c r="AO161" s="20">
        <f t="shared" si="519"/>
        <v>45869</v>
      </c>
      <c r="AP161" s="300">
        <f t="shared" si="223"/>
        <v>0.81173749599999989</v>
      </c>
      <c r="AQ161" s="126">
        <f t="shared" ref="AQ161:AQ163" si="641">AQ160*AP161/100+AQ160</f>
        <v>2352304.7863822826</v>
      </c>
      <c r="AR161" s="6"/>
      <c r="AS161" s="49"/>
      <c r="AT161" s="39"/>
      <c r="AU161" s="20">
        <f t="shared" si="520"/>
        <v>45869</v>
      </c>
      <c r="AV161" s="27">
        <v>-0.31398041145603978</v>
      </c>
      <c r="AW161" s="126">
        <f t="shared" ref="AW161:AW163" si="642">AW160*AV161/100+AW160</f>
        <v>1543971.1611067881</v>
      </c>
      <c r="AX161" s="6"/>
      <c r="AY161" s="49"/>
      <c r="AZ161" s="16"/>
      <c r="BA161" s="79"/>
      <c r="BB161" s="20">
        <f t="shared" si="521"/>
        <v>45869</v>
      </c>
      <c r="BC161" s="300">
        <f t="shared" si="224"/>
        <v>0.27653971599999988</v>
      </c>
      <c r="BD161" s="126">
        <f t="shared" ref="BD161:BD163" si="643">BD160*BC161/100+BD160</f>
        <v>1629425.2329567033</v>
      </c>
      <c r="BE161" s="6"/>
      <c r="BF161" s="49"/>
      <c r="BG161" s="39"/>
      <c r="BH161" s="20">
        <f t="shared" si="522"/>
        <v>45869</v>
      </c>
      <c r="BI161" s="27">
        <v>-0.1934341966285692</v>
      </c>
      <c r="BJ161" s="126">
        <f t="shared" ref="BJ161:BJ163" si="644">BJ160*BI161/100+BJ160</f>
        <v>1182610.1598015754</v>
      </c>
      <c r="BK161" s="6"/>
      <c r="BL161" s="49"/>
      <c r="BM161" s="16"/>
      <c r="BN161" s="79"/>
      <c r="BO161" s="20">
        <f t="shared" si="523"/>
        <v>45869</v>
      </c>
      <c r="BP161" s="300">
        <f t="shared" si="256"/>
        <v>8.9408259999999573E-3</v>
      </c>
      <c r="BQ161" s="126">
        <f t="shared" ref="BQ161:BQ163" si="645">BQ160*BP161/100+BQ160</f>
        <v>1146100.3724363435</v>
      </c>
      <c r="BR161" s="6"/>
      <c r="BS161" s="49"/>
      <c r="BT161" s="16"/>
      <c r="BU161" s="16"/>
      <c r="BV161" s="39"/>
    </row>
    <row r="162" spans="1:74" x14ac:dyDescent="0.25">
      <c r="A162" s="20">
        <v>45900</v>
      </c>
      <c r="B162" s="24">
        <f t="shared" si="635"/>
        <v>147</v>
      </c>
      <c r="C162" s="297">
        <f>'LC (Gross)'!K324</f>
        <v>2.0271819999999998</v>
      </c>
      <c r="D162" s="297">
        <v>4.2860490000000002</v>
      </c>
      <c r="E162" s="297">
        <v>1.1963630000000001</v>
      </c>
      <c r="F162" s="297">
        <v>0</v>
      </c>
      <c r="G162" s="39"/>
      <c r="H162" s="20">
        <f t="shared" si="259"/>
        <v>45900</v>
      </c>
      <c r="I162" s="27">
        <v>3.1272437902356223</v>
      </c>
      <c r="J162" s="126">
        <f t="shared" si="636"/>
        <v>2716879.6185433599</v>
      </c>
      <c r="K162" s="6"/>
      <c r="L162" s="49"/>
      <c r="M162" s="16"/>
      <c r="N162" s="79"/>
      <c r="O162" s="20">
        <f t="shared" si="614"/>
        <v>45900</v>
      </c>
      <c r="P162" s="300">
        <f t="shared" si="404"/>
        <v>2.4293762919999997</v>
      </c>
      <c r="Q162" s="126">
        <f t="shared" si="637"/>
        <v>3451146.0790063911</v>
      </c>
      <c r="R162" s="6"/>
      <c r="S162" s="49"/>
      <c r="T162" s="39"/>
      <c r="U162" s="20">
        <f t="shared" si="615"/>
        <v>45900</v>
      </c>
      <c r="V162" s="27">
        <v>2.9478629095914206</v>
      </c>
      <c r="W162" s="126">
        <f t="shared" si="638"/>
        <v>2517593.8140737778</v>
      </c>
      <c r="X162" s="6"/>
      <c r="Y162" s="49"/>
      <c r="AA162" s="79"/>
      <c r="AB162" s="20">
        <f t="shared" si="616"/>
        <v>45900</v>
      </c>
      <c r="AC162" s="300">
        <f t="shared" ref="AC162:AC166" si="646">64%*$C162+16%*$D162+18%*$E162+2%*$F162</f>
        <v>2.19850966</v>
      </c>
      <c r="AD162" s="126">
        <f t="shared" si="639"/>
        <v>2871031.8870512829</v>
      </c>
      <c r="AE162" s="6"/>
      <c r="AF162" s="49"/>
      <c r="AG162" s="44"/>
      <c r="AH162" s="20">
        <f t="shared" si="575"/>
        <v>45900</v>
      </c>
      <c r="AI162" s="27">
        <v>2.6428865198923521</v>
      </c>
      <c r="AJ162" s="126">
        <f t="shared" si="640"/>
        <v>2222663.5740155363</v>
      </c>
      <c r="AK162" s="6"/>
      <c r="AL162" s="49"/>
      <c r="AN162" s="79"/>
      <c r="AO162" s="20">
        <f t="shared" si="519"/>
        <v>45900</v>
      </c>
      <c r="AP162" s="300">
        <f t="shared" ref="AP162:AP166" si="647">48%*$C162+12%*$D162+38%*$E162+2%*$F162</f>
        <v>1.94199118</v>
      </c>
      <c r="AQ162" s="126">
        <f t="shared" si="641"/>
        <v>2397986.3378605442</v>
      </c>
      <c r="AR162" s="6"/>
      <c r="AS162" s="49"/>
      <c r="AT162" s="39"/>
      <c r="AU162" s="20">
        <f t="shared" si="520"/>
        <v>45900</v>
      </c>
      <c r="AV162" s="27">
        <v>2.2350349691186966</v>
      </c>
      <c r="AW162" s="126">
        <f t="shared" si="642"/>
        <v>1578479.4564706327</v>
      </c>
      <c r="AX162" s="6"/>
      <c r="AY162" s="49"/>
      <c r="AZ162" s="16"/>
      <c r="BA162" s="79"/>
      <c r="BB162" s="20">
        <f t="shared" si="521"/>
        <v>45900</v>
      </c>
      <c r="BC162" s="300">
        <f t="shared" ref="BC162:BC166" si="648">24%*$C162+6%*$D162+68%*$E162+2%*$F162</f>
        <v>1.55721346</v>
      </c>
      <c r="BD162" s="126">
        <f t="shared" si="643"/>
        <v>1654798.8620049413</v>
      </c>
      <c r="BE162" s="6"/>
      <c r="BF162" s="49"/>
      <c r="BG162" s="39"/>
      <c r="BH162" s="20">
        <f t="shared" si="522"/>
        <v>45900</v>
      </c>
      <c r="BI162" s="27">
        <v>1.4915566519343373</v>
      </c>
      <c r="BJ162" s="126">
        <f t="shared" si="644"/>
        <v>1200249.4603065471</v>
      </c>
      <c r="BK162" s="6"/>
      <c r="BL162" s="49"/>
      <c r="BM162" s="16"/>
      <c r="BN162" s="79"/>
      <c r="BO162" s="20">
        <f t="shared" si="523"/>
        <v>45900</v>
      </c>
      <c r="BP162" s="300">
        <f t="shared" si="256"/>
        <v>1.3648245999999999</v>
      </c>
      <c r="BQ162" s="126">
        <f t="shared" si="645"/>
        <v>1161742.6322600462</v>
      </c>
      <c r="BR162" s="6"/>
      <c r="BS162" s="49"/>
      <c r="BT162" s="16"/>
      <c r="BU162" s="16"/>
      <c r="BV162" s="39"/>
    </row>
    <row r="163" spans="1:74" x14ac:dyDescent="0.25">
      <c r="A163" s="20">
        <v>45930</v>
      </c>
      <c r="B163" s="24">
        <f t="shared" si="635"/>
        <v>148</v>
      </c>
      <c r="C163" s="297">
        <f>'LC (Gross)'!K325</f>
        <v>3.6404380000000001</v>
      </c>
      <c r="D163" s="297">
        <v>1.9788460000000001</v>
      </c>
      <c r="E163" s="297">
        <v>1.0908439999999999</v>
      </c>
      <c r="F163" s="297">
        <v>0</v>
      </c>
      <c r="G163" s="39"/>
      <c r="H163" s="20">
        <f t="shared" si="259"/>
        <v>45930</v>
      </c>
      <c r="I163" s="27">
        <v>1.6530526070008509</v>
      </c>
      <c r="J163" s="126">
        <f t="shared" si="636"/>
        <v>2761791.0679067657</v>
      </c>
      <c r="K163" s="6"/>
      <c r="L163" s="49">
        <f>(J163/J160-1)*100</f>
        <v>4.5861496163630555</v>
      </c>
      <c r="M163" s="16">
        <f>STDEVP(I128:I163)*SQRT(12)</f>
        <v>12.069197379546374</v>
      </c>
      <c r="N163" s="79"/>
      <c r="O163" s="20">
        <f t="shared" si="614"/>
        <v>45930</v>
      </c>
      <c r="P163" s="300">
        <f t="shared" si="404"/>
        <v>3.2419572080000005</v>
      </c>
      <c r="Q163" s="126">
        <f t="shared" si="637"/>
        <v>3563030.7580733481</v>
      </c>
      <c r="R163" s="6"/>
      <c r="S163" s="49">
        <f>(Q163/Q160-1)*100</f>
        <v>7.3254040511304686</v>
      </c>
      <c r="T163" s="39"/>
      <c r="U163" s="20">
        <f t="shared" si="615"/>
        <v>45930</v>
      </c>
      <c r="V163" s="27">
        <v>1.4955323818461794</v>
      </c>
      <c r="W163" s="126">
        <f t="shared" si="638"/>
        <v>2555245.2448066073</v>
      </c>
      <c r="X163" s="6"/>
      <c r="Y163" s="49">
        <f>(W163/W160-1)*100</f>
        <v>4.2692910442183818</v>
      </c>
      <c r="Z163" s="16">
        <f>STDEVP(V128:V163)*SQRT(12)</f>
        <v>11.1684444338633</v>
      </c>
      <c r="AA163" s="79"/>
      <c r="AB163" s="20">
        <f t="shared" si="616"/>
        <v>45930</v>
      </c>
      <c r="AC163" s="300">
        <f t="shared" si="646"/>
        <v>2.8428476000000003</v>
      </c>
      <c r="AD163" s="126">
        <f t="shared" si="639"/>
        <v>2952650.9481475549</v>
      </c>
      <c r="AE163" s="6"/>
      <c r="AF163" s="49">
        <f>(AD163/AD160-1)*100</f>
        <v>6.332033968654871</v>
      </c>
      <c r="AG163" s="44"/>
      <c r="AH163" s="20">
        <f t="shared" si="575"/>
        <v>45930</v>
      </c>
      <c r="AI163" s="27">
        <v>1.3152511732505952</v>
      </c>
      <c r="AJ163" s="126">
        <f t="shared" si="640"/>
        <v>2251897.1827501892</v>
      </c>
      <c r="AK163" s="6"/>
      <c r="AL163" s="49">
        <f>(AJ163/AJ160-1)*100</f>
        <v>3.6787194699023029</v>
      </c>
      <c r="AM163" s="16">
        <f>STDEVP(AI128:AI163)*SQRT(12)</f>
        <v>9.463335048143092</v>
      </c>
      <c r="AN163" s="79"/>
      <c r="AO163" s="20">
        <f t="shared" si="519"/>
        <v>45930</v>
      </c>
      <c r="AP163" s="300">
        <f t="shared" si="647"/>
        <v>2.3993924799999999</v>
      </c>
      <c r="AQ163" s="126">
        <f t="shared" si="641"/>
        <v>2455523.4417225975</v>
      </c>
      <c r="AR163" s="6"/>
      <c r="AS163" s="49">
        <f>(AQ163/AQ160-1)*100</f>
        <v>5.2353360224738132</v>
      </c>
      <c r="AT163" s="39"/>
      <c r="AU163" s="20">
        <f t="shared" si="520"/>
        <v>45930</v>
      </c>
      <c r="AV163" s="27">
        <v>1.0838286537450312</v>
      </c>
      <c r="AW163" s="126">
        <f t="shared" si="642"/>
        <v>1595587.4691133401</v>
      </c>
      <c r="AX163" s="6"/>
      <c r="AY163" s="49">
        <f>(AW163/AW160-1)*100</f>
        <v>3.0186105207094194</v>
      </c>
      <c r="AZ163" s="16"/>
      <c r="BA163" s="79"/>
      <c r="BB163" s="20">
        <f t="shared" si="521"/>
        <v>45930</v>
      </c>
      <c r="BC163" s="300">
        <f t="shared" si="648"/>
        <v>1.7342097999999999</v>
      </c>
      <c r="BD163" s="126">
        <f t="shared" si="643"/>
        <v>1683496.5460401196</v>
      </c>
      <c r="BE163" s="6"/>
      <c r="BF163" s="49">
        <f>(BD163/BD160-1)*100</f>
        <v>3.6041450974796607</v>
      </c>
      <c r="BG163" s="39"/>
      <c r="BH163" s="20">
        <f t="shared" si="522"/>
        <v>45930</v>
      </c>
      <c r="BI163" s="27">
        <v>0.99502532777239971</v>
      </c>
      <c r="BJ163" s="126">
        <f t="shared" si="644"/>
        <v>1212192.2464330487</v>
      </c>
      <c r="BK163" s="6"/>
      <c r="BL163" s="49">
        <f>(BJ163/BJ160-1)*100</f>
        <v>2.3031505413890541</v>
      </c>
      <c r="BM163" s="16">
        <f t="shared" ref="BM163" si="649">STDEVP(BI128:BI163)*SQRT(12)</f>
        <v>5.9781021743262865</v>
      </c>
      <c r="BN163" s="79"/>
      <c r="BO163" s="20">
        <f t="shared" si="523"/>
        <v>45930</v>
      </c>
      <c r="BP163" s="300">
        <f t="shared" si="256"/>
        <v>1.4016184599999999</v>
      </c>
      <c r="BQ163" s="126">
        <f t="shared" si="645"/>
        <v>1178025.8314514928</v>
      </c>
      <c r="BR163" s="6"/>
      <c r="BS163" s="49">
        <f>(BQ163/BQ160-1)*100</f>
        <v>2.794762572747822</v>
      </c>
      <c r="BT163" s="16">
        <f t="shared" ref="BT163" si="650">STDEVP(BP128:BP163)*SQRT(12)</f>
        <v>6.6003161554590806</v>
      </c>
      <c r="BU163" s="16"/>
      <c r="BV163" s="39"/>
    </row>
    <row r="164" spans="1:74" x14ac:dyDescent="0.25">
      <c r="A164" s="20">
        <v>45961</v>
      </c>
      <c r="B164" s="24">
        <f t="shared" ref="B164:B166" si="651">IF(A164&gt;A163,1+B163,"-")</f>
        <v>149</v>
      </c>
      <c r="C164" s="297">
        <f>'LC (Gross)'!K326</f>
        <v>2.341364</v>
      </c>
      <c r="D164" s="297">
        <v>1.1896990000000001</v>
      </c>
      <c r="E164" s="297">
        <v>0.62454540000000003</v>
      </c>
      <c r="F164" s="297">
        <v>0</v>
      </c>
      <c r="G164" s="39"/>
      <c r="H164" s="20">
        <f t="shared" si="259"/>
        <v>45961</v>
      </c>
      <c r="I164" s="27">
        <v>8.4032239915478146E-2</v>
      </c>
      <c r="J164" s="126">
        <f t="shared" ref="J164:J166" si="652">J163*I164/100+J163</f>
        <v>2764111.8628029134</v>
      </c>
      <c r="K164" s="6"/>
      <c r="L164" s="49"/>
      <c r="M164" s="16"/>
      <c r="N164" s="79"/>
      <c r="O164" s="20">
        <f t="shared" si="614"/>
        <v>45961</v>
      </c>
      <c r="P164" s="300">
        <f t="shared" si="404"/>
        <v>2.0688103799999999</v>
      </c>
      <c r="Q164" s="126">
        <f t="shared" ref="Q164:Q166" si="653">Q163*P164/100+Q163</f>
        <v>3636743.108238962</v>
      </c>
      <c r="R164" s="6"/>
      <c r="S164" s="49"/>
      <c r="T164" s="39"/>
      <c r="U164" s="20">
        <f t="shared" si="615"/>
        <v>45961</v>
      </c>
      <c r="V164" s="27">
        <v>1.4139719170008598E-2</v>
      </c>
      <c r="W164" s="126">
        <f t="shared" ref="W164:W166" si="654">W163*V164/100+W163</f>
        <v>2555606.549308328</v>
      </c>
      <c r="X164" s="6"/>
      <c r="Y164" s="49"/>
      <c r="AA164" s="79"/>
      <c r="AB164" s="20">
        <f t="shared" si="616"/>
        <v>45961</v>
      </c>
      <c r="AC164" s="300">
        <f t="shared" si="646"/>
        <v>1.8012429719999998</v>
      </c>
      <c r="AD164" s="126">
        <f t="shared" ref="AD164:AD166" si="655">AD163*AC164/100+AD163</f>
        <v>3005835.365838754</v>
      </c>
      <c r="AE164" s="6"/>
      <c r="AF164" s="49"/>
      <c r="AG164" s="44"/>
      <c r="AH164" s="20">
        <f t="shared" si="575"/>
        <v>45961</v>
      </c>
      <c r="AI164" s="27">
        <v>1.0828660210585964E-2</v>
      </c>
      <c r="AJ164" s="126">
        <f t="shared" ref="AJ164:AJ166" si="656">AJ163*AI164/100+AJ163</f>
        <v>2252141.0330444011</v>
      </c>
      <c r="AK164" s="6"/>
      <c r="AL164" s="49"/>
      <c r="AN164" s="79"/>
      <c r="AO164" s="20">
        <f t="shared" si="519"/>
        <v>45961</v>
      </c>
      <c r="AP164" s="300">
        <f t="shared" si="647"/>
        <v>1.503945852</v>
      </c>
      <c r="AQ164" s="126">
        <f t="shared" ref="AQ164:AQ166" si="657">AQ163*AP164/100+AQ163</f>
        <v>2492453.184669272</v>
      </c>
      <c r="AR164" s="6"/>
      <c r="AS164" s="49"/>
      <c r="AT164" s="39"/>
      <c r="AU164" s="20">
        <f t="shared" si="520"/>
        <v>45961</v>
      </c>
      <c r="AV164" s="27">
        <v>8.092300055362836E-2</v>
      </c>
      <c r="AW164" s="126">
        <f t="shared" ref="AW164:AW166" si="658">AW163*AV164/100+AW163</f>
        <v>1596878.6663698044</v>
      </c>
      <c r="AX164" s="6"/>
      <c r="AY164" s="49"/>
      <c r="AZ164" s="16"/>
      <c r="BA164" s="79"/>
      <c r="BB164" s="20">
        <f t="shared" si="521"/>
        <v>45961</v>
      </c>
      <c r="BC164" s="300">
        <f t="shared" si="648"/>
        <v>1.0580001720000001</v>
      </c>
      <c r="BD164" s="126">
        <f t="shared" ref="BD164:BD166" si="659">BD163*BC164/100+BD163</f>
        <v>1701307.9423928382</v>
      </c>
      <c r="BE164" s="6"/>
      <c r="BF164" s="49"/>
      <c r="BG164" s="39"/>
      <c r="BH164" s="20">
        <f t="shared" si="522"/>
        <v>45961</v>
      </c>
      <c r="BI164" s="27">
        <v>0.30846104236731731</v>
      </c>
      <c r="BJ164" s="126">
        <f t="shared" ref="BJ164:BJ166" si="660">BJ163*BI164/100+BJ163</f>
        <v>1215931.3872718918</v>
      </c>
      <c r="BK164" s="6"/>
      <c r="BL164" s="49"/>
      <c r="BM164" s="16"/>
      <c r="BN164" s="79"/>
      <c r="BO164" s="20">
        <f t="shared" si="523"/>
        <v>45961</v>
      </c>
      <c r="BP164" s="300">
        <f t="shared" si="256"/>
        <v>0.8350273319999999</v>
      </c>
      <c r="BQ164" s="126">
        <f t="shared" ref="BQ164:BQ166" si="661">BQ163*BP164/100+BQ163</f>
        <v>1187862.6691221332</v>
      </c>
      <c r="BR164" s="6"/>
      <c r="BS164" s="49"/>
      <c r="BT164" s="16"/>
      <c r="BU164" s="16"/>
      <c r="BV164" s="39"/>
    </row>
    <row r="165" spans="1:74" x14ac:dyDescent="0.25">
      <c r="A165" s="20">
        <v>45991</v>
      </c>
      <c r="B165" s="24">
        <f t="shared" si="651"/>
        <v>150</v>
      </c>
      <c r="C165" s="297">
        <f>'LC (Gross)'!K327</f>
        <v>0.24512030000000001</v>
      </c>
      <c r="D165" s="297">
        <v>0.64874540000000003</v>
      </c>
      <c r="E165" s="297">
        <v>0.62152450000000004</v>
      </c>
      <c r="F165" s="297">
        <v>0</v>
      </c>
      <c r="G165" s="39"/>
      <c r="H165" s="20">
        <f t="shared" si="259"/>
        <v>45991</v>
      </c>
      <c r="I165" s="27">
        <v>2.1788970168077975</v>
      </c>
      <c r="J165" s="126">
        <f t="shared" si="652"/>
        <v>2824339.0137227564</v>
      </c>
      <c r="K165" s="6"/>
      <c r="L165" s="49"/>
      <c r="M165" s="16"/>
      <c r="N165" s="79"/>
      <c r="O165" s="20">
        <f t="shared" si="614"/>
        <v>45991</v>
      </c>
      <c r="P165" s="300">
        <f t="shared" si="404"/>
        <v>0.31932841360000003</v>
      </c>
      <c r="Q165" s="126">
        <f t="shared" si="653"/>
        <v>3648356.262313209</v>
      </c>
      <c r="R165" s="6"/>
      <c r="S165" s="49"/>
      <c r="T165" s="39"/>
      <c r="U165" s="20">
        <f t="shared" si="615"/>
        <v>45991</v>
      </c>
      <c r="V165" s="27">
        <v>2.1810295348687609</v>
      </c>
      <c r="W165" s="126">
        <f t="shared" si="654"/>
        <v>2611345.0829437831</v>
      </c>
      <c r="X165" s="6"/>
      <c r="Y165" s="49"/>
      <c r="AA165" s="79"/>
      <c r="AB165" s="20">
        <f t="shared" si="616"/>
        <v>45991</v>
      </c>
      <c r="AC165" s="300">
        <f t="shared" si="646"/>
        <v>0.37255066599999997</v>
      </c>
      <c r="AD165" s="126">
        <f t="shared" si="655"/>
        <v>3017033.6255130498</v>
      </c>
      <c r="AE165" s="6"/>
      <c r="AF165" s="49"/>
      <c r="AG165" s="44"/>
      <c r="AH165" s="20">
        <f t="shared" si="575"/>
        <v>45991</v>
      </c>
      <c r="AI165" s="27">
        <v>2.073502302812301</v>
      </c>
      <c r="AJ165" s="126">
        <f t="shared" si="656"/>
        <v>2298839.2292271573</v>
      </c>
      <c r="AK165" s="6"/>
      <c r="AL165" s="49"/>
      <c r="AN165" s="79"/>
      <c r="AO165" s="20">
        <f t="shared" si="519"/>
        <v>45991</v>
      </c>
      <c r="AP165" s="300">
        <f t="shared" si="647"/>
        <v>0.43168650200000003</v>
      </c>
      <c r="AQ165" s="126">
        <f t="shared" si="657"/>
        <v>2503212.7686361582</v>
      </c>
      <c r="AR165" s="6"/>
      <c r="AS165" s="49"/>
      <c r="AT165" s="39"/>
      <c r="AU165" s="20">
        <f t="shared" si="520"/>
        <v>45991</v>
      </c>
      <c r="AV165" s="27">
        <v>1.7794096918477449</v>
      </c>
      <c r="AW165" s="126">
        <f t="shared" si="658"/>
        <v>1625293.6801262377</v>
      </c>
      <c r="AX165" s="6"/>
      <c r="AY165" s="49"/>
      <c r="AZ165" s="16"/>
      <c r="BA165" s="79"/>
      <c r="BB165" s="20">
        <f t="shared" si="521"/>
        <v>45991</v>
      </c>
      <c r="BC165" s="300">
        <f t="shared" si="648"/>
        <v>0.520390256</v>
      </c>
      <c r="BD165" s="126">
        <f t="shared" si="659"/>
        <v>1710161.3831496045</v>
      </c>
      <c r="BE165" s="6"/>
      <c r="BF165" s="49"/>
      <c r="BG165" s="39"/>
      <c r="BH165" s="20">
        <f t="shared" si="522"/>
        <v>45991</v>
      </c>
      <c r="BI165" s="27">
        <v>0.99997483667729148</v>
      </c>
      <c r="BJ165" s="126">
        <f t="shared" si="660"/>
        <v>1228090.3951758719</v>
      </c>
      <c r="BK165" s="6"/>
      <c r="BL165" s="49"/>
      <c r="BM165" s="16"/>
      <c r="BN165" s="79"/>
      <c r="BO165" s="20">
        <f t="shared" si="523"/>
        <v>45991</v>
      </c>
      <c r="BP165" s="300">
        <f t="shared" si="256"/>
        <v>0.56474213299999998</v>
      </c>
      <c r="BQ165" s="126">
        <f t="shared" si="661"/>
        <v>1194571.0300968443</v>
      </c>
      <c r="BR165" s="6"/>
      <c r="BS165" s="49"/>
      <c r="BT165" s="16"/>
      <c r="BU165" s="16"/>
      <c r="BV165" s="39"/>
    </row>
    <row r="166" spans="1:74" x14ac:dyDescent="0.25">
      <c r="A166" s="20">
        <v>46022</v>
      </c>
      <c r="B166" s="24">
        <f t="shared" si="651"/>
        <v>151</v>
      </c>
      <c r="C166" s="297">
        <f>'LC (Gross)'!K328</f>
        <v>5.9176079999999999E-2</v>
      </c>
      <c r="D166" s="297">
        <v>3.0107550000000001</v>
      </c>
      <c r="E166" s="297">
        <v>-0.1479384</v>
      </c>
      <c r="F166" s="297">
        <v>0</v>
      </c>
      <c r="G166" s="39"/>
      <c r="H166" s="20">
        <f t="shared" si="259"/>
        <v>46022</v>
      </c>
      <c r="I166" s="27">
        <v>0.71851095529419517</v>
      </c>
      <c r="J166" s="126">
        <f t="shared" si="652"/>
        <v>2844632.1989510022</v>
      </c>
      <c r="K166" s="6">
        <f>(J166-J$154)/J$154*100</f>
        <v>12.509186150328425</v>
      </c>
      <c r="L166" s="49">
        <f>(J166/J163-1)*100</f>
        <v>2.9995437383691703</v>
      </c>
      <c r="M166" s="16">
        <f>STDEVP(I131:I166)*SQRT(12)</f>
        <v>10.65222598850856</v>
      </c>
      <c r="N166" s="79"/>
      <c r="O166" s="20">
        <f t="shared" si="614"/>
        <v>46022</v>
      </c>
      <c r="P166" s="300">
        <f t="shared" si="404"/>
        <v>0.63650202672000011</v>
      </c>
      <c r="Q166" s="126">
        <f t="shared" si="653"/>
        <v>3671578.1238647988</v>
      </c>
      <c r="R166" s="6">
        <f>(Q166-Q$154)/Q$154*100</f>
        <v>20.238333968496953</v>
      </c>
      <c r="S166" s="49">
        <f>(Q166/Q163-1)*100</f>
        <v>3.0464897207383546</v>
      </c>
      <c r="T166" s="39"/>
      <c r="U166" s="20">
        <f t="shared" si="615"/>
        <v>46022</v>
      </c>
      <c r="V166" s="27">
        <v>0.74490904129510116</v>
      </c>
      <c r="W166" s="126">
        <f t="shared" si="654"/>
        <v>2630797.2285660463</v>
      </c>
      <c r="X166" s="6">
        <f>(W166-W$154)/W$154*100</f>
        <v>11.752289749633494</v>
      </c>
      <c r="Y166" s="49">
        <f>(W166/W163-1)*100</f>
        <v>2.9567409982659942</v>
      </c>
      <c r="Z166" s="16">
        <f>STDEVP(V131:V166)*SQRT(12)</f>
        <v>9.7931250304482536</v>
      </c>
      <c r="AA166" s="79"/>
      <c r="AB166" s="20">
        <f t="shared" si="616"/>
        <v>46022</v>
      </c>
      <c r="AC166" s="300">
        <f t="shared" si="646"/>
        <v>0.49296457919999997</v>
      </c>
      <c r="AD166" s="126">
        <f t="shared" si="655"/>
        <v>3031906.5326293828</v>
      </c>
      <c r="AE166" s="6">
        <f>(AD166-AD$154)/AD$154*100</f>
        <v>17.805148951061732</v>
      </c>
      <c r="AF166" s="49">
        <f>(AD166/AD163-1)*100</f>
        <v>2.6842178731472321</v>
      </c>
      <c r="AG166" s="44"/>
      <c r="AH166" s="20">
        <f t="shared" si="575"/>
        <v>46022</v>
      </c>
      <c r="AI166" s="27">
        <v>0.58242975673113417</v>
      </c>
      <c r="AJ166" s="126">
        <f t="shared" si="656"/>
        <v>2312228.3529575849</v>
      </c>
      <c r="AK166" s="6">
        <f>(AJ166-AJ$154)/AJ$154*100</f>
        <v>11.204403948380694</v>
      </c>
      <c r="AL166" s="49">
        <f>(AJ166/AJ163-1)*100</f>
        <v>2.67912632377445</v>
      </c>
      <c r="AM166" s="16">
        <f>STDEVP(AI131:AI166)*SQRT(12)</f>
        <v>8.5370203931082731</v>
      </c>
      <c r="AN166" s="79"/>
      <c r="AO166" s="20">
        <f t="shared" si="519"/>
        <v>46022</v>
      </c>
      <c r="AP166" s="300">
        <f t="shared" si="647"/>
        <v>0.33347852640000003</v>
      </c>
      <c r="AQ166" s="126">
        <f t="shared" si="657"/>
        <v>2511560.4456896628</v>
      </c>
      <c r="AR166" s="6">
        <f>(AQ166-AQ$154)/AQ$154*100</f>
        <v>15.115808747463383</v>
      </c>
      <c r="AS166" s="49">
        <f>(AQ166/AQ163-1)*100</f>
        <v>2.282079780421653</v>
      </c>
      <c r="AT166" s="39"/>
      <c r="AU166" s="20">
        <f t="shared" si="520"/>
        <v>46022</v>
      </c>
      <c r="AV166" s="27">
        <v>0.38955457798842374</v>
      </c>
      <c r="AW166" s="126">
        <f t="shared" si="658"/>
        <v>1631625.0860629259</v>
      </c>
      <c r="AX166" s="6">
        <f>(AW166-AW$154)/AW$154*100</f>
        <v>9.7435197186223732</v>
      </c>
      <c r="AY166" s="49">
        <f>(AW166/AW163-1)*100</f>
        <v>2.2585798426714598</v>
      </c>
      <c r="AZ166" s="16"/>
      <c r="BA166" s="79"/>
      <c r="BB166" s="20">
        <f t="shared" si="521"/>
        <v>46022</v>
      </c>
      <c r="BC166" s="300">
        <f t="shared" si="648"/>
        <v>9.4249447200000017E-2</v>
      </c>
      <c r="BD166" s="126">
        <f t="shared" si="659"/>
        <v>1711773.200799451</v>
      </c>
      <c r="BE166" s="6">
        <f>(BD166-BD$154)/BD$154*100</f>
        <v>11.112805947305786</v>
      </c>
      <c r="BF166" s="49">
        <f>(BD166/BD163-1)*100</f>
        <v>1.6796384183765056</v>
      </c>
      <c r="BG166" s="39"/>
      <c r="BH166" s="20">
        <f t="shared" si="522"/>
        <v>46022</v>
      </c>
      <c r="BI166" s="27">
        <v>0.16928245022044366</v>
      </c>
      <c r="BJ166" s="126">
        <f t="shared" si="660"/>
        <v>1230169.3366877476</v>
      </c>
      <c r="BK166" s="6">
        <f>(BJ166-BJ$154)/BJ$154*100</f>
        <v>8.495235110542426</v>
      </c>
      <c r="BL166" s="49">
        <f>(BJ166/BJ163-1)*100</f>
        <v>1.4830230359579977</v>
      </c>
      <c r="BM166" s="16">
        <f t="shared" ref="BM166" si="662">STDEVP(BI131:BI166)*SQRT(12)</f>
        <v>5.6388197888964289</v>
      </c>
      <c r="BN166" s="79"/>
      <c r="BO166" s="20">
        <f t="shared" si="523"/>
        <v>46022</v>
      </c>
      <c r="BP166" s="300">
        <f t="shared" si="256"/>
        <v>-2.5365092399999983E-2</v>
      </c>
      <c r="BQ166" s="126">
        <f t="shared" si="661"/>
        <v>1194268.0260512766</v>
      </c>
      <c r="BR166" s="6">
        <f>(BQ166-BQ$154)/BQ$154*100</f>
        <v>9.1264915932519877</v>
      </c>
      <c r="BS166" s="49">
        <f>(BQ166/BQ163-1)*100</f>
        <v>1.3787638747930542</v>
      </c>
      <c r="BT166" s="16">
        <f t="shared" ref="BT166" si="663">STDEVP(BP131:BP166)*SQRT(12)</f>
        <v>6.2217337381093492</v>
      </c>
      <c r="BU166" s="16"/>
      <c r="BV166" s="39"/>
    </row>
    <row r="167" spans="1:74" x14ac:dyDescent="0.25">
      <c r="B167" s="24" t="str">
        <f t="shared" ref="B167:B208" si="664">IF(A167&gt;A166,1+B166,"-")</f>
        <v>-</v>
      </c>
      <c r="C167" s="24"/>
      <c r="F167" s="24"/>
      <c r="O167" s="20"/>
      <c r="P167" s="27"/>
      <c r="Q167" s="17"/>
      <c r="R167" s="18"/>
      <c r="S167" s="10"/>
      <c r="U167" s="20"/>
      <c r="V167" s="27"/>
      <c r="W167" s="17"/>
      <c r="X167" s="18"/>
      <c r="Y167" s="10"/>
      <c r="Z167" s="10"/>
    </row>
    <row r="168" spans="1:74" x14ac:dyDescent="0.25">
      <c r="B168" s="24" t="str">
        <f t="shared" si="664"/>
        <v>-</v>
      </c>
      <c r="C168" s="24"/>
      <c r="D168" t="s">
        <v>156</v>
      </c>
      <c r="E168" s="29">
        <f>_xll.BDP(D$168&amp;" INDEX","cust trr return holding per","cust trr start dt",TEXT($A157,"YYYYMMDD"),"cust trr end dt",TEXT($A158,"YYYYMMDD"))</f>
        <v>0.39290459999999999</v>
      </c>
      <c r="F168" s="24"/>
      <c r="O168" s="20"/>
      <c r="P168" s="27"/>
      <c r="Q168" s="17"/>
      <c r="R168" s="18"/>
      <c r="S168" s="10"/>
      <c r="U168" s="20"/>
      <c r="V168" s="27"/>
      <c r="W168" s="17"/>
      <c r="X168" s="18"/>
      <c r="Y168" s="10"/>
      <c r="Z168" s="10"/>
    </row>
    <row r="169" spans="1:74" x14ac:dyDescent="0.25">
      <c r="B169" s="24" t="str">
        <f t="shared" si="664"/>
        <v>-</v>
      </c>
      <c r="C169" s="24"/>
      <c r="D169" s="298" t="s">
        <v>265</v>
      </c>
      <c r="E169" s="29">
        <f>_xll.BDP(D$169&amp;" INDEX","cust trr return holding per","cust trr start dt",TEXT($A154,"YYYYMMDD"),"cust trr end dt",TEXT($A155,"YYYYMMDD"))</f>
        <v>5.2763119999999999</v>
      </c>
      <c r="F169" s="24"/>
      <c r="O169" s="20"/>
      <c r="P169" s="27"/>
      <c r="Q169" s="17"/>
      <c r="R169" s="18"/>
      <c r="S169" s="10"/>
      <c r="U169" s="20"/>
      <c r="V169" s="27"/>
      <c r="W169" s="17"/>
      <c r="X169" s="18"/>
      <c r="Y169" s="10"/>
      <c r="Z169" s="10"/>
    </row>
    <row r="170" spans="1:74" x14ac:dyDescent="0.25">
      <c r="B170" s="24" t="str">
        <f t="shared" si="664"/>
        <v>-</v>
      </c>
      <c r="C170" s="24"/>
      <c r="D170" s="24"/>
      <c r="E170" s="34"/>
      <c r="F170" s="24"/>
      <c r="O170" s="20"/>
      <c r="P170" s="27"/>
      <c r="Q170" s="17"/>
      <c r="R170" s="18"/>
      <c r="S170" s="10"/>
      <c r="U170" s="20"/>
      <c r="V170" s="27"/>
      <c r="W170" s="17"/>
      <c r="X170" s="18"/>
      <c r="Y170" s="10"/>
      <c r="Z170" s="10"/>
    </row>
    <row r="171" spans="1:74" x14ac:dyDescent="0.25">
      <c r="B171" s="24" t="str">
        <f t="shared" si="664"/>
        <v>-</v>
      </c>
      <c r="C171" s="24"/>
      <c r="D171" s="298" t="s">
        <v>341</v>
      </c>
      <c r="E171" s="29">
        <f>_xll.BDP(D$171&amp;" US EQUITY","cust trr return holding per","cust trr start dt",TEXT($A147,"YYYYMMDD"),"cust trr end dt",TEXT($A148,"YYYYMMDD"))</f>
        <v>0.75757580000000002</v>
      </c>
      <c r="F171" s="24"/>
      <c r="O171" s="20"/>
      <c r="P171" s="27"/>
      <c r="Q171" s="17"/>
      <c r="R171" s="18"/>
      <c r="S171" s="37"/>
      <c r="U171" s="20"/>
      <c r="V171" s="27"/>
      <c r="W171" s="17"/>
      <c r="X171" s="18"/>
      <c r="Y171" s="37"/>
      <c r="Z171" s="37"/>
    </row>
    <row r="172" spans="1:74" x14ac:dyDescent="0.25">
      <c r="B172" s="24" t="str">
        <f t="shared" si="664"/>
        <v>-</v>
      </c>
      <c r="C172" s="24"/>
      <c r="D172" s="298" t="s">
        <v>342</v>
      </c>
      <c r="E172" s="29">
        <f>_xll.BDP(D$172&amp;" US EQUITY","cust trr return holding per","cust trr start dt",TEXT($A147,"YYYYMMDD"),"cust trr end dt",TEXT($A148,"YYYYMMDD"))</f>
        <v>1.0657190000000001</v>
      </c>
      <c r="F172" s="24"/>
      <c r="O172" s="20"/>
      <c r="P172" s="27"/>
      <c r="Q172" s="17"/>
      <c r="R172" s="18"/>
      <c r="S172" s="10"/>
      <c r="U172" s="20"/>
      <c r="V172" s="27"/>
      <c r="W172" s="17"/>
      <c r="X172" s="18"/>
      <c r="Y172" s="10"/>
      <c r="Z172" s="10"/>
    </row>
    <row r="173" spans="1:74" x14ac:dyDescent="0.25">
      <c r="B173" s="24" t="str">
        <f t="shared" si="664"/>
        <v>-</v>
      </c>
      <c r="C173" s="24"/>
      <c r="D173" s="24"/>
      <c r="E173" s="24"/>
      <c r="F173" s="24"/>
      <c r="O173" s="20"/>
      <c r="P173" s="27"/>
      <c r="Q173" s="17"/>
      <c r="R173" s="18"/>
      <c r="S173" s="10"/>
      <c r="U173" s="20"/>
      <c r="V173" s="27"/>
      <c r="W173" s="17"/>
      <c r="X173" s="18"/>
      <c r="Y173" s="10"/>
      <c r="Z173" s="10"/>
    </row>
    <row r="174" spans="1:74" x14ac:dyDescent="0.25">
      <c r="B174" s="24" t="str">
        <f t="shared" si="664"/>
        <v>-</v>
      </c>
      <c r="C174" s="24"/>
      <c r="D174" s="24" t="s">
        <v>341</v>
      </c>
      <c r="E174" s="24">
        <v>1.72549</v>
      </c>
      <c r="F174" s="24"/>
      <c r="O174" s="20"/>
      <c r="P174" s="27"/>
      <c r="Q174" s="17"/>
      <c r="R174" s="18"/>
      <c r="S174" s="10"/>
      <c r="U174" s="20"/>
      <c r="V174" s="27"/>
      <c r="W174" s="17"/>
      <c r="X174" s="18"/>
      <c r="Y174" s="10"/>
      <c r="Z174" s="10"/>
    </row>
    <row r="175" spans="1:74" x14ac:dyDescent="0.25">
      <c r="B175" s="24" t="str">
        <f t="shared" si="664"/>
        <v>-</v>
      </c>
      <c r="C175" s="24"/>
      <c r="D175" s="24" t="s">
        <v>341</v>
      </c>
      <c r="E175" s="24">
        <v>7.7101000000000003E-2</v>
      </c>
      <c r="F175" s="24"/>
      <c r="O175" s="20"/>
      <c r="P175" s="27"/>
      <c r="Q175" s="17"/>
      <c r="R175" s="18"/>
      <c r="S175" s="10"/>
      <c r="U175" s="20"/>
      <c r="V175" s="27"/>
      <c r="W175" s="17"/>
      <c r="X175" s="18"/>
      <c r="Y175" s="10"/>
      <c r="Z175" s="10"/>
    </row>
    <row r="176" spans="1:74" x14ac:dyDescent="0.25">
      <c r="B176" s="24" t="str">
        <f t="shared" si="664"/>
        <v>-</v>
      </c>
      <c r="C176" s="24"/>
      <c r="D176" s="24" t="s">
        <v>341</v>
      </c>
      <c r="E176" s="24">
        <v>1.195136</v>
      </c>
      <c r="F176" s="24"/>
      <c r="O176" s="20"/>
      <c r="P176" s="27"/>
      <c r="Q176" s="17"/>
      <c r="R176" s="18"/>
      <c r="S176" s="10"/>
      <c r="U176" s="20"/>
      <c r="V176" s="27"/>
      <c r="W176" s="17"/>
      <c r="X176" s="18"/>
      <c r="Y176" s="10"/>
      <c r="Z176" s="10"/>
    </row>
    <row r="177" spans="2:26" x14ac:dyDescent="0.25">
      <c r="B177" s="24" t="str">
        <f t="shared" si="664"/>
        <v>-</v>
      </c>
      <c r="C177" s="24"/>
      <c r="F177" s="24"/>
      <c r="O177" s="20"/>
      <c r="P177" s="27"/>
      <c r="Q177" s="17"/>
      <c r="R177" s="18"/>
      <c r="S177" s="10"/>
      <c r="U177" s="20"/>
      <c r="V177" s="27"/>
      <c r="W177" s="17"/>
      <c r="X177" s="18"/>
      <c r="Y177" s="10"/>
      <c r="Z177" s="10"/>
    </row>
    <row r="178" spans="2:26" x14ac:dyDescent="0.25">
      <c r="B178" s="24" t="str">
        <f t="shared" si="664"/>
        <v>-</v>
      </c>
      <c r="C178" s="24"/>
      <c r="D178" s="23" t="s">
        <v>342</v>
      </c>
      <c r="E178" s="23">
        <v>-8.6805549999999995E-2</v>
      </c>
      <c r="F178" s="24"/>
      <c r="O178" s="20"/>
      <c r="P178" s="27"/>
      <c r="Q178" s="17"/>
      <c r="R178" s="18"/>
      <c r="S178" s="10"/>
      <c r="U178" s="20"/>
      <c r="V178" s="27"/>
      <c r="W178" s="17"/>
      <c r="X178" s="18"/>
      <c r="Y178" s="10"/>
      <c r="Z178" s="10"/>
    </row>
    <row r="179" spans="2:26" x14ac:dyDescent="0.25">
      <c r="B179" s="24" t="str">
        <f t="shared" si="664"/>
        <v>-</v>
      </c>
      <c r="C179" s="24"/>
      <c r="D179" s="23" t="s">
        <v>342</v>
      </c>
      <c r="E179" s="23">
        <v>1.998262</v>
      </c>
      <c r="F179" s="24"/>
      <c r="O179" s="20"/>
      <c r="P179" s="27"/>
      <c r="Q179" s="17"/>
      <c r="R179" s="18"/>
      <c r="S179" s="10"/>
      <c r="U179" s="20"/>
      <c r="V179" s="27"/>
      <c r="W179" s="17"/>
      <c r="X179" s="18"/>
      <c r="Y179" s="10"/>
      <c r="Z179" s="10"/>
    </row>
    <row r="180" spans="2:26" x14ac:dyDescent="0.25">
      <c r="B180" s="24" t="str">
        <f t="shared" si="664"/>
        <v>-</v>
      </c>
      <c r="C180" s="24"/>
      <c r="D180" s="23" t="s">
        <v>342</v>
      </c>
      <c r="E180" s="23">
        <v>0.4661267</v>
      </c>
      <c r="F180" s="24"/>
      <c r="O180" s="20"/>
      <c r="P180" s="27"/>
      <c r="Q180" s="17"/>
      <c r="R180" s="18"/>
      <c r="S180" s="10"/>
      <c r="U180" s="20"/>
      <c r="V180" s="27"/>
      <c r="W180" s="17"/>
      <c r="X180" s="18"/>
      <c r="Y180" s="10"/>
      <c r="Z180" s="10"/>
    </row>
    <row r="181" spans="2:26" x14ac:dyDescent="0.25">
      <c r="B181" s="24" t="str">
        <f t="shared" si="664"/>
        <v>-</v>
      </c>
      <c r="C181" s="24"/>
      <c r="D181" s="321"/>
      <c r="E181" s="321"/>
      <c r="F181" s="24"/>
      <c r="O181" s="20"/>
      <c r="P181" s="27"/>
      <c r="Q181" s="17"/>
      <c r="R181" s="18"/>
      <c r="S181" s="54"/>
      <c r="U181" s="20"/>
      <c r="V181" s="27"/>
      <c r="W181" s="17"/>
      <c r="X181" s="18"/>
      <c r="Y181" s="54"/>
      <c r="Z181" s="54"/>
    </row>
    <row r="182" spans="2:26" x14ac:dyDescent="0.25">
      <c r="B182" s="24" t="str">
        <f t="shared" si="664"/>
        <v>-</v>
      </c>
      <c r="C182" s="24"/>
      <c r="D182" s="321"/>
      <c r="E182" s="321"/>
      <c r="F182" s="24"/>
      <c r="O182" s="20"/>
      <c r="P182" s="27"/>
      <c r="Q182" s="17"/>
      <c r="R182" s="18"/>
      <c r="S182" s="54"/>
      <c r="U182" s="20"/>
      <c r="V182" s="27"/>
      <c r="W182" s="17"/>
      <c r="X182" s="18"/>
      <c r="Y182" s="54"/>
      <c r="Z182" s="54"/>
    </row>
    <row r="183" spans="2:26" x14ac:dyDescent="0.25">
      <c r="B183" s="24" t="str">
        <f t="shared" si="664"/>
        <v>-</v>
      </c>
      <c r="C183" s="24"/>
      <c r="D183" s="24"/>
      <c r="E183" s="24"/>
      <c r="F183" s="24"/>
      <c r="O183" s="20"/>
      <c r="P183" s="27"/>
      <c r="Q183" s="17"/>
      <c r="R183" s="18"/>
      <c r="S183" s="37"/>
      <c r="U183" s="20"/>
      <c r="V183" s="27"/>
      <c r="W183" s="17"/>
      <c r="X183" s="18"/>
      <c r="Y183" s="37"/>
      <c r="Z183" s="37"/>
    </row>
    <row r="184" spans="2:26" x14ac:dyDescent="0.25">
      <c r="B184" s="24" t="str">
        <f t="shared" si="664"/>
        <v>-</v>
      </c>
      <c r="C184" s="24"/>
      <c r="D184" s="321"/>
      <c r="E184" s="321"/>
      <c r="F184" s="24"/>
      <c r="O184" s="20"/>
      <c r="P184" s="27"/>
      <c r="Q184" s="17"/>
      <c r="R184" s="18"/>
      <c r="S184" s="10"/>
      <c r="U184" s="20"/>
      <c r="V184" s="27"/>
      <c r="W184" s="17"/>
      <c r="X184" s="18"/>
      <c r="Y184" s="10"/>
      <c r="Z184" s="10"/>
    </row>
    <row r="185" spans="2:26" x14ac:dyDescent="0.25">
      <c r="B185" s="24" t="str">
        <f t="shared" si="664"/>
        <v>-</v>
      </c>
      <c r="C185" s="24"/>
      <c r="D185" s="24"/>
      <c r="E185" s="24"/>
      <c r="F185" s="24"/>
      <c r="O185" s="20"/>
      <c r="P185" s="27"/>
      <c r="Q185" s="17"/>
      <c r="R185" s="18"/>
      <c r="S185" s="10"/>
      <c r="U185" s="20"/>
      <c r="V185" s="27"/>
      <c r="W185" s="17"/>
      <c r="X185" s="18"/>
      <c r="Y185" s="10"/>
      <c r="Z185" s="10"/>
    </row>
    <row r="186" spans="2:26" x14ac:dyDescent="0.25">
      <c r="B186" s="24" t="str">
        <f t="shared" si="664"/>
        <v>-</v>
      </c>
      <c r="C186" s="24"/>
      <c r="D186" s="24"/>
      <c r="E186" s="24"/>
      <c r="F186" s="24"/>
      <c r="O186" s="20"/>
      <c r="P186" s="27"/>
      <c r="Q186" s="17"/>
      <c r="R186" s="18"/>
      <c r="S186" s="10"/>
      <c r="U186" s="20"/>
      <c r="V186" s="27"/>
      <c r="W186" s="17"/>
      <c r="X186" s="18"/>
      <c r="Y186" s="10"/>
      <c r="Z186" s="10"/>
    </row>
    <row r="187" spans="2:26" x14ac:dyDescent="0.25">
      <c r="B187" s="24" t="str">
        <f t="shared" si="664"/>
        <v>-</v>
      </c>
      <c r="C187" s="24"/>
      <c r="D187" s="24"/>
      <c r="E187" s="24"/>
      <c r="F187" s="24"/>
      <c r="O187" s="20"/>
      <c r="P187" s="27"/>
      <c r="Q187" s="17"/>
      <c r="R187" s="18"/>
      <c r="S187" s="10"/>
      <c r="U187" s="20"/>
      <c r="V187" s="27"/>
      <c r="W187" s="17"/>
      <c r="X187" s="18"/>
      <c r="Y187" s="10"/>
      <c r="Z187" s="10"/>
    </row>
    <row r="188" spans="2:26" x14ac:dyDescent="0.25">
      <c r="B188" s="24" t="str">
        <f t="shared" si="664"/>
        <v>-</v>
      </c>
      <c r="C188" s="24"/>
      <c r="D188" s="24"/>
      <c r="E188" s="24"/>
      <c r="F188" s="24"/>
      <c r="O188" s="20"/>
      <c r="P188" s="27"/>
      <c r="Q188" s="17"/>
      <c r="R188" s="18"/>
      <c r="S188" s="10"/>
      <c r="U188" s="20"/>
      <c r="V188" s="27"/>
      <c r="W188" s="17"/>
      <c r="X188" s="18"/>
      <c r="Y188" s="10"/>
      <c r="Z188" s="10"/>
    </row>
    <row r="189" spans="2:26" x14ac:dyDescent="0.25">
      <c r="B189" s="24" t="str">
        <f t="shared" si="664"/>
        <v>-</v>
      </c>
      <c r="C189" s="24"/>
      <c r="D189" s="24"/>
      <c r="E189" s="24"/>
      <c r="F189" s="24"/>
      <c r="O189" s="20"/>
      <c r="P189" s="27"/>
      <c r="Q189" s="17"/>
      <c r="R189" s="18"/>
      <c r="S189" s="10"/>
      <c r="U189" s="20"/>
      <c r="V189" s="27"/>
      <c r="W189" s="17"/>
      <c r="X189" s="18"/>
      <c r="Y189" s="10"/>
      <c r="Z189" s="10"/>
    </row>
    <row r="190" spans="2:26" x14ac:dyDescent="0.25">
      <c r="B190" s="24" t="str">
        <f t="shared" si="664"/>
        <v>-</v>
      </c>
      <c r="C190" s="24"/>
      <c r="D190" s="24"/>
      <c r="E190" s="24"/>
      <c r="F190" s="24"/>
      <c r="O190" s="20"/>
      <c r="P190" s="27"/>
      <c r="Q190" s="17"/>
      <c r="R190" s="18"/>
      <c r="S190" s="22"/>
      <c r="U190" s="20"/>
      <c r="V190" s="27"/>
      <c r="W190" s="17"/>
      <c r="X190" s="18"/>
      <c r="Y190" s="22"/>
      <c r="Z190" s="22"/>
    </row>
    <row r="191" spans="2:26" x14ac:dyDescent="0.25">
      <c r="B191" s="24" t="str">
        <f t="shared" si="664"/>
        <v>-</v>
      </c>
      <c r="C191" s="24"/>
      <c r="D191" s="24"/>
      <c r="E191" s="24"/>
      <c r="F191" s="24"/>
      <c r="O191" s="20"/>
      <c r="P191" s="27"/>
      <c r="Q191" s="17"/>
      <c r="R191" s="18"/>
      <c r="S191" s="54"/>
      <c r="U191" s="20"/>
      <c r="V191" s="27"/>
      <c r="W191" s="17"/>
      <c r="X191" s="18"/>
      <c r="Y191" s="54"/>
      <c r="Z191" s="54"/>
    </row>
    <row r="192" spans="2:26" x14ac:dyDescent="0.25">
      <c r="B192" s="24" t="str">
        <f t="shared" si="664"/>
        <v>-</v>
      </c>
      <c r="C192" s="24"/>
      <c r="D192" s="24"/>
      <c r="E192" s="24"/>
      <c r="F192" s="24"/>
      <c r="O192" s="20"/>
      <c r="P192" s="27"/>
      <c r="Q192" s="17"/>
      <c r="R192" s="18"/>
      <c r="S192" s="37"/>
      <c r="U192" s="20"/>
      <c r="V192" s="27"/>
      <c r="W192" s="17"/>
      <c r="X192" s="18"/>
      <c r="Y192" s="37"/>
      <c r="Z192" s="37"/>
    </row>
    <row r="193" spans="2:26" x14ac:dyDescent="0.25">
      <c r="B193" s="24" t="str">
        <f t="shared" si="664"/>
        <v>-</v>
      </c>
      <c r="C193" s="24"/>
      <c r="D193" s="24"/>
      <c r="E193" s="24"/>
      <c r="F193" s="24"/>
      <c r="O193" s="20"/>
      <c r="P193" s="27"/>
      <c r="Q193" s="17"/>
      <c r="R193" s="18"/>
      <c r="S193" s="37"/>
      <c r="U193" s="20"/>
      <c r="V193" s="27"/>
      <c r="W193" s="17"/>
      <c r="X193" s="18"/>
      <c r="Y193" s="37"/>
      <c r="Z193" s="37"/>
    </row>
    <row r="194" spans="2:26" x14ac:dyDescent="0.25">
      <c r="B194" s="24" t="str">
        <f t="shared" si="664"/>
        <v>-</v>
      </c>
      <c r="C194" s="24"/>
      <c r="D194" s="24"/>
      <c r="E194" s="24"/>
      <c r="F194" s="24"/>
      <c r="P194" s="27"/>
      <c r="Q194" s="34"/>
      <c r="R194" s="38"/>
      <c r="S194" s="22"/>
      <c r="V194" s="27"/>
      <c r="W194" s="34"/>
      <c r="X194" s="38"/>
      <c r="Y194" s="22"/>
      <c r="Z194" s="22"/>
    </row>
    <row r="195" spans="2:26" x14ac:dyDescent="0.25">
      <c r="B195" s="24" t="str">
        <f t="shared" si="664"/>
        <v>-</v>
      </c>
      <c r="C195" s="24"/>
      <c r="D195" s="24"/>
      <c r="E195" s="24"/>
      <c r="F195" s="24"/>
      <c r="P195" s="27"/>
      <c r="Q195" s="34"/>
      <c r="V195" s="27"/>
      <c r="W195" s="34"/>
    </row>
    <row r="196" spans="2:26" x14ac:dyDescent="0.25">
      <c r="B196" s="24" t="str">
        <f t="shared" si="664"/>
        <v>-</v>
      </c>
      <c r="C196" s="24"/>
      <c r="D196" s="24"/>
      <c r="E196" s="24"/>
      <c r="F196" s="24"/>
      <c r="P196" s="27"/>
      <c r="Q196" s="34"/>
      <c r="V196" s="27"/>
      <c r="W196" s="34"/>
    </row>
    <row r="197" spans="2:26" x14ac:dyDescent="0.25">
      <c r="B197" s="24" t="str">
        <f t="shared" si="664"/>
        <v>-</v>
      </c>
      <c r="C197" s="24"/>
      <c r="D197" s="24"/>
      <c r="E197" s="24"/>
      <c r="F197" s="24"/>
      <c r="P197" s="27"/>
      <c r="Q197" s="34"/>
      <c r="V197" s="27"/>
      <c r="W197" s="34"/>
    </row>
    <row r="198" spans="2:26" x14ac:dyDescent="0.25">
      <c r="B198" s="24" t="str">
        <f t="shared" si="664"/>
        <v>-</v>
      </c>
      <c r="C198" s="24"/>
      <c r="D198" s="24"/>
      <c r="E198" s="24"/>
      <c r="F198" s="24"/>
      <c r="P198" s="27"/>
      <c r="Q198" s="34"/>
      <c r="V198" s="27"/>
      <c r="W198" s="34"/>
    </row>
    <row r="199" spans="2:26" x14ac:dyDescent="0.25">
      <c r="B199" s="24" t="str">
        <f t="shared" si="664"/>
        <v>-</v>
      </c>
      <c r="C199" s="24"/>
      <c r="D199" s="24"/>
      <c r="E199" s="24"/>
      <c r="F199" s="24"/>
      <c r="P199" s="27"/>
      <c r="Q199" s="34"/>
      <c r="V199" s="27"/>
      <c r="W199" s="34"/>
    </row>
    <row r="200" spans="2:26" x14ac:dyDescent="0.25">
      <c r="B200" s="24" t="str">
        <f t="shared" si="664"/>
        <v>-</v>
      </c>
      <c r="C200" s="24"/>
      <c r="D200" s="24"/>
      <c r="E200" s="24"/>
      <c r="F200" s="24"/>
      <c r="P200" s="27"/>
      <c r="Q200" s="34"/>
      <c r="V200" s="27"/>
      <c r="W200" s="34"/>
    </row>
    <row r="201" spans="2:26" x14ac:dyDescent="0.25">
      <c r="B201" s="24" t="str">
        <f t="shared" si="664"/>
        <v>-</v>
      </c>
      <c r="C201" s="24"/>
      <c r="D201" s="24"/>
      <c r="E201" s="24"/>
      <c r="F201" s="24"/>
      <c r="P201" s="27"/>
      <c r="Q201" s="34"/>
      <c r="V201" s="27"/>
      <c r="W201" s="34"/>
    </row>
    <row r="202" spans="2:26" x14ac:dyDescent="0.25">
      <c r="B202" s="24" t="str">
        <f t="shared" si="664"/>
        <v>-</v>
      </c>
      <c r="C202" s="24"/>
      <c r="D202" s="24"/>
      <c r="E202" s="24"/>
      <c r="F202" s="24"/>
      <c r="P202" s="27"/>
      <c r="Q202" s="34"/>
      <c r="V202" s="27"/>
      <c r="W202" s="34"/>
    </row>
    <row r="203" spans="2:26" x14ac:dyDescent="0.25">
      <c r="B203" s="24" t="str">
        <f t="shared" si="664"/>
        <v>-</v>
      </c>
      <c r="C203" s="24"/>
      <c r="D203" s="24"/>
      <c r="E203" s="24"/>
      <c r="F203" s="24"/>
      <c r="P203" s="27"/>
      <c r="Q203" s="34"/>
      <c r="V203" s="27"/>
      <c r="W203" s="34"/>
    </row>
    <row r="204" spans="2:26" x14ac:dyDescent="0.25">
      <c r="B204" s="24" t="str">
        <f t="shared" si="664"/>
        <v>-</v>
      </c>
      <c r="C204" s="24"/>
      <c r="D204" s="24"/>
      <c r="E204" s="24"/>
      <c r="F204" s="24"/>
      <c r="P204" s="27"/>
      <c r="Q204" s="34"/>
      <c r="V204" s="27"/>
      <c r="W204" s="34"/>
    </row>
    <row r="205" spans="2:26" x14ac:dyDescent="0.25">
      <c r="B205" s="24" t="str">
        <f t="shared" si="664"/>
        <v>-</v>
      </c>
      <c r="C205" s="24"/>
      <c r="D205" s="24"/>
      <c r="E205" s="24"/>
      <c r="F205" s="24"/>
      <c r="P205" s="27"/>
      <c r="Q205" s="34"/>
      <c r="V205" s="27"/>
      <c r="W205" s="34"/>
    </row>
    <row r="206" spans="2:26" x14ac:dyDescent="0.25">
      <c r="B206" s="24" t="str">
        <f t="shared" si="664"/>
        <v>-</v>
      </c>
      <c r="C206" s="24"/>
      <c r="D206" s="24"/>
      <c r="E206" s="24"/>
      <c r="F206" s="24"/>
      <c r="P206" s="27"/>
      <c r="Q206" s="34"/>
      <c r="V206" s="27"/>
      <c r="W206" s="34"/>
    </row>
    <row r="207" spans="2:26" x14ac:dyDescent="0.25">
      <c r="B207" s="24" t="str">
        <f t="shared" si="664"/>
        <v>-</v>
      </c>
      <c r="C207" s="24"/>
      <c r="D207" s="24"/>
      <c r="E207" s="24"/>
      <c r="F207" s="24"/>
      <c r="P207" s="27"/>
      <c r="Q207" s="34"/>
      <c r="V207" s="27"/>
      <c r="W207" s="34"/>
    </row>
    <row r="208" spans="2:26" x14ac:dyDescent="0.25">
      <c r="B208" s="24" t="str">
        <f t="shared" si="664"/>
        <v>-</v>
      </c>
      <c r="C208" s="24"/>
      <c r="D208" s="24"/>
      <c r="E208" s="24"/>
      <c r="F208" s="24"/>
      <c r="P208" s="27"/>
      <c r="Q208" s="34"/>
      <c r="V208" s="27"/>
      <c r="W208" s="34"/>
    </row>
    <row r="209" spans="2:23" x14ac:dyDescent="0.25">
      <c r="B209" s="24" t="str">
        <f t="shared" ref="B209:B272" si="665">IF(A209&gt;A208,1+B208,"-")</f>
        <v>-</v>
      </c>
      <c r="C209" s="24"/>
      <c r="D209" s="24"/>
      <c r="E209" s="24"/>
      <c r="F209" s="24"/>
      <c r="P209" s="27"/>
      <c r="Q209" s="34"/>
      <c r="V209" s="27"/>
      <c r="W209" s="34"/>
    </row>
    <row r="210" spans="2:23" x14ac:dyDescent="0.25">
      <c r="B210" s="24" t="str">
        <f t="shared" si="665"/>
        <v>-</v>
      </c>
      <c r="C210" s="24"/>
      <c r="D210" s="24"/>
      <c r="E210" s="24"/>
      <c r="F210" s="24"/>
      <c r="P210" s="27"/>
      <c r="Q210" s="34"/>
      <c r="V210" s="27"/>
      <c r="W210" s="34"/>
    </row>
    <row r="211" spans="2:23" x14ac:dyDescent="0.25">
      <c r="B211" s="24" t="str">
        <f t="shared" si="665"/>
        <v>-</v>
      </c>
      <c r="C211" s="24"/>
      <c r="D211" s="24"/>
      <c r="E211" s="24"/>
      <c r="F211" s="24"/>
      <c r="P211" s="27"/>
      <c r="Q211" s="34"/>
      <c r="V211" s="27"/>
      <c r="W211" s="34"/>
    </row>
    <row r="212" spans="2:23" x14ac:dyDescent="0.25">
      <c r="B212" s="24" t="str">
        <f t="shared" si="665"/>
        <v>-</v>
      </c>
      <c r="C212" s="24"/>
      <c r="D212" s="24"/>
      <c r="E212" s="24"/>
      <c r="F212" s="24"/>
      <c r="P212" s="27"/>
      <c r="Q212" s="34"/>
      <c r="V212" s="27"/>
      <c r="W212" s="34"/>
    </row>
    <row r="213" spans="2:23" x14ac:dyDescent="0.25">
      <c r="B213" s="24" t="str">
        <f t="shared" si="665"/>
        <v>-</v>
      </c>
      <c r="C213" s="24"/>
      <c r="D213" s="24"/>
      <c r="E213" s="24"/>
      <c r="F213" s="24"/>
      <c r="P213" s="27"/>
      <c r="Q213" s="34"/>
      <c r="V213" s="27"/>
      <c r="W213" s="34"/>
    </row>
    <row r="214" spans="2:23" x14ac:dyDescent="0.25">
      <c r="B214" s="24" t="str">
        <f t="shared" si="665"/>
        <v>-</v>
      </c>
      <c r="C214" s="24"/>
      <c r="D214" s="24"/>
      <c r="E214" s="24"/>
      <c r="F214" s="24"/>
      <c r="P214" s="27"/>
      <c r="Q214" s="34"/>
      <c r="V214" s="27"/>
      <c r="W214" s="34"/>
    </row>
    <row r="215" spans="2:23" x14ac:dyDescent="0.25">
      <c r="B215" s="24" t="str">
        <f t="shared" si="665"/>
        <v>-</v>
      </c>
      <c r="C215" s="24"/>
      <c r="D215" s="24"/>
      <c r="E215" s="24"/>
      <c r="F215" s="24"/>
      <c r="P215" s="27"/>
      <c r="Q215" s="34"/>
      <c r="V215" s="27"/>
      <c r="W215" s="34"/>
    </row>
    <row r="216" spans="2:23" x14ac:dyDescent="0.25">
      <c r="B216" s="24" t="str">
        <f t="shared" si="665"/>
        <v>-</v>
      </c>
      <c r="C216" s="24"/>
      <c r="D216" s="24"/>
      <c r="E216" s="24"/>
      <c r="F216" s="24"/>
      <c r="P216" s="27"/>
      <c r="Q216" s="34"/>
      <c r="V216" s="27"/>
      <c r="W216" s="34"/>
    </row>
    <row r="217" spans="2:23" x14ac:dyDescent="0.25">
      <c r="B217" s="24" t="str">
        <f t="shared" si="665"/>
        <v>-</v>
      </c>
      <c r="C217" s="24"/>
      <c r="D217" s="24"/>
      <c r="E217" s="24"/>
      <c r="F217" s="24"/>
      <c r="P217" s="27"/>
      <c r="Q217" s="34"/>
      <c r="V217" s="27"/>
      <c r="W217" s="34"/>
    </row>
    <row r="218" spans="2:23" x14ac:dyDescent="0.25">
      <c r="B218" s="24" t="str">
        <f t="shared" si="665"/>
        <v>-</v>
      </c>
      <c r="C218" s="24"/>
      <c r="D218" s="24"/>
      <c r="E218" s="24"/>
      <c r="F218" s="24"/>
      <c r="P218" s="27"/>
      <c r="Q218" s="34"/>
      <c r="V218" s="27"/>
      <c r="W218" s="34"/>
    </row>
    <row r="219" spans="2:23" x14ac:dyDescent="0.25">
      <c r="B219" s="24" t="str">
        <f t="shared" si="665"/>
        <v>-</v>
      </c>
      <c r="C219" s="24"/>
      <c r="D219" s="24"/>
      <c r="E219" s="24"/>
      <c r="F219" s="24"/>
      <c r="P219" s="27"/>
      <c r="Q219" s="34"/>
      <c r="V219" s="27"/>
      <c r="W219" s="34"/>
    </row>
    <row r="220" spans="2:23" x14ac:dyDescent="0.25">
      <c r="B220" s="24" t="str">
        <f t="shared" si="665"/>
        <v>-</v>
      </c>
      <c r="C220" s="24"/>
      <c r="D220" s="24"/>
      <c r="E220" s="24"/>
      <c r="F220" s="24"/>
      <c r="P220" s="27"/>
      <c r="Q220" s="34"/>
      <c r="V220" s="27"/>
      <c r="W220" s="34"/>
    </row>
    <row r="221" spans="2:23" x14ac:dyDescent="0.25">
      <c r="B221" s="24" t="str">
        <f t="shared" si="665"/>
        <v>-</v>
      </c>
      <c r="C221" s="24"/>
      <c r="D221" s="24"/>
      <c r="E221" s="24"/>
      <c r="F221" s="24"/>
      <c r="P221" s="27"/>
      <c r="Q221" s="34"/>
      <c r="V221" s="27"/>
      <c r="W221" s="34"/>
    </row>
    <row r="222" spans="2:23" x14ac:dyDescent="0.25">
      <c r="B222" s="24" t="str">
        <f t="shared" si="665"/>
        <v>-</v>
      </c>
      <c r="C222" s="24"/>
      <c r="D222" s="24"/>
      <c r="E222" s="24"/>
      <c r="F222" s="24"/>
      <c r="P222" s="27"/>
      <c r="V222" s="27"/>
    </row>
    <row r="223" spans="2:23" x14ac:dyDescent="0.25">
      <c r="B223" s="24" t="str">
        <f t="shared" si="665"/>
        <v>-</v>
      </c>
      <c r="C223" s="24"/>
      <c r="D223" s="24"/>
      <c r="E223" s="24"/>
      <c r="F223" s="24"/>
      <c r="P223" s="27"/>
      <c r="V223" s="27"/>
    </row>
    <row r="224" spans="2:23" x14ac:dyDescent="0.25">
      <c r="B224" s="24" t="str">
        <f t="shared" si="665"/>
        <v>-</v>
      </c>
      <c r="C224" s="24"/>
      <c r="D224" s="24"/>
      <c r="E224" s="24"/>
      <c r="F224" s="24"/>
      <c r="P224" s="27"/>
      <c r="V224" s="27"/>
    </row>
    <row r="225" spans="2:22" x14ac:dyDescent="0.25">
      <c r="B225" s="24" t="str">
        <f t="shared" si="665"/>
        <v>-</v>
      </c>
      <c r="C225" s="24"/>
      <c r="D225" s="24"/>
      <c r="E225" s="24"/>
      <c r="F225" s="24"/>
      <c r="P225" s="27"/>
      <c r="V225" s="27"/>
    </row>
    <row r="226" spans="2:22" x14ac:dyDescent="0.25">
      <c r="B226" s="24" t="str">
        <f t="shared" si="665"/>
        <v>-</v>
      </c>
      <c r="C226" s="24"/>
      <c r="D226" s="24"/>
      <c r="E226" s="24"/>
      <c r="F226" s="24"/>
      <c r="P226" s="27"/>
      <c r="V226" s="27"/>
    </row>
    <row r="227" spans="2:22" x14ac:dyDescent="0.25">
      <c r="B227" s="24" t="str">
        <f t="shared" si="665"/>
        <v>-</v>
      </c>
      <c r="C227" s="24"/>
      <c r="D227" s="24"/>
      <c r="E227" s="24"/>
      <c r="F227" s="24"/>
      <c r="P227" s="27"/>
      <c r="V227" s="27"/>
    </row>
    <row r="228" spans="2:22" x14ac:dyDescent="0.25">
      <c r="B228" s="24" t="str">
        <f t="shared" si="665"/>
        <v>-</v>
      </c>
      <c r="C228" s="24"/>
      <c r="D228" s="24"/>
      <c r="E228" s="24"/>
      <c r="F228" s="24"/>
      <c r="P228" s="27"/>
      <c r="V228" s="27"/>
    </row>
    <row r="229" spans="2:22" x14ac:dyDescent="0.25">
      <c r="B229" s="24" t="str">
        <f t="shared" si="665"/>
        <v>-</v>
      </c>
      <c r="C229" s="24"/>
      <c r="D229" s="24"/>
      <c r="E229" s="24"/>
      <c r="F229" s="24"/>
      <c r="P229" s="27"/>
      <c r="V229" s="27"/>
    </row>
    <row r="230" spans="2:22" x14ac:dyDescent="0.25">
      <c r="B230" s="24" t="str">
        <f t="shared" si="665"/>
        <v>-</v>
      </c>
      <c r="C230" s="24"/>
      <c r="D230" s="24"/>
      <c r="E230" s="24"/>
      <c r="F230" s="24"/>
      <c r="P230" s="27"/>
      <c r="V230" s="27"/>
    </row>
    <row r="231" spans="2:22" x14ac:dyDescent="0.25">
      <c r="B231" s="24" t="str">
        <f t="shared" si="665"/>
        <v>-</v>
      </c>
      <c r="C231" s="24"/>
      <c r="D231" s="24"/>
      <c r="E231" s="24"/>
      <c r="F231" s="24"/>
      <c r="P231" s="27"/>
      <c r="V231" s="27"/>
    </row>
    <row r="232" spans="2:22" x14ac:dyDescent="0.25">
      <c r="B232" s="24" t="str">
        <f t="shared" si="665"/>
        <v>-</v>
      </c>
      <c r="C232" s="24"/>
      <c r="D232" s="24"/>
      <c r="E232" s="24"/>
      <c r="F232" s="24"/>
      <c r="P232" s="27"/>
      <c r="V232" s="27"/>
    </row>
    <row r="233" spans="2:22" x14ac:dyDescent="0.25">
      <c r="B233" s="24" t="str">
        <f t="shared" si="665"/>
        <v>-</v>
      </c>
      <c r="C233" s="24"/>
      <c r="D233" s="24"/>
      <c r="E233" s="24"/>
      <c r="F233" s="24"/>
      <c r="P233" s="27"/>
      <c r="V233" s="27"/>
    </row>
    <row r="234" spans="2:22" x14ac:dyDescent="0.25">
      <c r="B234" s="24" t="str">
        <f t="shared" si="665"/>
        <v>-</v>
      </c>
      <c r="C234" s="24"/>
      <c r="D234" s="24"/>
      <c r="E234" s="24"/>
      <c r="F234" s="24"/>
      <c r="P234" s="27"/>
      <c r="V234" s="27"/>
    </row>
    <row r="235" spans="2:22" x14ac:dyDescent="0.25">
      <c r="B235" s="24" t="str">
        <f t="shared" si="665"/>
        <v>-</v>
      </c>
      <c r="C235" s="24"/>
      <c r="D235" s="24"/>
      <c r="E235" s="24"/>
      <c r="F235" s="24"/>
      <c r="P235" s="27"/>
      <c r="V235" s="27"/>
    </row>
    <row r="236" spans="2:22" x14ac:dyDescent="0.25">
      <c r="B236" s="24" t="str">
        <f t="shared" si="665"/>
        <v>-</v>
      </c>
      <c r="C236" s="24"/>
      <c r="D236" s="24"/>
      <c r="E236" s="24"/>
      <c r="F236" s="24"/>
      <c r="P236" s="27"/>
      <c r="V236" s="27"/>
    </row>
    <row r="237" spans="2:22" x14ac:dyDescent="0.25">
      <c r="B237" s="24" t="str">
        <f t="shared" si="665"/>
        <v>-</v>
      </c>
      <c r="C237" s="24"/>
      <c r="D237" s="24"/>
      <c r="E237" s="24"/>
      <c r="F237" s="24"/>
      <c r="P237" s="27"/>
      <c r="V237" s="27"/>
    </row>
    <row r="238" spans="2:22" x14ac:dyDescent="0.25">
      <c r="B238" s="24" t="str">
        <f t="shared" si="665"/>
        <v>-</v>
      </c>
      <c r="C238" s="24"/>
      <c r="D238" s="24"/>
      <c r="E238" s="24"/>
      <c r="F238" s="24"/>
      <c r="P238" s="27"/>
      <c r="V238" s="27"/>
    </row>
    <row r="239" spans="2:22" x14ac:dyDescent="0.25">
      <c r="B239" s="24" t="str">
        <f t="shared" si="665"/>
        <v>-</v>
      </c>
      <c r="C239" s="24"/>
      <c r="D239" s="24"/>
      <c r="E239" s="24"/>
      <c r="F239" s="24"/>
      <c r="P239" s="27"/>
      <c r="V239" s="27"/>
    </row>
    <row r="240" spans="2:22" x14ac:dyDescent="0.25">
      <c r="B240" s="24" t="str">
        <f t="shared" si="665"/>
        <v>-</v>
      </c>
      <c r="C240" s="24"/>
      <c r="D240" s="24"/>
      <c r="E240" s="24"/>
      <c r="F240" s="24"/>
      <c r="P240" s="27"/>
      <c r="V240" s="27"/>
    </row>
    <row r="241" spans="2:22" x14ac:dyDescent="0.25">
      <c r="B241" s="24" t="str">
        <f t="shared" si="665"/>
        <v>-</v>
      </c>
      <c r="C241" s="24"/>
      <c r="D241" s="24"/>
      <c r="E241" s="24"/>
      <c r="F241" s="24"/>
      <c r="P241" s="27"/>
      <c r="V241" s="27"/>
    </row>
    <row r="242" spans="2:22" x14ac:dyDescent="0.25">
      <c r="B242" s="24" t="str">
        <f t="shared" si="665"/>
        <v>-</v>
      </c>
      <c r="C242" s="24"/>
      <c r="D242" s="24"/>
      <c r="E242" s="24"/>
      <c r="F242" s="24"/>
      <c r="P242" s="27"/>
      <c r="V242" s="27"/>
    </row>
    <row r="243" spans="2:22" x14ac:dyDescent="0.25">
      <c r="B243" s="24" t="str">
        <f t="shared" si="665"/>
        <v>-</v>
      </c>
      <c r="C243" s="24"/>
      <c r="D243" s="24"/>
      <c r="E243" s="24"/>
      <c r="F243" s="24"/>
      <c r="P243" s="27"/>
      <c r="V243" s="27"/>
    </row>
    <row r="244" spans="2:22" x14ac:dyDescent="0.25">
      <c r="B244" s="24" t="str">
        <f t="shared" si="665"/>
        <v>-</v>
      </c>
      <c r="C244" s="24"/>
      <c r="D244" s="24"/>
      <c r="E244" s="24"/>
      <c r="F244" s="24"/>
      <c r="P244" s="27"/>
      <c r="V244" s="27"/>
    </row>
    <row r="245" spans="2:22" x14ac:dyDescent="0.25">
      <c r="B245" s="24" t="str">
        <f t="shared" si="665"/>
        <v>-</v>
      </c>
      <c r="C245" s="24"/>
      <c r="D245" s="24"/>
      <c r="E245" s="24"/>
      <c r="F245" s="24"/>
      <c r="P245" s="27"/>
      <c r="V245" s="27"/>
    </row>
    <row r="246" spans="2:22" x14ac:dyDescent="0.25">
      <c r="B246" s="24" t="str">
        <f t="shared" si="665"/>
        <v>-</v>
      </c>
      <c r="C246" s="24"/>
      <c r="D246" s="24"/>
      <c r="E246" s="24"/>
      <c r="F246" s="24"/>
      <c r="P246" s="27"/>
      <c r="V246" s="27"/>
    </row>
    <row r="247" spans="2:22" x14ac:dyDescent="0.25">
      <c r="B247" s="24" t="str">
        <f t="shared" si="665"/>
        <v>-</v>
      </c>
      <c r="C247" s="24"/>
      <c r="D247" s="24"/>
      <c r="E247" s="24"/>
      <c r="F247" s="24"/>
      <c r="P247" s="27"/>
      <c r="V247" s="27"/>
    </row>
    <row r="248" spans="2:22" x14ac:dyDescent="0.25">
      <c r="B248" s="24" t="str">
        <f t="shared" si="665"/>
        <v>-</v>
      </c>
      <c r="C248" s="24"/>
      <c r="D248" s="24"/>
      <c r="E248" s="24"/>
      <c r="F248" s="24"/>
      <c r="P248" s="27"/>
      <c r="V248" s="27"/>
    </row>
    <row r="249" spans="2:22" x14ac:dyDescent="0.25">
      <c r="B249" s="24" t="str">
        <f t="shared" si="665"/>
        <v>-</v>
      </c>
      <c r="C249" s="24"/>
      <c r="D249" s="24"/>
      <c r="E249" s="24"/>
      <c r="F249" s="24"/>
      <c r="P249" s="27"/>
      <c r="V249" s="27"/>
    </row>
    <row r="250" spans="2:22" x14ac:dyDescent="0.25">
      <c r="B250" s="24" t="str">
        <f t="shared" si="665"/>
        <v>-</v>
      </c>
      <c r="C250" s="24"/>
      <c r="D250" s="24"/>
      <c r="E250" s="24"/>
      <c r="F250" s="24"/>
      <c r="P250" s="27"/>
      <c r="V250" s="27"/>
    </row>
    <row r="251" spans="2:22" x14ac:dyDescent="0.25">
      <c r="B251" s="24" t="str">
        <f t="shared" si="665"/>
        <v>-</v>
      </c>
      <c r="C251" s="24"/>
      <c r="D251" s="24"/>
      <c r="E251" s="24"/>
      <c r="F251" s="24"/>
      <c r="P251" s="27"/>
      <c r="V251" s="27"/>
    </row>
    <row r="252" spans="2:22" x14ac:dyDescent="0.25">
      <c r="B252" s="24" t="str">
        <f t="shared" si="665"/>
        <v>-</v>
      </c>
      <c r="C252" s="24"/>
      <c r="D252" s="24"/>
      <c r="E252" s="24"/>
      <c r="F252" s="24"/>
      <c r="P252" s="27"/>
      <c r="V252" s="27"/>
    </row>
    <row r="253" spans="2:22" x14ac:dyDescent="0.25">
      <c r="B253" s="24" t="str">
        <f t="shared" si="665"/>
        <v>-</v>
      </c>
      <c r="C253" s="24"/>
      <c r="D253" s="24"/>
      <c r="E253" s="24"/>
      <c r="F253" s="24"/>
      <c r="P253" s="27"/>
      <c r="V253" s="27"/>
    </row>
    <row r="254" spans="2:22" x14ac:dyDescent="0.25">
      <c r="B254" s="24" t="str">
        <f t="shared" si="665"/>
        <v>-</v>
      </c>
      <c r="C254" s="24"/>
      <c r="D254" s="24"/>
      <c r="E254" s="24"/>
      <c r="F254" s="24"/>
      <c r="P254" s="27"/>
      <c r="V254" s="27"/>
    </row>
    <row r="255" spans="2:22" x14ac:dyDescent="0.25">
      <c r="B255" s="24" t="str">
        <f t="shared" si="665"/>
        <v>-</v>
      </c>
      <c r="C255" s="24"/>
      <c r="D255" s="24"/>
      <c r="E255" s="24"/>
      <c r="F255" s="24"/>
      <c r="P255" s="27"/>
      <c r="V255" s="27"/>
    </row>
    <row r="256" spans="2:22" x14ac:dyDescent="0.25">
      <c r="B256" s="24" t="str">
        <f t="shared" si="665"/>
        <v>-</v>
      </c>
      <c r="C256" s="24"/>
      <c r="D256" s="24"/>
      <c r="E256" s="24"/>
      <c r="F256" s="24"/>
      <c r="P256" s="27"/>
      <c r="V256" s="27"/>
    </row>
    <row r="257" spans="2:22" x14ac:dyDescent="0.25">
      <c r="B257" s="24" t="str">
        <f t="shared" si="665"/>
        <v>-</v>
      </c>
      <c r="C257" s="24"/>
      <c r="D257" s="24"/>
      <c r="E257" s="24"/>
      <c r="F257" s="24"/>
      <c r="P257" s="27"/>
      <c r="V257" s="27"/>
    </row>
    <row r="258" spans="2:22" x14ac:dyDescent="0.25">
      <c r="B258" s="24" t="str">
        <f t="shared" si="665"/>
        <v>-</v>
      </c>
      <c r="C258" s="24"/>
      <c r="D258" s="24"/>
      <c r="E258" s="24"/>
      <c r="F258" s="24"/>
      <c r="P258" s="27"/>
      <c r="V258" s="27"/>
    </row>
    <row r="259" spans="2:22" x14ac:dyDescent="0.25">
      <c r="B259" s="24" t="str">
        <f t="shared" si="665"/>
        <v>-</v>
      </c>
      <c r="C259" s="24"/>
      <c r="D259" s="24"/>
      <c r="E259" s="24"/>
      <c r="F259" s="24"/>
      <c r="P259" s="27"/>
      <c r="V259" s="27"/>
    </row>
    <row r="260" spans="2:22" x14ac:dyDescent="0.25">
      <c r="B260" s="24" t="str">
        <f t="shared" si="665"/>
        <v>-</v>
      </c>
      <c r="C260" s="24"/>
      <c r="D260" s="24"/>
      <c r="E260" s="24"/>
      <c r="F260" s="24"/>
      <c r="P260" s="27"/>
      <c r="V260" s="27"/>
    </row>
    <row r="261" spans="2:22" x14ac:dyDescent="0.25">
      <c r="B261" s="24" t="str">
        <f t="shared" si="665"/>
        <v>-</v>
      </c>
      <c r="C261" s="24"/>
      <c r="D261" s="24"/>
      <c r="E261" s="24"/>
      <c r="F261" s="24"/>
      <c r="P261" s="27"/>
      <c r="V261" s="27"/>
    </row>
    <row r="262" spans="2:22" x14ac:dyDescent="0.25">
      <c r="B262" s="24" t="str">
        <f t="shared" si="665"/>
        <v>-</v>
      </c>
      <c r="C262" s="24"/>
      <c r="D262" s="24"/>
      <c r="E262" s="24"/>
      <c r="F262" s="24"/>
      <c r="P262" s="27"/>
      <c r="V262" s="27"/>
    </row>
    <row r="263" spans="2:22" x14ac:dyDescent="0.25">
      <c r="B263" s="24" t="str">
        <f t="shared" si="665"/>
        <v>-</v>
      </c>
      <c r="C263" s="24"/>
      <c r="D263" s="24"/>
      <c r="E263" s="24"/>
      <c r="F263" s="24"/>
      <c r="P263" s="27"/>
      <c r="V263" s="27"/>
    </row>
    <row r="264" spans="2:22" x14ac:dyDescent="0.25">
      <c r="B264" s="24" t="str">
        <f t="shared" si="665"/>
        <v>-</v>
      </c>
      <c r="C264" s="24"/>
      <c r="D264" s="24"/>
      <c r="E264" s="24"/>
      <c r="F264" s="24"/>
      <c r="P264" s="27"/>
      <c r="V264" s="27"/>
    </row>
    <row r="265" spans="2:22" x14ac:dyDescent="0.25">
      <c r="B265" s="24" t="str">
        <f t="shared" si="665"/>
        <v>-</v>
      </c>
      <c r="C265" s="24"/>
      <c r="D265" s="24"/>
      <c r="E265" s="24"/>
      <c r="F265" s="24"/>
      <c r="P265" s="27"/>
      <c r="V265" s="27"/>
    </row>
    <row r="266" spans="2:22" x14ac:dyDescent="0.25">
      <c r="B266" s="24" t="str">
        <f t="shared" si="665"/>
        <v>-</v>
      </c>
      <c r="C266" s="24"/>
      <c r="D266" s="24"/>
      <c r="E266" s="24"/>
      <c r="F266" s="24"/>
      <c r="P266" s="27"/>
      <c r="V266" s="27"/>
    </row>
    <row r="267" spans="2:22" x14ac:dyDescent="0.25">
      <c r="B267" s="24" t="str">
        <f t="shared" si="665"/>
        <v>-</v>
      </c>
      <c r="C267" s="24"/>
      <c r="D267" s="24"/>
      <c r="E267" s="24"/>
      <c r="F267" s="24"/>
      <c r="P267" s="27"/>
      <c r="V267" s="27"/>
    </row>
    <row r="268" spans="2:22" x14ac:dyDescent="0.25">
      <c r="B268" s="24" t="str">
        <f t="shared" si="665"/>
        <v>-</v>
      </c>
      <c r="C268" s="24"/>
      <c r="D268" s="24"/>
      <c r="E268" s="24"/>
      <c r="F268" s="24"/>
      <c r="P268" s="27"/>
      <c r="V268" s="27"/>
    </row>
    <row r="269" spans="2:22" x14ac:dyDescent="0.25">
      <c r="B269" s="24" t="str">
        <f t="shared" si="665"/>
        <v>-</v>
      </c>
      <c r="C269" s="24"/>
      <c r="D269" s="24"/>
      <c r="E269" s="24"/>
      <c r="F269" s="24"/>
      <c r="P269" s="27"/>
      <c r="V269" s="27"/>
    </row>
    <row r="270" spans="2:22" x14ac:dyDescent="0.25">
      <c r="B270" s="24" t="str">
        <f t="shared" si="665"/>
        <v>-</v>
      </c>
      <c r="C270" s="24"/>
      <c r="D270" s="24"/>
      <c r="E270" s="24"/>
      <c r="F270" s="24"/>
      <c r="P270" s="27"/>
      <c r="V270" s="27"/>
    </row>
    <row r="271" spans="2:22" x14ac:dyDescent="0.25">
      <c r="B271" s="24" t="str">
        <f t="shared" si="665"/>
        <v>-</v>
      </c>
      <c r="C271" s="24"/>
      <c r="D271" s="24"/>
      <c r="E271" s="24"/>
      <c r="F271" s="24"/>
      <c r="P271" s="27"/>
      <c r="V271" s="27"/>
    </row>
    <row r="272" spans="2:22" x14ac:dyDescent="0.25">
      <c r="B272" s="24" t="str">
        <f t="shared" si="665"/>
        <v>-</v>
      </c>
      <c r="C272" s="24"/>
      <c r="D272" s="24"/>
      <c r="E272" s="24"/>
      <c r="F272" s="24"/>
      <c r="P272" s="27"/>
      <c r="V272" s="27"/>
    </row>
    <row r="273" spans="2:22" x14ac:dyDescent="0.25">
      <c r="B273" s="24" t="str">
        <f t="shared" ref="B273:B336" si="666">IF(A273&gt;A272,1+B272,"-")</f>
        <v>-</v>
      </c>
      <c r="C273" s="24"/>
      <c r="D273" s="24"/>
      <c r="E273" s="24"/>
      <c r="F273" s="24"/>
      <c r="P273" s="27"/>
      <c r="V273" s="27"/>
    </row>
    <row r="274" spans="2:22" x14ac:dyDescent="0.25">
      <c r="B274" s="24" t="str">
        <f t="shared" si="666"/>
        <v>-</v>
      </c>
      <c r="C274" s="24"/>
      <c r="D274" s="24"/>
      <c r="E274" s="24"/>
      <c r="F274" s="24"/>
      <c r="P274" s="27"/>
      <c r="V274" s="27"/>
    </row>
    <row r="275" spans="2:22" x14ac:dyDescent="0.25">
      <c r="B275" s="24" t="str">
        <f t="shared" si="666"/>
        <v>-</v>
      </c>
      <c r="C275" s="24"/>
      <c r="D275" s="24"/>
      <c r="E275" s="24"/>
      <c r="F275" s="24"/>
      <c r="P275" s="27"/>
      <c r="V275" s="27"/>
    </row>
    <row r="276" spans="2:22" x14ac:dyDescent="0.25">
      <c r="B276" s="24" t="str">
        <f t="shared" si="666"/>
        <v>-</v>
      </c>
      <c r="C276" s="24"/>
      <c r="D276" s="24"/>
      <c r="E276" s="24"/>
      <c r="F276" s="24"/>
      <c r="P276" s="27"/>
      <c r="V276" s="27"/>
    </row>
    <row r="277" spans="2:22" x14ac:dyDescent="0.25">
      <c r="B277" s="24" t="str">
        <f t="shared" si="666"/>
        <v>-</v>
      </c>
      <c r="C277" s="24"/>
      <c r="D277" s="24"/>
      <c r="E277" s="24"/>
      <c r="F277" s="24"/>
      <c r="P277" s="27"/>
      <c r="V277" s="27"/>
    </row>
    <row r="278" spans="2:22" x14ac:dyDescent="0.25">
      <c r="B278" s="24" t="str">
        <f t="shared" si="666"/>
        <v>-</v>
      </c>
      <c r="C278" s="24"/>
      <c r="D278" s="24"/>
      <c r="E278" s="24"/>
      <c r="F278" s="24"/>
      <c r="P278" s="27"/>
      <c r="V278" s="27"/>
    </row>
    <row r="279" spans="2:22" x14ac:dyDescent="0.25">
      <c r="B279" s="24" t="str">
        <f t="shared" si="666"/>
        <v>-</v>
      </c>
      <c r="C279" s="24"/>
      <c r="D279" s="24"/>
      <c r="E279" s="24"/>
      <c r="F279" s="24"/>
      <c r="P279" s="27"/>
      <c r="V279" s="27"/>
    </row>
    <row r="280" spans="2:22" x14ac:dyDescent="0.25">
      <c r="B280" s="24" t="str">
        <f t="shared" si="666"/>
        <v>-</v>
      </c>
      <c r="C280" s="24"/>
      <c r="D280" s="24"/>
      <c r="E280" s="24"/>
      <c r="F280" s="24"/>
      <c r="P280" s="27"/>
      <c r="V280" s="27"/>
    </row>
    <row r="281" spans="2:22" x14ac:dyDescent="0.25">
      <c r="B281" s="24" t="str">
        <f t="shared" si="666"/>
        <v>-</v>
      </c>
      <c r="C281" s="24"/>
      <c r="D281" s="24"/>
      <c r="E281" s="24"/>
      <c r="F281" s="24"/>
      <c r="P281" s="27"/>
      <c r="V281" s="27"/>
    </row>
    <row r="282" spans="2:22" x14ac:dyDescent="0.25">
      <c r="B282" s="24" t="str">
        <f t="shared" si="666"/>
        <v>-</v>
      </c>
      <c r="C282" s="24"/>
      <c r="D282" s="24"/>
      <c r="E282" s="24"/>
      <c r="F282" s="24"/>
      <c r="P282" s="27"/>
      <c r="V282" s="27"/>
    </row>
    <row r="283" spans="2:22" x14ac:dyDescent="0.25">
      <c r="B283" s="24" t="str">
        <f t="shared" si="666"/>
        <v>-</v>
      </c>
      <c r="C283" s="24"/>
      <c r="D283" s="24"/>
      <c r="E283" s="24"/>
      <c r="F283" s="24"/>
      <c r="P283" s="27"/>
      <c r="V283" s="27"/>
    </row>
    <row r="284" spans="2:22" x14ac:dyDescent="0.25">
      <c r="B284" s="24" t="str">
        <f t="shared" si="666"/>
        <v>-</v>
      </c>
      <c r="C284" s="24"/>
      <c r="D284" s="24"/>
      <c r="E284" s="24"/>
      <c r="F284" s="24"/>
      <c r="P284" s="27"/>
      <c r="V284" s="27"/>
    </row>
    <row r="285" spans="2:22" x14ac:dyDescent="0.25">
      <c r="B285" s="24" t="str">
        <f t="shared" si="666"/>
        <v>-</v>
      </c>
      <c r="C285" s="24"/>
      <c r="D285" s="24"/>
      <c r="E285" s="24"/>
      <c r="F285" s="24"/>
      <c r="P285" s="27"/>
      <c r="V285" s="27"/>
    </row>
    <row r="286" spans="2:22" x14ac:dyDescent="0.25">
      <c r="B286" s="24" t="str">
        <f t="shared" si="666"/>
        <v>-</v>
      </c>
      <c r="C286" s="24"/>
      <c r="D286" s="24"/>
      <c r="E286" s="24"/>
      <c r="F286" s="24"/>
      <c r="P286" s="27"/>
      <c r="V286" s="27"/>
    </row>
    <row r="287" spans="2:22" x14ac:dyDescent="0.25">
      <c r="B287" s="24" t="str">
        <f t="shared" si="666"/>
        <v>-</v>
      </c>
      <c r="C287" s="24"/>
      <c r="D287" s="24"/>
      <c r="E287" s="24"/>
      <c r="F287" s="24"/>
      <c r="P287" s="27"/>
      <c r="V287" s="27"/>
    </row>
    <row r="288" spans="2:22" x14ac:dyDescent="0.25">
      <c r="B288" s="24" t="str">
        <f t="shared" si="666"/>
        <v>-</v>
      </c>
      <c r="C288" s="24"/>
      <c r="D288" s="24"/>
      <c r="E288" s="24"/>
      <c r="F288" s="24"/>
      <c r="P288" s="27"/>
      <c r="V288" s="27"/>
    </row>
    <row r="289" spans="1:27" x14ac:dyDescent="0.25">
      <c r="B289" s="24" t="str">
        <f t="shared" si="666"/>
        <v>-</v>
      </c>
      <c r="C289" s="24"/>
      <c r="D289" s="24"/>
      <c r="E289" s="24"/>
      <c r="F289" s="24"/>
      <c r="P289" s="27"/>
      <c r="V289" s="27"/>
    </row>
    <row r="290" spans="1:27" x14ac:dyDescent="0.25">
      <c r="B290" s="24" t="str">
        <f t="shared" si="666"/>
        <v>-</v>
      </c>
      <c r="C290" s="24"/>
      <c r="D290" s="24"/>
      <c r="E290" s="24"/>
      <c r="F290" s="24"/>
      <c r="P290" s="27"/>
      <c r="V290" s="27"/>
    </row>
    <row r="291" spans="1:27" x14ac:dyDescent="0.25">
      <c r="B291" s="24" t="str">
        <f t="shared" si="666"/>
        <v>-</v>
      </c>
      <c r="C291" s="24"/>
      <c r="D291" s="24"/>
      <c r="E291" s="24"/>
      <c r="F291" s="24"/>
    </row>
    <row r="292" spans="1:27" x14ac:dyDescent="0.25">
      <c r="B292" s="24" t="str">
        <f t="shared" si="666"/>
        <v>-</v>
      </c>
      <c r="C292" s="24"/>
      <c r="D292" s="24"/>
      <c r="E292" s="24"/>
      <c r="F292" s="24"/>
    </row>
    <row r="293" spans="1:27" x14ac:dyDescent="0.25">
      <c r="B293" s="24" t="str">
        <f t="shared" si="666"/>
        <v>-</v>
      </c>
      <c r="C293" s="24"/>
      <c r="D293" s="24"/>
      <c r="E293" s="24"/>
      <c r="F293" s="24"/>
    </row>
    <row r="294" spans="1:27" x14ac:dyDescent="0.25">
      <c r="B294" s="24" t="str">
        <f t="shared" si="666"/>
        <v>-</v>
      </c>
      <c r="C294" s="24"/>
      <c r="D294" s="24"/>
      <c r="E294" s="24"/>
      <c r="F294" s="24"/>
    </row>
    <row r="295" spans="1:27" x14ac:dyDescent="0.25">
      <c r="B295" s="24" t="str">
        <f t="shared" si="666"/>
        <v>-</v>
      </c>
      <c r="C295" s="24"/>
      <c r="D295" s="24"/>
      <c r="E295" s="24"/>
      <c r="F295" s="24"/>
    </row>
    <row r="296" spans="1:27" x14ac:dyDescent="0.25">
      <c r="B296" s="24" t="str">
        <f t="shared" si="666"/>
        <v>-</v>
      </c>
      <c r="C296" s="24"/>
      <c r="D296" s="24"/>
      <c r="E296" s="24"/>
      <c r="F296" s="24"/>
    </row>
    <row r="297" spans="1:27" x14ac:dyDescent="0.25">
      <c r="B297" s="24" t="str">
        <f t="shared" si="666"/>
        <v>-</v>
      </c>
      <c r="C297" s="24"/>
      <c r="D297" s="24"/>
      <c r="E297" s="24"/>
      <c r="F297" s="24"/>
    </row>
    <row r="298" spans="1:27" x14ac:dyDescent="0.25">
      <c r="B298" s="24" t="str">
        <f t="shared" si="666"/>
        <v>-</v>
      </c>
      <c r="C298" s="24"/>
      <c r="D298" s="24"/>
      <c r="E298" s="24"/>
      <c r="F298" s="24"/>
    </row>
    <row r="299" spans="1:27" x14ac:dyDescent="0.25">
      <c r="B299" s="24" t="str">
        <f t="shared" si="666"/>
        <v>-</v>
      </c>
      <c r="C299" s="24"/>
      <c r="D299" s="24"/>
      <c r="E299" s="24"/>
      <c r="F299" s="24"/>
    </row>
    <row r="300" spans="1:27" x14ac:dyDescent="0.25">
      <c r="B300" s="24" t="str">
        <f t="shared" si="666"/>
        <v>-</v>
      </c>
      <c r="C300" s="24"/>
      <c r="D300" s="24"/>
      <c r="E300" s="24"/>
      <c r="F300" s="24"/>
    </row>
    <row r="301" spans="1:27" x14ac:dyDescent="0.25">
      <c r="B301" s="24" t="str">
        <f t="shared" si="666"/>
        <v>-</v>
      </c>
      <c r="C301" s="24"/>
      <c r="D301" s="24"/>
      <c r="E301" s="24"/>
      <c r="F301" s="24"/>
    </row>
    <row r="302" spans="1:27" x14ac:dyDescent="0.25">
      <c r="B302" s="24" t="str">
        <f t="shared" si="666"/>
        <v>-</v>
      </c>
      <c r="C302" s="24"/>
      <c r="D302" s="24"/>
      <c r="E302" s="24"/>
      <c r="F302" s="24"/>
    </row>
    <row r="303" spans="1:27" x14ac:dyDescent="0.25">
      <c r="B303" s="24" t="str">
        <f t="shared" si="666"/>
        <v>-</v>
      </c>
      <c r="C303" s="24"/>
      <c r="D303" s="24"/>
      <c r="E303" s="24"/>
      <c r="F303" s="24"/>
    </row>
    <row r="304" spans="1:27" s="23" customFormat="1" x14ac:dyDescent="0.25">
      <c r="A304"/>
      <c r="B304" s="24" t="str">
        <f t="shared" si="666"/>
        <v>-</v>
      </c>
      <c r="C304" s="24"/>
      <c r="D304" s="24"/>
      <c r="E304" s="24"/>
      <c r="F304" s="24"/>
      <c r="G304"/>
      <c r="H304"/>
      <c r="J304" s="2"/>
      <c r="K304"/>
      <c r="L304"/>
      <c r="N304"/>
      <c r="O304"/>
      <c r="P304"/>
      <c r="Q304"/>
      <c r="R304"/>
      <c r="S304"/>
      <c r="T304"/>
      <c r="U304"/>
      <c r="V304"/>
      <c r="W304"/>
      <c r="X304"/>
      <c r="Y304"/>
      <c r="Z304"/>
      <c r="AA304"/>
    </row>
    <row r="305" spans="1:27" s="23" customFormat="1" x14ac:dyDescent="0.25">
      <c r="A305"/>
      <c r="B305" s="24" t="str">
        <f t="shared" si="666"/>
        <v>-</v>
      </c>
      <c r="C305" s="24"/>
      <c r="D305" s="24"/>
      <c r="E305" s="24"/>
      <c r="F305" s="24"/>
      <c r="G305"/>
      <c r="H305"/>
      <c r="J305" s="2"/>
      <c r="K305"/>
      <c r="L305"/>
      <c r="N305"/>
      <c r="O305"/>
      <c r="P305"/>
      <c r="Q305"/>
      <c r="R305"/>
      <c r="S305"/>
      <c r="T305"/>
      <c r="U305"/>
      <c r="V305"/>
      <c r="W305"/>
      <c r="X305"/>
      <c r="Y305"/>
      <c r="Z305"/>
      <c r="AA305"/>
    </row>
    <row r="306" spans="1:27" s="23" customFormat="1" x14ac:dyDescent="0.25">
      <c r="A306"/>
      <c r="B306" s="24" t="str">
        <f t="shared" si="666"/>
        <v>-</v>
      </c>
      <c r="C306" s="24"/>
      <c r="D306" s="24"/>
      <c r="E306" s="24"/>
      <c r="F306" s="24"/>
      <c r="G306"/>
      <c r="H306"/>
      <c r="J306" s="2"/>
      <c r="K306"/>
      <c r="L306"/>
      <c r="N306"/>
      <c r="O306"/>
      <c r="P306"/>
      <c r="Q306"/>
      <c r="R306"/>
      <c r="S306"/>
      <c r="T306"/>
      <c r="U306"/>
      <c r="V306"/>
      <c r="W306"/>
      <c r="X306"/>
      <c r="Y306"/>
      <c r="Z306"/>
      <c r="AA306"/>
    </row>
    <row r="307" spans="1:27" s="23" customFormat="1" x14ac:dyDescent="0.25">
      <c r="A307"/>
      <c r="B307" s="24" t="str">
        <f t="shared" si="666"/>
        <v>-</v>
      </c>
      <c r="C307" s="24"/>
      <c r="D307" s="24"/>
      <c r="E307" s="24"/>
      <c r="F307" s="24"/>
      <c r="G307"/>
      <c r="H307"/>
      <c r="J307" s="2"/>
      <c r="K307"/>
      <c r="L307"/>
      <c r="N307"/>
      <c r="O307"/>
      <c r="P307"/>
      <c r="Q307"/>
      <c r="R307"/>
      <c r="S307"/>
      <c r="T307"/>
      <c r="U307"/>
      <c r="V307"/>
      <c r="W307"/>
      <c r="X307"/>
      <c r="Y307"/>
      <c r="Z307"/>
      <c r="AA307"/>
    </row>
    <row r="308" spans="1:27" s="23" customFormat="1" x14ac:dyDescent="0.25">
      <c r="A308"/>
      <c r="B308" s="24" t="str">
        <f t="shared" si="666"/>
        <v>-</v>
      </c>
      <c r="C308" s="24"/>
      <c r="D308" s="24"/>
      <c r="E308" s="24"/>
      <c r="F308" s="24"/>
      <c r="G308"/>
      <c r="H308"/>
      <c r="J308" s="2"/>
      <c r="K308"/>
      <c r="L308"/>
      <c r="N308"/>
      <c r="O308"/>
      <c r="P308"/>
      <c r="Q308"/>
      <c r="R308"/>
      <c r="S308"/>
      <c r="T308"/>
      <c r="U308"/>
      <c r="V308"/>
      <c r="W308"/>
      <c r="X308"/>
      <c r="Y308"/>
      <c r="Z308"/>
      <c r="AA308"/>
    </row>
    <row r="309" spans="1:27" s="23" customFormat="1" x14ac:dyDescent="0.25">
      <c r="A309"/>
      <c r="B309" s="24" t="str">
        <f t="shared" si="666"/>
        <v>-</v>
      </c>
      <c r="C309" s="24"/>
      <c r="D309" s="24"/>
      <c r="E309" s="24"/>
      <c r="F309" s="24"/>
      <c r="G309"/>
      <c r="H309"/>
      <c r="J309" s="2"/>
      <c r="K309"/>
      <c r="L309"/>
      <c r="N309"/>
      <c r="O309"/>
      <c r="P309"/>
      <c r="Q309"/>
      <c r="R309"/>
      <c r="S309"/>
      <c r="T309"/>
      <c r="U309"/>
      <c r="V309"/>
      <c r="W309"/>
      <c r="X309"/>
      <c r="Y309"/>
      <c r="Z309"/>
      <c r="AA309"/>
    </row>
    <row r="310" spans="1:27" s="23" customFormat="1" x14ac:dyDescent="0.25">
      <c r="A310"/>
      <c r="B310" s="24" t="str">
        <f t="shared" si="666"/>
        <v>-</v>
      </c>
      <c r="C310" s="24"/>
      <c r="D310" s="24"/>
      <c r="E310" s="24"/>
      <c r="F310" s="24"/>
      <c r="G310"/>
      <c r="H310"/>
      <c r="J310" s="2"/>
      <c r="K310"/>
      <c r="L310"/>
      <c r="N310"/>
      <c r="O310"/>
      <c r="P310"/>
      <c r="Q310"/>
      <c r="R310"/>
      <c r="S310"/>
      <c r="T310"/>
      <c r="U310"/>
      <c r="V310"/>
      <c r="W310"/>
      <c r="X310"/>
      <c r="Y310"/>
      <c r="Z310"/>
      <c r="AA310"/>
    </row>
    <row r="311" spans="1:27" s="23" customFormat="1" x14ac:dyDescent="0.25">
      <c r="A311"/>
      <c r="B311" s="24" t="str">
        <f t="shared" si="666"/>
        <v>-</v>
      </c>
      <c r="C311" s="24"/>
      <c r="D311" s="24"/>
      <c r="E311" s="24"/>
      <c r="F311" s="24"/>
      <c r="G311"/>
      <c r="H311"/>
      <c r="J311" s="2"/>
      <c r="K311"/>
      <c r="L311"/>
      <c r="N311"/>
      <c r="O311"/>
      <c r="P311"/>
      <c r="Q311"/>
      <c r="R311"/>
      <c r="S311"/>
      <c r="T311"/>
      <c r="U311"/>
      <c r="V311"/>
      <c r="W311"/>
      <c r="X311"/>
      <c r="Y311"/>
      <c r="Z311"/>
      <c r="AA311"/>
    </row>
    <row r="312" spans="1:27" s="23" customFormat="1" x14ac:dyDescent="0.25">
      <c r="A312"/>
      <c r="B312" s="24" t="str">
        <f t="shared" si="666"/>
        <v>-</v>
      </c>
      <c r="C312" s="24"/>
      <c r="D312" s="24"/>
      <c r="E312" s="24"/>
      <c r="F312" s="24"/>
      <c r="G312"/>
      <c r="H312"/>
      <c r="J312" s="2"/>
      <c r="K312"/>
      <c r="L312"/>
      <c r="N312"/>
      <c r="O312"/>
      <c r="P312"/>
      <c r="Q312"/>
      <c r="R312"/>
      <c r="S312"/>
      <c r="T312"/>
      <c r="U312"/>
      <c r="V312"/>
      <c r="W312"/>
      <c r="X312"/>
      <c r="Y312"/>
      <c r="Z312"/>
      <c r="AA312"/>
    </row>
    <row r="313" spans="1:27" s="23" customFormat="1" x14ac:dyDescent="0.25">
      <c r="A313"/>
      <c r="B313" s="24" t="str">
        <f t="shared" si="666"/>
        <v>-</v>
      </c>
      <c r="C313" s="24"/>
      <c r="D313" s="24"/>
      <c r="E313" s="24"/>
      <c r="F313" s="24"/>
      <c r="G313"/>
      <c r="H313"/>
      <c r="J313" s="2"/>
      <c r="K313"/>
      <c r="L313"/>
      <c r="N313"/>
      <c r="O313"/>
      <c r="P313"/>
      <c r="Q313"/>
      <c r="R313"/>
      <c r="S313"/>
      <c r="T313"/>
      <c r="U313"/>
      <c r="V313"/>
      <c r="W313"/>
      <c r="X313"/>
      <c r="Y313"/>
      <c r="Z313"/>
      <c r="AA313"/>
    </row>
    <row r="314" spans="1:27" s="23" customFormat="1" x14ac:dyDescent="0.25">
      <c r="A314"/>
      <c r="B314" s="24" t="str">
        <f t="shared" si="666"/>
        <v>-</v>
      </c>
      <c r="C314" s="24"/>
      <c r="D314" s="24"/>
      <c r="E314" s="24"/>
      <c r="F314" s="24"/>
      <c r="G314"/>
      <c r="H314"/>
      <c r="J314" s="2"/>
      <c r="K314"/>
      <c r="L314"/>
      <c r="N314"/>
      <c r="O314"/>
      <c r="P314"/>
      <c r="Q314"/>
      <c r="R314"/>
      <c r="S314"/>
      <c r="T314"/>
      <c r="U314"/>
      <c r="V314"/>
      <c r="W314"/>
      <c r="X314"/>
      <c r="Y314"/>
      <c r="Z314"/>
      <c r="AA314"/>
    </row>
    <row r="315" spans="1:27" s="23" customFormat="1" x14ac:dyDescent="0.25">
      <c r="A315"/>
      <c r="B315" s="24" t="str">
        <f t="shared" si="666"/>
        <v>-</v>
      </c>
      <c r="C315" s="24"/>
      <c r="D315" s="24"/>
      <c r="E315" s="24"/>
      <c r="F315" s="24"/>
      <c r="G315"/>
      <c r="H315"/>
      <c r="J315" s="2"/>
      <c r="K315"/>
      <c r="L315"/>
      <c r="N315"/>
      <c r="O315"/>
      <c r="P315"/>
      <c r="Q315"/>
      <c r="R315"/>
      <c r="S315"/>
      <c r="T315"/>
      <c r="U315"/>
      <c r="V315"/>
      <c r="W315"/>
      <c r="X315"/>
      <c r="Y315"/>
      <c r="Z315"/>
      <c r="AA315"/>
    </row>
    <row r="316" spans="1:27" s="23" customFormat="1" x14ac:dyDescent="0.25">
      <c r="A316"/>
      <c r="B316" s="24" t="str">
        <f t="shared" si="666"/>
        <v>-</v>
      </c>
      <c r="C316" s="24"/>
      <c r="D316" s="24"/>
      <c r="E316" s="24"/>
      <c r="F316" s="24"/>
      <c r="G316"/>
      <c r="H316"/>
      <c r="J316" s="2"/>
      <c r="K316"/>
      <c r="L316"/>
      <c r="N316"/>
      <c r="O316"/>
      <c r="P316"/>
      <c r="Q316"/>
      <c r="R316"/>
      <c r="S316"/>
      <c r="T316"/>
      <c r="U316"/>
      <c r="V316"/>
      <c r="W316"/>
      <c r="X316"/>
      <c r="Y316"/>
      <c r="Z316"/>
      <c r="AA316"/>
    </row>
    <row r="317" spans="1:27" s="23" customFormat="1" x14ac:dyDescent="0.25">
      <c r="A317"/>
      <c r="B317" s="24" t="str">
        <f t="shared" si="666"/>
        <v>-</v>
      </c>
      <c r="C317" s="24"/>
      <c r="D317" s="24"/>
      <c r="E317" s="24"/>
      <c r="F317" s="24"/>
      <c r="G317"/>
      <c r="H317"/>
      <c r="J317" s="2"/>
      <c r="K317"/>
      <c r="L317"/>
      <c r="N317"/>
      <c r="O317"/>
      <c r="P317"/>
      <c r="Q317"/>
      <c r="R317"/>
      <c r="S317"/>
      <c r="T317"/>
      <c r="U317"/>
      <c r="V317"/>
      <c r="W317"/>
      <c r="X317"/>
      <c r="Y317"/>
      <c r="Z317"/>
      <c r="AA317"/>
    </row>
    <row r="318" spans="1:27" s="23" customFormat="1" x14ac:dyDescent="0.25">
      <c r="A318"/>
      <c r="B318" s="24" t="str">
        <f t="shared" si="666"/>
        <v>-</v>
      </c>
      <c r="C318" s="24"/>
      <c r="D318" s="24"/>
      <c r="E318" s="24"/>
      <c r="F318" s="24"/>
      <c r="G318"/>
      <c r="H318"/>
      <c r="J318" s="2"/>
      <c r="K318"/>
      <c r="L318"/>
      <c r="N318"/>
      <c r="O318"/>
      <c r="P318"/>
      <c r="Q318"/>
      <c r="R318"/>
      <c r="S318"/>
      <c r="T318"/>
      <c r="U318"/>
      <c r="V318"/>
      <c r="W318"/>
      <c r="X318"/>
      <c r="Y318"/>
      <c r="Z318"/>
      <c r="AA318"/>
    </row>
    <row r="319" spans="1:27" s="23" customFormat="1" x14ac:dyDescent="0.25">
      <c r="A319"/>
      <c r="B319" s="24" t="str">
        <f t="shared" si="666"/>
        <v>-</v>
      </c>
      <c r="C319" s="24"/>
      <c r="D319" s="24"/>
      <c r="E319" s="24"/>
      <c r="F319" s="24"/>
      <c r="G319"/>
      <c r="H319"/>
      <c r="J319" s="2"/>
      <c r="K319"/>
      <c r="L319"/>
      <c r="N319"/>
      <c r="O319"/>
      <c r="P319"/>
      <c r="Q319"/>
      <c r="R319"/>
      <c r="S319"/>
      <c r="T319"/>
      <c r="U319"/>
      <c r="V319"/>
      <c r="W319"/>
      <c r="X319"/>
      <c r="Y319"/>
      <c r="Z319"/>
      <c r="AA319"/>
    </row>
    <row r="320" spans="1:27" s="23" customFormat="1" x14ac:dyDescent="0.25">
      <c r="A320"/>
      <c r="B320" s="24" t="str">
        <f t="shared" si="666"/>
        <v>-</v>
      </c>
      <c r="C320" s="24"/>
      <c r="D320" s="24"/>
      <c r="E320" s="24"/>
      <c r="F320" s="24"/>
      <c r="G320"/>
      <c r="H320"/>
      <c r="J320" s="2"/>
      <c r="K320"/>
      <c r="L320"/>
      <c r="N320"/>
      <c r="O320"/>
      <c r="P320"/>
      <c r="Q320"/>
      <c r="R320"/>
      <c r="S320"/>
      <c r="T320"/>
      <c r="U320"/>
      <c r="V320"/>
      <c r="W320"/>
      <c r="X320"/>
      <c r="Y320"/>
      <c r="Z320"/>
      <c r="AA320"/>
    </row>
    <row r="321" spans="1:27" s="23" customFormat="1" x14ac:dyDescent="0.25">
      <c r="A321"/>
      <c r="B321" s="24" t="str">
        <f t="shared" si="666"/>
        <v>-</v>
      </c>
      <c r="C321" s="24"/>
      <c r="D321" s="24"/>
      <c r="E321" s="24"/>
      <c r="F321" s="24"/>
      <c r="G321"/>
      <c r="H321"/>
      <c r="J321" s="2"/>
      <c r="K321"/>
      <c r="L321"/>
      <c r="N321"/>
      <c r="O321"/>
      <c r="P321"/>
      <c r="Q321"/>
      <c r="R321"/>
      <c r="S321"/>
      <c r="T321"/>
      <c r="U321"/>
      <c r="V321"/>
      <c r="W321"/>
      <c r="X321"/>
      <c r="Y321"/>
      <c r="Z321"/>
      <c r="AA321"/>
    </row>
    <row r="322" spans="1:27" s="23" customFormat="1" x14ac:dyDescent="0.25">
      <c r="A322"/>
      <c r="B322" s="24" t="str">
        <f t="shared" si="666"/>
        <v>-</v>
      </c>
      <c r="C322" s="24"/>
      <c r="D322" s="24"/>
      <c r="E322" s="24"/>
      <c r="F322" s="24"/>
      <c r="G322"/>
      <c r="H322"/>
      <c r="J322" s="2"/>
      <c r="K322"/>
      <c r="L322"/>
      <c r="N322"/>
      <c r="O322"/>
      <c r="P322"/>
      <c r="Q322"/>
      <c r="R322"/>
      <c r="S322"/>
      <c r="T322"/>
      <c r="U322"/>
      <c r="V322"/>
      <c r="W322"/>
      <c r="X322"/>
      <c r="Y322"/>
      <c r="Z322"/>
      <c r="AA322"/>
    </row>
    <row r="323" spans="1:27" s="23" customFormat="1" x14ac:dyDescent="0.25">
      <c r="A323"/>
      <c r="B323" s="24" t="str">
        <f t="shared" si="666"/>
        <v>-</v>
      </c>
      <c r="C323" s="24"/>
      <c r="D323" s="24"/>
      <c r="E323" s="24"/>
      <c r="F323" s="24"/>
      <c r="G323"/>
      <c r="H323"/>
      <c r="J323" s="2"/>
      <c r="K323"/>
      <c r="L323"/>
      <c r="N323"/>
      <c r="O323"/>
      <c r="P323"/>
      <c r="Q323"/>
      <c r="R323"/>
      <c r="S323"/>
      <c r="T323"/>
      <c r="U323"/>
      <c r="V323"/>
      <c r="W323"/>
      <c r="X323"/>
      <c r="Y323"/>
      <c r="Z323"/>
      <c r="AA323"/>
    </row>
    <row r="324" spans="1:27" s="23" customFormat="1" x14ac:dyDescent="0.25">
      <c r="A324"/>
      <c r="B324" s="24" t="str">
        <f t="shared" si="666"/>
        <v>-</v>
      </c>
      <c r="C324" s="24"/>
      <c r="D324" s="24"/>
      <c r="E324" s="24"/>
      <c r="F324" s="24"/>
      <c r="G324"/>
      <c r="H324"/>
      <c r="J324" s="2"/>
      <c r="K324"/>
      <c r="L324"/>
      <c r="N324"/>
      <c r="O324"/>
      <c r="P324"/>
      <c r="Q324"/>
      <c r="R324"/>
      <c r="S324"/>
      <c r="T324"/>
      <c r="U324"/>
      <c r="V324"/>
      <c r="W324"/>
      <c r="X324"/>
      <c r="Y324"/>
      <c r="Z324"/>
      <c r="AA324"/>
    </row>
    <row r="325" spans="1:27" s="23" customFormat="1" x14ac:dyDescent="0.25">
      <c r="A325"/>
      <c r="B325" s="24" t="str">
        <f t="shared" si="666"/>
        <v>-</v>
      </c>
      <c r="C325" s="24"/>
      <c r="D325" s="24"/>
      <c r="E325" s="24"/>
      <c r="F325" s="24"/>
      <c r="G325"/>
      <c r="H325"/>
      <c r="J325" s="2"/>
      <c r="K325"/>
      <c r="L325"/>
      <c r="N325"/>
      <c r="O325"/>
      <c r="P325"/>
      <c r="Q325"/>
      <c r="R325"/>
      <c r="S325"/>
      <c r="T325"/>
      <c r="U325"/>
      <c r="V325"/>
      <c r="W325"/>
      <c r="X325"/>
      <c r="Y325"/>
      <c r="Z325"/>
      <c r="AA325"/>
    </row>
    <row r="326" spans="1:27" s="23" customFormat="1" x14ac:dyDescent="0.25">
      <c r="A326"/>
      <c r="B326" s="24" t="str">
        <f t="shared" si="666"/>
        <v>-</v>
      </c>
      <c r="C326" s="24"/>
      <c r="D326" s="24"/>
      <c r="E326" s="24"/>
      <c r="F326" s="24"/>
      <c r="G326"/>
      <c r="H326"/>
      <c r="J326" s="2"/>
      <c r="K326"/>
      <c r="L326"/>
      <c r="N326"/>
      <c r="O326"/>
      <c r="P326"/>
      <c r="Q326"/>
      <c r="R326"/>
      <c r="S326"/>
      <c r="T326"/>
      <c r="U326"/>
      <c r="V326"/>
      <c r="W326"/>
      <c r="X326"/>
      <c r="Y326"/>
      <c r="Z326"/>
      <c r="AA326"/>
    </row>
    <row r="327" spans="1:27" s="23" customFormat="1" x14ac:dyDescent="0.25">
      <c r="A327"/>
      <c r="B327" s="24" t="str">
        <f t="shared" si="666"/>
        <v>-</v>
      </c>
      <c r="C327" s="24"/>
      <c r="D327" s="24"/>
      <c r="E327" s="24"/>
      <c r="F327" s="24"/>
      <c r="G327"/>
      <c r="H327"/>
      <c r="J327" s="2"/>
      <c r="K327"/>
      <c r="L327"/>
      <c r="N327"/>
      <c r="O327"/>
      <c r="P327"/>
      <c r="Q327"/>
      <c r="R327"/>
      <c r="S327"/>
      <c r="T327"/>
      <c r="U327"/>
      <c r="V327"/>
      <c r="W327"/>
      <c r="X327"/>
      <c r="Y327"/>
      <c r="Z327"/>
      <c r="AA327"/>
    </row>
    <row r="328" spans="1:27" s="23" customFormat="1" x14ac:dyDescent="0.25">
      <c r="A328"/>
      <c r="B328" s="24" t="str">
        <f t="shared" si="666"/>
        <v>-</v>
      </c>
      <c r="C328" s="24"/>
      <c r="D328" s="24"/>
      <c r="E328" s="24"/>
      <c r="F328" s="24"/>
      <c r="G328"/>
      <c r="H328"/>
      <c r="J328" s="2"/>
      <c r="K328"/>
      <c r="L328"/>
      <c r="N328"/>
      <c r="O328"/>
      <c r="P328"/>
      <c r="Q328"/>
      <c r="R328"/>
      <c r="S328"/>
      <c r="T328"/>
      <c r="U328"/>
      <c r="V328"/>
      <c r="W328"/>
      <c r="X328"/>
      <c r="Y328"/>
      <c r="Z328"/>
      <c r="AA328"/>
    </row>
    <row r="329" spans="1:27" s="23" customFormat="1" x14ac:dyDescent="0.25">
      <c r="A329"/>
      <c r="B329" s="24" t="str">
        <f t="shared" si="666"/>
        <v>-</v>
      </c>
      <c r="C329" s="24"/>
      <c r="D329" s="24"/>
      <c r="E329" s="24"/>
      <c r="F329" s="24"/>
      <c r="G329"/>
      <c r="H329"/>
      <c r="J329" s="2"/>
      <c r="K329"/>
      <c r="L329"/>
      <c r="N329"/>
      <c r="O329"/>
      <c r="P329"/>
      <c r="Q329"/>
      <c r="R329"/>
      <c r="S329"/>
      <c r="T329"/>
      <c r="U329"/>
      <c r="V329"/>
      <c r="W329"/>
      <c r="X329"/>
      <c r="Y329"/>
      <c r="Z329"/>
      <c r="AA329"/>
    </row>
    <row r="330" spans="1:27" s="23" customFormat="1" x14ac:dyDescent="0.25">
      <c r="A330"/>
      <c r="B330" s="24" t="str">
        <f t="shared" si="666"/>
        <v>-</v>
      </c>
      <c r="C330" s="24"/>
      <c r="D330" s="24"/>
      <c r="E330" s="24"/>
      <c r="F330" s="24"/>
      <c r="G330"/>
      <c r="H330"/>
      <c r="J330" s="2"/>
      <c r="K330"/>
      <c r="L330"/>
      <c r="N330"/>
      <c r="O330"/>
      <c r="P330"/>
      <c r="Q330"/>
      <c r="R330"/>
      <c r="S330"/>
      <c r="T330"/>
      <c r="U330"/>
      <c r="V330"/>
      <c r="W330"/>
      <c r="X330"/>
      <c r="Y330"/>
      <c r="Z330"/>
      <c r="AA330"/>
    </row>
    <row r="331" spans="1:27" s="23" customFormat="1" x14ac:dyDescent="0.25">
      <c r="A331"/>
      <c r="B331" s="24" t="str">
        <f t="shared" si="666"/>
        <v>-</v>
      </c>
      <c r="C331" s="24"/>
      <c r="D331" s="24"/>
      <c r="E331" s="24"/>
      <c r="F331" s="24"/>
      <c r="G331"/>
      <c r="H331"/>
      <c r="J331" s="2"/>
      <c r="K331"/>
      <c r="L331"/>
      <c r="N331"/>
      <c r="O331"/>
      <c r="P331"/>
      <c r="Q331"/>
      <c r="R331"/>
      <c r="S331"/>
      <c r="T331"/>
      <c r="U331"/>
      <c r="V331"/>
      <c r="W331"/>
      <c r="X331"/>
      <c r="Y331"/>
      <c r="Z331"/>
      <c r="AA331"/>
    </row>
    <row r="332" spans="1:27" s="23" customFormat="1" x14ac:dyDescent="0.25">
      <c r="A332"/>
      <c r="B332" s="24" t="str">
        <f t="shared" si="666"/>
        <v>-</v>
      </c>
      <c r="C332" s="24"/>
      <c r="D332" s="24"/>
      <c r="E332" s="24"/>
      <c r="F332" s="24"/>
      <c r="G332"/>
      <c r="H332"/>
      <c r="J332" s="2"/>
      <c r="K332"/>
      <c r="L332"/>
      <c r="N332"/>
      <c r="O332"/>
      <c r="P332"/>
      <c r="Q332"/>
      <c r="R332"/>
      <c r="S332"/>
      <c r="T332"/>
      <c r="U332"/>
      <c r="V332"/>
      <c r="W332"/>
      <c r="X332"/>
      <c r="Y332"/>
      <c r="Z332"/>
      <c r="AA332"/>
    </row>
    <row r="333" spans="1:27" s="23" customFormat="1" x14ac:dyDescent="0.25">
      <c r="A333"/>
      <c r="B333" s="24" t="str">
        <f t="shared" si="666"/>
        <v>-</v>
      </c>
      <c r="C333" s="24"/>
      <c r="D333" s="24"/>
      <c r="E333" s="24"/>
      <c r="F333" s="24"/>
      <c r="G333"/>
      <c r="H333"/>
      <c r="J333" s="2"/>
      <c r="K333"/>
      <c r="L333"/>
      <c r="N333"/>
      <c r="O333"/>
      <c r="P333"/>
      <c r="Q333"/>
      <c r="R333"/>
      <c r="S333"/>
      <c r="T333"/>
      <c r="U333"/>
      <c r="V333"/>
      <c r="W333"/>
      <c r="X333"/>
      <c r="Y333"/>
      <c r="Z333"/>
      <c r="AA333"/>
    </row>
    <row r="334" spans="1:27" s="23" customFormat="1" x14ac:dyDescent="0.25">
      <c r="A334"/>
      <c r="B334" s="24" t="str">
        <f t="shared" si="666"/>
        <v>-</v>
      </c>
      <c r="C334" s="24"/>
      <c r="D334" s="24"/>
      <c r="E334" s="24"/>
      <c r="F334" s="24"/>
      <c r="G334"/>
      <c r="H334"/>
      <c r="J334" s="2"/>
      <c r="K334"/>
      <c r="L334"/>
      <c r="N334"/>
      <c r="O334"/>
      <c r="P334"/>
      <c r="Q334"/>
      <c r="R334"/>
      <c r="S334"/>
      <c r="T334"/>
      <c r="U334"/>
      <c r="V334"/>
      <c r="W334"/>
      <c r="X334"/>
      <c r="Y334"/>
      <c r="Z334"/>
      <c r="AA334"/>
    </row>
    <row r="335" spans="1:27" s="23" customFormat="1" x14ac:dyDescent="0.25">
      <c r="A335"/>
      <c r="B335" s="24" t="str">
        <f t="shared" si="666"/>
        <v>-</v>
      </c>
      <c r="C335" s="24"/>
      <c r="D335" s="24"/>
      <c r="E335" s="24"/>
      <c r="F335" s="24"/>
      <c r="G335"/>
      <c r="H335"/>
      <c r="J335" s="2"/>
      <c r="K335"/>
      <c r="L335"/>
      <c r="N335"/>
      <c r="O335"/>
      <c r="P335"/>
      <c r="Q335"/>
      <c r="R335"/>
      <c r="S335"/>
      <c r="T335"/>
      <c r="U335"/>
      <c r="V335"/>
      <c r="W335"/>
      <c r="X335"/>
      <c r="Y335"/>
      <c r="Z335"/>
      <c r="AA335"/>
    </row>
    <row r="336" spans="1:27" s="23" customFormat="1" x14ac:dyDescent="0.25">
      <c r="A336"/>
      <c r="B336" s="24" t="str">
        <f t="shared" si="666"/>
        <v>-</v>
      </c>
      <c r="C336" s="24"/>
      <c r="D336" s="24"/>
      <c r="E336" s="24"/>
      <c r="F336" s="24"/>
      <c r="G336"/>
      <c r="H336"/>
      <c r="J336" s="2"/>
      <c r="K336"/>
      <c r="L336"/>
      <c r="N336"/>
      <c r="O336"/>
      <c r="P336"/>
      <c r="Q336"/>
      <c r="R336"/>
      <c r="S336"/>
      <c r="T336"/>
      <c r="U336"/>
      <c r="V336"/>
      <c r="W336"/>
      <c r="X336"/>
      <c r="Y336"/>
      <c r="Z336"/>
      <c r="AA336"/>
    </row>
    <row r="337" spans="1:27" s="23" customFormat="1" x14ac:dyDescent="0.25">
      <c r="A337"/>
      <c r="B337" s="24" t="str">
        <f t="shared" ref="B337:B400" si="667">IF(A337&gt;A336,1+B336,"-")</f>
        <v>-</v>
      </c>
      <c r="C337" s="24"/>
      <c r="D337" s="24"/>
      <c r="E337" s="24"/>
      <c r="F337" s="24"/>
      <c r="G337"/>
      <c r="H337"/>
      <c r="J337" s="2"/>
      <c r="K337"/>
      <c r="L337"/>
      <c r="N337"/>
      <c r="O337"/>
      <c r="P337"/>
      <c r="Q337"/>
      <c r="R337"/>
      <c r="S337"/>
      <c r="T337"/>
      <c r="U337"/>
      <c r="V337"/>
      <c r="W337"/>
      <c r="X337"/>
      <c r="Y337"/>
      <c r="Z337"/>
      <c r="AA337"/>
    </row>
    <row r="338" spans="1:27" s="23" customFormat="1" x14ac:dyDescent="0.25">
      <c r="A338"/>
      <c r="B338" s="24" t="str">
        <f t="shared" si="667"/>
        <v>-</v>
      </c>
      <c r="C338" s="24"/>
      <c r="D338" s="24"/>
      <c r="E338" s="24"/>
      <c r="F338" s="24"/>
      <c r="G338"/>
      <c r="H338"/>
      <c r="J338" s="2"/>
      <c r="K338"/>
      <c r="L338"/>
      <c r="N338"/>
      <c r="O338"/>
      <c r="P338"/>
      <c r="Q338"/>
      <c r="R338"/>
      <c r="S338"/>
      <c r="T338"/>
      <c r="U338"/>
      <c r="V338"/>
      <c r="W338"/>
      <c r="X338"/>
      <c r="Y338"/>
      <c r="Z338"/>
      <c r="AA338"/>
    </row>
    <row r="339" spans="1:27" s="23" customFormat="1" x14ac:dyDescent="0.25">
      <c r="A339"/>
      <c r="B339" s="24" t="str">
        <f t="shared" si="667"/>
        <v>-</v>
      </c>
      <c r="C339" s="24"/>
      <c r="D339" s="24"/>
      <c r="E339" s="24"/>
      <c r="F339" s="24"/>
      <c r="G339"/>
      <c r="H339"/>
      <c r="J339" s="2"/>
      <c r="K339"/>
      <c r="L339"/>
      <c r="N339"/>
      <c r="O339"/>
      <c r="P339"/>
      <c r="Q339"/>
      <c r="R339"/>
      <c r="S339"/>
      <c r="T339"/>
      <c r="U339"/>
      <c r="V339"/>
      <c r="W339"/>
      <c r="X339"/>
      <c r="Y339"/>
      <c r="Z339"/>
      <c r="AA339"/>
    </row>
    <row r="340" spans="1:27" s="23" customFormat="1" x14ac:dyDescent="0.25">
      <c r="A340"/>
      <c r="B340" s="24" t="str">
        <f t="shared" si="667"/>
        <v>-</v>
      </c>
      <c r="C340" s="24"/>
      <c r="D340" s="24"/>
      <c r="E340" s="24"/>
      <c r="F340" s="24"/>
      <c r="G340"/>
      <c r="H340"/>
      <c r="J340" s="2"/>
      <c r="K340"/>
      <c r="L340"/>
      <c r="N340"/>
      <c r="O340"/>
      <c r="P340"/>
      <c r="Q340"/>
      <c r="R340"/>
      <c r="S340"/>
      <c r="T340"/>
      <c r="U340"/>
      <c r="V340"/>
      <c r="W340"/>
      <c r="X340"/>
      <c r="Y340"/>
      <c r="Z340"/>
      <c r="AA340"/>
    </row>
    <row r="341" spans="1:27" s="23" customFormat="1" x14ac:dyDescent="0.25">
      <c r="A341"/>
      <c r="B341" s="24" t="str">
        <f t="shared" si="667"/>
        <v>-</v>
      </c>
      <c r="C341" s="24"/>
      <c r="D341" s="24"/>
      <c r="E341" s="24"/>
      <c r="F341" s="24"/>
      <c r="G341"/>
      <c r="H341"/>
      <c r="J341" s="2"/>
      <c r="K341"/>
      <c r="L341"/>
      <c r="N341"/>
      <c r="O341"/>
      <c r="P341"/>
      <c r="Q341"/>
      <c r="R341"/>
      <c r="S341"/>
      <c r="T341"/>
      <c r="U341"/>
      <c r="V341"/>
      <c r="W341"/>
      <c r="X341"/>
      <c r="Y341"/>
      <c r="Z341"/>
      <c r="AA341"/>
    </row>
    <row r="342" spans="1:27" s="23" customFormat="1" x14ac:dyDescent="0.25">
      <c r="A342"/>
      <c r="B342" s="24" t="str">
        <f t="shared" si="667"/>
        <v>-</v>
      </c>
      <c r="C342" s="24"/>
      <c r="D342" s="24"/>
      <c r="E342" s="24"/>
      <c r="F342" s="24"/>
      <c r="G342"/>
      <c r="H342"/>
      <c r="J342" s="2"/>
      <c r="K342"/>
      <c r="L342"/>
      <c r="N342"/>
      <c r="O342"/>
      <c r="P342"/>
      <c r="Q342"/>
      <c r="R342"/>
      <c r="S342"/>
      <c r="T342"/>
      <c r="U342"/>
      <c r="V342"/>
      <c r="W342"/>
      <c r="X342"/>
      <c r="Y342"/>
      <c r="Z342"/>
      <c r="AA342"/>
    </row>
    <row r="343" spans="1:27" s="23" customFormat="1" x14ac:dyDescent="0.25">
      <c r="A343"/>
      <c r="B343" s="24" t="str">
        <f t="shared" si="667"/>
        <v>-</v>
      </c>
      <c r="C343" s="24"/>
      <c r="D343" s="24"/>
      <c r="E343" s="24"/>
      <c r="F343" s="24"/>
      <c r="G343"/>
      <c r="H343"/>
      <c r="J343" s="2"/>
      <c r="K343"/>
      <c r="L343"/>
      <c r="N343"/>
      <c r="O343"/>
      <c r="P343"/>
      <c r="Q343"/>
      <c r="R343"/>
      <c r="S343"/>
      <c r="T343"/>
      <c r="U343"/>
      <c r="V343"/>
      <c r="W343"/>
      <c r="X343"/>
      <c r="Y343"/>
      <c r="Z343"/>
      <c r="AA343"/>
    </row>
    <row r="344" spans="1:27" s="23" customFormat="1" x14ac:dyDescent="0.25">
      <c r="A344"/>
      <c r="B344" s="24" t="str">
        <f t="shared" si="667"/>
        <v>-</v>
      </c>
      <c r="C344" s="24"/>
      <c r="D344" s="24"/>
      <c r="E344" s="24"/>
      <c r="F344" s="24"/>
      <c r="G344"/>
      <c r="H344"/>
      <c r="J344" s="2"/>
      <c r="K344"/>
      <c r="L344"/>
      <c r="N344"/>
      <c r="O344"/>
      <c r="P344"/>
      <c r="Q344"/>
      <c r="R344"/>
      <c r="S344"/>
      <c r="T344"/>
      <c r="U344"/>
      <c r="V344"/>
      <c r="W344"/>
      <c r="X344"/>
      <c r="Y344"/>
      <c r="Z344"/>
      <c r="AA344"/>
    </row>
    <row r="345" spans="1:27" s="23" customFormat="1" x14ac:dyDescent="0.25">
      <c r="A345"/>
      <c r="B345" s="24" t="str">
        <f t="shared" si="667"/>
        <v>-</v>
      </c>
      <c r="C345" s="24"/>
      <c r="D345" s="24"/>
      <c r="E345" s="24"/>
      <c r="F345" s="24"/>
      <c r="G345"/>
      <c r="H345"/>
      <c r="J345" s="2"/>
      <c r="K345"/>
      <c r="L345"/>
      <c r="N345"/>
      <c r="O345"/>
      <c r="P345"/>
      <c r="Q345"/>
      <c r="R345"/>
      <c r="S345"/>
      <c r="T345"/>
      <c r="U345"/>
      <c r="V345"/>
      <c r="W345"/>
      <c r="X345"/>
      <c r="Y345"/>
      <c r="Z345"/>
      <c r="AA345"/>
    </row>
    <row r="346" spans="1:27" s="23" customFormat="1" x14ac:dyDescent="0.25">
      <c r="A346"/>
      <c r="B346" s="24" t="str">
        <f t="shared" si="667"/>
        <v>-</v>
      </c>
      <c r="C346" s="24"/>
      <c r="D346" s="24"/>
      <c r="E346" s="24"/>
      <c r="F346" s="24"/>
      <c r="G346"/>
      <c r="H346"/>
      <c r="J346" s="2"/>
      <c r="K346"/>
      <c r="L346"/>
      <c r="N346"/>
      <c r="O346"/>
      <c r="P346"/>
      <c r="Q346"/>
      <c r="R346"/>
      <c r="S346"/>
      <c r="T346"/>
      <c r="U346"/>
      <c r="V346"/>
      <c r="W346"/>
      <c r="X346"/>
      <c r="Y346"/>
      <c r="Z346"/>
      <c r="AA346"/>
    </row>
    <row r="347" spans="1:27" s="23" customFormat="1" x14ac:dyDescent="0.25">
      <c r="A347"/>
      <c r="B347" s="24" t="str">
        <f t="shared" si="667"/>
        <v>-</v>
      </c>
      <c r="C347" s="24"/>
      <c r="D347" s="24"/>
      <c r="E347" s="24"/>
      <c r="F347" s="24"/>
      <c r="G347"/>
      <c r="H347"/>
      <c r="J347" s="2"/>
      <c r="K347"/>
      <c r="L347"/>
      <c r="N347"/>
      <c r="O347"/>
      <c r="P347"/>
      <c r="Q347"/>
      <c r="R347"/>
      <c r="S347"/>
      <c r="T347"/>
      <c r="U347"/>
      <c r="V347"/>
      <c r="W347"/>
      <c r="X347"/>
      <c r="Y347"/>
      <c r="Z347"/>
      <c r="AA347"/>
    </row>
    <row r="348" spans="1:27" s="23" customFormat="1" x14ac:dyDescent="0.25">
      <c r="A348"/>
      <c r="B348" s="24" t="str">
        <f t="shared" si="667"/>
        <v>-</v>
      </c>
      <c r="C348" s="24"/>
      <c r="D348" s="24"/>
      <c r="E348" s="24"/>
      <c r="F348" s="24"/>
      <c r="G348"/>
      <c r="H348"/>
      <c r="J348" s="2"/>
      <c r="K348"/>
      <c r="L348"/>
      <c r="N348"/>
      <c r="O348"/>
      <c r="P348"/>
      <c r="Q348"/>
      <c r="R348"/>
      <c r="S348"/>
      <c r="T348"/>
      <c r="U348"/>
      <c r="V348"/>
      <c r="W348"/>
      <c r="X348"/>
      <c r="Y348"/>
      <c r="Z348"/>
      <c r="AA348"/>
    </row>
    <row r="349" spans="1:27" s="23" customFormat="1" x14ac:dyDescent="0.25">
      <c r="A349"/>
      <c r="B349" s="24" t="str">
        <f t="shared" si="667"/>
        <v>-</v>
      </c>
      <c r="C349" s="24"/>
      <c r="D349" s="24"/>
      <c r="E349" s="24"/>
      <c r="F349" s="24"/>
      <c r="G349"/>
      <c r="H349"/>
      <c r="J349" s="2"/>
      <c r="K349"/>
      <c r="L349"/>
      <c r="N349"/>
      <c r="O349"/>
      <c r="P349"/>
      <c r="Q349"/>
      <c r="R349"/>
      <c r="S349"/>
      <c r="T349"/>
      <c r="U349"/>
      <c r="V349"/>
      <c r="W349"/>
      <c r="X349"/>
      <c r="Y349"/>
      <c r="Z349"/>
      <c r="AA349"/>
    </row>
    <row r="350" spans="1:27" s="23" customFormat="1" x14ac:dyDescent="0.25">
      <c r="A350"/>
      <c r="B350" s="24" t="str">
        <f t="shared" si="667"/>
        <v>-</v>
      </c>
      <c r="C350" s="24"/>
      <c r="D350" s="24"/>
      <c r="E350" s="24"/>
      <c r="F350" s="24"/>
      <c r="G350"/>
      <c r="H350"/>
      <c r="J350" s="2"/>
      <c r="K350"/>
      <c r="L350"/>
      <c r="N350"/>
      <c r="O350"/>
      <c r="P350"/>
      <c r="Q350"/>
      <c r="R350"/>
      <c r="S350"/>
      <c r="T350"/>
      <c r="U350"/>
      <c r="V350"/>
      <c r="W350"/>
      <c r="X350"/>
      <c r="Y350"/>
      <c r="Z350"/>
      <c r="AA350"/>
    </row>
    <row r="351" spans="1:27" s="23" customFormat="1" x14ac:dyDescent="0.25">
      <c r="A351"/>
      <c r="B351" s="24" t="str">
        <f t="shared" si="667"/>
        <v>-</v>
      </c>
      <c r="C351" s="24"/>
      <c r="D351" s="24"/>
      <c r="E351" s="24"/>
      <c r="F351" s="24"/>
      <c r="G351"/>
      <c r="H351"/>
      <c r="J351" s="2"/>
      <c r="K351"/>
      <c r="L351"/>
      <c r="N351"/>
      <c r="O351"/>
      <c r="P351"/>
      <c r="Q351"/>
      <c r="R351"/>
      <c r="S351"/>
      <c r="T351"/>
      <c r="U351"/>
      <c r="V351"/>
      <c r="W351"/>
      <c r="X351"/>
      <c r="Y351"/>
      <c r="Z351"/>
      <c r="AA351"/>
    </row>
    <row r="352" spans="1:27" s="23" customFormat="1" x14ac:dyDescent="0.25">
      <c r="A352"/>
      <c r="B352" s="24" t="str">
        <f t="shared" si="667"/>
        <v>-</v>
      </c>
      <c r="C352" s="24"/>
      <c r="D352" s="24"/>
      <c r="E352" s="24"/>
      <c r="F352" s="24"/>
      <c r="G352"/>
      <c r="H352"/>
      <c r="J352" s="2"/>
      <c r="K352"/>
      <c r="L352"/>
      <c r="N352"/>
      <c r="O352"/>
      <c r="P352"/>
      <c r="Q352"/>
      <c r="R352"/>
      <c r="S352"/>
      <c r="T352"/>
      <c r="U352"/>
      <c r="V352"/>
      <c r="W352"/>
      <c r="X352"/>
      <c r="Y352"/>
      <c r="Z352"/>
      <c r="AA352"/>
    </row>
    <row r="353" spans="1:27" s="23" customFormat="1" x14ac:dyDescent="0.25">
      <c r="A353"/>
      <c r="B353" s="24" t="str">
        <f t="shared" si="667"/>
        <v>-</v>
      </c>
      <c r="C353" s="24"/>
      <c r="D353" s="24"/>
      <c r="E353" s="24"/>
      <c r="F353" s="24"/>
      <c r="G353"/>
      <c r="H353"/>
      <c r="J353" s="2"/>
      <c r="K353"/>
      <c r="L353"/>
      <c r="N353"/>
      <c r="O353"/>
      <c r="P353"/>
      <c r="Q353"/>
      <c r="R353"/>
      <c r="S353"/>
      <c r="T353"/>
      <c r="U353"/>
      <c r="V353"/>
      <c r="W353"/>
      <c r="X353"/>
      <c r="Y353"/>
      <c r="Z353"/>
      <c r="AA353"/>
    </row>
    <row r="354" spans="1:27" s="23" customFormat="1" x14ac:dyDescent="0.25">
      <c r="A354"/>
      <c r="B354" s="24" t="str">
        <f t="shared" si="667"/>
        <v>-</v>
      </c>
      <c r="C354" s="24"/>
      <c r="D354" s="24"/>
      <c r="E354" s="24"/>
      <c r="F354" s="24"/>
      <c r="G354"/>
      <c r="H354"/>
      <c r="J354" s="2"/>
      <c r="K354"/>
      <c r="L354"/>
      <c r="N354"/>
      <c r="O354"/>
      <c r="P354"/>
      <c r="Q354"/>
      <c r="R354"/>
      <c r="S354"/>
      <c r="T354"/>
      <c r="U354"/>
      <c r="V354"/>
      <c r="W354"/>
      <c r="X354"/>
      <c r="Y354"/>
      <c r="Z354"/>
      <c r="AA354"/>
    </row>
    <row r="355" spans="1:27" s="23" customFormat="1" x14ac:dyDescent="0.25">
      <c r="A355"/>
      <c r="B355" s="24" t="str">
        <f t="shared" si="667"/>
        <v>-</v>
      </c>
      <c r="C355" s="24"/>
      <c r="D355" s="24"/>
      <c r="E355" s="24"/>
      <c r="F355" s="24"/>
      <c r="G355"/>
      <c r="H355"/>
      <c r="J355" s="2"/>
      <c r="K355"/>
      <c r="L355"/>
      <c r="N355"/>
      <c r="O355"/>
      <c r="P355"/>
      <c r="Q355"/>
      <c r="R355"/>
      <c r="S355"/>
      <c r="T355"/>
      <c r="U355"/>
      <c r="V355"/>
      <c r="W355"/>
      <c r="X355"/>
      <c r="Y355"/>
      <c r="Z355"/>
      <c r="AA355"/>
    </row>
    <row r="356" spans="1:27" s="23" customFormat="1" x14ac:dyDescent="0.25">
      <c r="A356"/>
      <c r="B356" s="24" t="str">
        <f t="shared" si="667"/>
        <v>-</v>
      </c>
      <c r="C356" s="24"/>
      <c r="D356" s="24"/>
      <c r="E356" s="24"/>
      <c r="F356" s="24"/>
      <c r="G356"/>
      <c r="H356"/>
      <c r="J356" s="2"/>
      <c r="K356"/>
      <c r="L356"/>
      <c r="N356"/>
      <c r="O356"/>
      <c r="P356"/>
      <c r="Q356"/>
      <c r="R356"/>
      <c r="S356"/>
      <c r="T356"/>
      <c r="U356"/>
      <c r="V356"/>
      <c r="W356"/>
      <c r="X356"/>
      <c r="Y356"/>
      <c r="Z356"/>
      <c r="AA356"/>
    </row>
    <row r="357" spans="1:27" s="23" customFormat="1" x14ac:dyDescent="0.25">
      <c r="A357"/>
      <c r="B357" s="24" t="str">
        <f t="shared" si="667"/>
        <v>-</v>
      </c>
      <c r="C357" s="24"/>
      <c r="D357" s="24"/>
      <c r="E357" s="24"/>
      <c r="F357" s="24"/>
      <c r="G357"/>
      <c r="H357"/>
      <c r="J357" s="2"/>
      <c r="K357"/>
      <c r="L357"/>
      <c r="N357"/>
      <c r="O357"/>
      <c r="P357"/>
      <c r="Q357"/>
      <c r="R357"/>
      <c r="S357"/>
      <c r="T357"/>
      <c r="U357"/>
      <c r="V357"/>
      <c r="W357"/>
      <c r="X357"/>
      <c r="Y357"/>
      <c r="Z357"/>
      <c r="AA357"/>
    </row>
    <row r="358" spans="1:27" s="23" customFormat="1" x14ac:dyDescent="0.25">
      <c r="A358"/>
      <c r="B358" s="24" t="str">
        <f t="shared" si="667"/>
        <v>-</v>
      </c>
      <c r="C358" s="24"/>
      <c r="D358" s="24"/>
      <c r="E358" s="24"/>
      <c r="F358" s="24"/>
      <c r="G358"/>
      <c r="H358"/>
      <c r="J358" s="2"/>
      <c r="K358"/>
      <c r="L358"/>
      <c r="N358"/>
      <c r="O358"/>
      <c r="P358"/>
      <c r="Q358"/>
      <c r="R358"/>
      <c r="S358"/>
      <c r="T358"/>
      <c r="U358"/>
      <c r="V358"/>
      <c r="W358"/>
      <c r="X358"/>
      <c r="Y358"/>
      <c r="Z358"/>
      <c r="AA358"/>
    </row>
    <row r="359" spans="1:27" s="23" customFormat="1" x14ac:dyDescent="0.25">
      <c r="A359"/>
      <c r="B359" s="24" t="str">
        <f t="shared" si="667"/>
        <v>-</v>
      </c>
      <c r="C359" s="24"/>
      <c r="D359" s="24"/>
      <c r="E359" s="24"/>
      <c r="F359" s="24"/>
      <c r="G359"/>
      <c r="H359"/>
      <c r="J359" s="2"/>
      <c r="K359"/>
      <c r="L359"/>
      <c r="N359"/>
      <c r="O359"/>
      <c r="P359"/>
      <c r="Q359"/>
      <c r="R359"/>
      <c r="S359"/>
      <c r="T359"/>
      <c r="U359"/>
      <c r="V359"/>
      <c r="W359"/>
      <c r="X359"/>
      <c r="Y359"/>
      <c r="Z359"/>
      <c r="AA359"/>
    </row>
    <row r="360" spans="1:27" s="23" customFormat="1" x14ac:dyDescent="0.25">
      <c r="A360"/>
      <c r="B360" s="24" t="str">
        <f t="shared" si="667"/>
        <v>-</v>
      </c>
      <c r="C360" s="24"/>
      <c r="D360" s="24"/>
      <c r="E360" s="24"/>
      <c r="F360" s="24"/>
      <c r="G360"/>
      <c r="H360"/>
      <c r="J360" s="2"/>
      <c r="K360"/>
      <c r="L360"/>
      <c r="N360"/>
      <c r="O360"/>
      <c r="P360"/>
      <c r="Q360"/>
      <c r="R360"/>
      <c r="S360"/>
      <c r="T360"/>
      <c r="U360"/>
      <c r="V360"/>
      <c r="W360"/>
      <c r="X360"/>
      <c r="Y360"/>
      <c r="Z360"/>
      <c r="AA360"/>
    </row>
    <row r="361" spans="1:27" s="23" customFormat="1" x14ac:dyDescent="0.25">
      <c r="A361"/>
      <c r="B361" s="24" t="str">
        <f t="shared" si="667"/>
        <v>-</v>
      </c>
      <c r="C361" s="24"/>
      <c r="D361" s="24"/>
      <c r="E361" s="24"/>
      <c r="F361" s="24"/>
      <c r="G361"/>
      <c r="H361"/>
      <c r="J361" s="2"/>
      <c r="K361"/>
      <c r="L361"/>
      <c r="N361"/>
      <c r="O361"/>
      <c r="P361"/>
      <c r="Q361"/>
      <c r="R361"/>
      <c r="S361"/>
      <c r="T361"/>
      <c r="U361"/>
      <c r="V361"/>
      <c r="W361"/>
      <c r="X361"/>
      <c r="Y361"/>
      <c r="Z361"/>
      <c r="AA361"/>
    </row>
    <row r="362" spans="1:27" s="23" customFormat="1" x14ac:dyDescent="0.25">
      <c r="A362"/>
      <c r="B362" s="24" t="str">
        <f t="shared" si="667"/>
        <v>-</v>
      </c>
      <c r="C362" s="24"/>
      <c r="D362" s="24"/>
      <c r="E362" s="24"/>
      <c r="F362" s="24"/>
      <c r="G362"/>
      <c r="H362"/>
      <c r="J362" s="2"/>
      <c r="K362"/>
      <c r="L362"/>
      <c r="N362"/>
      <c r="O362"/>
      <c r="P362"/>
      <c r="Q362"/>
      <c r="R362"/>
      <c r="S362"/>
      <c r="T362"/>
      <c r="U362"/>
      <c r="V362"/>
      <c r="W362"/>
      <c r="X362"/>
      <c r="Y362"/>
      <c r="Z362"/>
      <c r="AA362"/>
    </row>
    <row r="363" spans="1:27" s="23" customFormat="1" x14ac:dyDescent="0.25">
      <c r="A363"/>
      <c r="B363" s="24" t="str">
        <f t="shared" si="667"/>
        <v>-</v>
      </c>
      <c r="C363" s="24"/>
      <c r="D363" s="24"/>
      <c r="E363" s="24"/>
      <c r="F363" s="24"/>
      <c r="G363"/>
      <c r="H363"/>
      <c r="J363" s="2"/>
      <c r="K363"/>
      <c r="L363"/>
      <c r="N363"/>
      <c r="O363"/>
      <c r="P363"/>
      <c r="Q363"/>
      <c r="R363"/>
      <c r="S363"/>
      <c r="T363"/>
      <c r="U363"/>
      <c r="V363"/>
      <c r="W363"/>
      <c r="X363"/>
      <c r="Y363"/>
      <c r="Z363"/>
      <c r="AA363"/>
    </row>
    <row r="364" spans="1:27" s="23" customFormat="1" x14ac:dyDescent="0.25">
      <c r="A364"/>
      <c r="B364" s="24" t="str">
        <f t="shared" si="667"/>
        <v>-</v>
      </c>
      <c r="C364" s="24"/>
      <c r="D364" s="24"/>
      <c r="E364" s="24"/>
      <c r="F364" s="24"/>
      <c r="G364"/>
      <c r="H364"/>
      <c r="J364" s="2"/>
      <c r="K364"/>
      <c r="L364"/>
      <c r="N364"/>
      <c r="O364"/>
      <c r="P364"/>
      <c r="Q364"/>
      <c r="R364"/>
      <c r="S364"/>
      <c r="T364"/>
      <c r="U364"/>
      <c r="V364"/>
      <c r="W364"/>
      <c r="X364"/>
      <c r="Y364"/>
      <c r="Z364"/>
      <c r="AA364"/>
    </row>
    <row r="365" spans="1:27" s="23" customFormat="1" x14ac:dyDescent="0.25">
      <c r="A365"/>
      <c r="B365" s="24" t="str">
        <f t="shared" si="667"/>
        <v>-</v>
      </c>
      <c r="C365" s="24"/>
      <c r="D365" s="24"/>
      <c r="E365" s="24"/>
      <c r="F365" s="24"/>
      <c r="G365"/>
      <c r="H365"/>
      <c r="J365" s="2"/>
      <c r="K365"/>
      <c r="L365"/>
      <c r="N365"/>
      <c r="O365"/>
      <c r="P365"/>
      <c r="Q365"/>
      <c r="R365"/>
      <c r="S365"/>
      <c r="T365"/>
      <c r="U365"/>
      <c r="V365"/>
      <c r="W365"/>
      <c r="X365"/>
      <c r="Y365"/>
      <c r="Z365"/>
      <c r="AA365"/>
    </row>
    <row r="366" spans="1:27" s="23" customFormat="1" x14ac:dyDescent="0.25">
      <c r="A366"/>
      <c r="B366" s="24" t="str">
        <f t="shared" si="667"/>
        <v>-</v>
      </c>
      <c r="C366" s="24"/>
      <c r="D366" s="24"/>
      <c r="E366" s="24"/>
      <c r="F366" s="24"/>
      <c r="G366"/>
      <c r="H366"/>
      <c r="J366" s="2"/>
      <c r="K366"/>
      <c r="L366"/>
      <c r="N366"/>
      <c r="O366"/>
      <c r="P366"/>
      <c r="Q366"/>
      <c r="R366"/>
      <c r="S366"/>
      <c r="T366"/>
      <c r="U366"/>
      <c r="V366"/>
      <c r="W366"/>
      <c r="X366"/>
      <c r="Y366"/>
      <c r="Z366"/>
      <c r="AA366"/>
    </row>
    <row r="367" spans="1:27" s="23" customFormat="1" x14ac:dyDescent="0.25">
      <c r="A367"/>
      <c r="B367" s="24" t="str">
        <f t="shared" si="667"/>
        <v>-</v>
      </c>
      <c r="C367" s="24"/>
      <c r="D367" s="24"/>
      <c r="E367" s="24"/>
      <c r="F367" s="24"/>
      <c r="G367"/>
      <c r="H367"/>
      <c r="J367" s="2"/>
      <c r="K367"/>
      <c r="L367"/>
      <c r="N367"/>
      <c r="O367"/>
      <c r="P367"/>
      <c r="Q367"/>
      <c r="R367"/>
      <c r="S367"/>
      <c r="T367"/>
      <c r="U367"/>
      <c r="V367"/>
      <c r="W367"/>
      <c r="X367"/>
      <c r="Y367"/>
      <c r="Z367"/>
      <c r="AA367"/>
    </row>
    <row r="368" spans="1:27" s="23" customFormat="1" x14ac:dyDescent="0.25">
      <c r="A368"/>
      <c r="B368" s="24" t="str">
        <f t="shared" si="667"/>
        <v>-</v>
      </c>
      <c r="C368" s="24"/>
      <c r="D368" s="24"/>
      <c r="E368" s="24"/>
      <c r="F368" s="24"/>
      <c r="G368"/>
      <c r="H368"/>
      <c r="J368" s="2"/>
      <c r="K368"/>
      <c r="L368"/>
      <c r="N368"/>
      <c r="O368"/>
      <c r="P368"/>
      <c r="Q368"/>
      <c r="R368"/>
      <c r="S368"/>
      <c r="T368"/>
      <c r="U368"/>
      <c r="V368"/>
      <c r="W368"/>
      <c r="X368"/>
      <c r="Y368"/>
      <c r="Z368"/>
      <c r="AA368"/>
    </row>
    <row r="369" spans="1:27" s="23" customFormat="1" x14ac:dyDescent="0.25">
      <c r="A369"/>
      <c r="B369" s="24" t="str">
        <f t="shared" si="667"/>
        <v>-</v>
      </c>
      <c r="C369" s="24"/>
      <c r="D369" s="24"/>
      <c r="E369" s="24"/>
      <c r="F369" s="24"/>
      <c r="G369"/>
      <c r="H369"/>
      <c r="J369" s="2"/>
      <c r="K369"/>
      <c r="L369"/>
      <c r="N369"/>
      <c r="O369"/>
      <c r="P369"/>
      <c r="Q369"/>
      <c r="R369"/>
      <c r="S369"/>
      <c r="T369"/>
      <c r="U369"/>
      <c r="V369"/>
      <c r="W369"/>
      <c r="X369"/>
      <c r="Y369"/>
      <c r="Z369"/>
      <c r="AA369"/>
    </row>
    <row r="370" spans="1:27" s="23" customFormat="1" x14ac:dyDescent="0.25">
      <c r="A370"/>
      <c r="B370" s="24" t="str">
        <f t="shared" si="667"/>
        <v>-</v>
      </c>
      <c r="C370" s="24"/>
      <c r="D370" s="24"/>
      <c r="E370" s="24"/>
      <c r="F370" s="24"/>
      <c r="G370"/>
      <c r="H370"/>
      <c r="J370" s="2"/>
      <c r="K370"/>
      <c r="L370"/>
      <c r="N370"/>
      <c r="O370"/>
      <c r="P370"/>
      <c r="Q370"/>
      <c r="R370"/>
      <c r="S370"/>
      <c r="T370"/>
      <c r="U370"/>
      <c r="V370"/>
      <c r="W370"/>
      <c r="X370"/>
      <c r="Y370"/>
      <c r="Z370"/>
      <c r="AA370"/>
    </row>
    <row r="371" spans="1:27" s="23" customFormat="1" x14ac:dyDescent="0.25">
      <c r="A371"/>
      <c r="B371" s="24" t="str">
        <f t="shared" si="667"/>
        <v>-</v>
      </c>
      <c r="C371" s="24"/>
      <c r="D371" s="24"/>
      <c r="E371" s="24"/>
      <c r="F371" s="24"/>
      <c r="G371"/>
      <c r="H371"/>
      <c r="J371" s="2"/>
      <c r="K371"/>
      <c r="L371"/>
      <c r="N371"/>
      <c r="O371"/>
      <c r="P371"/>
      <c r="Q371"/>
      <c r="R371"/>
      <c r="S371"/>
      <c r="T371"/>
      <c r="U371"/>
      <c r="V371"/>
      <c r="W371"/>
      <c r="X371"/>
      <c r="Y371"/>
      <c r="Z371"/>
      <c r="AA371"/>
    </row>
    <row r="372" spans="1:27" s="23" customFormat="1" x14ac:dyDescent="0.25">
      <c r="A372"/>
      <c r="B372" s="24" t="str">
        <f t="shared" si="667"/>
        <v>-</v>
      </c>
      <c r="C372" s="24"/>
      <c r="D372" s="24"/>
      <c r="E372" s="24"/>
      <c r="F372" s="24"/>
      <c r="G372"/>
      <c r="H372"/>
      <c r="J372" s="2"/>
      <c r="K372"/>
      <c r="L372"/>
      <c r="N372"/>
      <c r="O372"/>
      <c r="P372"/>
      <c r="Q372"/>
      <c r="R372"/>
      <c r="S372"/>
      <c r="T372"/>
      <c r="U372"/>
      <c r="V372"/>
      <c r="W372"/>
      <c r="X372"/>
      <c r="Y372"/>
      <c r="Z372"/>
      <c r="AA372"/>
    </row>
    <row r="373" spans="1:27" s="23" customFormat="1" x14ac:dyDescent="0.25">
      <c r="A373"/>
      <c r="B373" s="24" t="str">
        <f t="shared" si="667"/>
        <v>-</v>
      </c>
      <c r="C373" s="24"/>
      <c r="D373" s="24"/>
      <c r="E373" s="24"/>
      <c r="F373" s="24"/>
      <c r="G373"/>
      <c r="H373"/>
      <c r="J373" s="2"/>
      <c r="K373"/>
      <c r="L373"/>
      <c r="N373"/>
      <c r="O373"/>
      <c r="P373"/>
      <c r="Q373"/>
      <c r="R373"/>
      <c r="S373"/>
      <c r="T373"/>
      <c r="U373"/>
      <c r="V373"/>
      <c r="W373"/>
      <c r="X373"/>
      <c r="Y373"/>
      <c r="Z373"/>
      <c r="AA373"/>
    </row>
    <row r="374" spans="1:27" s="23" customFormat="1" x14ac:dyDescent="0.25">
      <c r="A374"/>
      <c r="B374" s="24" t="str">
        <f t="shared" si="667"/>
        <v>-</v>
      </c>
      <c r="C374" s="24"/>
      <c r="D374" s="24"/>
      <c r="E374" s="24"/>
      <c r="F374" s="24"/>
      <c r="G374"/>
      <c r="H374"/>
      <c r="J374" s="2"/>
      <c r="K374"/>
      <c r="L374"/>
      <c r="N374"/>
      <c r="O374"/>
      <c r="P374"/>
      <c r="Q374"/>
      <c r="R374"/>
      <c r="S374"/>
      <c r="T374"/>
      <c r="U374"/>
      <c r="V374"/>
      <c r="W374"/>
      <c r="X374"/>
      <c r="Y374"/>
      <c r="Z374"/>
      <c r="AA374"/>
    </row>
    <row r="375" spans="1:27" s="23" customFormat="1" x14ac:dyDescent="0.25">
      <c r="A375"/>
      <c r="B375" s="24" t="str">
        <f t="shared" si="667"/>
        <v>-</v>
      </c>
      <c r="C375" s="24"/>
      <c r="D375" s="24"/>
      <c r="E375" s="24"/>
      <c r="F375" s="24"/>
      <c r="G375"/>
      <c r="H375"/>
      <c r="J375" s="2"/>
      <c r="K375"/>
      <c r="L375"/>
      <c r="N375"/>
      <c r="O375"/>
      <c r="P375"/>
      <c r="Q375"/>
      <c r="R375"/>
      <c r="S375"/>
      <c r="T375"/>
      <c r="U375"/>
      <c r="V375"/>
      <c r="W375"/>
      <c r="X375"/>
      <c r="Y375"/>
      <c r="Z375"/>
      <c r="AA375"/>
    </row>
    <row r="376" spans="1:27" s="23" customFormat="1" x14ac:dyDescent="0.25">
      <c r="A376"/>
      <c r="B376" s="24" t="str">
        <f t="shared" si="667"/>
        <v>-</v>
      </c>
      <c r="C376" s="24"/>
      <c r="D376" s="24"/>
      <c r="E376" s="24"/>
      <c r="F376" s="24"/>
      <c r="G376"/>
      <c r="H376"/>
      <c r="J376" s="2"/>
      <c r="K376"/>
      <c r="L376"/>
      <c r="N376"/>
      <c r="O376"/>
      <c r="P376"/>
      <c r="Q376"/>
      <c r="R376"/>
      <c r="S376"/>
      <c r="T376"/>
      <c r="U376"/>
      <c r="V376"/>
      <c r="W376"/>
      <c r="X376"/>
      <c r="Y376"/>
      <c r="Z376"/>
      <c r="AA376"/>
    </row>
    <row r="377" spans="1:27" s="23" customFormat="1" x14ac:dyDescent="0.25">
      <c r="A377"/>
      <c r="B377" s="24" t="str">
        <f t="shared" si="667"/>
        <v>-</v>
      </c>
      <c r="C377" s="24"/>
      <c r="D377" s="24"/>
      <c r="E377" s="24"/>
      <c r="F377" s="24"/>
      <c r="G377"/>
      <c r="H377"/>
      <c r="J377" s="2"/>
      <c r="K377"/>
      <c r="L377"/>
      <c r="N377"/>
      <c r="O377"/>
      <c r="P377"/>
      <c r="Q377"/>
      <c r="R377"/>
      <c r="S377"/>
      <c r="T377"/>
      <c r="U377"/>
      <c r="V377"/>
      <c r="W377"/>
      <c r="X377"/>
      <c r="Y377"/>
      <c r="Z377"/>
      <c r="AA377"/>
    </row>
    <row r="378" spans="1:27" s="23" customFormat="1" x14ac:dyDescent="0.25">
      <c r="A378"/>
      <c r="B378" s="24" t="str">
        <f t="shared" si="667"/>
        <v>-</v>
      </c>
      <c r="C378" s="24"/>
      <c r="D378" s="24"/>
      <c r="E378" s="24"/>
      <c r="F378" s="24"/>
      <c r="G378"/>
      <c r="H378"/>
      <c r="J378" s="2"/>
      <c r="K378"/>
      <c r="L378"/>
      <c r="N378"/>
      <c r="O378"/>
      <c r="P378"/>
      <c r="Q378"/>
      <c r="R378"/>
      <c r="S378"/>
      <c r="T378"/>
      <c r="U378"/>
      <c r="V378"/>
      <c r="W378"/>
      <c r="X378"/>
      <c r="Y378"/>
      <c r="Z378"/>
      <c r="AA378"/>
    </row>
    <row r="379" spans="1:27" s="23" customFormat="1" x14ac:dyDescent="0.25">
      <c r="A379"/>
      <c r="B379" s="24" t="str">
        <f t="shared" si="667"/>
        <v>-</v>
      </c>
      <c r="C379" s="24"/>
      <c r="D379" s="24"/>
      <c r="E379" s="24"/>
      <c r="F379" s="24"/>
      <c r="G379"/>
      <c r="H379"/>
      <c r="J379" s="2"/>
      <c r="K379"/>
      <c r="L379"/>
      <c r="N379"/>
      <c r="O379"/>
      <c r="P379"/>
      <c r="Q379"/>
      <c r="R379"/>
      <c r="S379"/>
      <c r="T379"/>
      <c r="U379"/>
      <c r="V379"/>
      <c r="W379"/>
      <c r="X379"/>
      <c r="Y379"/>
      <c r="Z379"/>
      <c r="AA379"/>
    </row>
    <row r="380" spans="1:27" s="23" customFormat="1" x14ac:dyDescent="0.25">
      <c r="A380"/>
      <c r="B380" s="24" t="str">
        <f t="shared" si="667"/>
        <v>-</v>
      </c>
      <c r="C380" s="24"/>
      <c r="D380" s="24"/>
      <c r="E380" s="24"/>
      <c r="F380" s="24"/>
      <c r="G380"/>
      <c r="H380"/>
      <c r="J380" s="2"/>
      <c r="K380"/>
      <c r="L380"/>
      <c r="N380"/>
      <c r="O380"/>
      <c r="P380"/>
      <c r="Q380"/>
      <c r="R380"/>
      <c r="S380"/>
      <c r="T380"/>
      <c r="U380"/>
      <c r="V380"/>
      <c r="W380"/>
      <c r="X380"/>
      <c r="Y380"/>
      <c r="Z380"/>
      <c r="AA380"/>
    </row>
    <row r="381" spans="1:27" s="23" customFormat="1" x14ac:dyDescent="0.25">
      <c r="A381"/>
      <c r="B381" s="24" t="str">
        <f t="shared" si="667"/>
        <v>-</v>
      </c>
      <c r="C381" s="24"/>
      <c r="D381" s="24"/>
      <c r="E381" s="24"/>
      <c r="F381" s="24"/>
      <c r="G381"/>
      <c r="H381"/>
      <c r="J381" s="2"/>
      <c r="K381"/>
      <c r="L381"/>
      <c r="N381"/>
      <c r="O381"/>
      <c r="P381"/>
      <c r="Q381"/>
      <c r="R381"/>
      <c r="S381"/>
      <c r="T381"/>
      <c r="U381"/>
      <c r="V381"/>
      <c r="W381"/>
      <c r="X381"/>
      <c r="Y381"/>
      <c r="Z381"/>
      <c r="AA381"/>
    </row>
    <row r="382" spans="1:27" s="23" customFormat="1" x14ac:dyDescent="0.25">
      <c r="A382"/>
      <c r="B382" s="24" t="str">
        <f t="shared" si="667"/>
        <v>-</v>
      </c>
      <c r="C382" s="24"/>
      <c r="D382" s="24"/>
      <c r="E382" s="24"/>
      <c r="F382" s="24"/>
      <c r="G382"/>
      <c r="H382"/>
      <c r="J382" s="2"/>
      <c r="K382"/>
      <c r="L382"/>
      <c r="N382"/>
      <c r="O382"/>
      <c r="P382"/>
      <c r="Q382"/>
      <c r="R382"/>
      <c r="S382"/>
      <c r="T382"/>
      <c r="U382"/>
      <c r="V382"/>
      <c r="W382"/>
      <c r="X382"/>
      <c r="Y382"/>
      <c r="Z382"/>
      <c r="AA382"/>
    </row>
    <row r="383" spans="1:27" s="23" customFormat="1" x14ac:dyDescent="0.25">
      <c r="A383"/>
      <c r="B383" s="24" t="str">
        <f t="shared" si="667"/>
        <v>-</v>
      </c>
      <c r="C383" s="24"/>
      <c r="D383" s="24"/>
      <c r="E383" s="24"/>
      <c r="F383" s="24"/>
      <c r="G383"/>
      <c r="H383"/>
      <c r="J383" s="2"/>
      <c r="K383"/>
      <c r="L383"/>
      <c r="N383"/>
      <c r="O383"/>
      <c r="P383"/>
      <c r="Q383"/>
      <c r="R383"/>
      <c r="S383"/>
      <c r="T383"/>
      <c r="U383"/>
      <c r="V383"/>
      <c r="W383"/>
      <c r="X383"/>
      <c r="Y383"/>
      <c r="Z383"/>
      <c r="AA383"/>
    </row>
    <row r="384" spans="1:27" s="23" customFormat="1" x14ac:dyDescent="0.25">
      <c r="A384"/>
      <c r="B384" s="24" t="str">
        <f t="shared" si="667"/>
        <v>-</v>
      </c>
      <c r="C384" s="24"/>
      <c r="D384" s="24"/>
      <c r="E384" s="24"/>
      <c r="F384" s="24"/>
      <c r="G384"/>
      <c r="H384"/>
      <c r="J384" s="2"/>
      <c r="K384"/>
      <c r="L384"/>
      <c r="N384"/>
      <c r="O384"/>
      <c r="P384"/>
      <c r="Q384"/>
      <c r="R384"/>
      <c r="S384"/>
      <c r="T384"/>
      <c r="U384"/>
      <c r="V384"/>
      <c r="W384"/>
      <c r="X384"/>
      <c r="Y384"/>
      <c r="Z384"/>
      <c r="AA384"/>
    </row>
    <row r="385" spans="1:27" s="23" customFormat="1" x14ac:dyDescent="0.25">
      <c r="A385"/>
      <c r="B385" s="24" t="str">
        <f t="shared" si="667"/>
        <v>-</v>
      </c>
      <c r="C385" s="24"/>
      <c r="D385" s="24"/>
      <c r="E385" s="24"/>
      <c r="F385" s="24"/>
      <c r="G385"/>
      <c r="H385"/>
      <c r="J385" s="2"/>
      <c r="K385"/>
      <c r="L385"/>
      <c r="N385"/>
      <c r="O385"/>
      <c r="P385"/>
      <c r="Q385"/>
      <c r="R385"/>
      <c r="S385"/>
      <c r="T385"/>
      <c r="U385"/>
      <c r="V385"/>
      <c r="W385"/>
      <c r="X385"/>
      <c r="Y385"/>
      <c r="Z385"/>
      <c r="AA385"/>
    </row>
    <row r="386" spans="1:27" s="23" customFormat="1" x14ac:dyDescent="0.25">
      <c r="A386"/>
      <c r="B386" s="24" t="str">
        <f t="shared" si="667"/>
        <v>-</v>
      </c>
      <c r="C386" s="24"/>
      <c r="D386" s="24"/>
      <c r="E386" s="24"/>
      <c r="F386" s="24"/>
      <c r="G386"/>
      <c r="H386"/>
      <c r="J386" s="2"/>
      <c r="K386"/>
      <c r="L386"/>
      <c r="N386"/>
      <c r="O386"/>
      <c r="P386"/>
      <c r="Q386"/>
      <c r="R386"/>
      <c r="S386"/>
      <c r="T386"/>
      <c r="U386"/>
      <c r="V386"/>
      <c r="W386"/>
      <c r="X386"/>
      <c r="Y386"/>
      <c r="Z386"/>
      <c r="AA386"/>
    </row>
    <row r="387" spans="1:27" s="23" customFormat="1" x14ac:dyDescent="0.25">
      <c r="A387"/>
      <c r="B387" s="24" t="str">
        <f t="shared" si="667"/>
        <v>-</v>
      </c>
      <c r="C387" s="24"/>
      <c r="D387" s="24"/>
      <c r="E387" s="24"/>
      <c r="F387" s="24"/>
      <c r="G387"/>
      <c r="H387"/>
      <c r="J387" s="2"/>
      <c r="K387"/>
      <c r="L387"/>
      <c r="N387"/>
      <c r="O387"/>
      <c r="P387"/>
      <c r="Q387"/>
      <c r="R387"/>
      <c r="S387"/>
      <c r="T387"/>
      <c r="U387"/>
      <c r="V387"/>
      <c r="W387"/>
      <c r="X387"/>
      <c r="Y387"/>
      <c r="Z387"/>
      <c r="AA387"/>
    </row>
    <row r="388" spans="1:27" s="23" customFormat="1" x14ac:dyDescent="0.25">
      <c r="A388"/>
      <c r="B388" s="24" t="str">
        <f t="shared" si="667"/>
        <v>-</v>
      </c>
      <c r="C388" s="24"/>
      <c r="D388" s="24"/>
      <c r="E388" s="24"/>
      <c r="F388" s="24"/>
      <c r="G388"/>
      <c r="H388"/>
      <c r="J388" s="2"/>
      <c r="K388"/>
      <c r="L388"/>
      <c r="N388"/>
      <c r="O388"/>
      <c r="P388"/>
      <c r="Q388"/>
      <c r="R388"/>
      <c r="S388"/>
      <c r="T388"/>
      <c r="U388"/>
      <c r="V388"/>
      <c r="W388"/>
      <c r="X388"/>
      <c r="Y388"/>
      <c r="Z388"/>
      <c r="AA388"/>
    </row>
    <row r="389" spans="1:27" s="23" customFormat="1" x14ac:dyDescent="0.25">
      <c r="A389"/>
      <c r="B389" s="24" t="str">
        <f t="shared" si="667"/>
        <v>-</v>
      </c>
      <c r="C389" s="24"/>
      <c r="D389" s="24"/>
      <c r="E389" s="24"/>
      <c r="F389" s="24"/>
      <c r="G389"/>
      <c r="H389"/>
      <c r="J389" s="2"/>
      <c r="K389"/>
      <c r="L389"/>
      <c r="N389"/>
      <c r="O389"/>
      <c r="P389"/>
      <c r="Q389"/>
      <c r="R389"/>
      <c r="S389"/>
      <c r="T389"/>
      <c r="U389"/>
      <c r="V389"/>
      <c r="W389"/>
      <c r="X389"/>
      <c r="Y389"/>
      <c r="Z389"/>
      <c r="AA389"/>
    </row>
    <row r="390" spans="1:27" s="23" customFormat="1" x14ac:dyDescent="0.25">
      <c r="A390"/>
      <c r="B390" s="24" t="str">
        <f t="shared" si="667"/>
        <v>-</v>
      </c>
      <c r="C390" s="24"/>
      <c r="D390" s="24"/>
      <c r="E390" s="24"/>
      <c r="F390" s="24"/>
      <c r="G390"/>
      <c r="H390"/>
      <c r="J390" s="2"/>
      <c r="K390"/>
      <c r="L390"/>
      <c r="N390"/>
      <c r="O390"/>
      <c r="P390"/>
      <c r="Q390"/>
      <c r="R390"/>
      <c r="S390"/>
      <c r="T390"/>
      <c r="U390"/>
      <c r="V390"/>
      <c r="W390"/>
      <c r="X390"/>
      <c r="Y390"/>
      <c r="Z390"/>
      <c r="AA390"/>
    </row>
    <row r="391" spans="1:27" s="23" customFormat="1" x14ac:dyDescent="0.25">
      <c r="A391"/>
      <c r="B391" s="24" t="str">
        <f t="shared" si="667"/>
        <v>-</v>
      </c>
      <c r="C391" s="24"/>
      <c r="D391" s="24"/>
      <c r="E391" s="24"/>
      <c r="F391" s="24"/>
      <c r="G391"/>
      <c r="H391"/>
      <c r="J391" s="2"/>
      <c r="K391"/>
      <c r="L391"/>
      <c r="N391"/>
      <c r="O391"/>
      <c r="P391"/>
      <c r="Q391"/>
      <c r="R391"/>
      <c r="S391"/>
      <c r="T391"/>
      <c r="U391"/>
      <c r="V391"/>
      <c r="W391"/>
      <c r="X391"/>
      <c r="Y391"/>
      <c r="Z391"/>
      <c r="AA391"/>
    </row>
    <row r="392" spans="1:27" s="23" customFormat="1" x14ac:dyDescent="0.25">
      <c r="A392"/>
      <c r="B392" s="24" t="str">
        <f t="shared" si="667"/>
        <v>-</v>
      </c>
      <c r="C392" s="24"/>
      <c r="D392" s="24"/>
      <c r="E392" s="24"/>
      <c r="F392" s="24"/>
      <c r="G392"/>
      <c r="H392"/>
      <c r="J392" s="2"/>
      <c r="K392"/>
      <c r="L392"/>
      <c r="N392"/>
      <c r="O392"/>
      <c r="P392"/>
      <c r="Q392"/>
      <c r="R392"/>
      <c r="S392"/>
      <c r="T392"/>
      <c r="U392"/>
      <c r="V392"/>
      <c r="W392"/>
      <c r="X392"/>
      <c r="Y392"/>
      <c r="Z392"/>
      <c r="AA392"/>
    </row>
    <row r="393" spans="1:27" s="23" customFormat="1" x14ac:dyDescent="0.25">
      <c r="A393"/>
      <c r="B393" s="24" t="str">
        <f t="shared" si="667"/>
        <v>-</v>
      </c>
      <c r="C393" s="24"/>
      <c r="D393" s="24"/>
      <c r="E393" s="24"/>
      <c r="F393" s="24"/>
      <c r="G393"/>
      <c r="H393"/>
      <c r="J393" s="2"/>
      <c r="K393"/>
      <c r="L393"/>
      <c r="N393"/>
      <c r="O393"/>
      <c r="P393"/>
      <c r="Q393"/>
      <c r="R393"/>
      <c r="S393"/>
      <c r="T393"/>
      <c r="U393"/>
      <c r="V393"/>
      <c r="W393"/>
      <c r="X393"/>
      <c r="Y393"/>
      <c r="Z393"/>
      <c r="AA393"/>
    </row>
    <row r="394" spans="1:27" s="23" customFormat="1" x14ac:dyDescent="0.25">
      <c r="A394"/>
      <c r="B394" s="24" t="str">
        <f t="shared" si="667"/>
        <v>-</v>
      </c>
      <c r="C394" s="24"/>
      <c r="D394" s="24"/>
      <c r="E394" s="24"/>
      <c r="F394" s="24"/>
      <c r="G394"/>
      <c r="H394"/>
      <c r="J394" s="2"/>
      <c r="K394"/>
      <c r="L394"/>
      <c r="N394"/>
      <c r="O394"/>
      <c r="P394"/>
      <c r="Q394"/>
      <c r="R394"/>
      <c r="S394"/>
      <c r="T394"/>
      <c r="U394"/>
      <c r="V394"/>
      <c r="W394"/>
      <c r="X394"/>
      <c r="Y394"/>
      <c r="Z394"/>
      <c r="AA394"/>
    </row>
    <row r="395" spans="1:27" s="23" customFormat="1" x14ac:dyDescent="0.25">
      <c r="A395"/>
      <c r="B395" s="24" t="str">
        <f t="shared" si="667"/>
        <v>-</v>
      </c>
      <c r="C395" s="24"/>
      <c r="D395" s="24"/>
      <c r="E395" s="24"/>
      <c r="F395" s="24"/>
      <c r="G395"/>
      <c r="H395"/>
      <c r="J395" s="2"/>
      <c r="K395"/>
      <c r="L395"/>
      <c r="N395"/>
      <c r="O395"/>
      <c r="P395"/>
      <c r="Q395"/>
      <c r="R395"/>
      <c r="S395"/>
      <c r="T395"/>
      <c r="U395"/>
      <c r="V395"/>
      <c r="W395"/>
      <c r="X395"/>
      <c r="Y395"/>
      <c r="Z395"/>
      <c r="AA395"/>
    </row>
    <row r="396" spans="1:27" s="23" customFormat="1" x14ac:dyDescent="0.25">
      <c r="A396"/>
      <c r="B396" s="24" t="str">
        <f t="shared" si="667"/>
        <v>-</v>
      </c>
      <c r="C396" s="24"/>
      <c r="D396" s="24"/>
      <c r="E396" s="24"/>
      <c r="F396" s="24"/>
      <c r="G396"/>
      <c r="H396"/>
      <c r="J396" s="2"/>
      <c r="K396"/>
      <c r="L396"/>
      <c r="N396"/>
      <c r="O396"/>
      <c r="P396"/>
      <c r="Q396"/>
      <c r="R396"/>
      <c r="S396"/>
      <c r="T396"/>
      <c r="U396"/>
      <c r="V396"/>
      <c r="W396"/>
      <c r="X396"/>
      <c r="Y396"/>
      <c r="Z396"/>
      <c r="AA396"/>
    </row>
    <row r="397" spans="1:27" s="23" customFormat="1" x14ac:dyDescent="0.25">
      <c r="A397"/>
      <c r="B397" s="24" t="str">
        <f t="shared" si="667"/>
        <v>-</v>
      </c>
      <c r="C397" s="24"/>
      <c r="D397" s="24"/>
      <c r="E397" s="24"/>
      <c r="F397" s="24"/>
      <c r="G397"/>
      <c r="H397"/>
      <c r="J397" s="2"/>
      <c r="K397"/>
      <c r="L397"/>
      <c r="N397"/>
      <c r="O397"/>
      <c r="P397"/>
      <c r="Q397"/>
      <c r="R397"/>
      <c r="S397"/>
      <c r="T397"/>
      <c r="U397"/>
      <c r="V397"/>
      <c r="W397"/>
      <c r="X397"/>
      <c r="Y397"/>
      <c r="Z397"/>
      <c r="AA397"/>
    </row>
    <row r="398" spans="1:27" s="23" customFormat="1" x14ac:dyDescent="0.25">
      <c r="A398"/>
      <c r="B398" s="24" t="str">
        <f t="shared" si="667"/>
        <v>-</v>
      </c>
      <c r="C398" s="24"/>
      <c r="D398" s="24"/>
      <c r="E398" s="24"/>
      <c r="F398" s="24"/>
      <c r="G398"/>
      <c r="H398"/>
      <c r="J398" s="2"/>
      <c r="K398"/>
      <c r="L398"/>
      <c r="N398"/>
      <c r="O398"/>
      <c r="P398"/>
      <c r="Q398"/>
      <c r="R398"/>
      <c r="S398"/>
      <c r="T398"/>
      <c r="U398"/>
      <c r="V398"/>
      <c r="W398"/>
      <c r="X398"/>
      <c r="Y398"/>
      <c r="Z398"/>
      <c r="AA398"/>
    </row>
    <row r="399" spans="1:27" s="23" customFormat="1" x14ac:dyDescent="0.25">
      <c r="A399"/>
      <c r="B399" s="24" t="str">
        <f t="shared" si="667"/>
        <v>-</v>
      </c>
      <c r="C399" s="24"/>
      <c r="D399" s="24"/>
      <c r="E399" s="24"/>
      <c r="F399" s="24"/>
      <c r="G399"/>
      <c r="H399"/>
      <c r="J399" s="2"/>
      <c r="K399"/>
      <c r="L399"/>
      <c r="N399"/>
      <c r="O399"/>
      <c r="P399"/>
      <c r="Q399"/>
      <c r="R399"/>
      <c r="S399"/>
      <c r="T399"/>
      <c r="U399"/>
      <c r="V399"/>
      <c r="W399"/>
      <c r="X399"/>
      <c r="Y399"/>
      <c r="Z399"/>
      <c r="AA399"/>
    </row>
    <row r="400" spans="1:27" s="23" customFormat="1" x14ac:dyDescent="0.25">
      <c r="A400"/>
      <c r="B400" s="24" t="str">
        <f t="shared" si="667"/>
        <v>-</v>
      </c>
      <c r="C400" s="24"/>
      <c r="D400" s="24"/>
      <c r="E400" s="24"/>
      <c r="F400" s="24"/>
      <c r="G400"/>
      <c r="H400"/>
      <c r="J400" s="2"/>
      <c r="K400"/>
      <c r="L400"/>
      <c r="N400"/>
      <c r="O400"/>
      <c r="P400"/>
      <c r="Q400"/>
      <c r="R400"/>
      <c r="S400"/>
      <c r="T400"/>
      <c r="U400"/>
      <c r="V400"/>
      <c r="W400"/>
      <c r="X400"/>
      <c r="Y400"/>
      <c r="Z400"/>
      <c r="AA400"/>
    </row>
    <row r="401" spans="1:27" s="23" customFormat="1" x14ac:dyDescent="0.25">
      <c r="A401"/>
      <c r="B401" s="24" t="str">
        <f t="shared" ref="B401:B464" si="668">IF(A401&gt;A400,1+B400,"-")</f>
        <v>-</v>
      </c>
      <c r="C401" s="24"/>
      <c r="D401" s="24"/>
      <c r="E401" s="24"/>
      <c r="F401" s="24"/>
      <c r="G401"/>
      <c r="H401"/>
      <c r="J401" s="2"/>
      <c r="K401"/>
      <c r="L401"/>
      <c r="N401"/>
      <c r="O401"/>
      <c r="P401"/>
      <c r="Q401"/>
      <c r="R401"/>
      <c r="S401"/>
      <c r="T401"/>
      <c r="U401"/>
      <c r="V401"/>
      <c r="W401"/>
      <c r="X401"/>
      <c r="Y401"/>
      <c r="Z401"/>
      <c r="AA401"/>
    </row>
    <row r="402" spans="1:27" s="23" customFormat="1" x14ac:dyDescent="0.25">
      <c r="A402"/>
      <c r="B402" s="24" t="str">
        <f t="shared" si="668"/>
        <v>-</v>
      </c>
      <c r="C402" s="24"/>
      <c r="D402" s="24"/>
      <c r="E402" s="24"/>
      <c r="F402" s="24"/>
      <c r="G402"/>
      <c r="H402"/>
      <c r="J402" s="2"/>
      <c r="K402"/>
      <c r="L402"/>
      <c r="N402"/>
      <c r="O402"/>
      <c r="P402"/>
      <c r="Q402"/>
      <c r="R402"/>
      <c r="S402"/>
      <c r="T402"/>
      <c r="U402"/>
      <c r="V402"/>
      <c r="W402"/>
      <c r="X402"/>
      <c r="Y402"/>
      <c r="Z402"/>
      <c r="AA402"/>
    </row>
    <row r="403" spans="1:27" s="23" customFormat="1" x14ac:dyDescent="0.25">
      <c r="A403"/>
      <c r="B403" s="24" t="str">
        <f t="shared" si="668"/>
        <v>-</v>
      </c>
      <c r="C403" s="24"/>
      <c r="D403" s="24"/>
      <c r="E403" s="24"/>
      <c r="F403" s="24"/>
      <c r="G403"/>
      <c r="H403"/>
      <c r="J403" s="2"/>
      <c r="K403"/>
      <c r="L403"/>
      <c r="N403"/>
      <c r="O403"/>
      <c r="P403"/>
      <c r="Q403"/>
      <c r="R403"/>
      <c r="S403"/>
      <c r="T403"/>
      <c r="U403"/>
      <c r="V403"/>
      <c r="W403"/>
      <c r="X403"/>
      <c r="Y403"/>
      <c r="Z403"/>
      <c r="AA403"/>
    </row>
    <row r="404" spans="1:27" s="23" customFormat="1" x14ac:dyDescent="0.25">
      <c r="A404"/>
      <c r="B404" s="24" t="str">
        <f t="shared" si="668"/>
        <v>-</v>
      </c>
      <c r="C404" s="24"/>
      <c r="D404" s="24"/>
      <c r="E404" s="24"/>
      <c r="F404" s="24"/>
      <c r="G404"/>
      <c r="H404"/>
      <c r="J404" s="2"/>
      <c r="K404"/>
      <c r="L404"/>
      <c r="N404"/>
      <c r="O404"/>
      <c r="P404"/>
      <c r="Q404"/>
      <c r="R404"/>
      <c r="S404"/>
      <c r="T404"/>
      <c r="U404"/>
      <c r="V404"/>
      <c r="W404"/>
      <c r="X404"/>
      <c r="Y404"/>
      <c r="Z404"/>
      <c r="AA404"/>
    </row>
    <row r="405" spans="1:27" s="23" customFormat="1" x14ac:dyDescent="0.25">
      <c r="A405"/>
      <c r="B405" s="24" t="str">
        <f t="shared" si="668"/>
        <v>-</v>
      </c>
      <c r="C405" s="24"/>
      <c r="D405" s="24"/>
      <c r="E405" s="24"/>
      <c r="F405" s="24"/>
      <c r="G405"/>
      <c r="H405"/>
      <c r="J405" s="2"/>
      <c r="K405"/>
      <c r="L405"/>
      <c r="N405"/>
      <c r="O405"/>
      <c r="P405"/>
      <c r="Q405"/>
      <c r="R405"/>
      <c r="S405"/>
      <c r="T405"/>
      <c r="U405"/>
      <c r="V405"/>
      <c r="W405"/>
      <c r="X405"/>
      <c r="Y405"/>
      <c r="Z405"/>
      <c r="AA405"/>
    </row>
    <row r="406" spans="1:27" s="23" customFormat="1" x14ac:dyDescent="0.25">
      <c r="A406"/>
      <c r="B406" s="24" t="str">
        <f t="shared" si="668"/>
        <v>-</v>
      </c>
      <c r="C406" s="24"/>
      <c r="D406" s="24"/>
      <c r="E406" s="24"/>
      <c r="F406" s="24"/>
      <c r="G406"/>
      <c r="H406"/>
      <c r="J406" s="2"/>
      <c r="K406"/>
      <c r="L406"/>
      <c r="N406"/>
      <c r="O406"/>
      <c r="P406"/>
      <c r="Q406"/>
      <c r="R406"/>
      <c r="S406"/>
      <c r="T406"/>
      <c r="U406"/>
      <c r="V406"/>
      <c r="W406"/>
      <c r="X406"/>
      <c r="Y406"/>
      <c r="Z406"/>
      <c r="AA406"/>
    </row>
    <row r="407" spans="1:27" s="23" customFormat="1" x14ac:dyDescent="0.25">
      <c r="A407"/>
      <c r="B407" s="24" t="str">
        <f t="shared" si="668"/>
        <v>-</v>
      </c>
      <c r="C407" s="24"/>
      <c r="D407" s="24"/>
      <c r="E407" s="24"/>
      <c r="F407" s="24"/>
      <c r="G407"/>
      <c r="H407"/>
      <c r="J407" s="2"/>
      <c r="K407"/>
      <c r="L407"/>
      <c r="N407"/>
      <c r="O407"/>
      <c r="P407"/>
      <c r="Q407"/>
      <c r="R407"/>
      <c r="S407"/>
      <c r="T407"/>
      <c r="U407"/>
      <c r="V407"/>
      <c r="W407"/>
      <c r="X407"/>
      <c r="Y407"/>
      <c r="Z407"/>
      <c r="AA407"/>
    </row>
    <row r="408" spans="1:27" s="23" customFormat="1" x14ac:dyDescent="0.25">
      <c r="A408"/>
      <c r="B408" s="24" t="str">
        <f t="shared" si="668"/>
        <v>-</v>
      </c>
      <c r="C408" s="24"/>
      <c r="D408" s="24"/>
      <c r="E408" s="24"/>
      <c r="F408" s="24"/>
      <c r="G408"/>
      <c r="H408"/>
      <c r="J408" s="2"/>
      <c r="K408"/>
      <c r="L408"/>
      <c r="N408"/>
      <c r="O408"/>
      <c r="P408"/>
      <c r="Q408"/>
      <c r="R408"/>
      <c r="S408"/>
      <c r="T408"/>
      <c r="U408"/>
      <c r="V408"/>
      <c r="W408"/>
      <c r="X408"/>
      <c r="Y408"/>
      <c r="Z408"/>
      <c r="AA408"/>
    </row>
    <row r="409" spans="1:27" s="23" customFormat="1" x14ac:dyDescent="0.25">
      <c r="A409"/>
      <c r="B409" s="24" t="str">
        <f t="shared" si="668"/>
        <v>-</v>
      </c>
      <c r="C409" s="24"/>
      <c r="D409" s="24"/>
      <c r="E409" s="24"/>
      <c r="F409" s="24"/>
      <c r="G409"/>
      <c r="H409"/>
      <c r="J409" s="2"/>
      <c r="K409"/>
      <c r="L409"/>
      <c r="N409"/>
      <c r="O409"/>
      <c r="P409"/>
      <c r="Q409"/>
      <c r="R409"/>
      <c r="S409"/>
      <c r="T409"/>
      <c r="U409"/>
      <c r="V409"/>
      <c r="W409"/>
      <c r="X409"/>
      <c r="Y409"/>
      <c r="Z409"/>
      <c r="AA409"/>
    </row>
    <row r="410" spans="1:27" s="23" customFormat="1" x14ac:dyDescent="0.25">
      <c r="A410"/>
      <c r="B410" s="24" t="str">
        <f t="shared" si="668"/>
        <v>-</v>
      </c>
      <c r="C410" s="24"/>
      <c r="D410" s="24"/>
      <c r="E410" s="24"/>
      <c r="F410" s="24"/>
      <c r="G410"/>
      <c r="H410"/>
      <c r="J410" s="2"/>
      <c r="K410"/>
      <c r="L410"/>
      <c r="N410"/>
      <c r="O410"/>
      <c r="P410"/>
      <c r="Q410"/>
      <c r="R410"/>
      <c r="S410"/>
      <c r="T410"/>
      <c r="U410"/>
      <c r="V410"/>
      <c r="W410"/>
      <c r="X410"/>
      <c r="Y410"/>
      <c r="Z410"/>
      <c r="AA410"/>
    </row>
    <row r="411" spans="1:27" s="23" customFormat="1" x14ac:dyDescent="0.25">
      <c r="A411"/>
      <c r="B411" s="24" t="str">
        <f t="shared" si="668"/>
        <v>-</v>
      </c>
      <c r="C411" s="24"/>
      <c r="D411" s="24"/>
      <c r="E411" s="24"/>
      <c r="F411" s="24"/>
      <c r="G411"/>
      <c r="H411"/>
      <c r="J411" s="2"/>
      <c r="K411"/>
      <c r="L411"/>
      <c r="N411"/>
      <c r="O411"/>
      <c r="P411"/>
      <c r="Q411"/>
      <c r="R411"/>
      <c r="S411"/>
      <c r="T411"/>
      <c r="U411"/>
      <c r="V411"/>
      <c r="W411"/>
      <c r="X411"/>
      <c r="Y411"/>
      <c r="Z411"/>
      <c r="AA411"/>
    </row>
    <row r="412" spans="1:27" s="23" customFormat="1" x14ac:dyDescent="0.25">
      <c r="A412"/>
      <c r="B412" s="24" t="str">
        <f t="shared" si="668"/>
        <v>-</v>
      </c>
      <c r="C412" s="24"/>
      <c r="D412" s="24"/>
      <c r="E412" s="24"/>
      <c r="F412" s="24"/>
      <c r="G412"/>
      <c r="H412"/>
      <c r="J412" s="2"/>
      <c r="K412"/>
      <c r="L412"/>
      <c r="N412"/>
      <c r="O412"/>
      <c r="P412"/>
      <c r="Q412"/>
      <c r="R412"/>
      <c r="S412"/>
      <c r="T412"/>
      <c r="U412"/>
      <c r="V412"/>
      <c r="W412"/>
      <c r="X412"/>
      <c r="Y412"/>
      <c r="Z412"/>
      <c r="AA412"/>
    </row>
    <row r="413" spans="1:27" s="23" customFormat="1" x14ac:dyDescent="0.25">
      <c r="A413"/>
      <c r="B413" s="24" t="str">
        <f t="shared" si="668"/>
        <v>-</v>
      </c>
      <c r="C413" s="24"/>
      <c r="D413" s="24"/>
      <c r="E413" s="24"/>
      <c r="F413" s="24"/>
      <c r="G413"/>
      <c r="H413"/>
      <c r="J413" s="2"/>
      <c r="K413"/>
      <c r="L413"/>
      <c r="N413"/>
      <c r="O413"/>
      <c r="P413"/>
      <c r="Q413"/>
      <c r="R413"/>
      <c r="S413"/>
      <c r="T413"/>
      <c r="U413"/>
      <c r="V413"/>
      <c r="W413"/>
      <c r="X413"/>
      <c r="Y413"/>
      <c r="Z413"/>
      <c r="AA413"/>
    </row>
    <row r="414" spans="1:27" s="23" customFormat="1" x14ac:dyDescent="0.25">
      <c r="A414"/>
      <c r="B414" s="24" t="str">
        <f t="shared" si="668"/>
        <v>-</v>
      </c>
      <c r="C414" s="24"/>
      <c r="D414" s="24"/>
      <c r="E414" s="24"/>
      <c r="F414" s="24"/>
      <c r="G414"/>
      <c r="H414"/>
      <c r="J414" s="2"/>
      <c r="K414"/>
      <c r="L414"/>
      <c r="N414"/>
      <c r="O414"/>
      <c r="P414"/>
      <c r="Q414"/>
      <c r="R414"/>
      <c r="S414"/>
      <c r="T414"/>
      <c r="U414"/>
      <c r="V414"/>
      <c r="W414"/>
      <c r="X414"/>
      <c r="Y414"/>
      <c r="Z414"/>
      <c r="AA414"/>
    </row>
    <row r="415" spans="1:27" s="23" customFormat="1" x14ac:dyDescent="0.25">
      <c r="A415"/>
      <c r="B415" s="24" t="str">
        <f t="shared" si="668"/>
        <v>-</v>
      </c>
      <c r="C415" s="24"/>
      <c r="D415" s="24"/>
      <c r="E415" s="24"/>
      <c r="F415" s="24"/>
      <c r="G415"/>
      <c r="H415"/>
      <c r="J415" s="2"/>
      <c r="K415"/>
      <c r="L415"/>
      <c r="N415"/>
      <c r="O415"/>
      <c r="P415"/>
      <c r="Q415"/>
      <c r="R415"/>
      <c r="S415"/>
      <c r="T415"/>
      <c r="U415"/>
      <c r="V415"/>
      <c r="W415"/>
      <c r="X415"/>
      <c r="Y415"/>
      <c r="Z415"/>
      <c r="AA415"/>
    </row>
    <row r="416" spans="1:27" s="23" customFormat="1" x14ac:dyDescent="0.25">
      <c r="A416"/>
      <c r="B416" s="24" t="str">
        <f t="shared" si="668"/>
        <v>-</v>
      </c>
      <c r="C416" s="24"/>
      <c r="D416" s="24"/>
      <c r="E416" s="24"/>
      <c r="F416" s="24"/>
      <c r="G416"/>
      <c r="H416"/>
      <c r="J416" s="2"/>
      <c r="K416"/>
      <c r="L416"/>
      <c r="N416"/>
      <c r="O416"/>
      <c r="P416"/>
      <c r="Q416"/>
      <c r="R416"/>
      <c r="S416"/>
      <c r="T416"/>
      <c r="U416"/>
      <c r="V416"/>
      <c r="W416"/>
      <c r="X416"/>
      <c r="Y416"/>
      <c r="Z416"/>
      <c r="AA416"/>
    </row>
    <row r="417" spans="1:27" s="23" customFormat="1" x14ac:dyDescent="0.25">
      <c r="A417"/>
      <c r="B417" s="24" t="str">
        <f t="shared" si="668"/>
        <v>-</v>
      </c>
      <c r="C417" s="24"/>
      <c r="D417" s="24"/>
      <c r="E417" s="24"/>
      <c r="F417" s="24"/>
      <c r="G417"/>
      <c r="H417"/>
      <c r="J417" s="2"/>
      <c r="K417"/>
      <c r="L417"/>
      <c r="N417"/>
      <c r="O417"/>
      <c r="P417"/>
      <c r="Q417"/>
      <c r="R417"/>
      <c r="S417"/>
      <c r="T417"/>
      <c r="U417"/>
      <c r="V417"/>
      <c r="W417"/>
      <c r="X417"/>
      <c r="Y417"/>
      <c r="Z417"/>
      <c r="AA417"/>
    </row>
    <row r="418" spans="1:27" s="23" customFormat="1" x14ac:dyDescent="0.25">
      <c r="A418"/>
      <c r="B418" s="24" t="str">
        <f t="shared" si="668"/>
        <v>-</v>
      </c>
      <c r="C418" s="24"/>
      <c r="D418" s="24"/>
      <c r="E418" s="24"/>
      <c r="F418" s="24"/>
      <c r="G418"/>
      <c r="H418"/>
      <c r="J418" s="2"/>
      <c r="K418"/>
      <c r="L418"/>
      <c r="N418"/>
      <c r="O418"/>
      <c r="P418"/>
      <c r="Q418"/>
      <c r="R418"/>
      <c r="S418"/>
      <c r="T418"/>
      <c r="U418"/>
      <c r="V418"/>
      <c r="W418"/>
      <c r="X418"/>
      <c r="Y418"/>
      <c r="Z418"/>
      <c r="AA418"/>
    </row>
    <row r="419" spans="1:27" s="23" customFormat="1" x14ac:dyDescent="0.25">
      <c r="A419"/>
      <c r="B419" s="24" t="str">
        <f t="shared" si="668"/>
        <v>-</v>
      </c>
      <c r="C419" s="24"/>
      <c r="D419" s="24"/>
      <c r="E419" s="24"/>
      <c r="F419" s="24"/>
      <c r="G419"/>
      <c r="H419"/>
      <c r="J419" s="2"/>
      <c r="K419"/>
      <c r="L419"/>
      <c r="N419"/>
      <c r="O419"/>
      <c r="P419"/>
      <c r="Q419"/>
      <c r="R419"/>
      <c r="S419"/>
      <c r="T419"/>
      <c r="U419"/>
      <c r="V419"/>
      <c r="W419"/>
      <c r="X419"/>
      <c r="Y419"/>
      <c r="Z419"/>
      <c r="AA419"/>
    </row>
    <row r="420" spans="1:27" s="23" customFormat="1" x14ac:dyDescent="0.25">
      <c r="A420"/>
      <c r="B420" s="24" t="str">
        <f t="shared" si="668"/>
        <v>-</v>
      </c>
      <c r="C420" s="24"/>
      <c r="D420" s="24"/>
      <c r="E420" s="24"/>
      <c r="F420" s="24"/>
      <c r="G420"/>
      <c r="H420"/>
      <c r="J420" s="2"/>
      <c r="K420"/>
      <c r="L420"/>
      <c r="N420"/>
      <c r="O420"/>
      <c r="P420"/>
      <c r="Q420"/>
      <c r="R420"/>
      <c r="S420"/>
      <c r="T420"/>
      <c r="U420"/>
      <c r="V420"/>
      <c r="W420"/>
      <c r="X420"/>
      <c r="Y420"/>
      <c r="Z420"/>
      <c r="AA420"/>
    </row>
    <row r="421" spans="1:27" s="23" customFormat="1" x14ac:dyDescent="0.25">
      <c r="A421"/>
      <c r="B421" s="24" t="str">
        <f t="shared" si="668"/>
        <v>-</v>
      </c>
      <c r="C421" s="24"/>
      <c r="D421" s="24"/>
      <c r="E421" s="24"/>
      <c r="F421" s="24"/>
      <c r="G421"/>
      <c r="H421"/>
      <c r="J421" s="2"/>
      <c r="K421"/>
      <c r="L421"/>
      <c r="N421"/>
      <c r="O421"/>
      <c r="P421"/>
      <c r="Q421"/>
      <c r="R421"/>
      <c r="S421"/>
      <c r="T421"/>
      <c r="U421"/>
      <c r="V421"/>
      <c r="W421"/>
      <c r="X421"/>
      <c r="Y421"/>
      <c r="Z421"/>
      <c r="AA421"/>
    </row>
    <row r="422" spans="1:27" s="23" customFormat="1" x14ac:dyDescent="0.25">
      <c r="A422"/>
      <c r="B422" s="24" t="str">
        <f t="shared" si="668"/>
        <v>-</v>
      </c>
      <c r="C422" s="24"/>
      <c r="D422" s="24"/>
      <c r="E422" s="24"/>
      <c r="F422" s="24"/>
      <c r="G422"/>
      <c r="H422"/>
      <c r="J422" s="2"/>
      <c r="K422"/>
      <c r="L422"/>
      <c r="N422"/>
      <c r="O422"/>
      <c r="P422"/>
      <c r="Q422"/>
      <c r="R422"/>
      <c r="S422"/>
      <c r="T422"/>
      <c r="U422"/>
      <c r="V422"/>
      <c r="W422"/>
      <c r="X422"/>
      <c r="Y422"/>
      <c r="Z422"/>
      <c r="AA422"/>
    </row>
    <row r="423" spans="1:27" s="23" customFormat="1" x14ac:dyDescent="0.25">
      <c r="A423"/>
      <c r="B423" s="24" t="str">
        <f t="shared" si="668"/>
        <v>-</v>
      </c>
      <c r="C423" s="24"/>
      <c r="D423" s="24"/>
      <c r="E423" s="24"/>
      <c r="F423" s="24"/>
      <c r="G423"/>
      <c r="H423"/>
      <c r="J423" s="2"/>
      <c r="K423"/>
      <c r="L423"/>
      <c r="N423"/>
      <c r="O423"/>
      <c r="P423"/>
      <c r="Q423"/>
      <c r="R423"/>
      <c r="S423"/>
      <c r="T423"/>
      <c r="U423"/>
      <c r="V423"/>
      <c r="W423"/>
      <c r="X423"/>
      <c r="Y423"/>
      <c r="Z423"/>
      <c r="AA423"/>
    </row>
    <row r="424" spans="1:27" s="23" customFormat="1" x14ac:dyDescent="0.25">
      <c r="A424"/>
      <c r="B424" s="24" t="str">
        <f t="shared" si="668"/>
        <v>-</v>
      </c>
      <c r="C424" s="24"/>
      <c r="D424" s="24"/>
      <c r="E424" s="24"/>
      <c r="F424" s="24"/>
      <c r="G424"/>
      <c r="H424"/>
      <c r="J424" s="2"/>
      <c r="K424"/>
      <c r="L424"/>
      <c r="N424"/>
      <c r="O424"/>
      <c r="P424"/>
      <c r="Q424"/>
      <c r="R424"/>
      <c r="S424"/>
      <c r="T424"/>
      <c r="U424"/>
      <c r="V424"/>
      <c r="W424"/>
      <c r="X424"/>
      <c r="Y424"/>
      <c r="Z424"/>
      <c r="AA424"/>
    </row>
    <row r="425" spans="1:27" s="23" customFormat="1" x14ac:dyDescent="0.25">
      <c r="A425"/>
      <c r="B425" s="24" t="str">
        <f t="shared" si="668"/>
        <v>-</v>
      </c>
      <c r="C425" s="24"/>
      <c r="D425" s="24"/>
      <c r="E425" s="24"/>
      <c r="F425" s="24"/>
      <c r="G425"/>
      <c r="H425"/>
      <c r="J425" s="2"/>
      <c r="K425"/>
      <c r="L425"/>
      <c r="N425"/>
      <c r="O425"/>
      <c r="P425"/>
      <c r="Q425"/>
      <c r="R425"/>
      <c r="S425"/>
      <c r="T425"/>
      <c r="U425"/>
      <c r="V425"/>
      <c r="W425"/>
      <c r="X425"/>
      <c r="Y425"/>
      <c r="Z425"/>
      <c r="AA425"/>
    </row>
    <row r="426" spans="1:27" s="23" customFormat="1" x14ac:dyDescent="0.25">
      <c r="A426"/>
      <c r="B426" s="24" t="str">
        <f t="shared" si="668"/>
        <v>-</v>
      </c>
      <c r="C426" s="24"/>
      <c r="D426" s="24"/>
      <c r="E426" s="24"/>
      <c r="F426" s="24"/>
      <c r="G426"/>
      <c r="H426"/>
      <c r="J426" s="2"/>
      <c r="K426"/>
      <c r="L426"/>
      <c r="N426"/>
      <c r="O426"/>
      <c r="P426"/>
      <c r="Q426"/>
      <c r="R426"/>
      <c r="S426"/>
      <c r="T426"/>
      <c r="U426"/>
      <c r="V426"/>
      <c r="W426"/>
      <c r="X426"/>
      <c r="Y426"/>
      <c r="Z426"/>
      <c r="AA426"/>
    </row>
    <row r="427" spans="1:27" s="23" customFormat="1" x14ac:dyDescent="0.25">
      <c r="A427"/>
      <c r="B427" s="24" t="str">
        <f t="shared" si="668"/>
        <v>-</v>
      </c>
      <c r="C427" s="24"/>
      <c r="D427" s="24"/>
      <c r="E427" s="24"/>
      <c r="F427" s="24"/>
      <c r="G427"/>
      <c r="H427"/>
      <c r="J427" s="2"/>
      <c r="K427"/>
      <c r="L427"/>
      <c r="N427"/>
      <c r="O427"/>
      <c r="P427"/>
      <c r="Q427"/>
      <c r="R427"/>
      <c r="S427"/>
      <c r="T427"/>
      <c r="U427"/>
      <c r="V427"/>
      <c r="W427"/>
      <c r="X427"/>
      <c r="Y427"/>
      <c r="Z427"/>
      <c r="AA427"/>
    </row>
    <row r="428" spans="1:27" s="23" customFormat="1" x14ac:dyDescent="0.25">
      <c r="A428"/>
      <c r="B428" s="24" t="str">
        <f t="shared" si="668"/>
        <v>-</v>
      </c>
      <c r="C428" s="24"/>
      <c r="D428" s="24"/>
      <c r="E428" s="24"/>
      <c r="F428" s="24"/>
      <c r="G428"/>
      <c r="H428"/>
      <c r="J428" s="2"/>
      <c r="K428"/>
      <c r="L428"/>
      <c r="N428"/>
      <c r="O428"/>
      <c r="P428"/>
      <c r="Q428"/>
      <c r="R428"/>
      <c r="S428"/>
      <c r="T428"/>
      <c r="U428"/>
      <c r="V428"/>
      <c r="W428"/>
      <c r="X428"/>
      <c r="Y428"/>
      <c r="Z428"/>
      <c r="AA428"/>
    </row>
    <row r="429" spans="1:27" s="23" customFormat="1" x14ac:dyDescent="0.25">
      <c r="A429"/>
      <c r="B429" s="24" t="str">
        <f t="shared" si="668"/>
        <v>-</v>
      </c>
      <c r="C429" s="24"/>
      <c r="D429" s="24"/>
      <c r="E429" s="24"/>
      <c r="F429" s="24"/>
      <c r="G429"/>
      <c r="H429"/>
      <c r="J429" s="2"/>
      <c r="K429"/>
      <c r="L429"/>
      <c r="N429"/>
      <c r="O429"/>
      <c r="P429"/>
      <c r="Q429"/>
      <c r="R429"/>
      <c r="S429"/>
      <c r="T429"/>
      <c r="U429"/>
      <c r="V429"/>
      <c r="W429"/>
      <c r="X429"/>
      <c r="Y429"/>
      <c r="Z429"/>
      <c r="AA429"/>
    </row>
    <row r="430" spans="1:27" s="23" customFormat="1" x14ac:dyDescent="0.25">
      <c r="A430"/>
      <c r="B430" s="24" t="str">
        <f t="shared" si="668"/>
        <v>-</v>
      </c>
      <c r="C430" s="24"/>
      <c r="D430" s="24"/>
      <c r="E430" s="24"/>
      <c r="F430" s="24"/>
      <c r="G430"/>
      <c r="H430"/>
      <c r="J430" s="2"/>
      <c r="K430"/>
      <c r="L430"/>
      <c r="N430"/>
      <c r="O430"/>
      <c r="P430"/>
      <c r="Q430"/>
      <c r="R430"/>
      <c r="S430"/>
      <c r="T430"/>
      <c r="U430"/>
      <c r="V430"/>
      <c r="W430"/>
      <c r="X430"/>
      <c r="Y430"/>
      <c r="Z430"/>
      <c r="AA430"/>
    </row>
    <row r="431" spans="1:27" s="23" customFormat="1" x14ac:dyDescent="0.25">
      <c r="A431"/>
      <c r="B431" s="24" t="str">
        <f t="shared" si="668"/>
        <v>-</v>
      </c>
      <c r="C431" s="24"/>
      <c r="D431" s="24"/>
      <c r="E431" s="24"/>
      <c r="F431" s="24"/>
      <c r="G431"/>
      <c r="H431"/>
      <c r="J431" s="2"/>
      <c r="K431"/>
      <c r="L431"/>
      <c r="N431"/>
      <c r="O431"/>
      <c r="P431"/>
      <c r="Q431"/>
      <c r="R431"/>
      <c r="S431"/>
      <c r="T431"/>
      <c r="U431"/>
      <c r="V431"/>
      <c r="W431"/>
      <c r="X431"/>
      <c r="Y431"/>
      <c r="Z431"/>
      <c r="AA431"/>
    </row>
    <row r="432" spans="1:27" s="23" customFormat="1" x14ac:dyDescent="0.25">
      <c r="A432"/>
      <c r="B432" s="24" t="str">
        <f t="shared" si="668"/>
        <v>-</v>
      </c>
      <c r="C432" s="24"/>
      <c r="D432" s="24"/>
      <c r="E432" s="24"/>
      <c r="F432" s="24"/>
      <c r="G432"/>
      <c r="H432"/>
      <c r="J432" s="2"/>
      <c r="K432"/>
      <c r="L432"/>
      <c r="N432"/>
      <c r="O432"/>
      <c r="P432"/>
      <c r="Q432"/>
      <c r="R432"/>
      <c r="S432"/>
      <c r="T432"/>
      <c r="U432"/>
      <c r="V432"/>
      <c r="W432"/>
      <c r="X432"/>
      <c r="Y432"/>
      <c r="Z432"/>
      <c r="AA432"/>
    </row>
    <row r="433" spans="1:27" s="23" customFormat="1" x14ac:dyDescent="0.25">
      <c r="A433"/>
      <c r="B433" s="24" t="str">
        <f t="shared" si="668"/>
        <v>-</v>
      </c>
      <c r="C433" s="24"/>
      <c r="D433" s="24"/>
      <c r="E433" s="24"/>
      <c r="F433" s="24"/>
      <c r="G433"/>
      <c r="H433"/>
      <c r="J433" s="2"/>
      <c r="K433"/>
      <c r="L433"/>
      <c r="N433"/>
      <c r="O433"/>
      <c r="P433"/>
      <c r="Q433"/>
      <c r="R433"/>
      <c r="S433"/>
      <c r="T433"/>
      <c r="U433"/>
      <c r="V433"/>
      <c r="W433"/>
      <c r="X433"/>
      <c r="Y433"/>
      <c r="Z433"/>
      <c r="AA433"/>
    </row>
    <row r="434" spans="1:27" s="23" customFormat="1" x14ac:dyDescent="0.25">
      <c r="A434"/>
      <c r="B434" s="24" t="str">
        <f t="shared" si="668"/>
        <v>-</v>
      </c>
      <c r="C434" s="24"/>
      <c r="D434" s="24"/>
      <c r="E434" s="24"/>
      <c r="F434" s="24"/>
      <c r="G434"/>
      <c r="H434"/>
      <c r="J434" s="2"/>
      <c r="K434"/>
      <c r="L434"/>
      <c r="N434"/>
      <c r="O434"/>
      <c r="P434"/>
      <c r="Q434"/>
      <c r="R434"/>
      <c r="S434"/>
      <c r="T434"/>
      <c r="U434"/>
      <c r="V434"/>
      <c r="W434"/>
      <c r="X434"/>
      <c r="Y434"/>
      <c r="Z434"/>
      <c r="AA434"/>
    </row>
    <row r="435" spans="1:27" s="23" customFormat="1" x14ac:dyDescent="0.25">
      <c r="A435"/>
      <c r="B435" s="24" t="str">
        <f t="shared" si="668"/>
        <v>-</v>
      </c>
      <c r="C435" s="24"/>
      <c r="D435" s="24"/>
      <c r="E435" s="24"/>
      <c r="F435" s="24"/>
      <c r="G435"/>
      <c r="H435"/>
      <c r="J435" s="2"/>
      <c r="K435"/>
      <c r="L435"/>
      <c r="N435"/>
      <c r="O435"/>
      <c r="P435"/>
      <c r="Q435"/>
      <c r="R435"/>
      <c r="S435"/>
      <c r="T435"/>
      <c r="U435"/>
      <c r="V435"/>
      <c r="W435"/>
      <c r="X435"/>
      <c r="Y435"/>
      <c r="Z435"/>
      <c r="AA435"/>
    </row>
    <row r="436" spans="1:27" s="23" customFormat="1" x14ac:dyDescent="0.25">
      <c r="A436"/>
      <c r="B436" s="24" t="str">
        <f t="shared" si="668"/>
        <v>-</v>
      </c>
      <c r="C436" s="24"/>
      <c r="D436" s="24"/>
      <c r="E436" s="24"/>
      <c r="F436" s="24"/>
      <c r="G436"/>
      <c r="H436"/>
      <c r="J436" s="2"/>
      <c r="K436"/>
      <c r="L436"/>
      <c r="N436"/>
      <c r="O436"/>
      <c r="P436"/>
      <c r="Q436"/>
      <c r="R436"/>
      <c r="S436"/>
      <c r="T436"/>
      <c r="U436"/>
      <c r="V436"/>
      <c r="W436"/>
      <c r="X436"/>
      <c r="Y436"/>
      <c r="Z436"/>
      <c r="AA436"/>
    </row>
    <row r="437" spans="1:27" s="23" customFormat="1" x14ac:dyDescent="0.25">
      <c r="A437"/>
      <c r="B437" s="24" t="str">
        <f t="shared" si="668"/>
        <v>-</v>
      </c>
      <c r="C437" s="24"/>
      <c r="D437" s="24"/>
      <c r="E437" s="24"/>
      <c r="F437" s="24"/>
      <c r="G437"/>
      <c r="H437"/>
      <c r="J437" s="2"/>
      <c r="K437"/>
      <c r="L437"/>
      <c r="N437"/>
      <c r="O437"/>
      <c r="P437"/>
      <c r="Q437"/>
      <c r="R437"/>
      <c r="S437"/>
      <c r="T437"/>
      <c r="U437"/>
      <c r="V437"/>
      <c r="W437"/>
      <c r="X437"/>
      <c r="Y437"/>
      <c r="Z437"/>
      <c r="AA437"/>
    </row>
    <row r="438" spans="1:27" s="23" customFormat="1" x14ac:dyDescent="0.25">
      <c r="A438"/>
      <c r="B438" s="24" t="str">
        <f t="shared" si="668"/>
        <v>-</v>
      </c>
      <c r="C438" s="24"/>
      <c r="D438" s="24"/>
      <c r="E438" s="24"/>
      <c r="F438" s="24"/>
      <c r="G438"/>
      <c r="H438"/>
      <c r="J438" s="2"/>
      <c r="K438"/>
      <c r="L438"/>
      <c r="N438"/>
      <c r="O438"/>
      <c r="P438"/>
      <c r="Q438"/>
      <c r="R438"/>
      <c r="S438"/>
      <c r="T438"/>
      <c r="U438"/>
      <c r="V438"/>
      <c r="W438"/>
      <c r="X438"/>
      <c r="Y438"/>
      <c r="Z438"/>
      <c r="AA438"/>
    </row>
    <row r="439" spans="1:27" s="23" customFormat="1" x14ac:dyDescent="0.25">
      <c r="A439"/>
      <c r="B439" s="24" t="str">
        <f t="shared" si="668"/>
        <v>-</v>
      </c>
      <c r="C439" s="24"/>
      <c r="D439" s="24"/>
      <c r="E439" s="24"/>
      <c r="F439" s="24"/>
      <c r="G439"/>
      <c r="H439"/>
      <c r="J439" s="2"/>
      <c r="K439"/>
      <c r="L439"/>
      <c r="N439"/>
      <c r="O439"/>
      <c r="P439"/>
      <c r="Q439"/>
      <c r="R439"/>
      <c r="S439"/>
      <c r="T439"/>
      <c r="U439"/>
      <c r="V439"/>
      <c r="W439"/>
      <c r="X439"/>
      <c r="Y439"/>
      <c r="Z439"/>
      <c r="AA439"/>
    </row>
    <row r="440" spans="1:27" s="23" customFormat="1" x14ac:dyDescent="0.25">
      <c r="A440"/>
      <c r="B440" s="24" t="str">
        <f t="shared" si="668"/>
        <v>-</v>
      </c>
      <c r="C440" s="24"/>
      <c r="D440" s="24"/>
      <c r="E440" s="24"/>
      <c r="F440" s="24"/>
      <c r="G440"/>
      <c r="H440"/>
      <c r="J440" s="2"/>
      <c r="K440"/>
      <c r="L440"/>
      <c r="N440"/>
      <c r="O440"/>
      <c r="P440"/>
      <c r="Q440"/>
      <c r="R440"/>
      <c r="S440"/>
      <c r="T440"/>
      <c r="U440"/>
      <c r="V440"/>
      <c r="W440"/>
      <c r="X440"/>
      <c r="Y440"/>
      <c r="Z440"/>
      <c r="AA440"/>
    </row>
    <row r="441" spans="1:27" s="23" customFormat="1" x14ac:dyDescent="0.25">
      <c r="A441"/>
      <c r="B441" s="24" t="str">
        <f t="shared" si="668"/>
        <v>-</v>
      </c>
      <c r="C441" s="24"/>
      <c r="D441" s="24"/>
      <c r="E441" s="24"/>
      <c r="F441" s="24"/>
      <c r="G441"/>
      <c r="H441"/>
      <c r="J441" s="2"/>
      <c r="K441"/>
      <c r="L441"/>
      <c r="N441"/>
      <c r="O441"/>
      <c r="P441"/>
      <c r="Q441"/>
      <c r="R441"/>
      <c r="S441"/>
      <c r="T441"/>
      <c r="U441"/>
      <c r="V441"/>
      <c r="W441"/>
      <c r="X441"/>
      <c r="Y441"/>
      <c r="Z441"/>
      <c r="AA441"/>
    </row>
    <row r="442" spans="1:27" s="23" customFormat="1" x14ac:dyDescent="0.25">
      <c r="A442"/>
      <c r="B442" s="24" t="str">
        <f t="shared" si="668"/>
        <v>-</v>
      </c>
      <c r="C442" s="24"/>
      <c r="D442" s="24"/>
      <c r="E442" s="24"/>
      <c r="F442" s="24"/>
      <c r="G442"/>
      <c r="H442"/>
      <c r="J442" s="2"/>
      <c r="K442"/>
      <c r="L442"/>
      <c r="N442"/>
      <c r="O442"/>
      <c r="P442"/>
      <c r="Q442"/>
      <c r="R442"/>
      <c r="S442"/>
      <c r="T442"/>
      <c r="U442"/>
      <c r="V442"/>
      <c r="W442"/>
      <c r="X442"/>
      <c r="Y442"/>
      <c r="Z442"/>
      <c r="AA442"/>
    </row>
    <row r="443" spans="1:27" s="23" customFormat="1" x14ac:dyDescent="0.25">
      <c r="A443"/>
      <c r="B443" s="24" t="str">
        <f t="shared" si="668"/>
        <v>-</v>
      </c>
      <c r="C443" s="24"/>
      <c r="D443" s="24"/>
      <c r="E443" s="24"/>
      <c r="F443" s="24"/>
      <c r="G443"/>
      <c r="H443"/>
      <c r="J443" s="2"/>
      <c r="K443"/>
      <c r="L443"/>
      <c r="N443"/>
      <c r="O443"/>
      <c r="P443"/>
      <c r="Q443"/>
      <c r="R443"/>
      <c r="S443"/>
      <c r="T443"/>
      <c r="U443"/>
      <c r="V443"/>
      <c r="W443"/>
      <c r="X443"/>
      <c r="Y443"/>
      <c r="Z443"/>
      <c r="AA443"/>
    </row>
    <row r="444" spans="1:27" s="23" customFormat="1" x14ac:dyDescent="0.25">
      <c r="A444"/>
      <c r="B444" s="24" t="str">
        <f t="shared" si="668"/>
        <v>-</v>
      </c>
      <c r="C444" s="24"/>
      <c r="D444" s="24"/>
      <c r="E444" s="24"/>
      <c r="F444" s="24"/>
      <c r="G444"/>
      <c r="H444"/>
      <c r="J444" s="2"/>
      <c r="K444"/>
      <c r="L444"/>
      <c r="N444"/>
      <c r="O444"/>
      <c r="P444"/>
      <c r="Q444"/>
      <c r="R444"/>
      <c r="S444"/>
      <c r="T444"/>
      <c r="U444"/>
      <c r="V444"/>
      <c r="W444"/>
      <c r="X444"/>
      <c r="Y444"/>
      <c r="Z444"/>
      <c r="AA444"/>
    </row>
    <row r="445" spans="1:27" s="23" customFormat="1" x14ac:dyDescent="0.25">
      <c r="A445"/>
      <c r="B445" s="24" t="str">
        <f t="shared" si="668"/>
        <v>-</v>
      </c>
      <c r="C445" s="24"/>
      <c r="D445" s="24"/>
      <c r="E445" s="24"/>
      <c r="F445" s="24"/>
      <c r="G445"/>
      <c r="H445"/>
      <c r="J445" s="2"/>
      <c r="K445"/>
      <c r="L445"/>
      <c r="N445"/>
      <c r="O445"/>
      <c r="P445"/>
      <c r="Q445"/>
      <c r="R445"/>
      <c r="S445"/>
      <c r="T445"/>
      <c r="U445"/>
      <c r="V445"/>
      <c r="W445"/>
      <c r="X445"/>
      <c r="Y445"/>
      <c r="Z445"/>
      <c r="AA445"/>
    </row>
    <row r="446" spans="1:27" s="23" customFormat="1" x14ac:dyDescent="0.25">
      <c r="A446"/>
      <c r="B446" s="24" t="str">
        <f t="shared" si="668"/>
        <v>-</v>
      </c>
      <c r="C446" s="24"/>
      <c r="D446" s="24"/>
      <c r="E446" s="24"/>
      <c r="F446" s="24"/>
      <c r="G446"/>
      <c r="H446"/>
      <c r="J446" s="2"/>
      <c r="K446"/>
      <c r="L446"/>
      <c r="N446"/>
      <c r="O446"/>
      <c r="P446"/>
      <c r="Q446"/>
      <c r="R446"/>
      <c r="S446"/>
      <c r="T446"/>
      <c r="U446"/>
      <c r="V446"/>
      <c r="W446"/>
      <c r="X446"/>
      <c r="Y446"/>
      <c r="Z446"/>
      <c r="AA446"/>
    </row>
    <row r="447" spans="1:27" s="23" customFormat="1" x14ac:dyDescent="0.25">
      <c r="A447"/>
      <c r="B447" s="24" t="str">
        <f t="shared" si="668"/>
        <v>-</v>
      </c>
      <c r="C447" s="24"/>
      <c r="D447" s="24"/>
      <c r="E447" s="24"/>
      <c r="F447" s="24"/>
      <c r="G447"/>
      <c r="H447"/>
      <c r="J447" s="2"/>
      <c r="K447"/>
      <c r="L447"/>
      <c r="N447"/>
      <c r="O447"/>
      <c r="P447"/>
      <c r="Q447"/>
      <c r="R447"/>
      <c r="S447"/>
      <c r="T447"/>
      <c r="U447"/>
      <c r="V447"/>
      <c r="W447"/>
      <c r="X447"/>
      <c r="Y447"/>
      <c r="Z447"/>
      <c r="AA447"/>
    </row>
    <row r="448" spans="1:27" s="23" customFormat="1" x14ac:dyDescent="0.25">
      <c r="A448"/>
      <c r="B448" s="24" t="str">
        <f t="shared" si="668"/>
        <v>-</v>
      </c>
      <c r="C448" s="24"/>
      <c r="D448" s="24"/>
      <c r="E448" s="24"/>
      <c r="F448" s="24"/>
      <c r="G448"/>
      <c r="H448"/>
      <c r="J448" s="2"/>
      <c r="K448"/>
      <c r="L448"/>
      <c r="N448"/>
      <c r="O448"/>
      <c r="P448"/>
      <c r="Q448"/>
      <c r="R448"/>
      <c r="S448"/>
      <c r="T448"/>
      <c r="U448"/>
      <c r="V448"/>
      <c r="W448"/>
      <c r="X448"/>
      <c r="Y448"/>
      <c r="Z448"/>
      <c r="AA448"/>
    </row>
    <row r="449" spans="1:27" s="23" customFormat="1" x14ac:dyDescent="0.25">
      <c r="A449"/>
      <c r="B449" s="24" t="str">
        <f t="shared" si="668"/>
        <v>-</v>
      </c>
      <c r="C449" s="24"/>
      <c r="D449" s="24"/>
      <c r="E449" s="24"/>
      <c r="F449" s="24"/>
      <c r="G449"/>
      <c r="H449"/>
      <c r="J449" s="2"/>
      <c r="K449"/>
      <c r="L449"/>
      <c r="N449"/>
      <c r="O449"/>
      <c r="P449"/>
      <c r="Q449"/>
      <c r="R449"/>
      <c r="S449"/>
      <c r="T449"/>
      <c r="U449"/>
      <c r="V449"/>
      <c r="W449"/>
      <c r="X449"/>
      <c r="Y449"/>
      <c r="Z449"/>
      <c r="AA449"/>
    </row>
    <row r="450" spans="1:27" s="23" customFormat="1" x14ac:dyDescent="0.25">
      <c r="A450"/>
      <c r="B450" s="24" t="str">
        <f t="shared" si="668"/>
        <v>-</v>
      </c>
      <c r="C450" s="24"/>
      <c r="D450" s="24"/>
      <c r="E450" s="24"/>
      <c r="F450" s="24"/>
      <c r="G450"/>
      <c r="H450"/>
      <c r="J450" s="2"/>
      <c r="K450"/>
      <c r="L450"/>
      <c r="N450"/>
      <c r="O450"/>
      <c r="P450"/>
      <c r="Q450"/>
      <c r="R450"/>
      <c r="S450"/>
      <c r="T450"/>
      <c r="U450"/>
      <c r="V450"/>
      <c r="W450"/>
      <c r="X450"/>
      <c r="Y450"/>
      <c r="Z450"/>
      <c r="AA450"/>
    </row>
    <row r="451" spans="1:27" s="23" customFormat="1" x14ac:dyDescent="0.25">
      <c r="A451"/>
      <c r="B451" s="24" t="str">
        <f t="shared" si="668"/>
        <v>-</v>
      </c>
      <c r="C451" s="24"/>
      <c r="D451" s="24"/>
      <c r="E451" s="24"/>
      <c r="F451" s="24"/>
      <c r="G451"/>
      <c r="H451"/>
      <c r="J451" s="2"/>
      <c r="K451"/>
      <c r="L451"/>
      <c r="N451"/>
      <c r="O451"/>
      <c r="P451"/>
      <c r="Q451"/>
      <c r="R451"/>
      <c r="S451"/>
      <c r="T451"/>
      <c r="U451"/>
      <c r="V451"/>
      <c r="W451"/>
      <c r="X451"/>
      <c r="Y451"/>
      <c r="Z451"/>
      <c r="AA451"/>
    </row>
    <row r="452" spans="1:27" s="23" customFormat="1" x14ac:dyDescent="0.25">
      <c r="A452"/>
      <c r="B452" s="24" t="str">
        <f t="shared" si="668"/>
        <v>-</v>
      </c>
      <c r="C452" s="24"/>
      <c r="D452" s="24"/>
      <c r="E452" s="24"/>
      <c r="F452" s="24"/>
      <c r="G452"/>
      <c r="H452"/>
      <c r="J452" s="2"/>
      <c r="K452"/>
      <c r="L452"/>
      <c r="N452"/>
      <c r="O452"/>
      <c r="P452"/>
      <c r="Q452"/>
      <c r="R452"/>
      <c r="S452"/>
      <c r="T452"/>
      <c r="U452"/>
      <c r="V452"/>
      <c r="W452"/>
      <c r="X452"/>
      <c r="Y452"/>
      <c r="Z452"/>
      <c r="AA452"/>
    </row>
    <row r="453" spans="1:27" s="23" customFormat="1" x14ac:dyDescent="0.25">
      <c r="A453"/>
      <c r="B453" s="24" t="str">
        <f t="shared" si="668"/>
        <v>-</v>
      </c>
      <c r="C453" s="24"/>
      <c r="D453" s="24"/>
      <c r="E453" s="24"/>
      <c r="F453" s="24"/>
      <c r="G453"/>
      <c r="H453"/>
      <c r="J453" s="2"/>
      <c r="K453"/>
      <c r="L453"/>
      <c r="N453"/>
      <c r="O453"/>
      <c r="P453"/>
      <c r="Q453"/>
      <c r="R453"/>
      <c r="S453"/>
      <c r="T453"/>
      <c r="U453"/>
      <c r="V453"/>
      <c r="W453"/>
      <c r="X453"/>
      <c r="Y453"/>
      <c r="Z453"/>
      <c r="AA453"/>
    </row>
    <row r="454" spans="1:27" s="23" customFormat="1" x14ac:dyDescent="0.25">
      <c r="A454"/>
      <c r="B454" s="24" t="str">
        <f t="shared" si="668"/>
        <v>-</v>
      </c>
      <c r="C454" s="24"/>
      <c r="D454" s="24"/>
      <c r="E454" s="24"/>
      <c r="F454" s="24"/>
      <c r="G454"/>
      <c r="H454"/>
      <c r="J454" s="2"/>
      <c r="K454"/>
      <c r="L454"/>
      <c r="N454"/>
      <c r="O454"/>
      <c r="P454"/>
      <c r="Q454"/>
      <c r="R454"/>
      <c r="S454"/>
      <c r="T454"/>
      <c r="U454"/>
      <c r="V454"/>
      <c r="W454"/>
      <c r="X454"/>
      <c r="Y454"/>
      <c r="Z454"/>
      <c r="AA454"/>
    </row>
    <row r="455" spans="1:27" s="23" customFormat="1" x14ac:dyDescent="0.25">
      <c r="A455"/>
      <c r="B455" s="24" t="str">
        <f t="shared" si="668"/>
        <v>-</v>
      </c>
      <c r="C455" s="24"/>
      <c r="D455" s="24"/>
      <c r="E455" s="24"/>
      <c r="F455" s="24"/>
      <c r="G455"/>
      <c r="H455"/>
      <c r="J455" s="2"/>
      <c r="K455"/>
      <c r="L455"/>
      <c r="N455"/>
      <c r="O455"/>
      <c r="P455"/>
      <c r="Q455"/>
      <c r="R455"/>
      <c r="S455"/>
      <c r="T455"/>
      <c r="U455"/>
      <c r="V455"/>
      <c r="W455"/>
      <c r="X455"/>
      <c r="Y455"/>
      <c r="Z455"/>
      <c r="AA455"/>
    </row>
    <row r="456" spans="1:27" s="23" customFormat="1" x14ac:dyDescent="0.25">
      <c r="A456"/>
      <c r="B456" s="24" t="str">
        <f t="shared" si="668"/>
        <v>-</v>
      </c>
      <c r="C456" s="24"/>
      <c r="D456" s="24"/>
      <c r="E456" s="24"/>
      <c r="F456" s="24"/>
      <c r="G456"/>
      <c r="H456"/>
      <c r="J456" s="2"/>
      <c r="K456"/>
      <c r="L456"/>
      <c r="N456"/>
      <c r="O456"/>
      <c r="P456"/>
      <c r="Q456"/>
      <c r="R456"/>
      <c r="S456"/>
      <c r="T456"/>
      <c r="U456"/>
      <c r="V456"/>
      <c r="W456"/>
      <c r="X456"/>
      <c r="Y456"/>
      <c r="Z456"/>
      <c r="AA456"/>
    </row>
    <row r="457" spans="1:27" s="23" customFormat="1" x14ac:dyDescent="0.25">
      <c r="A457"/>
      <c r="B457" s="24" t="str">
        <f t="shared" si="668"/>
        <v>-</v>
      </c>
      <c r="C457" s="24"/>
      <c r="D457" s="24"/>
      <c r="E457" s="24"/>
      <c r="F457" s="24"/>
      <c r="G457"/>
      <c r="H457"/>
      <c r="J457" s="2"/>
      <c r="K457"/>
      <c r="L457"/>
      <c r="N457"/>
      <c r="O457"/>
      <c r="P457"/>
      <c r="Q457"/>
      <c r="R457"/>
      <c r="S457"/>
      <c r="T457"/>
      <c r="U457"/>
      <c r="V457"/>
      <c r="W457"/>
      <c r="X457"/>
      <c r="Y457"/>
      <c r="Z457"/>
      <c r="AA457"/>
    </row>
    <row r="458" spans="1:27" s="23" customFormat="1" x14ac:dyDescent="0.25">
      <c r="A458"/>
      <c r="B458" s="24" t="str">
        <f t="shared" si="668"/>
        <v>-</v>
      </c>
      <c r="C458" s="24"/>
      <c r="D458" s="24"/>
      <c r="E458" s="24"/>
      <c r="F458" s="24"/>
      <c r="G458"/>
      <c r="H458"/>
      <c r="J458" s="2"/>
      <c r="K458"/>
      <c r="L458"/>
      <c r="N458"/>
      <c r="O458"/>
      <c r="P458"/>
      <c r="Q458"/>
      <c r="R458"/>
      <c r="S458"/>
      <c r="T458"/>
      <c r="U458"/>
      <c r="V458"/>
      <c r="W458"/>
      <c r="X458"/>
      <c r="Y458"/>
      <c r="Z458"/>
      <c r="AA458"/>
    </row>
    <row r="459" spans="1:27" s="23" customFormat="1" x14ac:dyDescent="0.25">
      <c r="A459"/>
      <c r="B459" s="24" t="str">
        <f t="shared" si="668"/>
        <v>-</v>
      </c>
      <c r="C459" s="24"/>
      <c r="D459" s="24"/>
      <c r="E459" s="24"/>
      <c r="F459" s="24"/>
      <c r="G459"/>
      <c r="H459"/>
      <c r="J459" s="2"/>
      <c r="K459"/>
      <c r="L459"/>
      <c r="N459"/>
      <c r="O459"/>
      <c r="P459"/>
      <c r="Q459"/>
      <c r="R459"/>
      <c r="S459"/>
      <c r="T459"/>
      <c r="U459"/>
      <c r="V459"/>
      <c r="W459"/>
      <c r="X459"/>
      <c r="Y459"/>
      <c r="Z459"/>
      <c r="AA459"/>
    </row>
    <row r="460" spans="1:27" s="23" customFormat="1" x14ac:dyDescent="0.25">
      <c r="A460"/>
      <c r="B460" s="24" t="str">
        <f t="shared" si="668"/>
        <v>-</v>
      </c>
      <c r="C460" s="24"/>
      <c r="D460" s="24"/>
      <c r="E460" s="24"/>
      <c r="F460" s="24"/>
      <c r="G460"/>
      <c r="H460"/>
      <c r="J460" s="2"/>
      <c r="K460"/>
      <c r="L460"/>
      <c r="N460"/>
      <c r="O460"/>
      <c r="P460"/>
      <c r="Q460"/>
      <c r="R460"/>
      <c r="S460"/>
      <c r="T460"/>
      <c r="U460"/>
      <c r="V460"/>
      <c r="W460"/>
      <c r="X460"/>
      <c r="Y460"/>
      <c r="Z460"/>
      <c r="AA460"/>
    </row>
    <row r="461" spans="1:27" s="23" customFormat="1" x14ac:dyDescent="0.25">
      <c r="A461"/>
      <c r="B461" s="24" t="str">
        <f t="shared" si="668"/>
        <v>-</v>
      </c>
      <c r="C461" s="24"/>
      <c r="D461" s="24"/>
      <c r="E461" s="24"/>
      <c r="F461" s="24"/>
      <c r="G461"/>
      <c r="H461"/>
      <c r="J461" s="2"/>
      <c r="K461"/>
      <c r="L461"/>
      <c r="N461"/>
      <c r="O461"/>
      <c r="P461"/>
      <c r="Q461"/>
      <c r="R461"/>
      <c r="S461"/>
      <c r="T461"/>
      <c r="U461"/>
      <c r="V461"/>
      <c r="W461"/>
      <c r="X461"/>
      <c r="Y461"/>
      <c r="Z461"/>
      <c r="AA461"/>
    </row>
    <row r="462" spans="1:27" s="23" customFormat="1" x14ac:dyDescent="0.25">
      <c r="A462"/>
      <c r="B462" s="24" t="str">
        <f t="shared" si="668"/>
        <v>-</v>
      </c>
      <c r="C462" s="24"/>
      <c r="D462" s="24"/>
      <c r="E462" s="24"/>
      <c r="F462" s="24"/>
      <c r="G462"/>
      <c r="H462"/>
      <c r="J462" s="2"/>
      <c r="K462"/>
      <c r="L462"/>
      <c r="N462"/>
      <c r="O462"/>
      <c r="P462"/>
      <c r="Q462"/>
      <c r="R462"/>
      <c r="S462"/>
      <c r="T462"/>
      <c r="U462"/>
      <c r="V462"/>
      <c r="W462"/>
      <c r="X462"/>
      <c r="Y462"/>
      <c r="Z462"/>
      <c r="AA462"/>
    </row>
    <row r="463" spans="1:27" s="23" customFormat="1" x14ac:dyDescent="0.25">
      <c r="A463"/>
      <c r="B463" s="24" t="str">
        <f t="shared" si="668"/>
        <v>-</v>
      </c>
      <c r="C463" s="24"/>
      <c r="D463" s="24"/>
      <c r="E463" s="24"/>
      <c r="F463" s="24"/>
      <c r="G463"/>
      <c r="H463"/>
      <c r="J463" s="2"/>
      <c r="K463"/>
      <c r="L463"/>
      <c r="N463"/>
      <c r="O463"/>
      <c r="P463"/>
      <c r="Q463"/>
      <c r="R463"/>
      <c r="S463"/>
      <c r="T463"/>
      <c r="U463"/>
      <c r="V463"/>
      <c r="W463"/>
      <c r="X463"/>
      <c r="Y463"/>
      <c r="Z463"/>
      <c r="AA463"/>
    </row>
    <row r="464" spans="1:27" s="23" customFormat="1" x14ac:dyDescent="0.25">
      <c r="A464"/>
      <c r="B464" s="24" t="str">
        <f t="shared" si="668"/>
        <v>-</v>
      </c>
      <c r="C464" s="24"/>
      <c r="D464" s="24"/>
      <c r="E464" s="24"/>
      <c r="F464" s="24"/>
      <c r="G464"/>
      <c r="H464"/>
      <c r="J464" s="2"/>
      <c r="K464"/>
      <c r="L464"/>
      <c r="N464"/>
      <c r="O464"/>
      <c r="P464"/>
      <c r="Q464"/>
      <c r="R464"/>
      <c r="S464"/>
      <c r="T464"/>
      <c r="U464"/>
      <c r="V464"/>
      <c r="W464"/>
      <c r="X464"/>
      <c r="Y464"/>
      <c r="Z464"/>
      <c r="AA464"/>
    </row>
    <row r="465" spans="1:27" s="23" customFormat="1" x14ac:dyDescent="0.25">
      <c r="A465"/>
      <c r="B465" s="24" t="str">
        <f t="shared" ref="B465:B505" si="669">IF(A465&gt;A464,1+B464,"-")</f>
        <v>-</v>
      </c>
      <c r="C465" s="24"/>
      <c r="D465" s="24"/>
      <c r="E465" s="24"/>
      <c r="F465" s="24"/>
      <c r="G465"/>
      <c r="H465"/>
      <c r="J465" s="2"/>
      <c r="K465"/>
      <c r="L465"/>
      <c r="N465"/>
      <c r="O465"/>
      <c r="P465"/>
      <c r="Q465"/>
      <c r="R465"/>
      <c r="S465"/>
      <c r="T465"/>
      <c r="U465"/>
      <c r="V465"/>
      <c r="W465"/>
      <c r="X465"/>
      <c r="Y465"/>
      <c r="Z465"/>
      <c r="AA465"/>
    </row>
    <row r="466" spans="1:27" s="23" customFormat="1" x14ac:dyDescent="0.25">
      <c r="A466"/>
      <c r="B466" s="24" t="str">
        <f t="shared" si="669"/>
        <v>-</v>
      </c>
      <c r="C466" s="24"/>
      <c r="D466" s="24"/>
      <c r="E466" s="24"/>
      <c r="F466" s="24"/>
      <c r="G466"/>
      <c r="H466"/>
      <c r="J466" s="2"/>
      <c r="K466"/>
      <c r="L466"/>
      <c r="N466"/>
      <c r="O466"/>
      <c r="P466"/>
      <c r="Q466"/>
      <c r="R466"/>
      <c r="S466"/>
      <c r="T466"/>
      <c r="U466"/>
      <c r="V466"/>
      <c r="W466"/>
      <c r="X466"/>
      <c r="Y466"/>
      <c r="Z466"/>
      <c r="AA466"/>
    </row>
    <row r="467" spans="1:27" s="23" customFormat="1" x14ac:dyDescent="0.25">
      <c r="A467"/>
      <c r="B467" s="24" t="str">
        <f t="shared" si="669"/>
        <v>-</v>
      </c>
      <c r="C467" s="24"/>
      <c r="D467" s="24"/>
      <c r="E467" s="24"/>
      <c r="F467" s="24"/>
      <c r="G467"/>
      <c r="H467"/>
      <c r="J467" s="2"/>
      <c r="K467"/>
      <c r="L467"/>
      <c r="N467"/>
      <c r="O467"/>
      <c r="P467"/>
      <c r="Q467"/>
      <c r="R467"/>
      <c r="S467"/>
      <c r="T467"/>
      <c r="U467"/>
      <c r="V467"/>
      <c r="W467"/>
      <c r="X467"/>
      <c r="Y467"/>
      <c r="Z467"/>
      <c r="AA467"/>
    </row>
    <row r="468" spans="1:27" s="23" customFormat="1" x14ac:dyDescent="0.25">
      <c r="A468"/>
      <c r="B468" s="24" t="str">
        <f t="shared" si="669"/>
        <v>-</v>
      </c>
      <c r="C468" s="24"/>
      <c r="D468" s="24"/>
      <c r="E468" s="24"/>
      <c r="F468" s="24"/>
      <c r="G468"/>
      <c r="H468"/>
      <c r="J468" s="2"/>
      <c r="K468"/>
      <c r="L468"/>
      <c r="N468"/>
      <c r="O468"/>
      <c r="P468"/>
      <c r="Q468"/>
      <c r="R468"/>
      <c r="S468"/>
      <c r="T468"/>
      <c r="U468"/>
      <c r="V468"/>
      <c r="W468"/>
      <c r="X468"/>
      <c r="Y468"/>
      <c r="Z468"/>
      <c r="AA468"/>
    </row>
    <row r="469" spans="1:27" s="23" customFormat="1" x14ac:dyDescent="0.25">
      <c r="A469"/>
      <c r="B469" s="24" t="str">
        <f t="shared" si="669"/>
        <v>-</v>
      </c>
      <c r="C469" s="24"/>
      <c r="D469" s="24"/>
      <c r="E469" s="24"/>
      <c r="F469" s="24"/>
      <c r="G469"/>
      <c r="H469"/>
      <c r="J469" s="2"/>
      <c r="K469"/>
      <c r="L469"/>
      <c r="N469"/>
      <c r="O469"/>
      <c r="P469"/>
      <c r="Q469"/>
      <c r="R469"/>
      <c r="S469"/>
      <c r="T469"/>
      <c r="U469"/>
      <c r="V469"/>
      <c r="W469"/>
      <c r="X469"/>
      <c r="Y469"/>
      <c r="Z469"/>
      <c r="AA469"/>
    </row>
    <row r="470" spans="1:27" s="23" customFormat="1" x14ac:dyDescent="0.25">
      <c r="A470"/>
      <c r="B470" s="24" t="str">
        <f t="shared" si="669"/>
        <v>-</v>
      </c>
      <c r="C470" s="24"/>
      <c r="D470" s="24"/>
      <c r="E470" s="24"/>
      <c r="F470" s="24"/>
      <c r="G470"/>
      <c r="H470"/>
      <c r="J470" s="2"/>
      <c r="K470"/>
      <c r="L470"/>
      <c r="N470"/>
      <c r="O470"/>
      <c r="P470"/>
      <c r="Q470"/>
      <c r="R470"/>
      <c r="S470"/>
      <c r="T470"/>
      <c r="U470"/>
      <c r="V470"/>
      <c r="W470"/>
      <c r="X470"/>
      <c r="Y470"/>
      <c r="Z470"/>
      <c r="AA470"/>
    </row>
    <row r="471" spans="1:27" s="23" customFormat="1" x14ac:dyDescent="0.25">
      <c r="A471"/>
      <c r="B471" s="24" t="str">
        <f t="shared" si="669"/>
        <v>-</v>
      </c>
      <c r="C471" s="24"/>
      <c r="D471" s="24"/>
      <c r="E471" s="24"/>
      <c r="F471" s="24"/>
      <c r="G471"/>
      <c r="H471"/>
      <c r="J471" s="2"/>
      <c r="K471"/>
      <c r="L471"/>
      <c r="N471"/>
      <c r="O471"/>
      <c r="P471"/>
      <c r="Q471"/>
      <c r="R471"/>
      <c r="S471"/>
      <c r="T471"/>
      <c r="U471"/>
      <c r="V471"/>
      <c r="W471"/>
      <c r="X471"/>
      <c r="Y471"/>
      <c r="Z471"/>
      <c r="AA471"/>
    </row>
    <row r="472" spans="1:27" s="23" customFormat="1" x14ac:dyDescent="0.25">
      <c r="A472"/>
      <c r="B472" s="24" t="str">
        <f t="shared" si="669"/>
        <v>-</v>
      </c>
      <c r="C472" s="24"/>
      <c r="D472" s="24"/>
      <c r="E472" s="24"/>
      <c r="F472" s="24"/>
      <c r="G472"/>
      <c r="H472"/>
      <c r="J472" s="2"/>
      <c r="K472"/>
      <c r="L472"/>
      <c r="N472"/>
      <c r="O472"/>
      <c r="P472"/>
      <c r="Q472"/>
      <c r="R472"/>
      <c r="S472"/>
      <c r="T472"/>
      <c r="U472"/>
      <c r="V472"/>
      <c r="W472"/>
      <c r="X472"/>
      <c r="Y472"/>
      <c r="Z472"/>
      <c r="AA472"/>
    </row>
    <row r="473" spans="1:27" s="23" customFormat="1" x14ac:dyDescent="0.25">
      <c r="A473"/>
      <c r="B473" s="24" t="str">
        <f t="shared" si="669"/>
        <v>-</v>
      </c>
      <c r="C473" s="24"/>
      <c r="D473" s="24"/>
      <c r="E473" s="24"/>
      <c r="F473" s="24"/>
      <c r="G473"/>
      <c r="H473"/>
      <c r="J473" s="2"/>
      <c r="K473"/>
      <c r="L473"/>
      <c r="N473"/>
      <c r="O473"/>
      <c r="P473"/>
      <c r="Q473"/>
      <c r="R473"/>
      <c r="S473"/>
      <c r="T473"/>
      <c r="U473"/>
      <c r="V473"/>
      <c r="W473"/>
      <c r="X473"/>
      <c r="Y473"/>
      <c r="Z473"/>
      <c r="AA473"/>
    </row>
    <row r="474" spans="1:27" s="23" customFormat="1" x14ac:dyDescent="0.25">
      <c r="A474"/>
      <c r="B474" s="24" t="str">
        <f t="shared" si="669"/>
        <v>-</v>
      </c>
      <c r="C474" s="24"/>
      <c r="D474" s="24"/>
      <c r="E474" s="24"/>
      <c r="F474" s="24"/>
      <c r="G474"/>
      <c r="H474"/>
      <c r="J474" s="2"/>
      <c r="K474"/>
      <c r="L474"/>
      <c r="N474"/>
      <c r="O474"/>
      <c r="P474"/>
      <c r="Q474"/>
      <c r="R474"/>
      <c r="S474"/>
      <c r="T474"/>
      <c r="U474"/>
      <c r="V474"/>
      <c r="W474"/>
      <c r="X474"/>
      <c r="Y474"/>
      <c r="Z474"/>
      <c r="AA474"/>
    </row>
    <row r="475" spans="1:27" s="23" customFormat="1" x14ac:dyDescent="0.25">
      <c r="A475"/>
      <c r="B475" s="24" t="str">
        <f t="shared" si="669"/>
        <v>-</v>
      </c>
      <c r="C475" s="24"/>
      <c r="D475" s="24"/>
      <c r="E475" s="24"/>
      <c r="F475" s="24"/>
      <c r="G475"/>
      <c r="H475"/>
      <c r="J475" s="2"/>
      <c r="K475"/>
      <c r="L475"/>
      <c r="N475"/>
      <c r="O475"/>
      <c r="P475"/>
      <c r="Q475"/>
      <c r="R475"/>
      <c r="S475"/>
      <c r="T475"/>
      <c r="U475"/>
      <c r="V475"/>
      <c r="W475"/>
      <c r="X475"/>
      <c r="Y475"/>
      <c r="Z475"/>
      <c r="AA475"/>
    </row>
    <row r="476" spans="1:27" s="23" customFormat="1" x14ac:dyDescent="0.25">
      <c r="A476"/>
      <c r="B476" s="24" t="str">
        <f t="shared" si="669"/>
        <v>-</v>
      </c>
      <c r="C476" s="24"/>
      <c r="D476" s="24"/>
      <c r="E476" s="24"/>
      <c r="F476" s="24"/>
      <c r="G476"/>
      <c r="H476"/>
      <c r="J476" s="2"/>
      <c r="K476"/>
      <c r="L476"/>
      <c r="N476"/>
      <c r="O476"/>
      <c r="P476"/>
      <c r="Q476"/>
      <c r="R476"/>
      <c r="S476"/>
      <c r="T476"/>
      <c r="U476"/>
      <c r="V476"/>
      <c r="W476"/>
      <c r="X476"/>
      <c r="Y476"/>
      <c r="Z476"/>
      <c r="AA476"/>
    </row>
    <row r="477" spans="1:27" s="23" customFormat="1" x14ac:dyDescent="0.25">
      <c r="A477"/>
      <c r="B477" s="24" t="str">
        <f t="shared" si="669"/>
        <v>-</v>
      </c>
      <c r="C477" s="24"/>
      <c r="D477" s="24"/>
      <c r="E477" s="24"/>
      <c r="F477" s="24"/>
      <c r="G477"/>
      <c r="H477"/>
      <c r="J477" s="2"/>
      <c r="K477"/>
      <c r="L477"/>
      <c r="N477"/>
      <c r="O477"/>
      <c r="P477"/>
      <c r="Q477"/>
      <c r="R477"/>
      <c r="S477"/>
      <c r="T477"/>
      <c r="U477"/>
      <c r="V477"/>
      <c r="W477"/>
      <c r="X477"/>
      <c r="Y477"/>
      <c r="Z477"/>
      <c r="AA477"/>
    </row>
    <row r="478" spans="1:27" s="23" customFormat="1" x14ac:dyDescent="0.25">
      <c r="A478"/>
      <c r="B478" s="24" t="str">
        <f t="shared" si="669"/>
        <v>-</v>
      </c>
      <c r="C478" s="24"/>
      <c r="D478" s="24"/>
      <c r="E478" s="24"/>
      <c r="F478" s="24"/>
      <c r="G478"/>
      <c r="H478"/>
      <c r="J478" s="2"/>
      <c r="K478"/>
      <c r="L478"/>
      <c r="N478"/>
      <c r="O478"/>
      <c r="P478"/>
      <c r="Q478"/>
      <c r="R478"/>
      <c r="S478"/>
      <c r="T478"/>
      <c r="U478"/>
      <c r="V478"/>
      <c r="W478"/>
      <c r="X478"/>
      <c r="Y478"/>
      <c r="Z478"/>
      <c r="AA478"/>
    </row>
    <row r="479" spans="1:27" s="23" customFormat="1" x14ac:dyDescent="0.25">
      <c r="A479"/>
      <c r="B479" s="24" t="str">
        <f t="shared" si="669"/>
        <v>-</v>
      </c>
      <c r="C479" s="24"/>
      <c r="D479" s="24"/>
      <c r="E479" s="24"/>
      <c r="F479" s="24"/>
      <c r="G479"/>
      <c r="H479"/>
      <c r="J479" s="2"/>
      <c r="K479"/>
      <c r="L479"/>
      <c r="N479"/>
      <c r="O479"/>
      <c r="P479"/>
      <c r="Q479"/>
      <c r="R479"/>
      <c r="S479"/>
      <c r="T479"/>
      <c r="U479"/>
      <c r="V479"/>
      <c r="W479"/>
      <c r="X479"/>
      <c r="Y479"/>
      <c r="Z479"/>
      <c r="AA479"/>
    </row>
    <row r="480" spans="1:27" s="23" customFormat="1" x14ac:dyDescent="0.25">
      <c r="A480"/>
      <c r="B480" s="24" t="str">
        <f t="shared" si="669"/>
        <v>-</v>
      </c>
      <c r="C480" s="24"/>
      <c r="D480" s="24"/>
      <c r="E480" s="24"/>
      <c r="F480" s="24"/>
      <c r="G480"/>
      <c r="H480"/>
      <c r="J480" s="2"/>
      <c r="K480"/>
      <c r="L480"/>
      <c r="N480"/>
      <c r="O480"/>
      <c r="P480"/>
      <c r="Q480"/>
      <c r="R480"/>
      <c r="S480"/>
      <c r="T480"/>
      <c r="U480"/>
      <c r="V480"/>
      <c r="W480"/>
      <c r="X480"/>
      <c r="Y480"/>
      <c r="Z480"/>
      <c r="AA480"/>
    </row>
    <row r="481" spans="1:27" s="23" customFormat="1" x14ac:dyDescent="0.25">
      <c r="A481"/>
      <c r="B481" s="24" t="str">
        <f t="shared" si="669"/>
        <v>-</v>
      </c>
      <c r="C481" s="24"/>
      <c r="D481" s="24"/>
      <c r="E481" s="24"/>
      <c r="F481" s="24"/>
      <c r="G481"/>
      <c r="H481"/>
      <c r="J481" s="2"/>
      <c r="K481"/>
      <c r="L481"/>
      <c r="N481"/>
      <c r="O481"/>
      <c r="P481"/>
      <c r="Q481"/>
      <c r="R481"/>
      <c r="S481"/>
      <c r="T481"/>
      <c r="U481"/>
      <c r="V481"/>
      <c r="W481"/>
      <c r="X481"/>
      <c r="Y481"/>
      <c r="Z481"/>
      <c r="AA481"/>
    </row>
    <row r="482" spans="1:27" s="23" customFormat="1" x14ac:dyDescent="0.25">
      <c r="A482"/>
      <c r="B482" s="24" t="str">
        <f t="shared" si="669"/>
        <v>-</v>
      </c>
      <c r="C482" s="24"/>
      <c r="D482" s="24"/>
      <c r="E482" s="24"/>
      <c r="F482" s="24"/>
      <c r="G482"/>
      <c r="H482"/>
      <c r="J482" s="2"/>
      <c r="K482"/>
      <c r="L482"/>
      <c r="N482"/>
      <c r="O482"/>
      <c r="P482"/>
      <c r="Q482"/>
      <c r="R482"/>
      <c r="S482"/>
      <c r="T482"/>
      <c r="U482"/>
      <c r="V482"/>
      <c r="W482"/>
      <c r="X482"/>
      <c r="Y482"/>
      <c r="Z482"/>
      <c r="AA482"/>
    </row>
    <row r="483" spans="1:27" s="23" customFormat="1" x14ac:dyDescent="0.25">
      <c r="A483"/>
      <c r="B483" s="24" t="str">
        <f t="shared" si="669"/>
        <v>-</v>
      </c>
      <c r="C483" s="24"/>
      <c r="D483" s="24"/>
      <c r="E483" s="24"/>
      <c r="F483" s="24"/>
      <c r="G483"/>
      <c r="H483"/>
      <c r="J483" s="2"/>
      <c r="K483"/>
      <c r="L483"/>
      <c r="N483"/>
      <c r="O483"/>
      <c r="P483"/>
      <c r="Q483"/>
      <c r="R483"/>
      <c r="S483"/>
      <c r="T483"/>
      <c r="U483"/>
      <c r="V483"/>
      <c r="W483"/>
      <c r="X483"/>
      <c r="Y483"/>
      <c r="Z483"/>
      <c r="AA483"/>
    </row>
    <row r="484" spans="1:27" s="23" customFormat="1" x14ac:dyDescent="0.25">
      <c r="A484"/>
      <c r="B484" s="24" t="str">
        <f t="shared" si="669"/>
        <v>-</v>
      </c>
      <c r="C484" s="24"/>
      <c r="D484" s="24"/>
      <c r="E484" s="24"/>
      <c r="F484" s="24"/>
      <c r="G484"/>
      <c r="H484"/>
      <c r="J484" s="2"/>
      <c r="K484"/>
      <c r="L484"/>
      <c r="N484"/>
      <c r="O484"/>
      <c r="P484"/>
      <c r="Q484"/>
      <c r="R484"/>
      <c r="S484"/>
      <c r="T484"/>
      <c r="U484"/>
      <c r="V484"/>
      <c r="W484"/>
      <c r="X484"/>
      <c r="Y484"/>
      <c r="Z484"/>
      <c r="AA484"/>
    </row>
    <row r="485" spans="1:27" s="23" customFormat="1" x14ac:dyDescent="0.25">
      <c r="A485"/>
      <c r="B485" s="24" t="str">
        <f t="shared" si="669"/>
        <v>-</v>
      </c>
      <c r="C485" s="24"/>
      <c r="D485" s="24"/>
      <c r="E485" s="24"/>
      <c r="F485" s="24"/>
      <c r="G485"/>
      <c r="H485"/>
      <c r="J485" s="2"/>
      <c r="K485"/>
      <c r="L485"/>
      <c r="N485"/>
      <c r="O485"/>
      <c r="P485"/>
      <c r="Q485"/>
      <c r="R485"/>
      <c r="S485"/>
      <c r="T485"/>
      <c r="U485"/>
      <c r="V485"/>
      <c r="W485"/>
      <c r="X485"/>
      <c r="Y485"/>
      <c r="Z485"/>
      <c r="AA485"/>
    </row>
    <row r="486" spans="1:27" s="23" customFormat="1" x14ac:dyDescent="0.25">
      <c r="A486"/>
      <c r="B486" s="24" t="str">
        <f t="shared" si="669"/>
        <v>-</v>
      </c>
      <c r="C486" s="24"/>
      <c r="D486" s="24"/>
      <c r="E486" s="24"/>
      <c r="F486" s="24"/>
      <c r="G486"/>
      <c r="H486"/>
      <c r="J486" s="2"/>
      <c r="K486"/>
      <c r="L486"/>
      <c r="N486"/>
      <c r="O486"/>
      <c r="P486"/>
      <c r="Q486"/>
      <c r="R486"/>
      <c r="S486"/>
      <c r="T486"/>
      <c r="U486"/>
      <c r="V486"/>
      <c r="W486"/>
      <c r="X486"/>
      <c r="Y486"/>
      <c r="Z486"/>
      <c r="AA486"/>
    </row>
    <row r="487" spans="1:27" s="23" customFormat="1" x14ac:dyDescent="0.25">
      <c r="A487"/>
      <c r="B487" s="24" t="str">
        <f t="shared" si="669"/>
        <v>-</v>
      </c>
      <c r="C487" s="24"/>
      <c r="D487" s="24"/>
      <c r="E487" s="24"/>
      <c r="F487" s="24"/>
      <c r="G487"/>
      <c r="H487"/>
      <c r="J487" s="2"/>
      <c r="K487"/>
      <c r="L487"/>
      <c r="N487"/>
      <c r="O487"/>
      <c r="P487"/>
      <c r="Q487"/>
      <c r="R487"/>
      <c r="S487"/>
      <c r="T487"/>
      <c r="U487"/>
      <c r="V487"/>
      <c r="W487"/>
      <c r="X487"/>
      <c r="Y487"/>
      <c r="Z487"/>
      <c r="AA487"/>
    </row>
    <row r="488" spans="1:27" s="23" customFormat="1" x14ac:dyDescent="0.25">
      <c r="A488"/>
      <c r="B488" s="24" t="str">
        <f t="shared" si="669"/>
        <v>-</v>
      </c>
      <c r="C488" s="24"/>
      <c r="D488" s="24"/>
      <c r="E488" s="24"/>
      <c r="F488" s="24"/>
      <c r="G488"/>
      <c r="H488"/>
      <c r="J488" s="2"/>
      <c r="K488"/>
      <c r="L488"/>
      <c r="N488"/>
      <c r="O488"/>
      <c r="P488"/>
      <c r="Q488"/>
      <c r="R488"/>
      <c r="S488"/>
      <c r="T488"/>
      <c r="U488"/>
      <c r="V488"/>
      <c r="W488"/>
      <c r="X488"/>
      <c r="Y488"/>
      <c r="Z488"/>
      <c r="AA488"/>
    </row>
    <row r="489" spans="1:27" s="23" customFormat="1" x14ac:dyDescent="0.25">
      <c r="A489"/>
      <c r="B489" s="24" t="str">
        <f t="shared" si="669"/>
        <v>-</v>
      </c>
      <c r="C489" s="24"/>
      <c r="D489" s="24"/>
      <c r="E489" s="24"/>
      <c r="F489" s="24"/>
      <c r="G489"/>
      <c r="H489"/>
      <c r="J489" s="2"/>
      <c r="K489"/>
      <c r="L489"/>
      <c r="N489"/>
      <c r="O489"/>
      <c r="P489"/>
      <c r="Q489"/>
      <c r="R489"/>
      <c r="S489"/>
      <c r="T489"/>
      <c r="U489"/>
      <c r="V489"/>
      <c r="W489"/>
      <c r="X489"/>
      <c r="Y489"/>
      <c r="Z489"/>
      <c r="AA489"/>
    </row>
    <row r="490" spans="1:27" s="23" customFormat="1" x14ac:dyDescent="0.25">
      <c r="A490"/>
      <c r="B490" s="24" t="str">
        <f t="shared" si="669"/>
        <v>-</v>
      </c>
      <c r="C490" s="24"/>
      <c r="D490" s="24"/>
      <c r="E490" s="24"/>
      <c r="F490" s="24"/>
      <c r="G490"/>
      <c r="H490"/>
      <c r="J490" s="2"/>
      <c r="K490"/>
      <c r="L490"/>
      <c r="N490"/>
      <c r="O490"/>
      <c r="P490"/>
      <c r="Q490"/>
      <c r="R490"/>
      <c r="S490"/>
      <c r="T490"/>
      <c r="U490"/>
      <c r="V490"/>
      <c r="W490"/>
      <c r="X490"/>
      <c r="Y490"/>
      <c r="Z490"/>
      <c r="AA490"/>
    </row>
    <row r="491" spans="1:27" s="23" customFormat="1" x14ac:dyDescent="0.25">
      <c r="A491"/>
      <c r="B491" s="24" t="str">
        <f t="shared" si="669"/>
        <v>-</v>
      </c>
      <c r="C491" s="24"/>
      <c r="D491" s="24"/>
      <c r="E491" s="24"/>
      <c r="F491" s="24"/>
      <c r="G491"/>
      <c r="H491"/>
      <c r="J491" s="2"/>
      <c r="K491"/>
      <c r="L491"/>
      <c r="N491"/>
      <c r="O491"/>
      <c r="P491"/>
      <c r="Q491"/>
      <c r="R491"/>
      <c r="S491"/>
      <c r="T491"/>
      <c r="U491"/>
      <c r="V491"/>
      <c r="W491"/>
      <c r="X491"/>
      <c r="Y491"/>
      <c r="Z491"/>
      <c r="AA491"/>
    </row>
    <row r="492" spans="1:27" s="23" customFormat="1" x14ac:dyDescent="0.25">
      <c r="A492"/>
      <c r="B492" s="24" t="str">
        <f t="shared" si="669"/>
        <v>-</v>
      </c>
      <c r="C492" s="24"/>
      <c r="D492" s="24"/>
      <c r="E492" s="24"/>
      <c r="F492" s="24"/>
      <c r="G492"/>
      <c r="H492"/>
      <c r="J492" s="2"/>
      <c r="K492"/>
      <c r="L492"/>
      <c r="N492"/>
      <c r="O492"/>
      <c r="P492"/>
      <c r="Q492"/>
      <c r="R492"/>
      <c r="S492"/>
      <c r="T492"/>
      <c r="U492"/>
      <c r="V492"/>
      <c r="W492"/>
      <c r="X492"/>
      <c r="Y492"/>
      <c r="Z492"/>
      <c r="AA492"/>
    </row>
    <row r="493" spans="1:27" s="23" customFormat="1" x14ac:dyDescent="0.25">
      <c r="A493"/>
      <c r="B493" s="24" t="str">
        <f t="shared" si="669"/>
        <v>-</v>
      </c>
      <c r="C493" s="24"/>
      <c r="D493" s="24"/>
      <c r="E493" s="24"/>
      <c r="F493" s="24"/>
      <c r="G493"/>
      <c r="H493"/>
      <c r="J493" s="2"/>
      <c r="K493"/>
      <c r="L493"/>
      <c r="N493"/>
      <c r="O493"/>
      <c r="P493"/>
      <c r="Q493"/>
      <c r="R493"/>
      <c r="S493"/>
      <c r="T493"/>
      <c r="U493"/>
      <c r="V493"/>
      <c r="W493"/>
      <c r="X493"/>
      <c r="Y493"/>
      <c r="Z493"/>
      <c r="AA493"/>
    </row>
    <row r="494" spans="1:27" s="23" customFormat="1" x14ac:dyDescent="0.25">
      <c r="A494"/>
      <c r="B494" s="24" t="str">
        <f t="shared" si="669"/>
        <v>-</v>
      </c>
      <c r="C494" s="24"/>
      <c r="D494" s="24"/>
      <c r="E494" s="24"/>
      <c r="F494" s="24"/>
      <c r="G494"/>
      <c r="H494"/>
      <c r="J494" s="2"/>
      <c r="K494"/>
      <c r="L494"/>
      <c r="N494"/>
      <c r="O494"/>
      <c r="P494"/>
      <c r="Q494"/>
      <c r="R494"/>
      <c r="S494"/>
      <c r="T494"/>
      <c r="U494"/>
      <c r="V494"/>
      <c r="W494"/>
      <c r="X494"/>
      <c r="Y494"/>
      <c r="Z494"/>
      <c r="AA494"/>
    </row>
    <row r="495" spans="1:27" s="23" customFormat="1" x14ac:dyDescent="0.25">
      <c r="A495"/>
      <c r="B495" s="24" t="str">
        <f t="shared" si="669"/>
        <v>-</v>
      </c>
      <c r="C495" s="24"/>
      <c r="D495" s="24"/>
      <c r="E495" s="24"/>
      <c r="F495" s="24"/>
      <c r="G495"/>
      <c r="H495"/>
      <c r="J495" s="2"/>
      <c r="K495"/>
      <c r="L495"/>
      <c r="N495"/>
      <c r="O495"/>
      <c r="P495"/>
      <c r="Q495"/>
      <c r="R495"/>
      <c r="S495"/>
      <c r="T495"/>
      <c r="U495"/>
      <c r="V495"/>
      <c r="W495"/>
      <c r="X495"/>
      <c r="Y495"/>
      <c r="Z495"/>
      <c r="AA495"/>
    </row>
    <row r="496" spans="1:27" s="23" customFormat="1" x14ac:dyDescent="0.25">
      <c r="A496"/>
      <c r="B496" s="24" t="str">
        <f t="shared" si="669"/>
        <v>-</v>
      </c>
      <c r="C496" s="24"/>
      <c r="D496" s="24"/>
      <c r="E496" s="24"/>
      <c r="F496" s="24"/>
      <c r="G496"/>
      <c r="H496"/>
      <c r="J496" s="2"/>
      <c r="K496"/>
      <c r="L496"/>
      <c r="N496"/>
      <c r="O496"/>
      <c r="P496"/>
      <c r="Q496"/>
      <c r="R496"/>
      <c r="S496"/>
      <c r="T496"/>
      <c r="U496"/>
      <c r="V496"/>
      <c r="W496"/>
      <c r="X496"/>
      <c r="Y496"/>
      <c r="Z496"/>
      <c r="AA496"/>
    </row>
    <row r="497" spans="1:27" s="23" customFormat="1" x14ac:dyDescent="0.25">
      <c r="A497"/>
      <c r="B497" s="24" t="str">
        <f t="shared" si="669"/>
        <v>-</v>
      </c>
      <c r="C497" s="24"/>
      <c r="D497" s="24"/>
      <c r="E497" s="24"/>
      <c r="F497" s="24"/>
      <c r="G497"/>
      <c r="H497"/>
      <c r="J497" s="2"/>
      <c r="K497"/>
      <c r="L497"/>
      <c r="N497"/>
      <c r="O497"/>
      <c r="P497"/>
      <c r="Q497"/>
      <c r="R497"/>
      <c r="S497"/>
      <c r="T497"/>
      <c r="U497"/>
      <c r="V497"/>
      <c r="W497"/>
      <c r="X497"/>
      <c r="Y497"/>
      <c r="Z497"/>
      <c r="AA497"/>
    </row>
    <row r="498" spans="1:27" s="23" customFormat="1" x14ac:dyDescent="0.25">
      <c r="A498"/>
      <c r="B498" s="24" t="str">
        <f t="shared" si="669"/>
        <v>-</v>
      </c>
      <c r="C498" s="24"/>
      <c r="D498" s="24"/>
      <c r="E498" s="24"/>
      <c r="F498" s="24"/>
      <c r="G498"/>
      <c r="H498"/>
      <c r="J498" s="2"/>
      <c r="K498"/>
      <c r="L498"/>
      <c r="N498"/>
      <c r="O498"/>
      <c r="P498"/>
      <c r="Q498"/>
      <c r="R498"/>
      <c r="S498"/>
      <c r="T498"/>
      <c r="U498"/>
      <c r="V498"/>
      <c r="W498"/>
      <c r="X498"/>
      <c r="Y498"/>
      <c r="Z498"/>
      <c r="AA498"/>
    </row>
    <row r="499" spans="1:27" s="23" customFormat="1" x14ac:dyDescent="0.25">
      <c r="A499"/>
      <c r="B499" s="24" t="str">
        <f t="shared" si="669"/>
        <v>-</v>
      </c>
      <c r="C499" s="24"/>
      <c r="D499" s="24"/>
      <c r="E499" s="24"/>
      <c r="F499" s="24"/>
      <c r="G499"/>
      <c r="H499"/>
      <c r="J499" s="2"/>
      <c r="K499"/>
      <c r="L499"/>
      <c r="N499"/>
      <c r="O499"/>
      <c r="P499"/>
      <c r="Q499"/>
      <c r="R499"/>
      <c r="S499"/>
      <c r="T499"/>
      <c r="U499"/>
      <c r="V499"/>
      <c r="W499"/>
      <c r="X499"/>
      <c r="Y499"/>
      <c r="Z499"/>
      <c r="AA499"/>
    </row>
    <row r="500" spans="1:27" s="23" customFormat="1" x14ac:dyDescent="0.25">
      <c r="A500"/>
      <c r="B500" s="24" t="str">
        <f t="shared" si="669"/>
        <v>-</v>
      </c>
      <c r="C500" s="24"/>
      <c r="D500" s="24"/>
      <c r="E500" s="24"/>
      <c r="F500" s="24"/>
      <c r="G500"/>
      <c r="H500"/>
      <c r="J500" s="2"/>
      <c r="K500"/>
      <c r="L500"/>
      <c r="N500"/>
      <c r="O500"/>
      <c r="P500"/>
      <c r="Q500"/>
      <c r="R500"/>
      <c r="S500"/>
      <c r="T500"/>
      <c r="U500"/>
      <c r="V500"/>
      <c r="W500"/>
      <c r="X500"/>
      <c r="Y500"/>
      <c r="Z500"/>
      <c r="AA500"/>
    </row>
    <row r="501" spans="1:27" s="23" customFormat="1" x14ac:dyDescent="0.25">
      <c r="A501"/>
      <c r="B501" s="24" t="str">
        <f t="shared" si="669"/>
        <v>-</v>
      </c>
      <c r="C501" s="24"/>
      <c r="D501" s="24"/>
      <c r="E501" s="24"/>
      <c r="F501" s="24"/>
      <c r="G501"/>
      <c r="H501"/>
      <c r="J501" s="2"/>
      <c r="K501"/>
      <c r="L501"/>
      <c r="N501"/>
      <c r="O501"/>
      <c r="P501"/>
      <c r="Q501"/>
      <c r="R501"/>
      <c r="S501"/>
      <c r="T501"/>
      <c r="U501"/>
      <c r="V501"/>
      <c r="W501"/>
      <c r="X501"/>
      <c r="Y501"/>
      <c r="Z501"/>
      <c r="AA501"/>
    </row>
    <row r="502" spans="1:27" s="23" customFormat="1" x14ac:dyDescent="0.25">
      <c r="A502"/>
      <c r="B502" s="24" t="str">
        <f t="shared" si="669"/>
        <v>-</v>
      </c>
      <c r="C502" s="24"/>
      <c r="D502" s="24"/>
      <c r="E502" s="24"/>
      <c r="F502" s="24"/>
      <c r="G502"/>
      <c r="H502"/>
      <c r="J502" s="2"/>
      <c r="K502"/>
      <c r="L502"/>
      <c r="N502"/>
      <c r="O502"/>
      <c r="P502"/>
      <c r="Q502"/>
      <c r="R502"/>
      <c r="S502"/>
      <c r="T502"/>
      <c r="U502"/>
      <c r="V502"/>
      <c r="W502"/>
      <c r="X502"/>
      <c r="Y502"/>
      <c r="Z502"/>
      <c r="AA502"/>
    </row>
    <row r="503" spans="1:27" s="23" customFormat="1" x14ac:dyDescent="0.25">
      <c r="A503"/>
      <c r="B503" s="24" t="str">
        <f t="shared" si="669"/>
        <v>-</v>
      </c>
      <c r="C503" s="24"/>
      <c r="D503" s="24"/>
      <c r="E503" s="24"/>
      <c r="F503" s="24"/>
      <c r="G503"/>
      <c r="H503"/>
      <c r="J503" s="2"/>
      <c r="K503"/>
      <c r="L503"/>
      <c r="N503"/>
      <c r="O503"/>
      <c r="P503"/>
      <c r="Q503"/>
      <c r="R503"/>
      <c r="S503"/>
      <c r="T503"/>
      <c r="U503"/>
      <c r="V503"/>
      <c r="W503"/>
      <c r="X503"/>
      <c r="Y503"/>
      <c r="Z503"/>
      <c r="AA503"/>
    </row>
    <row r="504" spans="1:27" s="23" customFormat="1" x14ac:dyDescent="0.25">
      <c r="A504"/>
      <c r="B504" s="24" t="str">
        <f t="shared" si="669"/>
        <v>-</v>
      </c>
      <c r="C504" s="24"/>
      <c r="D504" s="24"/>
      <c r="E504" s="24"/>
      <c r="F504" s="24"/>
      <c r="G504"/>
      <c r="H504"/>
      <c r="J504" s="2"/>
      <c r="K504"/>
      <c r="L504"/>
      <c r="N504"/>
      <c r="O504"/>
      <c r="P504"/>
      <c r="Q504"/>
      <c r="R504"/>
      <c r="S504"/>
      <c r="T504"/>
      <c r="U504"/>
      <c r="V504"/>
      <c r="W504"/>
      <c r="X504"/>
      <c r="Y504"/>
      <c r="Z504"/>
      <c r="AA504"/>
    </row>
    <row r="505" spans="1:27" s="23" customFormat="1" x14ac:dyDescent="0.25">
      <c r="A505"/>
      <c r="B505" s="24" t="str">
        <f t="shared" si="669"/>
        <v>-</v>
      </c>
      <c r="C505" s="24"/>
      <c r="D505" s="24"/>
      <c r="E505" s="24"/>
      <c r="F505" s="24"/>
      <c r="G505"/>
      <c r="H505"/>
      <c r="J505" s="2"/>
      <c r="K505"/>
      <c r="L505"/>
      <c r="N505"/>
      <c r="O505"/>
      <c r="P505"/>
      <c r="Q505"/>
      <c r="R505"/>
      <c r="S505"/>
      <c r="T505"/>
      <c r="U505"/>
      <c r="V505"/>
      <c r="W505"/>
      <c r="X505"/>
      <c r="Y505"/>
      <c r="Z505"/>
      <c r="AA505"/>
    </row>
  </sheetData>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C1C4-639D-43CC-AD0E-989365EC8657}">
  <sheetPr codeName="Sheet16"/>
  <dimension ref="A1:CJ505"/>
  <sheetViews>
    <sheetView zoomScaleNormal="100" zoomScalePageLayoutView="85" workbookViewId="0">
      <pane xSplit="2" ySplit="14" topLeftCell="AV144" activePane="bottomRight" state="frozen"/>
      <selection pane="topRight" activeCell="L16" sqref="L16:L53"/>
      <selection pane="bottomLeft" activeCell="L16" sqref="L16:L53"/>
      <selection pane="bottomRight" activeCell="AI159" sqref="AI159"/>
    </sheetView>
  </sheetViews>
  <sheetFormatPr defaultColWidth="11" defaultRowHeight="15.75" x14ac:dyDescent="0.25"/>
  <cols>
    <col min="1" max="1" width="13.125" customWidth="1"/>
    <col min="2" max="2" width="5" style="23" customWidth="1"/>
    <col min="3" max="3" width="7.625" style="23" bestFit="1" customWidth="1"/>
    <col min="4" max="4" width="11.5" style="23" bestFit="1" customWidth="1"/>
    <col min="5" max="5" width="11.125" style="23" bestFit="1" customWidth="1"/>
    <col min="6" max="6" width="5" style="23" customWidth="1"/>
    <col min="7" max="7" width="1.625" customWidth="1"/>
    <col min="8" max="8" width="13.125" customWidth="1"/>
    <col min="9" max="9" width="10.125" style="23" bestFit="1" customWidth="1"/>
    <col min="10" max="10" width="13.5" style="2" bestFit="1" customWidth="1"/>
    <col min="11" max="11" width="7" bestFit="1" customWidth="1"/>
    <col min="12" max="12" width="9.125" bestFit="1" customWidth="1"/>
    <col min="13" max="13" width="10.125" style="23" bestFit="1" customWidth="1"/>
    <col min="14" max="14" width="1.625" customWidth="1"/>
    <col min="15" max="15" width="12.5" customWidth="1"/>
    <col min="16" max="16" width="10.125" bestFit="1" customWidth="1"/>
    <col min="17" max="17" width="13.625" bestFit="1" customWidth="1"/>
    <col min="18" max="18" width="7.125" bestFit="1" customWidth="1"/>
    <col min="19" max="19" width="9.125" bestFit="1" customWidth="1"/>
    <col min="20" max="20" width="1.625" customWidth="1"/>
    <col min="21" max="21" width="13.125" customWidth="1"/>
    <col min="22" max="22" width="10.125" bestFit="1" customWidth="1"/>
    <col min="23" max="23" width="13.5" bestFit="1" customWidth="1"/>
    <col min="24" max="24" width="7" bestFit="1" customWidth="1"/>
    <col min="25" max="25" width="9.125" bestFit="1" customWidth="1"/>
    <col min="26" max="26" width="10.125" bestFit="1" customWidth="1"/>
    <col min="27" max="27" width="1.625" customWidth="1"/>
    <col min="28" max="28" width="12.5" customWidth="1"/>
    <col min="29" max="29" width="10.125" bestFit="1" customWidth="1"/>
    <col min="30" max="30" width="13.625" bestFit="1" customWidth="1"/>
    <col min="31" max="31" width="7.125" bestFit="1" customWidth="1"/>
    <col min="32" max="32" width="9.125" bestFit="1" customWidth="1"/>
    <col min="33" max="33" width="1.625" customWidth="1"/>
    <col min="34" max="34" width="13.125" customWidth="1"/>
    <col min="35" max="35" width="10.125" bestFit="1" customWidth="1"/>
    <col min="36" max="36" width="13.5" bestFit="1" customWidth="1"/>
    <col min="37" max="37" width="7" bestFit="1" customWidth="1"/>
    <col min="38" max="38" width="9.125" bestFit="1" customWidth="1"/>
    <col min="39" max="39" width="10.125" bestFit="1" customWidth="1"/>
    <col min="40" max="40" width="1.625" customWidth="1"/>
    <col min="41" max="41" width="12.5" customWidth="1"/>
    <col min="42" max="42" width="10.125" bestFit="1" customWidth="1"/>
    <col min="43" max="43" width="13.625" bestFit="1" customWidth="1"/>
    <col min="44" max="44" width="7.125" bestFit="1" customWidth="1"/>
    <col min="45" max="45" width="9.125" bestFit="1" customWidth="1"/>
    <col min="46" max="46" width="1.625" customWidth="1"/>
    <col min="47" max="47" width="13.125" customWidth="1"/>
    <col min="48" max="48" width="10.125" bestFit="1" customWidth="1"/>
    <col min="49" max="49" width="13.5" bestFit="1" customWidth="1"/>
    <col min="50" max="50" width="7" bestFit="1" customWidth="1"/>
    <col min="51" max="51" width="9.125" bestFit="1" customWidth="1"/>
    <col min="52" max="52" width="10.125" bestFit="1" customWidth="1"/>
    <col min="53" max="53" width="1.625" customWidth="1"/>
    <col min="54" max="54" width="12.5" customWidth="1"/>
    <col min="55" max="55" width="10.125" bestFit="1" customWidth="1"/>
    <col min="56" max="56" width="13.625" bestFit="1" customWidth="1"/>
    <col min="57" max="57" width="7.125" bestFit="1" customWidth="1"/>
    <col min="58" max="58" width="9.125" bestFit="1" customWidth="1"/>
    <col min="59" max="59" width="1.625" customWidth="1"/>
    <col min="60" max="60" width="13.125" customWidth="1"/>
    <col min="61" max="61" width="10.125" bestFit="1" customWidth="1"/>
    <col min="62" max="62" width="13.5" bestFit="1" customWidth="1"/>
    <col min="63" max="63" width="7" bestFit="1" customWidth="1"/>
    <col min="64" max="64" width="9.125" bestFit="1" customWidth="1"/>
    <col min="65" max="65" width="10.125" bestFit="1" customWidth="1"/>
    <col min="66" max="66" width="1.625" customWidth="1"/>
    <col min="67" max="67" width="12.5" customWidth="1"/>
    <col min="68" max="68" width="10.125" bestFit="1" customWidth="1"/>
    <col min="69" max="69" width="13.625" bestFit="1" customWidth="1"/>
    <col min="70" max="70" width="7.125" bestFit="1" customWidth="1"/>
    <col min="71" max="71" width="9.125" bestFit="1" customWidth="1"/>
    <col min="74" max="74" width="1.625" customWidth="1"/>
    <col min="75" max="75" width="13.125" customWidth="1"/>
    <col min="76" max="76" width="10.125" bestFit="1" customWidth="1"/>
    <col min="77" max="77" width="13.5" bestFit="1" customWidth="1"/>
    <col min="78" max="78" width="7" bestFit="1" customWidth="1"/>
    <col min="79" max="79" width="9.125" bestFit="1" customWidth="1"/>
    <col min="80" max="80" width="10.125" bestFit="1" customWidth="1"/>
    <col min="81" max="81" width="1.625" customWidth="1"/>
    <col min="82" max="82" width="12.5" customWidth="1"/>
    <col min="83" max="83" width="10.125" bestFit="1" customWidth="1"/>
    <col min="84" max="84" width="13.625" bestFit="1" customWidth="1"/>
    <col min="85" max="85" width="7.125" bestFit="1" customWidth="1"/>
    <col min="86" max="86" width="9.125" bestFit="1" customWidth="1"/>
    <col min="87" max="87" width="1.625" customWidth="1"/>
  </cols>
  <sheetData>
    <row r="1" spans="1:87" x14ac:dyDescent="0.25">
      <c r="A1" s="7" t="s">
        <v>143</v>
      </c>
      <c r="G1" s="39"/>
      <c r="H1" s="7" t="s">
        <v>292</v>
      </c>
      <c r="I1" s="13"/>
      <c r="J1" s="14"/>
      <c r="K1" s="7"/>
      <c r="M1" s="13"/>
      <c r="N1" s="79"/>
      <c r="O1" s="7" t="s">
        <v>293</v>
      </c>
      <c r="P1" s="13"/>
      <c r="Q1" s="13"/>
      <c r="R1" s="14"/>
      <c r="S1" s="15"/>
      <c r="T1" s="39"/>
      <c r="U1" s="7" t="s">
        <v>294</v>
      </c>
      <c r="V1" s="13"/>
      <c r="W1" s="14"/>
      <c r="X1" s="7"/>
      <c r="Z1" s="13"/>
      <c r="AA1" s="79"/>
      <c r="AB1" s="7" t="s">
        <v>295</v>
      </c>
      <c r="AC1" s="13"/>
      <c r="AD1" s="13"/>
      <c r="AE1" s="14"/>
      <c r="AF1" s="15"/>
      <c r="AG1" s="39"/>
      <c r="AH1" s="7" t="s">
        <v>296</v>
      </c>
      <c r="AI1" s="13"/>
      <c r="AJ1" s="14"/>
      <c r="AK1" s="7"/>
      <c r="AM1" s="13"/>
      <c r="AN1" s="79"/>
      <c r="AO1" s="7" t="s">
        <v>297</v>
      </c>
      <c r="AP1" s="13"/>
      <c r="AQ1" s="13"/>
      <c r="AR1" s="14"/>
      <c r="AS1" s="15"/>
      <c r="AT1" s="39"/>
      <c r="AU1" s="7" t="s">
        <v>300</v>
      </c>
      <c r="AV1" s="13"/>
      <c r="AW1" s="14"/>
      <c r="AX1" s="7"/>
      <c r="AZ1" s="13"/>
      <c r="BA1" s="79"/>
      <c r="BB1" s="7" t="s">
        <v>301</v>
      </c>
      <c r="BC1" s="13"/>
      <c r="BD1" s="13"/>
      <c r="BE1" s="14"/>
      <c r="BF1" s="15"/>
      <c r="BG1" s="39"/>
      <c r="BH1" s="7" t="s">
        <v>310</v>
      </c>
      <c r="BI1" s="13"/>
      <c r="BJ1" s="14"/>
      <c r="BK1" s="7"/>
      <c r="BM1" s="13"/>
      <c r="BN1" s="79"/>
      <c r="BO1" s="7" t="s">
        <v>144</v>
      </c>
      <c r="BP1" s="13"/>
      <c r="BQ1" s="13"/>
      <c r="BR1" s="14"/>
      <c r="BS1" s="15"/>
      <c r="BV1" s="39"/>
      <c r="BW1" s="7" t="s">
        <v>298</v>
      </c>
      <c r="BX1" s="13"/>
      <c r="BY1" s="14"/>
      <c r="BZ1" s="7"/>
      <c r="CB1" s="13"/>
      <c r="CC1" s="79"/>
      <c r="CD1" s="7" t="s">
        <v>299</v>
      </c>
      <c r="CE1" s="13"/>
      <c r="CF1" s="13"/>
      <c r="CG1" s="14"/>
      <c r="CH1" s="15"/>
      <c r="CI1" s="39"/>
    </row>
    <row r="2" spans="1:87" x14ac:dyDescent="0.25">
      <c r="A2" s="7"/>
      <c r="C2"/>
      <c r="G2" s="39"/>
      <c r="H2" s="7"/>
      <c r="I2" s="16"/>
      <c r="J2" s="16"/>
      <c r="K2" s="16"/>
      <c r="L2" s="16"/>
      <c r="M2" s="36"/>
      <c r="N2" s="79"/>
      <c r="O2" s="83" t="s">
        <v>145</v>
      </c>
      <c r="P2" s="16"/>
      <c r="Q2" s="36"/>
      <c r="R2" s="16"/>
      <c r="S2" s="16"/>
      <c r="T2" s="39"/>
      <c r="U2" s="7"/>
      <c r="V2" s="16"/>
      <c r="W2" s="16"/>
      <c r="X2" s="16"/>
      <c r="Y2" s="16"/>
      <c r="Z2" s="36"/>
      <c r="AA2" s="79"/>
      <c r="AB2" s="83" t="s">
        <v>146</v>
      </c>
      <c r="AC2" s="16"/>
      <c r="AD2" s="36"/>
      <c r="AE2" s="16"/>
      <c r="AF2" s="16"/>
      <c r="AG2" s="39"/>
      <c r="AH2" s="7"/>
      <c r="AI2" s="16"/>
      <c r="AJ2" s="16"/>
      <c r="AK2" s="16"/>
      <c r="AL2" s="16"/>
      <c r="AM2" s="36"/>
      <c r="AN2" s="79"/>
      <c r="AO2" s="83" t="s">
        <v>147</v>
      </c>
      <c r="AP2" s="16"/>
      <c r="AQ2" s="36"/>
      <c r="AR2" s="16"/>
      <c r="AS2" s="16"/>
      <c r="AT2" s="39"/>
      <c r="AU2" s="7"/>
      <c r="AV2" s="16"/>
      <c r="AW2" s="16"/>
      <c r="AX2" s="16"/>
      <c r="AY2" s="16"/>
      <c r="AZ2" s="36"/>
      <c r="BA2" s="79"/>
      <c r="BB2" s="83" t="s">
        <v>149</v>
      </c>
      <c r="BC2" s="16"/>
      <c r="BD2" s="36"/>
      <c r="BE2" s="16"/>
      <c r="BF2" s="16"/>
      <c r="BG2" s="39"/>
      <c r="BH2" s="7"/>
      <c r="BI2" s="16"/>
      <c r="BJ2" s="16"/>
      <c r="BK2" s="16"/>
      <c r="BL2" s="16"/>
      <c r="BM2" s="36"/>
      <c r="BN2" s="79"/>
      <c r="BO2" s="299" t="s">
        <v>309</v>
      </c>
      <c r="BP2" s="16"/>
      <c r="BQ2" s="36"/>
      <c r="BR2" s="16"/>
      <c r="BS2" s="16"/>
      <c r="BV2" s="39"/>
      <c r="BW2" s="7"/>
      <c r="BX2" s="16"/>
      <c r="BY2" s="16"/>
      <c r="BZ2" s="16"/>
      <c r="CA2" s="16"/>
      <c r="CB2" s="36"/>
      <c r="CC2" s="79"/>
      <c r="CD2" s="83" t="s">
        <v>148</v>
      </c>
      <c r="CE2" s="16"/>
      <c r="CF2" s="36"/>
      <c r="CG2" s="16"/>
      <c r="CH2" s="16"/>
      <c r="CI2" s="39"/>
    </row>
    <row r="3" spans="1:87" x14ac:dyDescent="0.25">
      <c r="B3"/>
      <c r="C3"/>
      <c r="D3"/>
      <c r="E3"/>
      <c r="F3"/>
      <c r="G3" s="39"/>
      <c r="I3"/>
      <c r="J3" s="16"/>
      <c r="K3" s="16"/>
      <c r="L3" s="16"/>
      <c r="M3"/>
      <c r="N3" s="79"/>
      <c r="O3" s="299" t="s">
        <v>304</v>
      </c>
      <c r="P3" s="16"/>
      <c r="Q3" s="16"/>
      <c r="R3" s="16"/>
      <c r="S3" s="16"/>
      <c r="T3" s="39"/>
      <c r="W3" s="16"/>
      <c r="X3" s="16"/>
      <c r="Y3" s="16"/>
      <c r="AA3" s="79"/>
      <c r="AB3" s="299" t="s">
        <v>305</v>
      </c>
      <c r="AC3" s="16"/>
      <c r="AD3" s="16"/>
      <c r="AE3" s="16"/>
      <c r="AF3" s="16"/>
      <c r="AG3" s="39"/>
      <c r="AJ3" s="16"/>
      <c r="AK3" s="16"/>
      <c r="AL3" s="16"/>
      <c r="AN3" s="79"/>
      <c r="AO3" s="299" t="s">
        <v>306</v>
      </c>
      <c r="AP3" s="16"/>
      <c r="AQ3" s="16"/>
      <c r="AR3" s="16"/>
      <c r="AS3" s="16"/>
      <c r="AT3" s="39"/>
      <c r="AW3" s="16"/>
      <c r="AX3" s="16"/>
      <c r="AY3" s="16"/>
      <c r="BA3" s="79"/>
      <c r="BB3" s="299" t="s">
        <v>308</v>
      </c>
      <c r="BC3" s="16"/>
      <c r="BD3" s="16"/>
      <c r="BE3" s="16"/>
      <c r="BF3" s="16"/>
      <c r="BG3" s="39"/>
      <c r="BJ3" s="16"/>
      <c r="BK3" s="16"/>
      <c r="BL3" s="16"/>
      <c r="BN3" s="79"/>
      <c r="BP3" s="16"/>
      <c r="BQ3" s="16"/>
      <c r="BR3" s="16"/>
      <c r="BS3" s="16"/>
      <c r="BV3" s="39"/>
      <c r="BY3" s="16"/>
      <c r="BZ3" s="16"/>
      <c r="CA3" s="16"/>
      <c r="CC3" s="79"/>
      <c r="CD3" s="299" t="s">
        <v>307</v>
      </c>
      <c r="CE3" s="16"/>
      <c r="CF3" s="16"/>
      <c r="CG3" s="16"/>
      <c r="CH3" s="16"/>
      <c r="CI3" s="39"/>
    </row>
    <row r="4" spans="1:87" x14ac:dyDescent="0.25">
      <c r="A4" s="7"/>
      <c r="C4" s="16" t="s">
        <v>41</v>
      </c>
      <c r="D4" s="16" t="s">
        <v>41</v>
      </c>
      <c r="E4" s="16" t="s">
        <v>41</v>
      </c>
      <c r="F4" s="16" t="s">
        <v>41</v>
      </c>
      <c r="G4" s="39"/>
      <c r="H4" s="7"/>
      <c r="I4" s="16" t="s">
        <v>41</v>
      </c>
      <c r="J4" s="23" t="s">
        <v>42</v>
      </c>
      <c r="K4" s="17" t="s">
        <v>43</v>
      </c>
      <c r="L4" s="35" t="s">
        <v>44</v>
      </c>
      <c r="M4" s="17" t="s">
        <v>45</v>
      </c>
      <c r="N4" s="79"/>
      <c r="P4" s="23" t="s">
        <v>41</v>
      </c>
      <c r="Q4" s="17" t="s">
        <v>43</v>
      </c>
      <c r="R4" s="35" t="s">
        <v>44</v>
      </c>
      <c r="S4" s="17" t="s">
        <v>45</v>
      </c>
      <c r="T4" s="39"/>
      <c r="U4" s="7"/>
      <c r="V4" s="16" t="s">
        <v>41</v>
      </c>
      <c r="W4" s="23" t="s">
        <v>42</v>
      </c>
      <c r="X4" s="17" t="s">
        <v>43</v>
      </c>
      <c r="Y4" s="35" t="s">
        <v>44</v>
      </c>
      <c r="Z4" s="17" t="s">
        <v>45</v>
      </c>
      <c r="AA4" s="79"/>
      <c r="AC4" s="23" t="s">
        <v>41</v>
      </c>
      <c r="AD4" s="17" t="s">
        <v>43</v>
      </c>
      <c r="AE4" s="35" t="s">
        <v>44</v>
      </c>
      <c r="AF4" s="17" t="s">
        <v>45</v>
      </c>
      <c r="AG4" s="39"/>
      <c r="AH4" s="7"/>
      <c r="AI4" s="16" t="s">
        <v>41</v>
      </c>
      <c r="AJ4" s="23" t="s">
        <v>42</v>
      </c>
      <c r="AK4" s="17" t="s">
        <v>43</v>
      </c>
      <c r="AL4" s="35" t="s">
        <v>44</v>
      </c>
      <c r="AM4" s="17" t="s">
        <v>45</v>
      </c>
      <c r="AN4" s="79"/>
      <c r="AP4" s="23" t="s">
        <v>41</v>
      </c>
      <c r="AQ4" s="17" t="s">
        <v>43</v>
      </c>
      <c r="AR4" s="35" t="s">
        <v>44</v>
      </c>
      <c r="AS4" s="17" t="s">
        <v>45</v>
      </c>
      <c r="AT4" s="39"/>
      <c r="AU4" s="7"/>
      <c r="AV4" s="16" t="s">
        <v>41</v>
      </c>
      <c r="AW4" s="23" t="s">
        <v>42</v>
      </c>
      <c r="AX4" s="17" t="s">
        <v>43</v>
      </c>
      <c r="AY4" s="35" t="s">
        <v>44</v>
      </c>
      <c r="AZ4" s="17" t="s">
        <v>45</v>
      </c>
      <c r="BA4" s="79"/>
      <c r="BC4" s="23" t="s">
        <v>41</v>
      </c>
      <c r="BD4" s="17" t="s">
        <v>43</v>
      </c>
      <c r="BE4" s="35" t="s">
        <v>44</v>
      </c>
      <c r="BF4" s="17" t="s">
        <v>45</v>
      </c>
      <c r="BG4" s="39"/>
      <c r="BH4" s="7"/>
      <c r="BI4" s="16" t="s">
        <v>41</v>
      </c>
      <c r="BJ4" s="23" t="s">
        <v>42</v>
      </c>
      <c r="BK4" s="17" t="s">
        <v>43</v>
      </c>
      <c r="BL4" s="35" t="s">
        <v>44</v>
      </c>
      <c r="BM4" s="17" t="s">
        <v>45</v>
      </c>
      <c r="BN4" s="79"/>
      <c r="BP4" s="23" t="s">
        <v>41</v>
      </c>
      <c r="BQ4" s="17" t="s">
        <v>43</v>
      </c>
      <c r="BR4" s="35" t="s">
        <v>44</v>
      </c>
      <c r="BS4" s="17" t="s">
        <v>45</v>
      </c>
      <c r="BV4" s="39"/>
      <c r="BW4" s="7"/>
      <c r="BX4" s="16" t="s">
        <v>41</v>
      </c>
      <c r="BY4" s="23" t="s">
        <v>42</v>
      </c>
      <c r="BZ4" s="17" t="s">
        <v>43</v>
      </c>
      <c r="CA4" s="35" t="s">
        <v>44</v>
      </c>
      <c r="CB4" s="17" t="s">
        <v>45</v>
      </c>
      <c r="CC4" s="79"/>
      <c r="CE4" s="23" t="s">
        <v>41</v>
      </c>
      <c r="CF4" s="17" t="s">
        <v>43</v>
      </c>
      <c r="CG4" s="35" t="s">
        <v>44</v>
      </c>
      <c r="CH4" s="17" t="s">
        <v>45</v>
      </c>
      <c r="CI4" s="39"/>
    </row>
    <row r="5" spans="1:87" x14ac:dyDescent="0.25">
      <c r="A5" s="7" t="s">
        <v>7</v>
      </c>
      <c r="B5" s="23">
        <v>12</v>
      </c>
      <c r="C5" s="16">
        <f t="array" aca="1" ref="C5" ca="1">IFERROR((GEOMEAN(1+OFFSET(C$15,MAX($B$15:$B$505)-$B$5+1,0,$B$5,1)/100)^$B$5-1)*100,"N/A")</f>
        <v>4.3575278943008167</v>
      </c>
      <c r="D5" s="16">
        <f t="array" aca="1" ref="D5" ca="1">IFERROR((GEOMEAN(1+OFFSET(D$15,MAX($B$15:$B$505)-$B$5+1,0,$B$5,1)/100)^$B$5-1)*100,"N/A")</f>
        <v>25.789354507385664</v>
      </c>
      <c r="E5" s="16">
        <f t="array" aca="1" ref="E5" ca="1">IFERROR((GEOMEAN(1+OFFSET(E$15,MAX($B$15:$B$505)-$B$5+1,0,$B$5,1)/100)^$B$5-1)*100,"N/A")</f>
        <v>7.3009507401529783</v>
      </c>
      <c r="F5" s="16">
        <f t="array" aca="1" ref="F5" ca="1">IFERROR((GEOMEAN(1+OFFSET(F$15,MAX($B$15:$B$505)-$B$5+1,0,$B$5,1)/100)^$B$5-1)*100,"N/A")</f>
        <v>0</v>
      </c>
      <c r="G5" s="39"/>
      <c r="H5" s="7" t="s">
        <v>7</v>
      </c>
      <c r="I5" s="16">
        <f t="array" aca="1" ref="I5" ca="1">IFERROR((GEOMEAN(1+OFFSET(I$15,MAX($B$15:$B$505)-$B$5+1,0,$B$5,1)/100)^$B$5-1)*100,"N/A")</f>
        <v>11.026624798456307</v>
      </c>
      <c r="J5" s="36">
        <f t="shared" ref="J5:J10" ca="1" si="0">IFERROR(I5-$P5,"N/A")</f>
        <v>2.7625704516739837</v>
      </c>
      <c r="K5" s="16">
        <f ca="1">IFERROR(SLOPE(OFFSET(I$15,MAX($B$15:$B$505)-$B$5+1,0,$B$5,1),OFFSET($C$15,MAX($B$15:$B$505)-$B$5+1,0,$B$5,1)),"N/A")</f>
        <v>0.23076525228998479</v>
      </c>
      <c r="L5" s="16">
        <f t="array" aca="1" ref="L5" ca="1">IFERROR(INTERCEPT(OFFSET(I$15,MAX($B$15:$B$505)-$B$5+1,0,$B$5,1),OFFSET($C$15,MAX($B$15:$B$505)-$B$5+1,0,$B$5,1))*12,"N/A")</f>
        <v>9.6177879493390375</v>
      </c>
      <c r="M5" s="16">
        <f ca="1">IFERROR(STDEVP(OFFSET(I$15,MAX($B$15:$B$505)-$B$5+1,0,$B$5,1))*SQRT(12),"N/A")</f>
        <v>5.9538113460475532</v>
      </c>
      <c r="N5" s="79"/>
      <c r="O5" s="7" t="s">
        <v>7</v>
      </c>
      <c r="P5" s="16">
        <f t="array" aca="1" ref="P5" ca="1">IFERROR((GEOMEAN(1+OFFSET(P$15,MAX($B$15:$B$505)-$B$5+1,0,$B$5,1)/100)^$B$5-1)*100,"N/A")</f>
        <v>8.2640543467823235</v>
      </c>
      <c r="Q5" s="16">
        <f ca="1">IFERROR(SLOPE(OFFSET(P$15,MAX($B$15:$B$505)-$B$5+1,0,$B$5,1),OFFSET($C$15,MAX($B$15:$B$505)-$B$5+1,0,$B$5,1)),"N/A")</f>
        <v>0.82464877693780059</v>
      </c>
      <c r="R5" s="16">
        <f t="array" aca="1" ref="R5" ca="1">IFERROR(INTERCEPT(OFFSET(P$15,MAX($B$15:$B$505)-$B$5+1,0,$B$5,1),OFFSET($C$15,MAX($B$15:$B$505)-$B$5+1,0,$B$5,1))*12,"N/A")</f>
        <v>4.403244034985347</v>
      </c>
      <c r="S5" s="16">
        <f ca="1">IFERROR(STDEVP(OFFSET(P$15,MAX($B$15:$B$505)-$B$5+1,0,$B$5,1))*SQRT(12),"N/A")</f>
        <v>6.92485033392982</v>
      </c>
      <c r="T5" s="39"/>
      <c r="U5" s="7" t="s">
        <v>7</v>
      </c>
      <c r="V5" s="16">
        <f t="array" aca="1" ref="V5" ca="1">IFERROR((GEOMEAN(1+OFFSET(V$15,MAX($B$15:$B$505)-$B$5+1,0,$B$5,1)/100)^$B$5-1)*100,"N/A")</f>
        <v>10.310532978969199</v>
      </c>
      <c r="W5" s="36">
        <f ca="1">IFERROR(V5-$AC5,"N/A")</f>
        <v>2.2186941665437203</v>
      </c>
      <c r="X5" s="16">
        <f ca="1">IFERROR(SLOPE(OFFSET(V$15,MAX($B$15:$B$505)-$B$5+1,0,$B$5,1),OFFSET($C$15,MAX($B$15:$B$505)-$B$5+1,0,$B$5,1)),"N/A")</f>
        <v>0.22896610173260479</v>
      </c>
      <c r="Y5" s="16">
        <f t="array" aca="1" ref="Y5" ca="1">IFERROR(INTERCEPT(OFFSET(V$15,MAX($B$15:$B$505)-$B$5+1,0,$B$5,1),OFFSET($C$15,MAX($B$15:$B$505)-$B$5+1,0,$B$5,1))*12,"N/A")</f>
        <v>8.9453467779792515</v>
      </c>
      <c r="Z5" s="16">
        <f ca="1">IFERROR(STDEVP(OFFSET(V$15,MAX($B$15:$B$505)-$B$5+1,0,$B$5,1))*SQRT(12),"N/A")</f>
        <v>5.4550850673785858</v>
      </c>
      <c r="AA5" s="79"/>
      <c r="AB5" s="7" t="s">
        <v>7</v>
      </c>
      <c r="AC5" s="16">
        <f t="array" aca="1" ref="AC5" ca="1">IFERROR((GEOMEAN(1+OFFSET(AC$15,MAX($B$15:$B$505)-$B$5+1,0,$B$5,1)/100)^$B$5-1)*100,"N/A")</f>
        <v>8.091838812425479</v>
      </c>
      <c r="AD5" s="16">
        <f ca="1">IFERROR(SLOPE(OFFSET(AC$15,MAX($B$15:$B$505)-$B$5+1,0,$B$5,1),OFFSET($C$15,MAX($B$15:$B$505)-$B$5+1,0,$B$5,1)),"N/A")</f>
        <v>0.69541282053462683</v>
      </c>
      <c r="AE5" s="16">
        <f t="array" aca="1" ref="AE5" ca="1">IFERROR(INTERCEPT(OFFSET(AC$15,MAX($B$15:$B$505)-$B$5+1,0,$B$5,1),OFFSET($C$15,MAX($B$15:$B$505)-$B$5+1,0,$B$5,1))*12,"N/A")</f>
        <v>4.7707983132305056</v>
      </c>
      <c r="AF5" s="16">
        <f ca="1">IFERROR(STDEVP(OFFSET(AC$15,MAX($B$15:$B$505)-$B$5+1,0,$B$5,1))*SQRT(12),"N/A")</f>
        <v>5.8564502434769521</v>
      </c>
      <c r="AG5" s="39"/>
      <c r="AH5" s="7" t="s">
        <v>7</v>
      </c>
      <c r="AI5" s="16">
        <f t="array" aca="1" ref="AI5" ca="1">IFERROR((GEOMEAN(1+OFFSET(AI$15,MAX($B$15:$B$505)-$B$5+1,0,$B$5,1)/100)^$B$5-1)*100,"N/A")</f>
        <v>9.7328394525809649</v>
      </c>
      <c r="AJ5" s="36">
        <f ca="1">IFERROR(AI5-$AP5,"N/A")</f>
        <v>1.8494881747022065</v>
      </c>
      <c r="AK5" s="16">
        <f ca="1">IFERROR(SLOPE(OFFSET(AI$15,MAX($B$15:$B$505)-$B$5+1,0,$B$5,1),OFFSET($C$15,MAX($B$15:$B$505)-$B$5+1,0,$B$5,1)),"N/A")</f>
        <v>0.2299127877325331</v>
      </c>
      <c r="AL5" s="16">
        <f t="array" aca="1" ref="AL5" ca="1">IFERROR(INTERCEPT(OFFSET(AI$15,MAX($B$15:$B$505)-$B$5+1,0,$B$5,1),OFFSET($C$15,MAX($B$15:$B$505)-$B$5+1,0,$B$5,1))*12,"N/A")</f>
        <v>8.3599356864234089</v>
      </c>
      <c r="AM5" s="16">
        <f ca="1">IFERROR(STDEVP(OFFSET(AI$15,MAX($B$15:$B$505)-$B$5+1,0,$B$5,1))*SQRT(12),"N/A")</f>
        <v>4.3987383719567799</v>
      </c>
      <c r="AN5" s="79"/>
      <c r="AO5" s="7" t="s">
        <v>7</v>
      </c>
      <c r="AP5" s="16">
        <f t="array" aca="1" ref="AP5" ca="1">IFERROR((GEOMEAN(1+OFFSET(AP$15,MAX($B$15:$B$505)-$B$5+1,0,$B$5,1)/100)^$B$5-1)*100,"N/A")</f>
        <v>7.8833512778787584</v>
      </c>
      <c r="AQ5" s="16">
        <f ca="1">IFERROR(SLOPE(OFFSET(AP$15,MAX($B$15:$B$505)-$B$5+1,0,$B$5,1),OFFSET($C$15,MAX($B$15:$B$505)-$B$5+1,0,$B$5,1)),"N/A")</f>
        <v>0.5518173134199893</v>
      </c>
      <c r="AR5" s="16">
        <f t="array" aca="1" ref="AR5" ca="1">IFERROR(INTERCEPT(OFFSET(AP$15,MAX($B$15:$B$505)-$B$5+1,0,$B$5,1),OFFSET($C$15,MAX($B$15:$B$505)-$B$5+1,0,$B$5,1))*12,"N/A")</f>
        <v>5.1791919557251296</v>
      </c>
      <c r="AS5" s="16">
        <f ca="1">IFERROR(STDEVP(OFFSET(AP$15,MAX($B$15:$B$505)-$B$5+1,0,$B$5,1))*SQRT(12),"N/A")</f>
        <v>4.7303467056730684</v>
      </c>
      <c r="AT5" s="39"/>
      <c r="AU5" s="7" t="s">
        <v>7</v>
      </c>
      <c r="AV5" s="16">
        <f t="array" aca="1" ref="AV5" ca="1">IFERROR((GEOMEAN(1+OFFSET(AV$15,MAX($B$15:$B$505)-$B$5+1,0,$B$5,1)/100)^$B$5-1)*100,"N/A")</f>
        <v>8.384254330187634</v>
      </c>
      <c r="AW5" s="36">
        <f t="shared" ref="AW5:AW7" ca="1" si="1">IFERROR(AV5-$P5,"N/A")</f>
        <v>0.12019998340531046</v>
      </c>
      <c r="AX5" s="16">
        <f ca="1">IFERROR(SLOPE(OFFSET(AV$15,MAX($B$15:$B$505)-$B$5+1,0,$B$5,1),OFFSET($C$15,MAX($B$15:$B$505)-$B$5+1,0,$B$5,1)),"N/A")</f>
        <v>0.21587948662002515</v>
      </c>
      <c r="AY5" s="16">
        <f t="array" aca="1" ref="AY5" ca="1">IFERROR(INTERCEPT(OFFSET(AV$15,MAX($B$15:$B$505)-$B$5+1,0,$B$5,1),OFFSET($C$15,MAX($B$15:$B$505)-$B$5+1,0,$B$5,1))*12,"N/A")</f>
        <v>7.1465377908064394</v>
      </c>
      <c r="AZ5" s="16">
        <f ca="1">IFERROR(STDEVP(OFFSET(AV$15,MAX($B$15:$B$505)-$B$5+1,0,$B$5,1))*SQRT(12),"N/A")</f>
        <v>3.5746502974508241</v>
      </c>
      <c r="BA5" s="79"/>
      <c r="BB5" s="7" t="s">
        <v>7</v>
      </c>
      <c r="BC5" s="16">
        <f t="array" aca="1" ref="BC5" ca="1">IFERROR((GEOMEAN(1+OFFSET(BC$15,MAX($B$15:$B$505)-$B$5+1,0,$B$5,1)/100)^$B$5-1)*100,"N/A")</f>
        <v>7.5370913745152146</v>
      </c>
      <c r="BD5" s="16">
        <f ca="1">IFERROR(SLOPE(OFFSET(BC$15,MAX($B$15:$B$505)-$B$5+1,0,$B$5,1),OFFSET($C$15,MAX($B$15:$B$505)-$B$5+1,0,$B$5,1)),"N/A")</f>
        <v>0.33642405274803316</v>
      </c>
      <c r="BE5" s="16">
        <f t="array" aca="1" ref="BE5" ca="1">IFERROR(INTERCEPT(OFFSET(BC$15,MAX($B$15:$B$505)-$B$5+1,0,$B$5,1),OFFSET($C$15,MAX($B$15:$B$505)-$B$5+1,0,$B$5,1))*12,"N/A")</f>
        <v>5.7917824194670615</v>
      </c>
      <c r="BF5" s="16">
        <f ca="1">IFERROR(STDEVP(OFFSET(BC$15,MAX($B$15:$B$505)-$B$5+1,0,$B$5,1))*SQRT(12),"N/A")</f>
        <v>3.3030099335850363</v>
      </c>
      <c r="BG5" s="39"/>
      <c r="BH5" s="7" t="s">
        <v>7</v>
      </c>
      <c r="BI5" s="16">
        <f t="array" aca="1" ref="BI5" ca="1">IFERROR((GEOMEAN(1+OFFSET(BI$15,MAX($B$15:$B$505)-$B$5+1,0,$B$5,1)/100)^$B$5-1)*100,"N/A")</f>
        <v>7.2623530956299476</v>
      </c>
      <c r="BJ5" s="36">
        <f t="shared" ref="BJ5:BJ7" ca="1" si="2">IFERROR(BI5-$P5,"N/A")</f>
        <v>-1.001701251152376</v>
      </c>
      <c r="BK5" s="16">
        <f ca="1">IFERROR(SLOPE(OFFSET(BI$15,MAX($B$15:$B$505)-$B$5+1,0,$B$5,1),OFFSET($C$15,MAX($B$15:$B$505)-$B$5+1,0,$B$5,1)),"N/A")</f>
        <v>0.15612344579220572</v>
      </c>
      <c r="BL5" s="16">
        <f t="array" aca="1" ref="BL5" ca="1">IFERROR(INTERCEPT(OFFSET(BI$15,MAX($B$15:$B$505)-$B$5+1,0,$B$5,1),OFFSET($C$15,MAX($B$15:$B$505)-$B$5+1,0,$B$5,1))*12,"N/A")</f>
        <v>6.3389312636613644</v>
      </c>
      <c r="BM5" s="16">
        <f ca="1">IFERROR(STDEVP(OFFSET(BI$15,MAX($B$15:$B$505)-$B$5+1,0,$B$5,1))*SQRT(12),"N/A")</f>
        <v>2.3469658255704182</v>
      </c>
      <c r="BN5" s="79"/>
      <c r="BO5" s="7" t="s">
        <v>7</v>
      </c>
      <c r="BP5" s="16">
        <f t="array" aca="1" ref="BP5" ca="1">IFERROR((GEOMEAN(1+OFFSET(BP$15,MAX($B$15:$B$505)-$B$5+1,0,$B$5,1)/100)^$B$5-1)*100,"N/A")</f>
        <v>7.3490051085449926</v>
      </c>
      <c r="BQ5" s="16">
        <f ca="1">IFERROR(SLOPE(OFFSET(BP$15,MAX($B$15:$B$505)-$B$5+1,0,$B$5,1),OFFSET($C$15,MAX($B$15:$B$505)-$B$5+1,0,$B$5,1)),"N/A")</f>
        <v>0.22872742241205504</v>
      </c>
      <c r="BR5" s="16">
        <f t="array" aca="1" ref="BR5" ca="1">IFERROR(INTERCEPT(OFFSET(BP$15,MAX($B$15:$B$505)-$B$5+1,0,$B$5,1),OFFSET($C$15,MAX($B$15:$B$505)-$B$5+1,0,$B$5,1))*12,"N/A")</f>
        <v>6.0980776513380306</v>
      </c>
      <c r="BS5" s="16">
        <f ca="1">IFERROR(STDEVP(OFFSET(BP$15,MAX($B$15:$B$505)-$B$5+1,0,$B$5,1))*SQRT(12),"N/A")</f>
        <v>2.8397393304719949</v>
      </c>
      <c r="BV5" s="39"/>
      <c r="BW5" s="7" t="s">
        <v>7</v>
      </c>
      <c r="BX5" s="16">
        <f t="array" aca="1" ref="BX5" ca="1">IFERROR((GEOMEAN(1+OFFSET(BX$15,MAX($B$15:$B$505)-$B$5+1,0,$B$5,1)/100)^$B$5-1)*100,"N/A")</f>
        <v>0</v>
      </c>
      <c r="BY5" s="36">
        <f ca="1">IFERROR(BX5-$CE5,"N/A")</f>
        <v>0</v>
      </c>
      <c r="BZ5" s="16" t="str">
        <f ca="1">IFERROR(SLOPE(OFFSET(BX$15,MAX($B$15:$B$505)-$B$5+1,0,$B$5,1),OFFSET($C$15,MAX($B$15:$B$505)-$B$5+1,0,$B$5,1)),"N/A")</f>
        <v>N/A</v>
      </c>
      <c r="CA5" s="16" t="str">
        <f t="array" aca="1" ref="CA5" ca="1">IFERROR(INTERCEPT(OFFSET(BX$15,MAX($B$15:$B$505)-$B$5+1,0,$B$5,1),OFFSET($C$15,MAX($B$15:$B$505)-$B$5+1,0,$B$5,1))*12,"N/A")</f>
        <v>N/A</v>
      </c>
      <c r="CB5" s="16" t="str">
        <f ca="1">IFERROR(STDEVP(OFFSET(BX$15,MAX($B$15:$B$505)-$B$5+1,0,$B$5,1))*SQRT(12),"N/A")</f>
        <v>N/A</v>
      </c>
      <c r="CC5" s="79"/>
      <c r="CD5" s="7" t="s">
        <v>7</v>
      </c>
      <c r="CE5" s="16">
        <f t="array" aca="1" ref="CE5" ca="1">IFERROR((GEOMEAN(1+OFFSET(CE$15,MAX($B$15:$B$505)-$B$5+1,0,$B$5,1)/100)^$B$5-1)*100,"N/A")</f>
        <v>0</v>
      </c>
      <c r="CF5" s="16" t="str">
        <f ca="1">IFERROR(SLOPE(OFFSET(CE$15,MAX($B$15:$B$505)-$B$5+1,0,$B$5,1),OFFSET($C$15,MAX($B$15:$B$505)-$B$5+1,0,$B$5,1)),"N/A")</f>
        <v>N/A</v>
      </c>
      <c r="CG5" s="16" t="str">
        <f t="array" aca="1" ref="CG5" ca="1">IFERROR(INTERCEPT(OFFSET(CE$15,MAX($B$15:$B$505)-$B$5+1,0,$B$5,1),OFFSET($C$15,MAX($B$15:$B$505)-$B$5+1,0,$B$5,1))*12,"N/A")</f>
        <v>N/A</v>
      </c>
      <c r="CH5" s="16" t="str">
        <f ca="1">IFERROR(STDEVP(OFFSET(CE$15,MAX($B$15:$B$505)-$B$5+1,0,$B$5,1))*SQRT(12),"N/A")</f>
        <v>N/A</v>
      </c>
      <c r="CI5" s="39"/>
    </row>
    <row r="6" spans="1:87" x14ac:dyDescent="0.25">
      <c r="A6" s="7" t="s">
        <v>46</v>
      </c>
      <c r="C6" s="16">
        <f t="array" aca="1" ref="C6" ca="1">IFERROR((GEOMEAN(1+OFFSET(C$15,MAX($B$15:$B$505)-11,0,12,1)/100)^12-1)*100,"N/A")</f>
        <v>4.3575278943008167</v>
      </c>
      <c r="D6" s="16">
        <f t="array" aca="1" ref="D6" ca="1">IFERROR((GEOMEAN(1+OFFSET(D$15,MAX($B$15:$B$505)-11,0,12,1)/100)^12-1)*100,"N/A")</f>
        <v>25.789354507385664</v>
      </c>
      <c r="E6" s="16">
        <f t="array" aca="1" ref="E6" ca="1">IFERROR((GEOMEAN(1+OFFSET(E$15,MAX($B$15:$B$505)-11,0,12,1)/100)^12-1)*100,"N/A")</f>
        <v>7.3009507401529783</v>
      </c>
      <c r="F6" s="16">
        <f t="array" aca="1" ref="F6" ca="1">IFERROR((GEOMEAN(1+OFFSET(F$15,MAX($B$15:$B$505)-11,0,12,1)/100)^12-1)*100,"N/A")</f>
        <v>0</v>
      </c>
      <c r="G6" s="39"/>
      <c r="H6" s="7" t="s">
        <v>46</v>
      </c>
      <c r="I6" s="16">
        <f t="array" aca="1" ref="I6" ca="1">IFERROR((GEOMEAN(1+OFFSET(I$15,MAX($B$15:$B$505)-11,0,12,1)/100)^12-1)*100,"N/A")</f>
        <v>11.026624798456307</v>
      </c>
      <c r="J6" s="36">
        <f t="shared" ca="1" si="0"/>
        <v>2.7625704516739837</v>
      </c>
      <c r="K6" s="16">
        <f ca="1">IFERROR(SLOPE(OFFSET(I$15,MAX($B$15:$B$505)-11,0,12,1),OFFSET($C$15,MAX($B$15:$B$505)-11,0,12,1)),"N/A")</f>
        <v>0.23076525228998479</v>
      </c>
      <c r="L6" s="16">
        <f ca="1">IFERROR(INTERCEPT(OFFSET(I$15,MAX($B$15:$B$505)-11,0,12,1),OFFSET($C$15,MAX($B$15:$B$505)-11,0,12,1))*12,"N/A")</f>
        <v>9.6177879493390375</v>
      </c>
      <c r="M6" s="16">
        <f ca="1">IFERROR(STDEVP(OFFSET(I$15,MAX($B$15:$B$505)-11,0,12,1))*SQRT(12),"N/A")</f>
        <v>5.9538113460475532</v>
      </c>
      <c r="N6" s="79"/>
      <c r="O6" s="7" t="s">
        <v>46</v>
      </c>
      <c r="P6" s="16">
        <f t="array" aca="1" ref="P6" ca="1">IFERROR((GEOMEAN(1+OFFSET(P$15,MAX($B$15:$B$505)-11,0,12,1)/100)^12-1)*100,"N/A")</f>
        <v>8.2640543467823235</v>
      </c>
      <c r="Q6" s="16">
        <f ca="1">IFERROR(SLOPE(OFFSET(P$15,MAX($B$15:$B$505)-11,0,12,1),OFFSET($C$15,MAX($B$15:$B$505)-11,0,12,1)),"N/A")</f>
        <v>0.82464877693780059</v>
      </c>
      <c r="R6" s="16">
        <f ca="1">IFERROR(INTERCEPT(OFFSET(P$15,MAX($B$15:$B$505)-11,0,12,1),OFFSET($C$15,MAX($B$15:$B$505)-11,0,12,1))*12,"N/A")</f>
        <v>4.403244034985347</v>
      </c>
      <c r="S6" s="16">
        <f ca="1">IFERROR(STDEVP(OFFSET(P$15,MAX($B$15:$B$505)-11,0,12,1))*SQRT(12),"N/A")</f>
        <v>6.92485033392982</v>
      </c>
      <c r="T6" s="39"/>
      <c r="U6" s="7" t="s">
        <v>46</v>
      </c>
      <c r="V6" s="16">
        <f t="array" aca="1" ref="V6" ca="1">IFERROR((GEOMEAN(1+OFFSET(V$15,MAX($B$15:$B$505)-11,0,12,1)/100)^12-1)*100,"N/A")</f>
        <v>10.310532978969199</v>
      </c>
      <c r="W6" s="36">
        <f ca="1">IFERROR(V6-$AC6,"N/A")</f>
        <v>2.2186941665437203</v>
      </c>
      <c r="X6" s="16">
        <f ca="1">IFERROR(SLOPE(OFFSET(V$15,MAX($B$15:$B$505)-11,0,12,1),OFFSET($C$15,MAX($B$15:$B$505)-11,0,12,1)),"N/A")</f>
        <v>0.22896610173260479</v>
      </c>
      <c r="Y6" s="16">
        <f ca="1">IFERROR(INTERCEPT(OFFSET(V$15,MAX($B$15:$B$505)-11,0,12,1),OFFSET($C$15,MAX($B$15:$B$505)-11,0,12,1))*12,"N/A")</f>
        <v>8.9453467779792515</v>
      </c>
      <c r="Z6" s="16">
        <f ca="1">IFERROR(STDEVP(OFFSET(V$15,MAX($B$15:$B$505)-11,0,12,1))*SQRT(12),"N/A")</f>
        <v>5.4550850673785858</v>
      </c>
      <c r="AA6" s="79"/>
      <c r="AB6" s="7" t="s">
        <v>46</v>
      </c>
      <c r="AC6" s="16">
        <f t="array" aca="1" ref="AC6" ca="1">IFERROR((GEOMEAN(1+OFFSET(AC$15,MAX($B$15:$B$505)-11,0,12,1)/100)^12-1)*100,"N/A")</f>
        <v>8.091838812425479</v>
      </c>
      <c r="AD6" s="16">
        <f ca="1">IFERROR(SLOPE(OFFSET(AC$15,MAX($B$15:$B$505)-11,0,12,1),OFFSET($C$15,MAX($B$15:$B$505)-11,0,12,1)),"N/A")</f>
        <v>0.69541282053462683</v>
      </c>
      <c r="AE6" s="16">
        <f ca="1">IFERROR(INTERCEPT(OFFSET(AC$15,MAX($B$15:$B$505)-11,0,12,1),OFFSET($C$15,MAX($B$15:$B$505)-11,0,12,1))*12,"N/A")</f>
        <v>4.7707983132305056</v>
      </c>
      <c r="AF6" s="16">
        <f ca="1">IFERROR(STDEVP(OFFSET(AC$15,MAX($B$15:$B$505)-11,0,12,1))*SQRT(12),"N/A")</f>
        <v>5.8564502434769521</v>
      </c>
      <c r="AG6" s="39"/>
      <c r="AH6" s="7" t="s">
        <v>46</v>
      </c>
      <c r="AI6" s="16">
        <f t="array" aca="1" ref="AI6" ca="1">IFERROR((GEOMEAN(1+OFFSET(AI$15,MAX($B$15:$B$505)-11,0,12,1)/100)^12-1)*100,"N/A")</f>
        <v>9.7328394525809649</v>
      </c>
      <c r="AJ6" s="36">
        <f t="shared" ref="AJ6:AJ8" ca="1" si="3">IFERROR(AI6-$AP6,"N/A")</f>
        <v>1.8494881747022065</v>
      </c>
      <c r="AK6" s="16">
        <f ca="1">IFERROR(SLOPE(OFFSET(AI$15,MAX($B$15:$B$505)-11,0,12,1),OFFSET($C$15,MAX($B$15:$B$505)-11,0,12,1)),"N/A")</f>
        <v>0.2299127877325331</v>
      </c>
      <c r="AL6" s="16">
        <f ca="1">IFERROR(INTERCEPT(OFFSET(AI$15,MAX($B$15:$B$505)-11,0,12,1),OFFSET($C$15,MAX($B$15:$B$505)-11,0,12,1))*12,"N/A")</f>
        <v>8.3599356864234089</v>
      </c>
      <c r="AM6" s="16">
        <f ca="1">IFERROR(STDEVP(OFFSET(AI$15,MAX($B$15:$B$505)-11,0,12,1))*SQRT(12),"N/A")</f>
        <v>4.3987383719567799</v>
      </c>
      <c r="AN6" s="79"/>
      <c r="AO6" s="7" t="s">
        <v>46</v>
      </c>
      <c r="AP6" s="16">
        <f t="array" aca="1" ref="AP6" ca="1">IFERROR((GEOMEAN(1+OFFSET(AP$15,MAX($B$15:$B$505)-11,0,12,1)/100)^12-1)*100,"N/A")</f>
        <v>7.8833512778787584</v>
      </c>
      <c r="AQ6" s="16">
        <f ca="1">IFERROR(SLOPE(OFFSET(AP$15,MAX($B$15:$B$505)-11,0,12,1),OFFSET($C$15,MAX($B$15:$B$505)-11,0,12,1)),"N/A")</f>
        <v>0.5518173134199893</v>
      </c>
      <c r="AR6" s="16">
        <f ca="1">IFERROR(INTERCEPT(OFFSET(AP$15,MAX($B$15:$B$505)-11,0,12,1),OFFSET($C$15,MAX($B$15:$B$505)-11,0,12,1))*12,"N/A")</f>
        <v>5.1791919557251296</v>
      </c>
      <c r="AS6" s="16">
        <f ca="1">IFERROR(STDEVP(OFFSET(AP$15,MAX($B$15:$B$505)-11,0,12,1))*SQRT(12),"N/A")</f>
        <v>4.7303467056730684</v>
      </c>
      <c r="AT6" s="39"/>
      <c r="AU6" s="7" t="s">
        <v>46</v>
      </c>
      <c r="AV6" s="16">
        <f t="array" aca="1" ref="AV6" ca="1">IFERROR((GEOMEAN(1+OFFSET(AV$15,MAX($B$15:$B$505)-11,0,12,1)/100)^12-1)*100,"N/A")</f>
        <v>8.384254330187634</v>
      </c>
      <c r="AW6" s="36">
        <f t="shared" ca="1" si="1"/>
        <v>0.12019998340531046</v>
      </c>
      <c r="AX6" s="16">
        <f ca="1">IFERROR(SLOPE(OFFSET(AV$15,MAX($B$15:$B$505)-11,0,12,1),OFFSET($C$15,MAX($B$15:$B$505)-11,0,12,1)),"N/A")</f>
        <v>0.21587948662002515</v>
      </c>
      <c r="AY6" s="16">
        <f ca="1">IFERROR(INTERCEPT(OFFSET(AV$15,MAX($B$15:$B$505)-11,0,12,1),OFFSET($C$15,MAX($B$15:$B$505)-11,0,12,1))*12,"N/A")</f>
        <v>7.1465377908064394</v>
      </c>
      <c r="AZ6" s="16">
        <f ca="1">IFERROR(STDEVP(OFFSET(AV$15,MAX($B$15:$B$505)-11,0,12,1))*SQRT(12),"N/A")</f>
        <v>3.5746502974508241</v>
      </c>
      <c r="BA6" s="79"/>
      <c r="BB6" s="7" t="s">
        <v>46</v>
      </c>
      <c r="BC6" s="16">
        <f t="array" aca="1" ref="BC6" ca="1">IFERROR((GEOMEAN(1+OFFSET(BC$15,MAX($B$15:$B$505)-11,0,12,1)/100)^12-1)*100,"N/A")</f>
        <v>7.5370913745152146</v>
      </c>
      <c r="BD6" s="16">
        <f ca="1">IFERROR(SLOPE(OFFSET(BC$15,MAX($B$15:$B$505)-11,0,12,1),OFFSET($C$15,MAX($B$15:$B$505)-11,0,12,1)),"N/A")</f>
        <v>0.33642405274803316</v>
      </c>
      <c r="BE6" s="16">
        <f ca="1">IFERROR(INTERCEPT(OFFSET(BC$15,MAX($B$15:$B$505)-11,0,12,1),OFFSET($C$15,MAX($B$15:$B$505)-11,0,12,1))*12,"N/A")</f>
        <v>5.7917824194670615</v>
      </c>
      <c r="BF6" s="16">
        <f ca="1">IFERROR(STDEVP(OFFSET(BC$15,MAX($B$15:$B$505)-11,0,12,1))*SQRT(12),"N/A")</f>
        <v>3.3030099335850363</v>
      </c>
      <c r="BG6" s="39"/>
      <c r="BH6" s="7" t="s">
        <v>46</v>
      </c>
      <c r="BI6" s="16">
        <f t="array" aca="1" ref="BI6" ca="1">IFERROR((GEOMEAN(1+OFFSET(BI$15,MAX($B$15:$B$505)-11,0,12,1)/100)^12-1)*100,"N/A")</f>
        <v>7.2623530956299476</v>
      </c>
      <c r="BJ6" s="36">
        <f t="shared" ca="1" si="2"/>
        <v>-1.001701251152376</v>
      </c>
      <c r="BK6" s="16">
        <f ca="1">IFERROR(SLOPE(OFFSET(BI$15,MAX($B$15:$B$505)-11,0,12,1),OFFSET($C$15,MAX($B$15:$B$505)-11,0,12,1)),"N/A")</f>
        <v>0.15612344579220572</v>
      </c>
      <c r="BL6" s="16">
        <f ca="1">IFERROR(INTERCEPT(OFFSET(BI$15,MAX($B$15:$B$505)-11,0,12,1),OFFSET($C$15,MAX($B$15:$B$505)-11,0,12,1))*12,"N/A")</f>
        <v>6.3389312636613644</v>
      </c>
      <c r="BM6" s="16">
        <f ca="1">IFERROR(STDEVP(OFFSET(BI$15,MAX($B$15:$B$505)-11,0,12,1))*SQRT(12),"N/A")</f>
        <v>2.3469658255704182</v>
      </c>
      <c r="BN6" s="79"/>
      <c r="BO6" s="7" t="s">
        <v>46</v>
      </c>
      <c r="BP6" s="16">
        <f t="array" aca="1" ref="BP6" ca="1">IFERROR((GEOMEAN(1+OFFSET(BP$15,MAX($B$15:$B$505)-11,0,12,1)/100)^12-1)*100,"N/A")</f>
        <v>7.3490051085449926</v>
      </c>
      <c r="BQ6" s="16">
        <f ca="1">IFERROR(SLOPE(OFFSET(BP$15,MAX($B$15:$B$505)-11,0,12,1),OFFSET($C$15,MAX($B$15:$B$505)-11,0,12,1)),"N/A")</f>
        <v>0.22872742241205504</v>
      </c>
      <c r="BR6" s="16">
        <f ca="1">IFERROR(INTERCEPT(OFFSET(BP$15,MAX($B$15:$B$505)-11,0,12,1),OFFSET($C$15,MAX($B$15:$B$505)-11,0,12,1))*12,"N/A")</f>
        <v>6.0980776513380306</v>
      </c>
      <c r="BS6" s="16">
        <f ca="1">IFERROR(STDEVP(OFFSET(BP$15,MAX($B$15:$B$505)-11,0,12,1))*SQRT(12),"N/A")</f>
        <v>2.8397393304719949</v>
      </c>
      <c r="BV6" s="39"/>
      <c r="BW6" s="7" t="s">
        <v>46</v>
      </c>
      <c r="BX6" s="16">
        <f t="array" aca="1" ref="BX6" ca="1">IFERROR((GEOMEAN(1+OFFSET(BX$15,MAX($B$15:$B$505)-11,0,12,1)/100)^12-1)*100,"N/A")</f>
        <v>0</v>
      </c>
      <c r="BY6" s="36">
        <f ca="1">IFERROR(BX6-$CE6,"N/A")</f>
        <v>0</v>
      </c>
      <c r="BZ6" s="16" t="str">
        <f ca="1">IFERROR(SLOPE(OFFSET(BX$15,MAX($B$15:$B$505)-11,0,12,1),OFFSET($C$15,MAX($B$15:$B$505)-11,0,12,1)),"N/A")</f>
        <v>N/A</v>
      </c>
      <c r="CA6" s="16" t="str">
        <f ca="1">IFERROR(INTERCEPT(OFFSET(BX$15,MAX($B$15:$B$505)-11,0,12,1),OFFSET($C$15,MAX($B$15:$B$505)-11,0,12,1))*12,"N/A")</f>
        <v>N/A</v>
      </c>
      <c r="CB6" s="16" t="str">
        <f ca="1">IFERROR(STDEVP(OFFSET(BX$15,MAX($B$15:$B$505)-11,0,12,1))*SQRT(12),"N/A")</f>
        <v>N/A</v>
      </c>
      <c r="CC6" s="79"/>
      <c r="CD6" s="7" t="s">
        <v>46</v>
      </c>
      <c r="CE6" s="16">
        <f t="array" aca="1" ref="CE6" ca="1">IFERROR((GEOMEAN(1+OFFSET(CE$15,MAX($B$15:$B$505)-11,0,12,1)/100)^12-1)*100,"N/A")</f>
        <v>0</v>
      </c>
      <c r="CF6" s="16" t="str">
        <f ca="1">IFERROR(SLOPE(OFFSET(CE$15,MAX($B$15:$B$505)-11,0,12,1),OFFSET($C$15,MAX($B$15:$B$505)-11,0,12,1)),"N/A")</f>
        <v>N/A</v>
      </c>
      <c r="CG6" s="16" t="str">
        <f ca="1">IFERROR(INTERCEPT(OFFSET(CE$15,MAX($B$15:$B$505)-11,0,12,1),OFFSET($C$15,MAX($B$15:$B$505)-11,0,12,1))*12,"N/A")</f>
        <v>N/A</v>
      </c>
      <c r="CH6" s="16" t="str">
        <f ca="1">IFERROR(STDEVP(OFFSET(CE$15,MAX($B$15:$B$505)-11,0,12,1))*SQRT(12),"N/A")</f>
        <v>N/A</v>
      </c>
      <c r="CI6" s="39"/>
    </row>
    <row r="7" spans="1:87" x14ac:dyDescent="0.25">
      <c r="A7" s="7" t="s">
        <v>47</v>
      </c>
      <c r="C7" s="16">
        <f t="array" aca="1" ref="C7" ca="1">IFERROR((GEOMEAN(1+OFFSET(C$15,MAX($B$15:$B$505)-23,0,24,1)/100)^12-1)*100,"N/A")</f>
        <v>9.1946034257897491</v>
      </c>
      <c r="D7" s="36">
        <f t="shared" ref="D7:D8" ca="1" si="4">IFERROR(C7-$P7,"N/A")</f>
        <v>-1.0386794007605005</v>
      </c>
      <c r="E7" s="16">
        <f ca="1">IFERROR(SLOPE(OFFSET(C$15,MAX($B$15:$B$505)-23,0,24,1),OFFSET($C$15,MAX($B$15:$B$505)-23,0,24,1)),"N/A")</f>
        <v>1</v>
      </c>
      <c r="F7" s="16">
        <f ca="1">IFERROR(INTERCEPT(OFFSET(C$15,MAX($B$15:$B$505)-23,0,24,1),OFFSET($C$15,MAX($B$15:$B$505)-23,0,24,1))*12,"N/A")</f>
        <v>0</v>
      </c>
      <c r="G7" s="39"/>
      <c r="H7" s="7" t="s">
        <v>47</v>
      </c>
      <c r="I7" s="16">
        <f t="array" aca="1" ref="I7" ca="1">IFERROR((GEOMEAN(1+OFFSET(I$15,MAX($B$15:$B$505)-23,0,24,1)/100)^12-1)*100,"N/A")</f>
        <v>10.189840303212039</v>
      </c>
      <c r="J7" s="36">
        <f t="shared" ca="1" si="0"/>
        <v>-4.3442523338210748E-2</v>
      </c>
      <c r="K7" s="16">
        <f ca="1">IFERROR(SLOPE(OFFSET(I$15,MAX($B$15:$B$505)-23,0,24,1),OFFSET($C$15,MAX($B$15:$B$505)-23,0,24,1)),"N/A")</f>
        <v>0.66114373237205637</v>
      </c>
      <c r="L7" s="16">
        <f ca="1">IFERROR(INTERCEPT(OFFSET(I$15,MAX($B$15:$B$505)-23,0,24,1),OFFSET($C$15,MAX($B$15:$B$505)-23,0,24,1))*12,"N/A")</f>
        <v>3.9823643481575535</v>
      </c>
      <c r="M7" s="16">
        <f ca="1">IFERROR(STDEVP(OFFSET(I$15,MAX($B$15:$B$505)-23,0,24,1))*SQRT(12),"N/A")</f>
        <v>9.0493046923912708</v>
      </c>
      <c r="N7" s="79"/>
      <c r="O7" s="7" t="s">
        <v>47</v>
      </c>
      <c r="P7" s="16">
        <f t="array" aca="1" ref="P7" ca="1">IFERROR((GEOMEAN(1+OFFSET(P$15,MAX($B$15:$B$505)-23,0,24,1)/100)^12-1)*100,"N/A")</f>
        <v>10.23328282655025</v>
      </c>
      <c r="Q7" s="16">
        <f ca="1">IFERROR(SLOPE(OFFSET(P$15,MAX($B$15:$B$505)-23,0,24,1),OFFSET($C$15,MAX($B$15:$B$505)-23,0,24,1)),"N/A")</f>
        <v>0.87133761214865546</v>
      </c>
      <c r="R7" s="16">
        <f ca="1">IFERROR(INTERCEPT(OFFSET(P$15,MAX($B$15:$B$505)-23,0,24,1),OFFSET($C$15,MAX($B$15:$B$505)-23,0,24,1))*12,"N/A")</f>
        <v>2.0441527576415908</v>
      </c>
      <c r="S7" s="16">
        <f ca="1">IFERROR(STDEVP(OFFSET(P$15,MAX($B$15:$B$505)-23,0,24,1))*SQRT(12),"N/A")</f>
        <v>8.8906003192335294</v>
      </c>
      <c r="T7" s="39"/>
      <c r="U7" s="7" t="s">
        <v>47</v>
      </c>
      <c r="V7" s="16">
        <f t="array" aca="1" ref="V7" ca="1">IFERROR((GEOMEAN(1+OFFSET(V$15,MAX($B$15:$B$505)-23,0,24,1)/100)^12-1)*100,"N/A")</f>
        <v>9.9685143454558265</v>
      </c>
      <c r="W7" s="36">
        <f ca="1">IFERROR(V7-$AC7,"N/A")</f>
        <v>0.83835568872046196</v>
      </c>
      <c r="X7" s="16">
        <f ca="1">IFERROR(SLOPE(OFFSET(V$15,MAX($B$15:$B$505)-23,0,24,1),OFFSET($C$15,MAX($B$15:$B$505)-23,0,24,1)),"N/A")</f>
        <v>0.61273836632837519</v>
      </c>
      <c r="Y7" s="16">
        <f ca="1">IFERROR(INTERCEPT(OFFSET(V$15,MAX($B$15:$B$505)-23,0,24,1),OFFSET($C$15,MAX($B$15:$B$505)-23,0,24,1))*12,"N/A")</f>
        <v>4.1563501148121738</v>
      </c>
      <c r="Z7" s="16">
        <f ca="1">IFERROR(STDEVP(OFFSET(V$15,MAX($B$15:$B$505)-23,0,24,1))*SQRT(12),"N/A")</f>
        <v>8.1822834211905811</v>
      </c>
      <c r="AA7" s="79"/>
      <c r="AB7" s="7" t="s">
        <v>47</v>
      </c>
      <c r="AC7" s="16">
        <f t="array" aca="1" ref="AC7" ca="1">IFERROR((GEOMEAN(1+OFFSET(AC$15,MAX($B$15:$B$505)-23,0,24,1)/100)^12-1)*100,"N/A")</f>
        <v>9.1301586567353645</v>
      </c>
      <c r="AD7" s="16">
        <f ca="1">IFERROR(SLOPE(OFFSET(AC$15,MAX($B$15:$B$505)-23,0,24,1),OFFSET($C$15,MAX($B$15:$B$505)-23,0,24,1)),"N/A")</f>
        <v>0.75932969934293537</v>
      </c>
      <c r="AE7" s="16">
        <f ca="1">IFERROR(INTERCEPT(OFFSET(AC$15,MAX($B$15:$B$505)-23,0,24,1),OFFSET($C$15,MAX($B$15:$B$505)-23,0,24,1))*12,"N/A")</f>
        <v>1.9861607664825955</v>
      </c>
      <c r="AF7" s="16">
        <f ca="1">IFERROR(STDEVP(OFFSET(AC$15,MAX($B$15:$B$505)-23,0,24,1))*SQRT(12),"N/A")</f>
        <v>7.8125034356764109</v>
      </c>
      <c r="AG7" s="39"/>
      <c r="AH7" s="7" t="s">
        <v>47</v>
      </c>
      <c r="AI7" s="16">
        <f t="array" aca="1" ref="AI7" ca="1">IFERROR((GEOMEAN(1+OFFSET(AI$15,MAX($B$15:$B$505)-23,0,24,1)/100)^12-1)*100,"N/A")</f>
        <v>9.1169963617736336</v>
      </c>
      <c r="AJ7" s="36">
        <f t="shared" ca="1" si="3"/>
        <v>1.2208189406182743</v>
      </c>
      <c r="AK7" s="16">
        <f ca="1">IFERROR(SLOPE(OFFSET(AI$15,MAX($B$15:$B$505)-23,0,24,1),OFFSET($C$15,MAX($B$15:$B$505)-23,0,24,1)),"N/A")</f>
        <v>0.56409357826141016</v>
      </c>
      <c r="AL7" s="16">
        <f ca="1">IFERROR(INTERCEPT(OFFSET(AI$15,MAX($B$15:$B$505)-23,0,24,1),OFFSET($C$15,MAX($B$15:$B$505)-23,0,24,1))*12,"N/A")</f>
        <v>3.7593361238359453</v>
      </c>
      <c r="AM7" s="16">
        <f ca="1">IFERROR(STDEVP(OFFSET(AI$15,MAX($B$15:$B$505)-23,0,24,1))*SQRT(12),"N/A")</f>
        <v>7.3035453579096856</v>
      </c>
      <c r="AN7" s="79"/>
      <c r="AO7" s="7" t="s">
        <v>47</v>
      </c>
      <c r="AP7" s="16">
        <f t="array" aca="1" ref="AP7" ca="1">IFERROR((GEOMEAN(1+OFFSET(AP$15,MAX($B$15:$B$505)-23,0,24,1)/100)^12-1)*100,"N/A")</f>
        <v>7.8961774211553593</v>
      </c>
      <c r="AQ7" s="16">
        <f ca="1">IFERROR(SLOPE(OFFSET(AP$15,MAX($B$15:$B$505)-23,0,24,1),OFFSET($C$15,MAX($B$15:$B$505)-23,0,24,1)),"N/A")</f>
        <v>0.63487646289213562</v>
      </c>
      <c r="AR7" s="16">
        <f ca="1">IFERROR(INTERCEPT(OFFSET(AP$15,MAX($B$15:$B$505)-23,0,24,1),OFFSET($C$15,MAX($B$15:$B$505)-23,0,24,1))*12,"N/A")</f>
        <v>1.9217252207503723</v>
      </c>
      <c r="AS7" s="16">
        <f ca="1">IFERROR(STDEVP(OFFSET(AP$15,MAX($B$15:$B$505)-23,0,24,1))*SQRT(12),"N/A")</f>
        <v>6.6914325035339033</v>
      </c>
      <c r="AT7" s="39"/>
      <c r="AU7" s="7" t="s">
        <v>47</v>
      </c>
      <c r="AV7" s="16">
        <f t="array" aca="1" ref="AV7" ca="1">IFERROR((GEOMEAN(1+OFFSET(AV$15,MAX($B$15:$B$505)-23,0,24,1)/100)^12-1)*100,"N/A")</f>
        <v>6.9274000285474591</v>
      </c>
      <c r="AW7" s="36">
        <f t="shared" ca="1" si="1"/>
        <v>-3.3058827980027905</v>
      </c>
      <c r="AX7" s="16">
        <f ca="1">IFERROR(SLOPE(OFFSET(AV$15,MAX($B$15:$B$505)-23,0,24,1),OFFSET($C$15,MAX($B$15:$B$505)-23,0,24,1)),"N/A")</f>
        <v>0.44703446050207535</v>
      </c>
      <c r="AY7" s="16">
        <f ca="1">IFERROR(INTERCEPT(OFFSET(AV$15,MAX($B$15:$B$505)-23,0,24,1),OFFSET($C$15,MAX($B$15:$B$505)-23,0,24,1))*12,"N/A")</f>
        <v>2.7075457622769585</v>
      </c>
      <c r="AZ7" s="16">
        <f ca="1">IFERROR(STDEVP(OFFSET(AV$15,MAX($B$15:$B$505)-23,0,24,1))*SQRT(12),"N/A")</f>
        <v>5.7006570147995745</v>
      </c>
      <c r="BA7" s="79"/>
      <c r="BB7" s="7" t="s">
        <v>47</v>
      </c>
      <c r="BC7" s="16">
        <f t="array" aca="1" ref="BC7" ca="1">IFERROR((GEOMEAN(1+OFFSET(BC$15,MAX($B$15:$B$505)-23,0,24,1)/100)^12-1)*100,"N/A")</f>
        <v>6.0300850628270952</v>
      </c>
      <c r="BD7" s="16">
        <f ca="1">IFERROR(SLOPE(OFFSET(BC$15,MAX($B$15:$B$505)-23,0,24,1),OFFSET($C$15,MAX($B$15:$B$505)-23,0,24,1)),"N/A")</f>
        <v>0.44819660821593577</v>
      </c>
      <c r="BE7" s="16">
        <f ca="1">IFERROR(INTERCEPT(OFFSET(BC$15,MAX($B$15:$B$505)-23,0,24,1),OFFSET($C$15,MAX($B$15:$B$505)-23,0,24,1))*12,"N/A")</f>
        <v>1.8250719021520359</v>
      </c>
      <c r="BF7" s="16">
        <f ca="1">IFERROR(STDEVP(OFFSET(BC$15,MAX($B$15:$B$505)-23,0,24,1))*SQRT(12),"N/A")</f>
        <v>5.2710189574616866</v>
      </c>
      <c r="BG7" s="39"/>
      <c r="BH7" s="7" t="s">
        <v>47</v>
      </c>
      <c r="BI7" s="16">
        <f t="array" aca="1" ref="BI7" ca="1">IFERROR((GEOMEAN(1+OFFSET(BI$15,MAX($B$15:$B$505)-23,0,24,1)/100)^12-1)*100,"N/A")</f>
        <v>5.713541337176764</v>
      </c>
      <c r="BJ7" s="36">
        <f t="shared" ca="1" si="2"/>
        <v>-4.5197414893734855</v>
      </c>
      <c r="BK7" s="16">
        <f ca="1">IFERROR(SLOPE(OFFSET(BI$15,MAX($B$15:$B$505)-23,0,24,1),OFFSET($C$15,MAX($B$15:$B$505)-23,0,24,1)),"N/A")</f>
        <v>0.37092366178706576</v>
      </c>
      <c r="BL7" s="16">
        <f ca="1">IFERROR(INTERCEPT(OFFSET(BI$15,MAX($B$15:$B$505)-23,0,24,1),OFFSET($C$15,MAX($B$15:$B$505)-23,0,24,1))*12,"N/A")</f>
        <v>2.2176922140600235</v>
      </c>
      <c r="BM7" s="16">
        <f ca="1">IFERROR(STDEVP(OFFSET(BI$15,MAX($B$15:$B$505)-23,0,24,1))*SQRT(12),"N/A")</f>
        <v>4.6920706292615355</v>
      </c>
      <c r="BN7" s="79"/>
      <c r="BO7" s="7" t="s">
        <v>47</v>
      </c>
      <c r="BP7" s="16">
        <f t="array" aca="1" ref="BP7" ca="1">IFERROR((GEOMEAN(1+OFFSET(BP$15,MAX($B$15:$B$505)-23,0,24,1)/100)^12-1)*100,"N/A")</f>
        <v>5.0907611876690018</v>
      </c>
      <c r="BQ7" s="16">
        <f ca="1">IFERROR(SLOPE(OFFSET(BP$15,MAX($B$15:$B$505)-23,0,24,1),OFFSET($C$15,MAX($B$15:$B$505)-23,0,24,1)),"N/A")</f>
        <v>0.35485668087783567</v>
      </c>
      <c r="BR7" s="16">
        <f ca="1">IFERROR(INTERCEPT(OFFSET(BP$15,MAX($B$15:$B$505)-23,0,24,1),OFFSET($C$15,MAX($B$15:$B$505)-23,0,24,1))*12,"N/A")</f>
        <v>1.7767452428528703</v>
      </c>
      <c r="BS7" s="16">
        <f ca="1">IFERROR(STDEVP(OFFSET(BP$15,MAX($B$15:$B$505)-23,0,24,1))*SQRT(12),"N/A")</f>
        <v>4.7557390928286623</v>
      </c>
      <c r="BV7" s="39"/>
      <c r="BW7" s="7" t="s">
        <v>47</v>
      </c>
      <c r="BX7" s="16">
        <f t="array" aca="1" ref="BX7" ca="1">IFERROR((GEOMEAN(1+OFFSET(BX$15,MAX($B$15:$B$505)-23,0,24,1)/100)^12-1)*100,"N/A")</f>
        <v>3.4277513686022942</v>
      </c>
      <c r="BY7" s="36">
        <f ca="1">IFERROR(BX7-$CE7,"N/A")</f>
        <v>0.36437154405175587</v>
      </c>
      <c r="BZ7" s="16">
        <f ca="1">IFERROR(SLOPE(OFFSET(BX$15,MAX($B$15:$B$505)-23,0,24,1),OFFSET($C$15,MAX($B$15:$B$505)-23,0,24,1)),"N/A")</f>
        <v>0.68457868461745086</v>
      </c>
      <c r="CA7" s="16">
        <f ca="1">IFERROR(INTERCEPT(OFFSET(BX$15,MAX($B$15:$B$505)-23,0,24,1),OFFSET($C$15,MAX($B$15:$B$505)-23,0,24,1))*12,"N/A")</f>
        <v>-2.5100220547903667</v>
      </c>
      <c r="CB7" s="16">
        <f ca="1">IFERROR(STDEVP(OFFSET(BX$15,MAX($B$15:$B$505)-23,0,24,1))*SQRT(12),"N/A")</f>
        <v>8.3862083360557271</v>
      </c>
      <c r="CC7" s="79"/>
      <c r="CD7" s="7" t="s">
        <v>47</v>
      </c>
      <c r="CE7" s="16">
        <f t="array" aca="1" ref="CE7" ca="1">IFERROR((GEOMEAN(1+OFFSET(CE$15,MAX($B$15:$B$505)-23,0,24,1)/100)^12-1)*100,"N/A")</f>
        <v>3.0633798245505384</v>
      </c>
      <c r="CF7" s="16">
        <f ca="1">IFERROR(SLOPE(OFFSET(CE$15,MAX($B$15:$B$505)-23,0,24,1),OFFSET($C$15,MAX($B$15:$B$505)-23,0,24,1)),"N/A")</f>
        <v>0.61105830459680088</v>
      </c>
      <c r="CG7" s="16">
        <f ca="1">IFERROR(INTERCEPT(OFFSET(CE$15,MAX($B$15:$B$505)-23,0,24,1),OFFSET($C$15,MAX($B$15:$B$505)-23,0,24,1))*12,"N/A")</f>
        <v>-2.2669883620907245</v>
      </c>
      <c r="CH7" s="16">
        <f ca="1">IFERROR(STDEVP(OFFSET(CE$15,MAX($B$15:$B$505)-23,0,24,1))*SQRT(12),"N/A")</f>
        <v>7.3890410356884262</v>
      </c>
      <c r="CI7" s="39"/>
    </row>
    <row r="8" spans="1:87" x14ac:dyDescent="0.25">
      <c r="A8" s="7" t="s">
        <v>48</v>
      </c>
      <c r="C8" s="45">
        <f t="array" aca="1" ref="C8" ca="1">IFERROR((GEOMEAN(1+OFFSET(C$15,MAX($B$15:$B$505)-35,0,36,1)/100)^12-1)*100,"N/A")</f>
        <v>6.2917987717670432</v>
      </c>
      <c r="D8" s="36">
        <f t="shared" ca="1" si="4"/>
        <v>-1.4162924789087317</v>
      </c>
      <c r="E8" s="16">
        <f ca="1">IFERROR(SLOPE(OFFSET(C$15,MAX($B$15:$B$505)-35,0,36,1),OFFSET($C$15,MAX($B$15:$B$505)-35,0,36,1)),"N/A")</f>
        <v>1</v>
      </c>
      <c r="F8" s="16">
        <f ca="1">IFERROR(INTERCEPT(OFFSET(C$15,MAX($B$15:$B$505)-35,0,36,1),OFFSET($C$15,MAX($B$15:$B$505)-35,0,36,1))*12,"N/A")</f>
        <v>0</v>
      </c>
      <c r="G8" s="39">
        <f ca="1">IFERROR(STDEVP(OFFSET(C$15,MAX($B$15:$B$505)-35,0,36,1))*SQRT(12),"N/A")</f>
        <v>10.468153725380597</v>
      </c>
      <c r="H8" s="7" t="s">
        <v>48</v>
      </c>
      <c r="I8" s="45">
        <f t="array" aca="1" ref="I8" ca="1">IFERROR((GEOMEAN(1+OFFSET(I$15,MAX($B$15:$B$505)-35,0,36,1)/100)^12-1)*100,"N/A")</f>
        <v>11.319467831356377</v>
      </c>
      <c r="J8" s="36">
        <f t="shared" ca="1" si="0"/>
        <v>3.6113765806806022</v>
      </c>
      <c r="K8" s="16">
        <f ca="1">IFERROR(SLOPE(OFFSET(I$15,MAX($B$15:$B$505)-35,0,36,1),OFFSET($C$15,MAX($B$15:$B$505)-35,0,36,1)),"N/A")</f>
        <v>0.76091585570978426</v>
      </c>
      <c r="L8" s="16">
        <f ca="1">IFERROR(INTERCEPT(OFFSET(I$15,MAX($B$15:$B$505)-35,0,36,1),OFFSET($C$15,MAX($B$15:$B$505)-35,0,36,1))*12,"N/A")</f>
        <v>6.2616605479785186</v>
      </c>
      <c r="M8" s="16">
        <f ca="1">IFERROR(STDEVP(OFFSET(I$15,MAX($B$15:$B$505)-35,0,36,1))*SQRT(12),"N/A")</f>
        <v>10.649236137234247</v>
      </c>
      <c r="N8" s="79"/>
      <c r="O8" s="7" t="s">
        <v>48</v>
      </c>
      <c r="P8" s="45">
        <f t="array" aca="1" ref="P8" ca="1">IFERROR((GEOMEAN(1+OFFSET(P$15,MAX($B$15:$B$505)-35,0,36,1)/100)^12-1)*100,"N/A")</f>
        <v>7.7080912506757748</v>
      </c>
      <c r="Q8" s="16">
        <f ca="1">IFERROR(SLOPE(OFFSET(P$15,MAX($B$15:$B$505)-35,0,36,1),OFFSET($C$15,MAX($B$15:$B$505)-35,0,36,1)),"N/A")</f>
        <v>0.90946381314301783</v>
      </c>
      <c r="R8" s="16">
        <f ca="1">IFERROR(INTERCEPT(OFFSET(P$15,MAX($B$15:$B$505)-35,0,36,1),OFFSET($C$15,MAX($B$15:$B$505)-35,0,36,1))*12,"N/A")</f>
        <v>1.8505023519715516</v>
      </c>
      <c r="S8" s="16">
        <f ca="1">IFERROR(STDEVP(OFFSET(P$15,MAX($B$15:$B$505)-35,0,36,1))*SQRT(12),"N/A")</f>
        <v>9.6357798849466292</v>
      </c>
      <c r="T8" s="39"/>
      <c r="U8" s="7" t="s">
        <v>48</v>
      </c>
      <c r="V8" s="45">
        <f t="array" aca="1" ref="V8" ca="1">IFERROR((GEOMEAN(1+OFFSET(V$15,MAX($B$15:$B$505)-35,0,36,1)/100)^12-1)*100,"N/A")</f>
        <v>10.928441596090522</v>
      </c>
      <c r="W8" s="36">
        <f ca="1">IFERROR(V8-$AC8,"N/A")</f>
        <v>3.7628420422892281</v>
      </c>
      <c r="X8" s="16">
        <f ca="1">IFERROR(SLOPE(OFFSET(V$15,MAX($B$15:$B$505)-35,0,36,1),OFFSET($C$15,MAX($B$15:$B$505)-35,0,36,1)),"N/A")</f>
        <v>0.7124032998703429</v>
      </c>
      <c r="Y8" s="16">
        <f ca="1">IFERROR(INTERCEPT(OFFSET(V$15,MAX($B$15:$B$505)-35,0,36,1),OFFSET($C$15,MAX($B$15:$B$505)-35,0,36,1))*12,"N/A")</f>
        <v>6.1430668783216875</v>
      </c>
      <c r="Z8" s="16">
        <f ca="1">IFERROR(STDEVP(OFFSET(V$15,MAX($B$15:$B$505)-35,0,36,1))*SQRT(12),"N/A")</f>
        <v>9.7898073278500046</v>
      </c>
      <c r="AA8" s="79"/>
      <c r="AB8" s="7" t="s">
        <v>48</v>
      </c>
      <c r="AC8" s="45">
        <f t="array" aca="1" ref="AC8" ca="1">IFERROR((GEOMEAN(1+OFFSET(AC$15,MAX($B$15:$B$505)-35,0,36,1)/100)^12-1)*100,"N/A")</f>
        <v>7.165599553801294</v>
      </c>
      <c r="AD8" s="16">
        <f ca="1">IFERROR(SLOPE(OFFSET(AC$15,MAX($B$15:$B$505)-35,0,36,1),OFFSET($C$15,MAX($B$15:$B$505)-35,0,36,1)),"N/A")</f>
        <v>0.80610856098557038</v>
      </c>
      <c r="AE8" s="16">
        <f ca="1">IFERROR(INTERCEPT(OFFSET(AC$15,MAX($B$15:$B$505)-35,0,36,1),OFFSET($C$15,MAX($B$15:$B$505)-35,0,36,1))*12,"N/A")</f>
        <v>1.9398380677832086</v>
      </c>
      <c r="AF8" s="16">
        <f ca="1">IFERROR(STDEVP(OFFSET(AC$15,MAX($B$15:$B$505)-35,0,36,1))*SQRT(12),"N/A")</f>
        <v>8.6357374259247734</v>
      </c>
      <c r="AG8" s="39"/>
      <c r="AH8" s="7" t="s">
        <v>48</v>
      </c>
      <c r="AI8" s="45">
        <f t="array" aca="1" ref="AI8" ca="1">IFERROR((GEOMEAN(1+OFFSET(AI$15,MAX($B$15:$B$505)-35,0,36,1)/100)^12-1)*100,"N/A")</f>
        <v>9.7327771948941599</v>
      </c>
      <c r="AJ8" s="36">
        <f t="shared" ca="1" si="3"/>
        <v>3.1881139003053116</v>
      </c>
      <c r="AK8" s="16">
        <f ca="1">IFERROR(SLOPE(OFFSET(AI$15,MAX($B$15:$B$505)-35,0,36,1),OFFSET($C$15,MAX($B$15:$B$505)-35,0,36,1)),"N/A")</f>
        <v>0.64016488884201395</v>
      </c>
      <c r="AL8" s="16">
        <f ca="1">IFERROR(INTERCEPT(OFFSET(AI$15,MAX($B$15:$B$505)-35,0,36,1),OFFSET($C$15,MAX($B$15:$B$505)-35,0,36,1))*12,"N/A")</f>
        <v>5.4189636682417941</v>
      </c>
      <c r="AM8" s="16">
        <f ca="1">IFERROR(STDEVP(OFFSET(AI$15,MAX($B$15:$B$505)-35,0,36,1))*SQRT(12),"N/A")</f>
        <v>8.5348254958720791</v>
      </c>
      <c r="AN8" s="79"/>
      <c r="AO8" s="7" t="s">
        <v>48</v>
      </c>
      <c r="AP8" s="45">
        <f t="array" aca="1" ref="AP8" ca="1">IFERROR((GEOMEAN(1+OFFSET(AP$15,MAX($B$15:$B$505)-35,0,36,1)/100)^12-1)*100,"N/A")</f>
        <v>6.5446632945888483</v>
      </c>
      <c r="AQ8" s="16">
        <f ca="1">IFERROR(SLOPE(OFFSET(AP$15,MAX($B$15:$B$505)-35,0,36,1),OFFSET($C$15,MAX($B$15:$B$505)-35,0,36,1)),"N/A")</f>
        <v>0.69126939192174031</v>
      </c>
      <c r="AR8" s="16">
        <f ca="1">IFERROR(INTERCEPT(OFFSET(AP$15,MAX($B$15:$B$505)-35,0,36,1),OFFSET($C$15,MAX($B$15:$B$505)-35,0,36,1))*12,"N/A")</f>
        <v>2.0390999742406004</v>
      </c>
      <c r="AS8" s="16">
        <f ca="1">IFERROR(STDEVP(OFFSET(AP$15,MAX($B$15:$B$505)-35,0,36,1))*SQRT(12),"N/A")</f>
        <v>7.6316453507684043</v>
      </c>
      <c r="AT8" s="39"/>
      <c r="AU8" s="7" t="s">
        <v>48</v>
      </c>
      <c r="AV8" s="45">
        <f t="array" aca="1" ref="AV8" ca="1">IFERROR((GEOMEAN(1+OFFSET(AV$15,MAX($B$15:$B$505)-35,0,36,1)/100)^12-1)*100,"N/A")</f>
        <v>7.1576306933373024</v>
      </c>
      <c r="AW8" s="36">
        <f ca="1">IFERROR(AV8-$BC8,"N/A")</f>
        <v>1.5794496571857941</v>
      </c>
      <c r="AX8" s="16">
        <f ca="1">IFERROR(SLOPE(OFFSET(AV$15,MAX($B$15:$B$505)-35,0,36,1),OFFSET($C$15,MAX($B$15:$B$505)-35,0,36,1)),"N/A")</f>
        <v>0.50393222067369803</v>
      </c>
      <c r="AY8" s="16">
        <f ca="1">IFERROR(INTERCEPT(OFFSET(AV$15,MAX($B$15:$B$505)-35,0,36,1),OFFSET($C$15,MAX($B$15:$B$505)-35,0,36,1))*12,"N/A")</f>
        <v>3.7948740619080166</v>
      </c>
      <c r="AZ8" s="16">
        <f ca="1">IFERROR(STDEVP(OFFSET(AV$15,MAX($B$15:$B$505)-35,0,36,1))*SQRT(12),"N/A")</f>
        <v>6.6543233597858817</v>
      </c>
      <c r="BA8" s="79"/>
      <c r="BB8" s="7" t="s">
        <v>48</v>
      </c>
      <c r="BC8" s="45">
        <f t="array" aca="1" ref="BC8" ca="1">IFERROR((GEOMEAN(1+OFFSET(BC$15,MAX($B$15:$B$505)-35,0,36,1)/100)^12-1)*100,"N/A")</f>
        <v>5.5781810361515083</v>
      </c>
      <c r="BD8" s="16">
        <f ca="1">IFERROR(SLOPE(OFFSET(BC$15,MAX($B$15:$B$505)-35,0,36,1),OFFSET($C$15,MAX($B$15:$B$505)-35,0,36,1)),"N/A")</f>
        <v>0.51901063832599481</v>
      </c>
      <c r="BE8" s="16">
        <f ca="1">IFERROR(INTERCEPT(OFFSET(BC$15,MAX($B$15:$B$505)-35,0,36,1),OFFSET($C$15,MAX($B$15:$B$505)-35,0,36,1))*12,"N/A")</f>
        <v>2.187992833926689</v>
      </c>
      <c r="BF8" s="16">
        <f ca="1">IFERROR(STDEVP(OFFSET(BC$15,MAX($B$15:$B$505)-35,0,36,1))*SQRT(12),"N/A")</f>
        <v>6.447778245602179</v>
      </c>
      <c r="BG8" s="39"/>
      <c r="BH8" s="7" t="s">
        <v>48</v>
      </c>
      <c r="BI8" s="45">
        <f t="array" aca="1" ref="BI8" ca="1">IFERROR((GEOMEAN(1+OFFSET(BI$15,MAX($B$15:$B$505)-35,0,36,1)/100)^12-1)*100,"N/A")</f>
        <v>5.8622373612358114</v>
      </c>
      <c r="BJ8" s="36">
        <f ca="1">IFERROR(BI8-$BC8,"N/A")</f>
        <v>0.28405632508430312</v>
      </c>
      <c r="BK8" s="16">
        <f ca="1">IFERROR(SLOPE(OFFSET(BI$15,MAX($B$15:$B$505)-35,0,36,1),OFFSET($C$15,MAX($B$15:$B$505)-35,0,36,1)),"N/A")</f>
        <v>0.42401934637605032</v>
      </c>
      <c r="BL8" s="16">
        <f ca="1">IFERROR(INTERCEPT(OFFSET(BI$15,MAX($B$15:$B$505)-35,0,36,1),OFFSET($C$15,MAX($B$15:$B$505)-35,0,36,1))*12,"N/A")</f>
        <v>3.0423475337428685</v>
      </c>
      <c r="BM8" s="16">
        <f ca="1">IFERROR(STDEVP(OFFSET(BI$15,MAX($B$15:$B$505)-35,0,36,1))*SQRT(12),"N/A")</f>
        <v>5.6333303905132572</v>
      </c>
      <c r="BN8" s="79"/>
      <c r="BO8" s="7" t="s">
        <v>48</v>
      </c>
      <c r="BP8" s="45">
        <f t="array" aca="1" ref="BP8" ca="1">IFERROR((GEOMEAN(1+OFFSET(BP$15,MAX($B$15:$B$505)-35,0,36,1)/100)^12-1)*100,"N/A")</f>
        <v>5.0794941898923529</v>
      </c>
      <c r="BQ8" s="16">
        <f ca="1">IFERROR(SLOPE(OFFSET(BP$15,MAX($B$15:$B$505)-35,0,36,1),OFFSET($C$15,MAX($B$15:$B$505)-35,0,36,1)),"N/A")</f>
        <v>0.43288126152812201</v>
      </c>
      <c r="BR8" s="16">
        <f ca="1">IFERROR(INTERCEPT(OFFSET(BP$15,MAX($B$15:$B$505)-35,0,36,1),OFFSET($C$15,MAX($B$15:$B$505)-35,0,36,1))*12,"N/A")</f>
        <v>2.2624392637697364</v>
      </c>
      <c r="BS8" s="16">
        <f ca="1">IFERROR(STDEVP(OFFSET(BP$15,MAX($B$15:$B$505)-35,0,36,1))*SQRT(12),"N/A")</f>
        <v>6.0633738553116876</v>
      </c>
      <c r="BV8" s="39"/>
      <c r="BW8" s="7" t="s">
        <v>48</v>
      </c>
      <c r="BX8" s="45">
        <f t="array" aca="1" ref="BX8" ca="1">IFERROR((GEOMEAN(1+OFFSET(BX$15,MAX($B$15:$B$505)-35,0,36,1)/100)^12-1)*100,"N/A")</f>
        <v>5.3866682747911288</v>
      </c>
      <c r="BY8" s="36">
        <f ca="1">IFERROR(BX8-$CE8,"N/A")</f>
        <v>1.9154152200621999</v>
      </c>
      <c r="BZ8" s="16">
        <f ca="1">IFERROR(SLOPE(OFFSET(BX$15,MAX($B$15:$B$505)-35,0,36,1),OFFSET($C$15,MAX($B$15:$B$505)-35,0,36,1)),"N/A")</f>
        <v>0.67336127980679894</v>
      </c>
      <c r="CA8" s="16">
        <f ca="1">IFERROR(INTERCEPT(OFFSET(BX$15,MAX($B$15:$B$505)-35,0,36,1),OFFSET($C$15,MAX($B$15:$B$505)-35,0,36,1))*12,"N/A")</f>
        <v>3.1136276279204758</v>
      </c>
      <c r="CB8" s="16">
        <f ca="1">IFERROR(STDEVP(OFFSET(BX$15,MAX($B$15:$B$505)-35,0,36,1))*SQRT(12),"N/A")</f>
        <v>8.9428881078187565</v>
      </c>
      <c r="CC8" s="79"/>
      <c r="CD8" s="7" t="s">
        <v>48</v>
      </c>
      <c r="CE8" s="45">
        <f t="array" aca="1" ref="CE8" ca="1">IFERROR((GEOMEAN(1+OFFSET(CE$15,MAX($B$15:$B$505)-35,0,36,1)/100)^12-1)*100,"N/A")</f>
        <v>3.4712530547289289</v>
      </c>
      <c r="CF8" s="16">
        <f ca="1">IFERROR(SLOPE(OFFSET(CE$15,MAX($B$15:$B$505)-35,0,36,1),OFFSET($C$15,MAX($B$15:$B$505)-35,0,36,1)),"N/A")</f>
        <v>0.64959740389793097</v>
      </c>
      <c r="CG8" s="16">
        <f ca="1">IFERROR(INTERCEPT(OFFSET(CE$15,MAX($B$15:$B$505)-35,0,36,1),OFFSET($C$15,MAX($B$15:$B$505)-35,0,36,1))*12,"N/A")</f>
        <v>0.45664923102913968</v>
      </c>
      <c r="CH8" s="16">
        <f ca="1">IFERROR(STDEVP(OFFSET(CE$15,MAX($B$15:$B$505)-35,0,36,1))*SQRT(12),"N/A")</f>
        <v>8.0708905740736263</v>
      </c>
      <c r="CI8" s="39"/>
    </row>
    <row r="9" spans="1:87" x14ac:dyDescent="0.25">
      <c r="A9" s="7" t="s">
        <v>49</v>
      </c>
      <c r="C9" s="45">
        <f t="array" aca="1" ref="C9" ca="1">IFERROR((GEOMEAN(1+OFFSET(C$15,MAX($B$15:$B$505)-47,0,48,1)/100)^12-1)*100,"N/A")</f>
        <v>3.4615128039265919</v>
      </c>
      <c r="D9" s="45">
        <f t="array" aca="1" ref="D9" ca="1">IFERROR((GEOMEAN(1+OFFSET(D$15,MAX($B$15:$B$505)-47,0,48,1)/100)^12-1)*100,"N/A")</f>
        <v>5.9628365631199332</v>
      </c>
      <c r="E9" s="45">
        <f t="array" aca="1" ref="E9" ca="1">IFERROR((GEOMEAN(1+OFFSET(E$15,MAX($B$15:$B$505)-47,0,48,1)/100)^12-1)*100,"N/A")</f>
        <v>-6.6836227800559644E-2</v>
      </c>
      <c r="F9" s="45">
        <f t="array" aca="1" ref="F9" ca="1">IFERROR((GEOMEAN(1+OFFSET(F$15,MAX($B$15:$B$505)-47,0,48,1)/100)^12-1)*100,"N/A")</f>
        <v>0</v>
      </c>
      <c r="G9" s="39"/>
      <c r="H9" s="7" t="s">
        <v>49</v>
      </c>
      <c r="I9" s="45">
        <f t="array" aca="1" ref="I9" ca="1">IFERROR((GEOMEAN(1+OFFSET(I$15,MAX($B$15:$B$505)-47,0,48,1)/100)^12-1)*100,"N/A")</f>
        <v>4.4176348211593774</v>
      </c>
      <c r="J9" s="36">
        <f t="shared" ca="1" si="0"/>
        <v>0.46496500195178925</v>
      </c>
      <c r="K9" s="16">
        <f ca="1">IFERROR(SLOPE(OFFSET(I$15,MAX($B$15:$B$505)-47,0,48,1),OFFSET($C$15,MAX($B$15:$B$505)-47,0,48,1)),"N/A")</f>
        <v>0.89848127265924638</v>
      </c>
      <c r="L9" s="16">
        <f ca="1">IFERROR(INTERCEPT(OFFSET(I$15,MAX($B$15:$B$505)-59,0,36,1),OFFSET($C$15,MAX($B$15:$B$505)-35,0,36,1))*12,"N/A")</f>
        <v>2.0318832686225807</v>
      </c>
      <c r="M9" s="16">
        <f ca="1">IFERROR(STDEVP(OFFSET(I$15,MAX($B$15:$B$505)-47,0,48,1))*SQRT(12),"N/A")</f>
        <v>13.145872457615949</v>
      </c>
      <c r="N9" s="79"/>
      <c r="O9" s="7" t="s">
        <v>49</v>
      </c>
      <c r="P9" s="45">
        <f t="array" aca="1" ref="P9" ca="1">IFERROR((GEOMEAN(1+OFFSET(P$15,MAX($B$15:$B$505)-47,0,48,1)/100)^12-1)*100,"N/A")</f>
        <v>3.9526698192075882</v>
      </c>
      <c r="Q9" s="16">
        <f ca="1">IFERROR(SLOPE(OFFSET(P$15,MAX($B$15:$B$505)-47,0,48,1),OFFSET($C$15,MAX($B$15:$B$505)-47,0,48,1)),"N/A")</f>
        <v>0.93259189545346821</v>
      </c>
      <c r="R9" s="16">
        <f ca="1">IFERROR(INTERCEPT(OFFSET(P$15,MAX($B$15:$B$505)-59,0,36,1),OFFSET($C$15,MAX($B$15:$B$505)-35,0,36,1))*12,"N/A")</f>
        <v>4.4612787415436905</v>
      </c>
      <c r="S9" s="16">
        <f ca="1">IFERROR(STDEVP(OFFSET(P$15,MAX($B$15:$B$505)-47,0,48,1))*SQRT(12),"N/A")</f>
        <v>11.436109130246601</v>
      </c>
      <c r="T9" s="39"/>
      <c r="U9" s="7" t="s">
        <v>49</v>
      </c>
      <c r="V9" s="45">
        <f t="array" aca="1" ref="V9" ca="1">IFERROR((GEOMEAN(1+OFFSET(V$15,MAX($B$15:$B$505)-47,0,48,1)/100)^12-1)*100,"N/A")</f>
        <v>4.1168485728253712</v>
      </c>
      <c r="W9" s="36">
        <f t="shared" ref="W9:W10" ca="1" si="5">IFERROR(V9-$P9,"N/A")</f>
        <v>0.164178753617783</v>
      </c>
      <c r="X9" s="16">
        <f ca="1">IFERROR(SLOPE(OFFSET(V$15,MAX($B$15:$B$505)-47,0,48,1),OFFSET($C$15,MAX($B$15:$B$505)-47,0,48,1)),"N/A")</f>
        <v>0.84432700747901557</v>
      </c>
      <c r="Y9" s="16">
        <f ca="1">IFERROR(INTERCEPT(OFFSET(V$15,MAX($B$15:$B$505)-59,0,36,1),OFFSET($C$15,MAX($B$15:$B$505)-35,0,36,1))*12,"N/A")</f>
        <v>1.3510052793683718</v>
      </c>
      <c r="Z9" s="16">
        <f ca="1">IFERROR(STDEVP(OFFSET(V$15,MAX($B$15:$B$505)-47,0,48,1))*SQRT(12),"N/A")</f>
        <v>12.285633444329624</v>
      </c>
      <c r="AA9" s="79"/>
      <c r="AB9" s="7" t="s">
        <v>49</v>
      </c>
      <c r="AC9" s="45">
        <f t="array" aca="1" ref="AC9" ca="1">IFERROR((GEOMEAN(1+OFFSET(AC$15,MAX($B$15:$B$505)-47,0,48,1)/100)^12-1)*100,"N/A")</f>
        <v>3.2609150280197952</v>
      </c>
      <c r="AD9" s="16">
        <f ca="1">IFERROR(SLOPE(OFFSET(AC$15,MAX($B$15:$B$505)-47,0,48,1),OFFSET($C$15,MAX($B$15:$B$505)-47,0,48,1)),"N/A")</f>
        <v>0.82273416156192025</v>
      </c>
      <c r="AE9" s="16">
        <f ca="1">IFERROR(INTERCEPT(OFFSET(AC$15,MAX($B$15:$B$505)-59,0,36,1),OFFSET($C$15,MAX($B$15:$B$505)-35,0,36,1))*12,"N/A")</f>
        <v>2.9351854472336001</v>
      </c>
      <c r="AF9" s="16">
        <f ca="1">IFERROR(STDEVP(OFFSET(AC$15,MAX($B$15:$B$505)-47,0,48,1))*SQRT(12),"N/A")</f>
        <v>10.210059793592729</v>
      </c>
      <c r="AG9" s="39"/>
      <c r="AH9" s="7" t="s">
        <v>49</v>
      </c>
      <c r="AI9" s="45">
        <f t="array" aca="1" ref="AI9" ca="1">IFERROR((GEOMEAN(1+OFFSET(AI$15,MAX($B$15:$B$505)-47,0,48,1)/100)^12-1)*100,"N/A")</f>
        <v>3.56684949351187</v>
      </c>
      <c r="AJ9" s="36">
        <f t="shared" ref="AJ9:AJ10" ca="1" si="6">IFERROR(AI9-$P9,"N/A")</f>
        <v>-0.38582032569571822</v>
      </c>
      <c r="AK9" s="16">
        <f ca="1">IFERROR(SLOPE(OFFSET(AI$15,MAX($B$15:$B$505)-47,0,48,1),OFFSET($C$15,MAX($B$15:$B$505)-47,0,48,1)),"N/A")</f>
        <v>0.71594233234129423</v>
      </c>
      <c r="AL9" s="16">
        <f ca="1">IFERROR(INTERCEPT(OFFSET(AI$15,MAX($B$15:$B$505)-59,0,36,1),OFFSET($C$15,MAX($B$15:$B$505)-35,0,36,1))*12,"N/A")</f>
        <v>0.49800489758012256</v>
      </c>
      <c r="AM9" s="16">
        <f ca="1">IFERROR(STDEVP(OFFSET(AI$15,MAX($B$15:$B$505)-47,0,48,1))*SQRT(12),"N/A")</f>
        <v>10.376359323405524</v>
      </c>
      <c r="AN9" s="79"/>
      <c r="AO9" s="7" t="s">
        <v>49</v>
      </c>
      <c r="AP9" s="45">
        <f t="array" aca="1" ref="AP9" ca="1">IFERROR((GEOMEAN(1+OFFSET(AP$15,MAX($B$15:$B$505)-47,0,48,1)/100)^12-1)*100,"N/A")</f>
        <v>2.4679126281551778</v>
      </c>
      <c r="AQ9" s="16">
        <f ca="1">IFERROR(SLOPE(OFFSET(AP$15,MAX($B$15:$B$505)-47,0,48,1),OFFSET($C$15,MAX($B$15:$B$505)-47,0,48,1)),"N/A")</f>
        <v>0.70067001279353358</v>
      </c>
      <c r="AR9" s="16">
        <f ca="1">IFERROR(INTERCEPT(OFFSET(AP$15,MAX($B$15:$B$505)-59,0,36,1),OFFSET($C$15,MAX($B$15:$B$505)-35,0,36,1))*12,"N/A")</f>
        <v>1.239526231333498</v>
      </c>
      <c r="AS9" s="16">
        <f ca="1">IFERROR(STDEVP(OFFSET(AP$15,MAX($B$15:$B$505)-47,0,48,1))*SQRT(12),"N/A")</f>
        <v>8.9748215693849467</v>
      </c>
      <c r="AT9" s="39"/>
      <c r="AU9" s="7" t="s">
        <v>49</v>
      </c>
      <c r="AV9" s="45">
        <f t="array" aca="1" ref="AV9" ca="1">IFERROR((GEOMEAN(1+OFFSET(AV$15,MAX($B$15:$B$505)-47,0,48,1)/100)^12-1)*100,"N/A")</f>
        <v>1.9598588407746087</v>
      </c>
      <c r="AW9" s="16">
        <f ca="1">IFERROR(SLOPE(OFFSET(AV$15,MAX($B$15:$B$505)-47,0,48,1),OFFSET($C$15,MAX($B$15:$B$505)-47,0,48,1)),"N/A")</f>
        <v>0.52786411022180701</v>
      </c>
      <c r="AX9" s="16">
        <f ca="1">IFERROR(INTERCEPT(OFFSET(AV$15,MAX($B$15:$B$505)-59,0,36,1),OFFSET($C$15,MAX($B$15:$B$505)-35,0,36,1))*12,"N/A")</f>
        <v>-1.4430856102055307</v>
      </c>
      <c r="AY9" s="16"/>
      <c r="AZ9" s="16">
        <f ca="1">IFERROR(STDEVP(OFFSET(AV$15,MAX($B$15:$B$505)-47,0,48,1))*SQRT(12),"N/A")</f>
        <v>7.8769778535844965</v>
      </c>
      <c r="BA9" s="79"/>
      <c r="BB9" s="7" t="s">
        <v>49</v>
      </c>
      <c r="BC9" s="45">
        <f t="array" aca="1" ref="BC9" ca="1">IFERROR((GEOMEAN(1+OFFSET(BC$15,MAX($B$15:$B$505)-47,0,48,1)/100)^12-1)*100,"N/A")</f>
        <v>1.2312055609900563</v>
      </c>
      <c r="BD9" s="16">
        <f ca="1">IFERROR(SLOPE(OFFSET(BC$15,MAX($B$15:$B$505)-47,0,48,1),OFFSET($C$15,MAX($B$15:$B$505)-47,0,48,1)),"N/A")</f>
        <v>0.51757378964095435</v>
      </c>
      <c r="BE9" s="16">
        <f ca="1">IFERROR(INTERCEPT(OFFSET(BC$15,MAX($B$15:$B$505)-59,0,36,1),OFFSET($C$15,MAX($B$15:$B$505)-35,0,36,1))*12,"N/A")</f>
        <v>-1.3039625925166543</v>
      </c>
      <c r="BF9" s="16">
        <f ca="1">IFERROR(STDEVP(OFFSET(BC$15,MAX($B$15:$B$505)-47,0,48,1))*SQRT(12),"N/A")</f>
        <v>7.5118946462901901</v>
      </c>
      <c r="BG9" s="39"/>
      <c r="BH9" s="7" t="s">
        <v>49</v>
      </c>
      <c r="BI9" s="103" t="s">
        <v>150</v>
      </c>
      <c r="BJ9" s="36"/>
      <c r="BK9" s="16"/>
      <c r="BL9" s="16"/>
      <c r="BM9" s="16"/>
      <c r="BN9" s="79"/>
      <c r="BO9" s="7" t="s">
        <v>49</v>
      </c>
      <c r="BP9" s="103" t="s">
        <v>150</v>
      </c>
      <c r="BQ9" s="16"/>
      <c r="BR9" s="16"/>
      <c r="BS9" s="16"/>
      <c r="BV9" s="39"/>
      <c r="BW9" s="7" t="s">
        <v>49</v>
      </c>
      <c r="BX9" s="45">
        <f t="array" aca="1" ref="BX9" ca="1">IFERROR((GEOMEAN(1+OFFSET(BX$15,MAX($B$15:$B$505)-47,0,48,1)/100)^12-1)*100,"N/A")</f>
        <v>0.59298544432269118</v>
      </c>
      <c r="BY9" s="36">
        <f ca="1">IFERROR(BX9-$P9,"N/A")</f>
        <v>-3.359684374884897</v>
      </c>
      <c r="BZ9" s="16">
        <f ca="1">IFERROR(SLOPE(OFFSET(BX$15,MAX($B$15:$B$505)-47,0,48,1),OFFSET($C$15,MAX($B$15:$B$505)-47,0,48,1)),"N/A")</f>
        <v>0.68534955154100596</v>
      </c>
      <c r="CA9" s="16">
        <f ca="1">IFERROR(INTERCEPT(OFFSET(BX$15,MAX($B$15:$B$505)-59,0,36,1),OFFSET($C$15,MAX($B$15:$B$505)-35,0,36,1))*12,"N/A")</f>
        <v>-0.36114117923699635</v>
      </c>
      <c r="CB9" s="16">
        <f ca="1">IFERROR(STDEVP(OFFSET(BX$15,MAX($B$15:$B$505)-47,0,48,1))*SQRT(12),"N/A")</f>
        <v>10.342591873048537</v>
      </c>
      <c r="CC9" s="79"/>
      <c r="CD9" s="7" t="s">
        <v>49</v>
      </c>
      <c r="CE9" s="45">
        <f t="array" aca="1" ref="CE9" ca="1">IFERROR((GEOMEAN(1+OFFSET(CE$15,MAX($B$15:$B$505)-47,0,48,1)/100)^12-1)*100,"N/A")</f>
        <v>-1.8474290916070668E-2</v>
      </c>
      <c r="CF9" s="16">
        <f ca="1">IFERROR(SLOPE(OFFSET(CE$15,MAX($B$15:$B$505)-47,0,48,1),OFFSET($C$15,MAX($B$15:$B$505)-47,0,48,1)),"N/A")</f>
        <v>0.63004445646135143</v>
      </c>
      <c r="CG9" s="16">
        <f ca="1">IFERROR(INTERCEPT(OFFSET(CE$15,MAX($B$15:$B$505)-59,0,36,1),OFFSET($C$15,MAX($B$15:$B$505)-35,0,36,1))*12,"N/A")</f>
        <v>-3.2218180591577827E-2</v>
      </c>
      <c r="CH9" s="16">
        <f ca="1">IFERROR(STDEVP(OFFSET(CE$15,MAX($B$15:$B$505)-47,0,48,1))*SQRT(12),"N/A")</f>
        <v>9.0962625141394735</v>
      </c>
      <c r="CI9" s="39"/>
    </row>
    <row r="10" spans="1:87" x14ac:dyDescent="0.25">
      <c r="A10" s="7" t="s">
        <v>50</v>
      </c>
      <c r="C10" s="45">
        <f t="array" aca="1" ref="C10" ca="1">IFERROR((GEOMEAN(1+OFFSET(C$15,MAX($B$15:$B$505)-49,0,60,1)/100)^12-1)*100,"N/A")</f>
        <v>4.3935006728194725</v>
      </c>
      <c r="D10" s="45" t="str">
        <f t="array" aca="1" ref="D10" ca="1">IFERROR((GEOMEAN(1+OFFSET(D$15,MAX($B$15:$B$505)-49,0,60,1)/100)^12-1)*100,"N/A")</f>
        <v>N/A</v>
      </c>
      <c r="E10" s="45">
        <f t="array" aca="1" ref="E10" ca="1">IFERROR((GEOMEAN(1+OFFSET(E$15,MAX($B$15:$B$505)-49,0,60,1)/100)^12-1)*100,"N/A")</f>
        <v>0.53702760772678104</v>
      </c>
      <c r="F10" s="45">
        <f t="array" aca="1" ref="F10" ca="1">IFERROR((GEOMEAN(1+OFFSET(F$15,MAX($B$15:$B$505)-49,0,60,1)/100)^12-1)*100,"N/A")</f>
        <v>0</v>
      </c>
      <c r="G10" s="39"/>
      <c r="H10" s="7" t="s">
        <v>50</v>
      </c>
      <c r="I10" s="45" cm="1">
        <f t="array" aca="1" ref="I10" ca="1">IFERROR((GEOMEAN(1+OFFSET(I$15,MAX($B$15:$B$505)-59,0,60,1)/100)^12-1)*100,"N/A")</f>
        <v>5.8089351502654374</v>
      </c>
      <c r="J10" s="36">
        <f t="shared" ca="1" si="0"/>
        <v>-1.2409235956035936</v>
      </c>
      <c r="K10" s="16">
        <f ca="1">IFERROR(SLOPE(OFFSET(I$15,MAX($B$15:$B$505)-59,0,60,1),OFFSET($C$15,MAX($B$15:$B$505)-59,0,60,1)),"N/A")</f>
        <v>0.79768931911667473</v>
      </c>
      <c r="L10" s="16">
        <f ca="1">IFERROR(INTERCEPT(OFFSET(I$15,MAX($B$15:$B$505)-59,0,60,1),OFFSET($C$15,MAX($B$15:$B$505)-59,0,60,1))*12,"N/A")</f>
        <v>0.12449481826745057</v>
      </c>
      <c r="M10" s="16">
        <f ca="1">IFERROR(STDEVP(OFFSET(I$15,MAX($B$15:$B$505)-59,0,60,1))*SQRT(12),"N/A")</f>
        <v>12.418268201169051</v>
      </c>
      <c r="N10" s="79"/>
      <c r="O10" s="7" t="s">
        <v>50</v>
      </c>
      <c r="P10" s="45" cm="1">
        <f t="array" aca="1" ref="P10" ca="1">IFERROR((GEOMEAN(1+OFFSET(P$15,MAX($B$15:$B$505)-59,0,60,1)/100)^12-1)*100,"N/A")</f>
        <v>7.0498587458690309</v>
      </c>
      <c r="Q10" s="16">
        <f ca="1">IFERROR(SLOPE(OFFSET(P$15,MAX($B$15:$B$505)-59,0,60,1),OFFSET($C$15,MAX($B$15:$B$505)-59,0,60,1)),"N/A")</f>
        <v>0.91683936813410993</v>
      </c>
      <c r="R10" s="16">
        <f ca="1">IFERROR(INTERCEPT(OFFSET(P$15,MAX($B$15:$B$505)-59,0,60,1),OFFSET($C$15,MAX($B$15:$B$505)-59,0,60,1))*12,"N/A")</f>
        <v>0.26402052534899267</v>
      </c>
      <c r="S10" s="16">
        <f ca="1">IFERROR(STDEVP(OFFSET(P$15,MAX($B$15:$B$505)-59,0,60,1))*SQRT(12),"N/A")</f>
        <v>11.67755563741871</v>
      </c>
      <c r="T10" s="39"/>
      <c r="U10" s="7" t="s">
        <v>50</v>
      </c>
      <c r="V10" s="45" cm="1">
        <f t="array" aca="1" ref="V10" ca="1">IFERROR((GEOMEAN(1+OFFSET(V$15,MAX($B$15:$B$505)-59,0,60,1)/100)^12-1)*100,"N/A")</f>
        <v>5.3215368030731236</v>
      </c>
      <c r="W10" s="36">
        <f t="shared" ca="1" si="5"/>
        <v>-1.7283219427959073</v>
      </c>
      <c r="X10" s="16">
        <f ca="1">IFERROR(SLOPE(OFFSET(V$15,MAX($B$15:$B$505)-59,0,60,1),OFFSET($C$15,MAX($B$15:$B$505)-59,0,60,1)),"N/A")</f>
        <v>0.74956025733709897</v>
      </c>
      <c r="Y10" s="16">
        <f ca="1">IFERROR(INTERCEPT(OFFSET(V$15,MAX($B$15:$B$505)-59,0,60,1),OFFSET($C$15,MAX($B$15:$B$505)-59,0,60,1))*12,"N/A")</f>
        <v>-5.690295609751983E-2</v>
      </c>
      <c r="Z10" s="16">
        <f ca="1">IFERROR(STDEVP(OFFSET(V$15,MAX($B$15:$B$505)-59,0,60,1))*SQRT(12),"N/A")</f>
        <v>11.598897683518443</v>
      </c>
      <c r="AA10" s="79"/>
      <c r="AB10" s="7" t="s">
        <v>50</v>
      </c>
      <c r="AC10" s="45" cm="1">
        <f t="array" aca="1" ref="AC10" ca="1">IFERROR((GEOMEAN(1+OFFSET(AC$15,MAX($B$15:$B$505)-59,0,60,1)/100)^12-1)*100,"N/A")</f>
        <v>5.7233072692177922</v>
      </c>
      <c r="AD10" s="16">
        <f ca="1">IFERROR(SLOPE(OFFSET(AC$15,MAX($B$15:$B$505)-59,0,60,1),OFFSET($C$15,MAX($B$15:$B$505)-59,0,60,1)),"N/A")</f>
        <v>0.79475169646904964</v>
      </c>
      <c r="AE10" s="16">
        <f ca="1">IFERROR(INTERCEPT(OFFSET(AC$15,MAX($B$15:$B$505)-59,0,60,1),OFFSET($C$15,MAX($B$15:$B$505)-59,0,60,1))*12,"N/A")</f>
        <v>-0.18031697956525861</v>
      </c>
      <c r="AF10" s="16">
        <f ca="1">IFERROR(STDEVP(OFFSET(AC$15,MAX($B$15:$B$505)-59,0,60,1))*SQRT(12),"N/A")</f>
        <v>10.240175954843865</v>
      </c>
      <c r="AG10" s="39"/>
      <c r="AH10" s="7" t="s">
        <v>50</v>
      </c>
      <c r="AI10" s="45" cm="1">
        <f t="array" aca="1" ref="AI10" ca="1">IFERROR((GEOMEAN(1+OFFSET(AI$15,MAX($B$15:$B$505)-59,0,60,1)/100)^12-1)*100,"N/A")</f>
        <v>4.4204716661904619</v>
      </c>
      <c r="AJ10" s="36">
        <f t="shared" ca="1" si="6"/>
        <v>-2.629387079678569</v>
      </c>
      <c r="AK10" s="16">
        <f ca="1">IFERROR(SLOPE(OFFSET(AI$15,MAX($B$15:$B$505)-59,0,60,1),OFFSET($C$15,MAX($B$15:$B$505)-59,0,60,1)),"N/A")</f>
        <v>0.62903373900015191</v>
      </c>
      <c r="AL10" s="16">
        <f ca="1">IFERROR(INTERCEPT(OFFSET(AI$15,MAX($B$15:$B$505)-59,0,60,1),OFFSET($C$15,MAX($B$15:$B$505)-59,0,60,1))*12,"N/A")</f>
        <v>-0.16305785683811513</v>
      </c>
      <c r="AM10" s="16">
        <f ca="1">IFERROR(STDEVP(OFFSET(AI$15,MAX($B$15:$B$505)-59,0,60,1))*SQRT(12),"N/A")</f>
        <v>9.7568598485272133</v>
      </c>
      <c r="AN10" s="79"/>
      <c r="AO10" s="7" t="s">
        <v>50</v>
      </c>
      <c r="AP10" s="45" cm="1">
        <f t="array" aca="1" ref="AP10" ca="1">IFERROR((GEOMEAN(1+OFFSET(AP$15,MAX($B$15:$B$505)-59,0,60,1)/100)^12-1)*100,"N/A")</f>
        <v>4.2310705741109844</v>
      </c>
      <c r="AQ10" s="16">
        <f ca="1">IFERROR(SLOPE(OFFSET(AP$15,MAX($B$15:$B$505)-59,0,60,1),OFFSET($C$15,MAX($B$15:$B$505)-59,0,60,1)),"N/A")</f>
        <v>0.65909872795231539</v>
      </c>
      <c r="AR10" s="16">
        <f ca="1">IFERROR(INTERCEPT(OFFSET(AP$15,MAX($B$15:$B$505)-59,0,60,1),OFFSET($C$15,MAX($B$15:$B$505)-59,0,60,1))*12,"N/A")</f>
        <v>-0.67402531835887247</v>
      </c>
      <c r="AS10" s="16">
        <f ca="1">IFERROR(STDEVP(OFFSET(AP$15,MAX($B$15:$B$505)-59,0,60,1))*SQRT(12),"N/A")</f>
        <v>8.7735320976157958</v>
      </c>
      <c r="AT10" s="39"/>
      <c r="AU10" s="7" t="s">
        <v>50</v>
      </c>
      <c r="AV10" s="45" cm="1">
        <f t="array" aca="1" ref="AV10" ca="1">IFERROR((GEOMEAN(1+OFFSET(AV$15,MAX($B$15:$B$505)-59,0,60,1)/100)^12-1)*100,"N/A")</f>
        <v>2.2893330044526428</v>
      </c>
      <c r="AW10" s="16">
        <f ca="1">IFERROR(SLOPE(OFFSET(AV$15,MAX($B$15:$B$505)-59,0,60,1),OFFSET($C$15,MAX($B$15:$B$505)-59,0,60,1)),"N/A")</f>
        <v>0.44706994559473101</v>
      </c>
      <c r="AX10" s="16">
        <f ca="1">IFERROR(INTERCEPT(OFFSET(AV$15,MAX($B$15:$B$505)-59,0,60,1),OFFSET($C$15,MAX($B$15:$B$505)-59,0,60,1))*12,"N/A")</f>
        <v>-1.0015001808625654</v>
      </c>
      <c r="AY10" s="16"/>
      <c r="AZ10" s="16">
        <f ca="1">IFERROR(STDEVP(OFFSET(AV$15,MAX($B$15:$B$505)-59,0,60,1))*SQRT(12),"N/A")</f>
        <v>7.3030577136969441</v>
      </c>
      <c r="BA10" s="79"/>
      <c r="BB10" s="7" t="s">
        <v>50</v>
      </c>
      <c r="BC10" s="45" cm="1">
        <f t="array" aca="1" ref="BC10" ca="1">IFERROR((GEOMEAN(1+OFFSET(BC$15,MAX($B$15:$B$505)-59,0,60,1)/100)^12-1)*100,"N/A")</f>
        <v>1.9585067903796549</v>
      </c>
      <c r="BD10" s="16">
        <f ca="1">IFERROR(SLOPE(OFFSET(BC$15,MAX($B$15:$B$505)-59,0,60,1),OFFSET($C$15,MAX($B$15:$B$505)-59,0,60,1)),"N/A")</f>
        <v>0.45561927517721451</v>
      </c>
      <c r="BE10" s="16">
        <f ca="1">IFERROR(INTERCEPT(OFFSET(BC$15,MAX($B$15:$B$505)-59,0,60,1),OFFSET($C$15,MAX($B$15:$B$505)-59,0,60,1))*12,"N/A")</f>
        <v>-1.4145878265492948</v>
      </c>
      <c r="BF10" s="16">
        <f ca="1">IFERROR(STDEVP(OFFSET(BC$15,MAX($B$15:$B$505)-59,0,60,1))*SQRT(12),"N/A")</f>
        <v>7.0138774021532546</v>
      </c>
      <c r="BG10" s="39"/>
      <c r="BH10" s="7" t="s">
        <v>50</v>
      </c>
      <c r="BI10" s="103" t="s">
        <v>150</v>
      </c>
      <c r="BJ10" s="36"/>
      <c r="BK10" s="16"/>
      <c r="BL10" s="16"/>
      <c r="BM10" s="16"/>
      <c r="BN10" s="79"/>
      <c r="BO10" s="7" t="s">
        <v>50</v>
      </c>
      <c r="BP10" s="103" t="s">
        <v>150</v>
      </c>
      <c r="BQ10" s="16"/>
      <c r="BR10" s="16"/>
      <c r="BS10" s="16"/>
      <c r="BV10" s="39"/>
      <c r="BW10" s="7" t="s">
        <v>50</v>
      </c>
      <c r="BX10" s="45" cm="1">
        <f t="array" aca="1" ref="BX10" ca="1">IFERROR((GEOMEAN(1+OFFSET(BX$15,MAX($B$15:$B$505)-59,0,60,1)/100)^12-1)*100,"N/A")</f>
        <v>1.655080538904552</v>
      </c>
      <c r="BY10" s="36">
        <f ca="1">IFERROR(BX10-$P10,"N/A")</f>
        <v>-5.394778206964479</v>
      </c>
      <c r="BZ10" s="16">
        <f ca="1">IFERROR(SLOPE(OFFSET(BX$15,MAX($B$15:$B$505)-59,0,60,1),OFFSET($C$15,MAX($B$15:$B$505)-59,0,60,1)),"N/A")</f>
        <v>0.58218977188409482</v>
      </c>
      <c r="CA10" s="16">
        <f ca="1">IFERROR(INTERCEPT(OFFSET(BX$15,MAX($B$15:$B$505)-59,0,60,1),OFFSET($C$15,MAX($B$15:$B$505)-59,0,60,1))*12,"N/A")</f>
        <v>-2.5858573435476377</v>
      </c>
      <c r="CB10" s="16">
        <f ca="1">IFERROR(STDEVP(OFFSET(BX$15,MAX($B$15:$B$505)-59,0,60,1))*SQRT(12),"N/A")</f>
        <v>9.4042850692927331</v>
      </c>
      <c r="CC10" s="79"/>
      <c r="CD10" s="7" t="s">
        <v>50</v>
      </c>
      <c r="CE10" s="45" cm="1">
        <f t="array" aca="1" ref="CE10" ca="1">IFERROR((GEOMEAN(1+OFFSET(CE$15,MAX($B$15:$B$505)-59,0,60,1)/100)^12-1)*100,"N/A")</f>
        <v>1.5786162384979763</v>
      </c>
      <c r="CF10" s="16">
        <f ca="1">IFERROR(SLOPE(OFFSET(CE$15,MAX($B$15:$B$505)-59,0,60,1),OFFSET($C$15,MAX($B$15:$B$505)-59,0,60,1)),"N/A")</f>
        <v>0.57072498422913098</v>
      </c>
      <c r="CG10" s="16">
        <f ca="1">IFERROR(INTERCEPT(OFFSET(CE$15,MAX($B$15:$B$505)-59,0,60,1),OFFSET($C$15,MAX($B$15:$B$505)-59,0,60,1))*12,"N/A")</f>
        <v>-2.6629424382765943</v>
      </c>
      <c r="CH10" s="16">
        <f ca="1">IFERROR(STDEVP(OFFSET(CE$15,MAX($B$15:$B$505)-59,0,60,1))*SQRT(12),"N/A")</f>
        <v>8.4763509046888146</v>
      </c>
      <c r="CI10" s="39"/>
    </row>
    <row r="11" spans="1:87" x14ac:dyDescent="0.25">
      <c r="A11" s="7" t="s">
        <v>51</v>
      </c>
      <c r="C11" s="103" t="s">
        <v>150</v>
      </c>
      <c r="D11" s="16"/>
      <c r="E11" s="16"/>
      <c r="F11" s="16"/>
      <c r="G11" s="39"/>
      <c r="H11" s="7" t="s">
        <v>51</v>
      </c>
      <c r="I11" s="45" cm="1">
        <f t="array" aca="1" ref="I11" ca="1">IFERROR((GEOMEAN(1+OFFSET(I$15,MAX($B$15:$B$505)-119,0,120,1)/100)^12-1)*100,"N/A")</f>
        <v>7.1731146731451867</v>
      </c>
      <c r="J11" s="36"/>
      <c r="K11" s="16"/>
      <c r="L11" s="16"/>
      <c r="M11" s="16"/>
      <c r="N11" s="79"/>
      <c r="O11" s="7" t="s">
        <v>51</v>
      </c>
      <c r="P11" s="45" cm="1">
        <f t="array" aca="1" ref="P11" ca="1">IFERROR((GEOMEAN(1+OFFSET(P$15,MAX($B$15:$B$505)-119,0,120,1)/100)^12-1)*100,"N/A")</f>
        <v>6.9758708125525759</v>
      </c>
      <c r="Q11" s="16"/>
      <c r="R11" s="16"/>
      <c r="S11" s="16"/>
      <c r="T11" s="39"/>
      <c r="U11" s="7" t="s">
        <v>51</v>
      </c>
      <c r="V11" s="103" t="s">
        <v>150</v>
      </c>
      <c r="W11" s="36"/>
      <c r="X11" s="16"/>
      <c r="Y11" s="16"/>
      <c r="Z11" s="16"/>
      <c r="AA11" s="79"/>
      <c r="AB11" s="7" t="s">
        <v>51</v>
      </c>
      <c r="AC11" s="103" t="s">
        <v>150</v>
      </c>
      <c r="AD11" s="16"/>
      <c r="AE11" s="16"/>
      <c r="AF11" s="16"/>
      <c r="AG11" s="39"/>
      <c r="AH11" s="7" t="s">
        <v>51</v>
      </c>
      <c r="AI11" s="45" cm="1">
        <f t="array" aca="1" ref="AI11" ca="1">IFERROR((GEOMEAN(1+OFFSET(AI$15,MAX($B$15:$B$505)-119,0,120,1)/100)^12-1)*100,"N/A")</f>
        <v>5.8397954139535857</v>
      </c>
      <c r="AJ11" s="36"/>
      <c r="AK11" s="16"/>
      <c r="AL11" s="16"/>
      <c r="AM11" s="16"/>
      <c r="AN11" s="79"/>
      <c r="AO11" s="7" t="s">
        <v>51</v>
      </c>
      <c r="AP11" s="45" cm="1">
        <f t="array" aca="1" ref="AP11" ca="1">IFERROR((GEOMEAN(1+OFFSET(AP$15,MAX($B$15:$B$505)-119,0,120,1)/100)^12-1)*100,"N/A")</f>
        <v>5.1875916195940341</v>
      </c>
      <c r="AQ11" s="16"/>
      <c r="AR11" s="16"/>
      <c r="AS11" s="16"/>
      <c r="AT11" s="39"/>
      <c r="AU11" s="7" t="s">
        <v>51</v>
      </c>
      <c r="AV11" s="103" t="s">
        <v>150</v>
      </c>
      <c r="AW11" s="36"/>
      <c r="AX11" s="16"/>
      <c r="AY11" s="16"/>
      <c r="AZ11" s="16"/>
      <c r="BA11" s="79"/>
      <c r="BB11" s="7" t="s">
        <v>51</v>
      </c>
      <c r="BC11" s="103" t="s">
        <v>150</v>
      </c>
      <c r="BD11" s="16"/>
      <c r="BE11" s="16"/>
      <c r="BF11" s="16"/>
      <c r="BG11" s="39"/>
      <c r="BH11" s="7" t="s">
        <v>51</v>
      </c>
      <c r="BI11" s="103" t="s">
        <v>150</v>
      </c>
      <c r="BJ11" s="36"/>
      <c r="BK11" s="16"/>
      <c r="BL11" s="16"/>
      <c r="BM11" s="16"/>
      <c r="BN11" s="79"/>
      <c r="BO11" s="7" t="s">
        <v>51</v>
      </c>
      <c r="BP11" s="103" t="s">
        <v>150</v>
      </c>
      <c r="BQ11" s="16"/>
      <c r="BR11" s="16"/>
      <c r="BS11" s="16"/>
      <c r="BV11" s="39"/>
      <c r="BW11" s="7" t="s">
        <v>51</v>
      </c>
      <c r="BX11" s="103" t="s">
        <v>150</v>
      </c>
      <c r="BY11" s="36"/>
      <c r="BZ11" s="16"/>
      <c r="CA11" s="16"/>
      <c r="CB11" s="16"/>
      <c r="CC11" s="79"/>
      <c r="CD11" s="7" t="s">
        <v>51</v>
      </c>
      <c r="CE11" s="103" t="s">
        <v>150</v>
      </c>
      <c r="CF11" s="16"/>
      <c r="CG11" s="16"/>
      <c r="CH11" s="16"/>
      <c r="CI11" s="39"/>
    </row>
    <row r="12" spans="1:87" x14ac:dyDescent="0.25">
      <c r="A12" s="7" t="s">
        <v>53</v>
      </c>
      <c r="C12" s="16" cm="1">
        <f t="array" aca="1" ref="C12" ca="1">IFERROR((GEOMEAN(1+OFFSET(C$15,1,0,MAX($B$15:$B$505),1)/100)^12-1)*100,"N/A")</f>
        <v>9.5104321794470934</v>
      </c>
      <c r="D12" s="16">
        <f t="array" aca="1" ref="D12" ca="1">IFERROR((GEOMEAN(1+OFFSET(D$15,1,0,MAX($B$15:$B$505),1)/100)^12-1)*100,"N/A")</f>
        <v>6.3553296171255713</v>
      </c>
      <c r="E12" s="16">
        <f t="array" aca="1" ref="E12" ca="1">IFERROR((GEOMEAN(1+OFFSET(E$15,1,0,MAX($B$15:$B$505),1)/100)^12-1)*100,"N/A")</f>
        <v>2.0141718713833967</v>
      </c>
      <c r="F12" s="16">
        <f t="array" aca="1" ref="F12" ca="1">IFERROR((GEOMEAN(1+OFFSET(F$15,1,0,MAX($B$15:$B$505),1)/100)^12-1)*100,"N/A")</f>
        <v>0.39226915501775483</v>
      </c>
      <c r="G12" s="39"/>
      <c r="H12" s="7" t="s">
        <v>53</v>
      </c>
      <c r="I12" s="16">
        <f t="array" aca="1" ref="I12" ca="1">IFERROR((GEOMEAN(1+OFFSET(I$15,1,0,MAX($B$15:$B$505),1)/100)^12-1)*100,"N/A")</f>
        <v>7.237705299945163</v>
      </c>
      <c r="J12" s="36">
        <f t="shared" ref="J12" ca="1" si="7">IFERROR(I12-$P12,"N/A")</f>
        <v>0.10706634243902169</v>
      </c>
      <c r="K12" s="16">
        <f ca="1">IFERROR(SLOPE(OFFSET(I$15,1,0,MAX($B$15:$B$505),1),OFFSET($C$15,1,0,MAX($B$15:$B$505),1)),"N/A")</f>
        <v>0.86484492490537457</v>
      </c>
      <c r="L12" s="16">
        <f ca="1">IFERROR(INTERCEPT(OFFSET(I$15,1,0,MAX($B$15:$B$505),1),OFFSET($C$15,1,0,MAX($B$15:$B$505),1))*12,"N/A")</f>
        <v>-0.7633958733022137</v>
      </c>
      <c r="M12" s="16">
        <f ca="1">IFERROR(STDEVP(OFFSET(I$15,1,0,MAX($B$15:$B$505),1))*SQRT(12),"N/A")</f>
        <v>12.049860883138445</v>
      </c>
      <c r="N12" s="79"/>
      <c r="O12" s="7" t="s">
        <v>53</v>
      </c>
      <c r="P12" s="16">
        <f t="array" aca="1" ref="P12" ca="1">IFERROR((GEOMEAN(1+OFFSET(P$15,1,0,MAX($B$15:$B$505),1)/100)^12-1)*100,"N/A")</f>
        <v>7.1306389575061413</v>
      </c>
      <c r="Q12" s="16">
        <f ca="1">IFERROR(SLOPE(OFFSET(P$15,1,0,MAX($B$15:$B$505),1),OFFSET($C$15,1,0,MAX($B$15:$B$505),1)),"N/A")</f>
        <v>0.83308566067227852</v>
      </c>
      <c r="R12" s="16">
        <f ca="1">IFERROR(INTERCEPT(OFFSET(P$15,1,0,MAX($B$15:$B$505),1),OFFSET($C$15,1,0,MAX($B$15:$B$505),1))*12,"N/A")</f>
        <v>-0.76681417247234451</v>
      </c>
      <c r="S12" s="16">
        <f ca="1">IFERROR(STDEVP(OFFSET(P$15,1,0,MAX($B$15:$B$505),1))*SQRT(12),"N/A")</f>
        <v>10.16071086712615</v>
      </c>
      <c r="T12" s="39"/>
      <c r="U12" s="7" t="s">
        <v>53</v>
      </c>
      <c r="V12" s="16">
        <f t="array" aca="1" ref="V12" ca="1">IFERROR((GEOMEAN(1+OFFSET(V$15,1,0,MAX($B$15:$B$505),1)/100)^12-1)*100,"N/A")</f>
        <v>6.5295538661011232</v>
      </c>
      <c r="W12" s="36">
        <f t="shared" ref="W12" ca="1" si="8">IFERROR(V12-$P12,"N/A")</f>
        <v>-0.60108509140501809</v>
      </c>
      <c r="X12" s="16">
        <f ca="1">IFERROR(SLOPE(OFFSET(V$15,1,0,MAX($B$15:$B$505),1),OFFSET($C$15,1,0,MAX($B$15:$B$505),1)),"N/A")</f>
        <v>0.77949686009111097</v>
      </c>
      <c r="Y12" s="16">
        <f ca="1">IFERROR(INTERCEPT(OFFSET(V$15,1,0,MAX($B$15:$B$505),1),OFFSET($C$15,1,0,MAX($B$15:$B$505),1))*12,"N/A")</f>
        <v>-0.73366532622597047</v>
      </c>
      <c r="Z12" s="16">
        <f ca="1">IFERROR(STDEVP(OFFSET(V$15,1,0,MAX($B$15:$B$505),1))*SQRT(12),"N/A")</f>
        <v>10.830482223254934</v>
      </c>
      <c r="AA12" s="79"/>
      <c r="AB12" s="7" t="s">
        <v>53</v>
      </c>
      <c r="AC12" s="16">
        <f t="array" aca="1" ref="AC12" ca="1">IFERROR((GEOMEAN(1+OFFSET(AC$15,1,0,MAX($B$15:$B$505),1)/100)^12-1)*100,"N/A")</f>
        <v>6.1235305830858788</v>
      </c>
      <c r="AD12" s="16">
        <f ca="1">IFERROR(SLOPE(OFFSET(AC$15,1,0,MAX($B$15:$B$505),1),OFFSET($C$15,1,0,MAX($B$15:$B$505),1)),"N/A")</f>
        <v>0.70224467127130064</v>
      </c>
      <c r="AE12" s="16">
        <f ca="1">IFERROR(INTERCEPT(OFFSET(AC$15,1,0,MAX($B$15:$B$505),1),OFFSET($C$15,1,0,MAX($B$15:$B$505),1))*12,"N/A")</f>
        <v>-0.57396428499104513</v>
      </c>
      <c r="AF12" s="16">
        <f ca="1">IFERROR(STDEVP(OFFSET(AC$15,1,0,MAX($B$15:$B$505),1))*SQRT(12),"N/A")</f>
        <v>8.6463051562664077</v>
      </c>
      <c r="AG12" s="39"/>
      <c r="AH12" s="7" t="s">
        <v>53</v>
      </c>
      <c r="AI12" s="16">
        <f t="array" aca="1" ref="AI12" ca="1">IFERROR((GEOMEAN(1+OFFSET(AI$15,1,0,MAX($B$15:$B$505),1)/100)^12-1)*100,"N/A")</f>
        <v>5.4574151986883646</v>
      </c>
      <c r="AJ12" s="36">
        <f t="shared" ref="AJ12" ca="1" si="9">IFERROR(AI12-$P12,"N/A")</f>
        <v>-1.6732237588177767</v>
      </c>
      <c r="AK12" s="16">
        <f ca="1">IFERROR(SLOPE(OFFSET(AI$15,1,0,MAX($B$15:$B$505),1),OFFSET($C$15,1,0,MAX($B$15:$B$505),1)),"N/A")</f>
        <v>0.64902473139602679</v>
      </c>
      <c r="AL12" s="16">
        <f ca="1">IFERROR(INTERCEPT(OFFSET(AI$15,1,0,MAX($B$15:$B$505),1),OFFSET($C$15,1,0,MAX($B$15:$B$505),1))*12,"N/A")</f>
        <v>-0.64893038234364409</v>
      </c>
      <c r="AM12" s="16">
        <f ca="1">IFERROR(STDEVP(OFFSET(AI$15,1,0,MAX($B$15:$B$505),1))*SQRT(12),"N/A")</f>
        <v>9.0223620299578862</v>
      </c>
      <c r="AN12" s="79"/>
      <c r="AO12" s="7" t="s">
        <v>53</v>
      </c>
      <c r="AP12" s="16">
        <f t="array" aca="1" ref="AP12" ca="1">IFERROR((GEOMEAN(1+OFFSET(AP$15,1,0,MAX($B$15:$B$505),1)/100)^12-1)*100,"N/A")</f>
        <v>5.2890173446203503</v>
      </c>
      <c r="AQ12" s="16">
        <f ca="1">IFERROR(SLOPE(OFFSET(AP$15,1,0,MAX($B$15:$B$505),1),OFFSET($C$15,1,0,MAX($B$15:$B$505),1)),"N/A")</f>
        <v>0.571903426342946</v>
      </c>
      <c r="AR12" s="16">
        <f ca="1">IFERROR(INTERCEPT(OFFSET(AP$15,1,0,MAX($B$15:$B$505),1),OFFSET($C$15,1,0,MAX($B$15:$B$505),1))*12,"N/A")</f>
        <v>-0.19967081413087984</v>
      </c>
      <c r="AS12" s="16">
        <f ca="1">IFERROR(STDEVP(OFFSET(AP$15,1,0,MAX($B$15:$B$505),1))*SQRT(12),"N/A")</f>
        <v>7.2184832777844381</v>
      </c>
      <c r="AT12" s="39"/>
      <c r="AU12" s="7" t="s">
        <v>53</v>
      </c>
      <c r="AV12" s="16" cm="1">
        <f t="array" aca="1" ref="AV12" ca="1">IFERROR((GEOMEAN(1+OFFSET(AV$43,1,0,MAX($B$43:$B$505)-28,1)/100)^12-1)*100,"N/A")</f>
        <v>3.4297152442920975</v>
      </c>
      <c r="AW12" s="36">
        <f t="shared" ref="AW12" ca="1" si="10">IFERROR(AV12-$P12,"N/A")</f>
        <v>-3.7009237132140438</v>
      </c>
      <c r="AX12" s="16">
        <f ca="1">IFERROR(SLOPE(OFFSET(AV$18,1,0,MAX($B$18:$B$505)-3,1),OFFSET($C$18,1,0,MAX($B$18:$B$505)-3,1)),"N/A")</f>
        <v>0.39573050152363531</v>
      </c>
      <c r="AY12" s="16">
        <f ca="1">IFERROR(INTERCEPT(OFFSET(AV$18,1,0,MAX($B$18:$B$505)-3,1),OFFSET($C$18,1,0,MAX($B$18:$B$505)-3,1))*12,"N/A")</f>
        <v>-0.34095858079758923</v>
      </c>
      <c r="AZ12" s="16">
        <f ca="1">IFERROR(STDEVP(OFFSET(AV$18,1,0,MAX($B$18:$B$505)-3,1))*SQRT(12),"N/A")</f>
        <v>6.2459397018970861</v>
      </c>
      <c r="BA12" s="79"/>
      <c r="BB12" s="7" t="s">
        <v>53</v>
      </c>
      <c r="BC12" s="16" cm="1">
        <f t="array" aca="1" ref="BC12" ca="1">IFERROR((GEOMEAN(1+OFFSET(BC$43,1,0,MAX($B$43:$B$505)-28,1)/100)^12-1)*100,"N/A")</f>
        <v>3.2751221360000748</v>
      </c>
      <c r="BD12" s="16">
        <f ca="1">IFERROR(SLOPE(OFFSET(BC$18,1,0,MAX($B$18:$B$505)-3,1),OFFSET($C$18,1,0,MAX($B$18:$B$505)-3,1)),"N/A")</f>
        <v>0.3398374363963006</v>
      </c>
      <c r="BE12" s="16">
        <f ca="1">IFERROR(INTERCEPT(OFFSET(BC$18,1,0,MAX($B$18:$B$505)-3,1),OFFSET($C$18,1,0,MAX($B$18:$B$505)-3,1))*12,"N/A")</f>
        <v>8.7275823138283082E-2</v>
      </c>
      <c r="BF12" s="16">
        <f ca="1">IFERROR(STDEVP(OFFSET(BC$18,1,0,MAX($B$18:$B$505)-3,1))*SQRT(12),"N/A")</f>
        <v>5.248552130659867</v>
      </c>
      <c r="BG12" s="39"/>
      <c r="BH12" s="7" t="s">
        <v>53</v>
      </c>
      <c r="BI12" s="16" cm="1">
        <f t="array" aca="1" ref="BI12" ca="1">IFERROR((GEOMEAN(1+OFFSET(BI$97,1,0,MAX($B$97:$B$505)-82,1)/100)^12-1)*100,"N/A")</f>
        <v>2.3140801578928283</v>
      </c>
      <c r="BJ12" s="36">
        <f t="shared" ref="BJ12" ca="1" si="11">IFERROR(BI12-$P12,"N/A")</f>
        <v>-4.816558799613313</v>
      </c>
      <c r="BK12" s="16">
        <f ca="1">IFERROR(SLOPE(OFFSET(BI$18,1,0,MAX($B$18:$B$505)-3,1),OFFSET($C$18,1,0,MAX($B$18:$B$505)-3,1)),"N/A")</f>
        <v>0.34897682448340128</v>
      </c>
      <c r="BL12" s="16">
        <f ca="1">IFERROR(INTERCEPT(OFFSET(BI$18,1,0,MAX($B$18:$B$505)-3,1),OFFSET($C$18,1,0,MAX($B$18:$B$505)-3,1))*12,"N/A")</f>
        <v>-1.1876584256144911</v>
      </c>
      <c r="BM12" s="16">
        <f ca="1">IFERROR(STDEVP(OFFSET(BI$18,1,0,MAX($B$18:$B$505)-3,1))*SQRT(12),"N/A")</f>
        <v>5.9603042720413937</v>
      </c>
      <c r="BN12" s="79"/>
      <c r="BO12" s="7" t="s">
        <v>53</v>
      </c>
      <c r="BP12" s="16" cm="1">
        <f t="array" aca="1" ref="BP12" ca="1">IFERROR((GEOMEAN(1+OFFSET(BP$97,1,0,MAX($B$97:$B$505)-82,1)/100)^12-1)*100,"N/A")</f>
        <v>1.8356860222464633</v>
      </c>
      <c r="BQ12" s="16">
        <f ca="1">IFERROR(SLOPE(OFFSET(BP$18,1,0,MAX($B$18:$B$505)-3,1),OFFSET($C$18,1,0,MAX($B$18:$B$505)-3,1)),"N/A")</f>
        <v>0.34525974130414377</v>
      </c>
      <c r="BR12" s="16">
        <f ca="1">IFERROR(INTERCEPT(OFFSET(BP$18,1,0,MAX($B$18:$B$505)-3,1),OFFSET($C$18,1,0,MAX($B$18:$B$505)-3,1))*12,"N/A")</f>
        <v>-1.6030785058767236</v>
      </c>
      <c r="BS12" s="16">
        <f ca="1">IFERROR(STDEVP(OFFSET(BP$18,1,0,MAX($B$18:$B$505)-3,1))*SQRT(12),"N/A")</f>
        <v>6.2144909070529097</v>
      </c>
      <c r="BV12" s="39"/>
      <c r="BW12" s="7" t="s">
        <v>53</v>
      </c>
      <c r="BX12" s="16" cm="1">
        <f t="array" aca="1" ref="BX12" ca="1">IFERROR((GEOMEAN(1+OFFSET(BX$18,1,0,MAX($B$18:$B$505)-3,1)/100)^12-1)*100,"N/A")</f>
        <v>3.8775604665597152</v>
      </c>
      <c r="BY12" s="36">
        <f ca="1">IFERROR(BX12-$P12,"N/A")</f>
        <v>-3.2530784909464261</v>
      </c>
      <c r="BZ12" s="16">
        <f ca="1">IFERROR(SLOPE(OFFSET(BX$18,1,0,MAX($B$18:$B$505)-3,1),OFFSET($C$18,1,0,MAX($B$18:$B$505)-3,1)),"N/A")</f>
        <v>0.50252217495194507</v>
      </c>
      <c r="CA12" s="16">
        <f ca="1">IFERROR(INTERCEPT(OFFSET(BX$18,1,0,MAX($B$18:$B$505)-3,1),OFFSET($C$18,1,0,MAX($B$18:$B$505)-3,1))*12,"N/A")</f>
        <v>-0.86838871620261582</v>
      </c>
      <c r="CB12" s="16">
        <f ca="1">IFERROR(STDEVP(OFFSET(BX$18,1,0,MAX($B$18:$B$505)-3,1))*SQRT(12),"N/A")</f>
        <v>7.3185548250780323</v>
      </c>
      <c r="CC12" s="79"/>
      <c r="CD12" s="7" t="s">
        <v>53</v>
      </c>
      <c r="CE12" s="16" cm="1">
        <f t="array" aca="1" ref="CE12" ca="1">IFERROR((GEOMEAN(1+OFFSET(CE$18,1,0,MAX($B$18:$B$505)-3,1)/100)^12-1)*100,"N/A")</f>
        <v>3.8490936732217929</v>
      </c>
      <c r="CF12" s="16">
        <f ca="1">IFERROR(SLOPE(OFFSET(CE$18,1,0,MAX($B$18:$B$505)-3,1),OFFSET($C$18,1,0,MAX($B$18:$B$505)-3,1)),"N/A")</f>
        <v>0.46214771892282897</v>
      </c>
      <c r="CG12" s="16">
        <f ca="1">IFERROR(INTERCEPT(OFFSET(CE$18,1,0,MAX($B$18:$B$505)-3,1),OFFSET($C$18,1,0,MAX($B$18:$B$505)-3,1))*12,"N/A")</f>
        <v>-0.54446336724497391</v>
      </c>
      <c r="CH12" s="16">
        <f ca="1">IFERROR(STDEVP(OFFSET(CE$18,1,0,MAX($B$18:$B$505)-3,1))*SQRT(12),"N/A")</f>
        <v>6.2845437080135369</v>
      </c>
      <c r="CI12" s="39"/>
    </row>
    <row r="13" spans="1:87" x14ac:dyDescent="0.25">
      <c r="A13" s="7"/>
      <c r="C13" s="24" t="s">
        <v>151</v>
      </c>
      <c r="D13" s="24" t="s">
        <v>152</v>
      </c>
      <c r="E13" s="24" t="s">
        <v>153</v>
      </c>
      <c r="F13" s="24" t="s">
        <v>154</v>
      </c>
      <c r="G13" s="39"/>
      <c r="H13" s="7"/>
      <c r="I13" s="25"/>
      <c r="J13" s="18"/>
      <c r="K13" s="8"/>
      <c r="M13" s="17"/>
      <c r="N13" s="79"/>
      <c r="O13" s="7"/>
      <c r="P13" s="16"/>
      <c r="Q13" s="16"/>
      <c r="R13" s="18"/>
      <c r="S13" s="10"/>
      <c r="T13" s="39"/>
      <c r="U13" s="7"/>
      <c r="V13" s="25"/>
      <c r="W13" s="18"/>
      <c r="X13" s="8"/>
      <c r="Z13" s="17"/>
      <c r="AA13" s="79"/>
      <c r="AB13" s="7"/>
      <c r="AC13" s="16"/>
      <c r="AD13" s="16"/>
      <c r="AE13" s="18"/>
      <c r="AF13" s="10"/>
      <c r="AG13" s="39"/>
      <c r="AH13" s="7"/>
      <c r="AI13" s="25"/>
      <c r="AJ13" s="18"/>
      <c r="AK13" s="8"/>
      <c r="AM13" s="17"/>
      <c r="AN13" s="79"/>
      <c r="AO13" s="7"/>
      <c r="AP13" s="16"/>
      <c r="AQ13" s="16"/>
      <c r="AR13" s="18"/>
      <c r="AS13" s="10"/>
      <c r="AT13" s="39"/>
      <c r="AU13" s="7"/>
      <c r="AV13" s="25"/>
      <c r="AW13" s="18"/>
      <c r="AX13" s="8"/>
      <c r="AZ13" s="17"/>
      <c r="BA13" s="79"/>
      <c r="BB13" s="7"/>
      <c r="BC13" s="16"/>
      <c r="BD13" s="16"/>
      <c r="BE13" s="18"/>
      <c r="BF13" s="10"/>
      <c r="BG13" s="39"/>
      <c r="BH13" s="7"/>
      <c r="BI13" s="25"/>
      <c r="BJ13" s="18"/>
      <c r="BK13" s="8"/>
      <c r="BM13" s="17"/>
      <c r="BN13" s="79"/>
      <c r="BO13" s="7"/>
      <c r="BP13" s="16"/>
      <c r="BQ13" s="16"/>
      <c r="BR13" s="18"/>
      <c r="BS13" s="10"/>
      <c r="BV13" s="39"/>
      <c r="BW13" s="7"/>
      <c r="BX13" s="25"/>
      <c r="BY13" s="18"/>
      <c r="BZ13" s="8"/>
      <c r="CB13" s="17"/>
      <c r="CC13" s="79"/>
      <c r="CD13" s="7"/>
      <c r="CE13" s="16"/>
      <c r="CF13" s="16"/>
      <c r="CG13" s="18"/>
      <c r="CH13" s="10"/>
      <c r="CI13" s="39"/>
    </row>
    <row r="14" spans="1:87" x14ac:dyDescent="0.25">
      <c r="A14" s="7" t="s">
        <v>69</v>
      </c>
      <c r="B14" s="23" t="s">
        <v>70</v>
      </c>
      <c r="C14" s="296" t="s">
        <v>324</v>
      </c>
      <c r="D14" s="296" t="s">
        <v>377</v>
      </c>
      <c r="E14" s="296" t="s">
        <v>153</v>
      </c>
      <c r="F14" s="296" t="s">
        <v>303</v>
      </c>
      <c r="G14" s="44"/>
      <c r="H14" s="7" t="s">
        <v>69</v>
      </c>
      <c r="I14" s="33" t="s">
        <v>89</v>
      </c>
      <c r="J14" s="13" t="s">
        <v>155</v>
      </c>
      <c r="K14" s="9" t="s">
        <v>74</v>
      </c>
      <c r="L14" s="9" t="s">
        <v>75</v>
      </c>
      <c r="M14" s="33"/>
      <c r="N14" s="80"/>
      <c r="O14" s="7" t="s">
        <v>69</v>
      </c>
      <c r="P14" s="33" t="s">
        <v>41</v>
      </c>
      <c r="Q14" s="13" t="s">
        <v>73</v>
      </c>
      <c r="R14" s="9" t="s">
        <v>74</v>
      </c>
      <c r="S14" s="9" t="s">
        <v>75</v>
      </c>
      <c r="T14" s="44"/>
      <c r="U14" s="7" t="s">
        <v>69</v>
      </c>
      <c r="V14" s="33" t="s">
        <v>89</v>
      </c>
      <c r="W14" s="13" t="s">
        <v>155</v>
      </c>
      <c r="X14" s="9" t="s">
        <v>74</v>
      </c>
      <c r="Y14" s="9" t="s">
        <v>75</v>
      </c>
      <c r="Z14" s="33"/>
      <c r="AA14" s="80"/>
      <c r="AB14" s="7" t="s">
        <v>69</v>
      </c>
      <c r="AC14" s="33" t="s">
        <v>41</v>
      </c>
      <c r="AD14" s="13" t="s">
        <v>73</v>
      </c>
      <c r="AE14" s="9" t="s">
        <v>74</v>
      </c>
      <c r="AF14" s="9" t="s">
        <v>75</v>
      </c>
      <c r="AG14" s="44"/>
      <c r="AH14" s="7" t="s">
        <v>69</v>
      </c>
      <c r="AI14" s="33" t="s">
        <v>89</v>
      </c>
      <c r="AJ14" s="13" t="s">
        <v>155</v>
      </c>
      <c r="AK14" s="9" t="s">
        <v>74</v>
      </c>
      <c r="AL14" s="9" t="s">
        <v>75</v>
      </c>
      <c r="AM14" s="33"/>
      <c r="AN14" s="80"/>
      <c r="AO14" s="7" t="s">
        <v>69</v>
      </c>
      <c r="AP14" s="33" t="s">
        <v>41</v>
      </c>
      <c r="AQ14" s="13" t="s">
        <v>73</v>
      </c>
      <c r="AR14" s="9" t="s">
        <v>74</v>
      </c>
      <c r="AS14" s="9" t="s">
        <v>75</v>
      </c>
      <c r="AT14" s="44"/>
      <c r="AU14" s="7" t="s">
        <v>69</v>
      </c>
      <c r="AV14" s="33" t="s">
        <v>89</v>
      </c>
      <c r="AW14" s="13" t="s">
        <v>155</v>
      </c>
      <c r="AX14" s="9" t="s">
        <v>74</v>
      </c>
      <c r="AY14" s="9" t="s">
        <v>75</v>
      </c>
      <c r="AZ14" s="33"/>
      <c r="BA14" s="80"/>
      <c r="BB14" s="7" t="s">
        <v>69</v>
      </c>
      <c r="BC14" s="33" t="s">
        <v>41</v>
      </c>
      <c r="BD14" s="13" t="s">
        <v>97</v>
      </c>
      <c r="BE14" s="9" t="s">
        <v>74</v>
      </c>
      <c r="BF14" s="9" t="s">
        <v>75</v>
      </c>
      <c r="BG14" s="44"/>
      <c r="BH14" s="7" t="s">
        <v>69</v>
      </c>
      <c r="BI14" s="33" t="s">
        <v>89</v>
      </c>
      <c r="BJ14" s="13" t="s">
        <v>155</v>
      </c>
      <c r="BK14" s="9" t="s">
        <v>74</v>
      </c>
      <c r="BL14" s="9" t="s">
        <v>75</v>
      </c>
      <c r="BM14" s="33"/>
      <c r="BN14" s="80"/>
      <c r="BO14" s="7" t="s">
        <v>69</v>
      </c>
      <c r="BP14" s="33" t="s">
        <v>41</v>
      </c>
      <c r="BQ14" s="13" t="s">
        <v>97</v>
      </c>
      <c r="BR14" s="9" t="s">
        <v>74</v>
      </c>
      <c r="BS14" s="9" t="s">
        <v>75</v>
      </c>
      <c r="BV14" s="44"/>
      <c r="BW14" s="7" t="s">
        <v>69</v>
      </c>
      <c r="BX14" s="33" t="s">
        <v>89</v>
      </c>
      <c r="BY14" s="13" t="s">
        <v>155</v>
      </c>
      <c r="BZ14" s="9" t="s">
        <v>74</v>
      </c>
      <c r="CA14" s="9" t="s">
        <v>75</v>
      </c>
      <c r="CB14" s="33"/>
      <c r="CC14" s="80"/>
      <c r="CD14" s="7" t="s">
        <v>69</v>
      </c>
      <c r="CE14" s="33" t="s">
        <v>41</v>
      </c>
      <c r="CF14" s="13" t="s">
        <v>73</v>
      </c>
      <c r="CG14" s="9" t="s">
        <v>74</v>
      </c>
      <c r="CH14" s="9" t="s">
        <v>75</v>
      </c>
      <c r="CI14" s="44"/>
    </row>
    <row r="15" spans="1:87" x14ac:dyDescent="0.25">
      <c r="A15" s="20">
        <v>41425</v>
      </c>
      <c r="B15" s="23">
        <v>0</v>
      </c>
      <c r="G15" s="39"/>
      <c r="H15" s="20">
        <f>$A15</f>
        <v>41425</v>
      </c>
      <c r="I15" s="11"/>
      <c r="J15" s="48">
        <v>1000000</v>
      </c>
      <c r="K15" s="8"/>
      <c r="M15" s="17"/>
      <c r="N15" s="79"/>
      <c r="O15" s="20">
        <f>$A15</f>
        <v>41425</v>
      </c>
      <c r="P15" s="27"/>
      <c r="Q15" s="48">
        <v>1000000</v>
      </c>
      <c r="R15" s="8"/>
      <c r="T15" s="39"/>
      <c r="U15" s="20">
        <f>$A15</f>
        <v>41425</v>
      </c>
      <c r="V15" s="11"/>
      <c r="W15" s="48">
        <v>1000000</v>
      </c>
      <c r="X15" s="8"/>
      <c r="Z15" s="17"/>
      <c r="AA15" s="79"/>
      <c r="AB15" s="20">
        <f>$A15</f>
        <v>41425</v>
      </c>
      <c r="AC15" s="27"/>
      <c r="AD15" s="48">
        <v>1000000</v>
      </c>
      <c r="AE15" s="8"/>
      <c r="AG15" s="44"/>
      <c r="AH15" s="20">
        <f>$A15</f>
        <v>41425</v>
      </c>
      <c r="AI15" s="11"/>
      <c r="AJ15" s="48">
        <v>1000000</v>
      </c>
      <c r="AK15" s="8"/>
      <c r="AM15" s="17"/>
      <c r="AN15" s="79"/>
      <c r="AO15" s="20">
        <f>$A15</f>
        <v>41425</v>
      </c>
      <c r="AP15" s="27"/>
      <c r="AQ15" s="48">
        <v>1000000</v>
      </c>
      <c r="AR15" s="8"/>
      <c r="AT15" s="39"/>
      <c r="AU15" s="20">
        <f>$A15</f>
        <v>41425</v>
      </c>
      <c r="AV15" s="11"/>
      <c r="AW15" s="48">
        <v>1000000</v>
      </c>
      <c r="AX15" s="8"/>
      <c r="AZ15" s="17"/>
      <c r="BA15" s="79"/>
      <c r="BB15" s="20">
        <f>$A15</f>
        <v>41425</v>
      </c>
      <c r="BC15" s="27"/>
      <c r="BD15" s="48">
        <v>1000000</v>
      </c>
      <c r="BE15" s="8"/>
      <c r="BG15" s="39"/>
      <c r="BH15" s="20">
        <f>$A15</f>
        <v>41425</v>
      </c>
      <c r="BI15" s="11"/>
      <c r="BJ15" s="48">
        <v>1000000</v>
      </c>
      <c r="BK15" s="8"/>
      <c r="BM15" s="17"/>
      <c r="BN15" s="79"/>
      <c r="BO15" s="20">
        <f>$A15</f>
        <v>41425</v>
      </c>
      <c r="BP15" s="27"/>
      <c r="BQ15" s="48">
        <v>1000000</v>
      </c>
      <c r="BR15" s="8"/>
      <c r="BV15" s="39"/>
      <c r="BW15" s="20">
        <f>$A15</f>
        <v>41425</v>
      </c>
      <c r="BX15" s="11"/>
      <c r="BY15" s="48">
        <v>1000000</v>
      </c>
      <c r="BZ15" s="8"/>
      <c r="CB15" s="17"/>
      <c r="CC15" s="79"/>
      <c r="CD15" s="20">
        <f>$A15</f>
        <v>41425</v>
      </c>
      <c r="CE15" s="27"/>
      <c r="CF15" s="48">
        <v>1000000</v>
      </c>
      <c r="CG15" s="8"/>
      <c r="CI15" s="39"/>
    </row>
    <row r="16" spans="1:87" x14ac:dyDescent="0.25">
      <c r="A16" s="20">
        <v>41455</v>
      </c>
      <c r="B16" s="24">
        <f>IF(A16&gt;A15,1+B15,"-")</f>
        <v>1</v>
      </c>
      <c r="C16" s="301">
        <f>'LC (Gross)'!X178</f>
        <v>0.60416060922727655</v>
      </c>
      <c r="D16" s="301">
        <v>-1.0391999999999999</v>
      </c>
      <c r="E16" s="301">
        <f>'CRA (Gross)'!E16</f>
        <v>-1.5468543100712409</v>
      </c>
      <c r="F16" s="301">
        <f>'CRA (Gross)'!F16</f>
        <v>0</v>
      </c>
      <c r="G16" s="39"/>
      <c r="H16" s="20">
        <f t="shared" ref="H16:H89" si="12">$A16</f>
        <v>41455</v>
      </c>
      <c r="I16" s="27">
        <v>-0.38</v>
      </c>
      <c r="J16" s="46">
        <f t="shared" ref="J16:J76" si="13">J15*I16/100+J15</f>
        <v>996200</v>
      </c>
      <c r="K16" s="54"/>
      <c r="L16" s="49"/>
      <c r="M16" s="13"/>
      <c r="N16" s="79"/>
      <c r="O16" s="20">
        <f t="shared" ref="O16:O81" si="14">$A16</f>
        <v>41455</v>
      </c>
      <c r="P16" s="78">
        <f>55%*$C16+15%*$D16+0%*$E16+30%*$F16</f>
        <v>0.17640833507500212</v>
      </c>
      <c r="Q16" s="46">
        <f t="shared" ref="Q16:Q48" si="15">Q15*P16/100+Q15</f>
        <v>1001764.08335075</v>
      </c>
      <c r="R16" s="54"/>
      <c r="S16" s="5"/>
      <c r="T16" s="39"/>
      <c r="U16" s="20">
        <f t="shared" ref="U16:U81" si="16">$A16</f>
        <v>41455</v>
      </c>
      <c r="V16" s="27">
        <v>-0.70000000000000007</v>
      </c>
      <c r="W16" s="46">
        <f t="shared" ref="W16:W76" si="17">W15*V16/100+W15</f>
        <v>993000</v>
      </c>
      <c r="X16" s="54"/>
      <c r="Y16" s="49"/>
      <c r="Z16" s="13"/>
      <c r="AA16" s="79"/>
      <c r="AB16" s="20">
        <f t="shared" ref="AB16:AB81" si="18">$A16</f>
        <v>41455</v>
      </c>
      <c r="AC16" s="78">
        <f>45%*$C16+10%*$D16+15%*$E16+30%*$F16</f>
        <v>-6.4075872358411695E-2</v>
      </c>
      <c r="AD16" s="46">
        <f t="shared" ref="AD16:AD48" si="19">AD15*AC16/100+AD15</f>
        <v>999359.24127641588</v>
      </c>
      <c r="AE16" s="54"/>
      <c r="AF16" s="5"/>
      <c r="AG16" s="44"/>
      <c r="AH16" s="20">
        <f t="shared" ref="AH16:AH81" si="20">$A16</f>
        <v>41455</v>
      </c>
      <c r="AI16" s="27">
        <v>-1.0999999999999999</v>
      </c>
      <c r="AJ16" s="46">
        <f t="shared" ref="AJ16:AJ76" si="21">AJ15*AI16/100+AJ15</f>
        <v>989000</v>
      </c>
      <c r="AK16" s="54"/>
      <c r="AL16" s="49"/>
      <c r="AM16" s="13"/>
      <c r="AN16" s="79"/>
      <c r="AO16" s="20">
        <f t="shared" ref="AO16:AO81" si="22">$A16</f>
        <v>41455</v>
      </c>
      <c r="AP16" s="78">
        <f>35%*$C16+10%*$D16+35%*$E16+20%*$F16</f>
        <v>-0.43386279529538752</v>
      </c>
      <c r="AQ16" s="46">
        <f t="shared" ref="AQ16:AQ48" si="23">AQ15*AP16/100+AQ15</f>
        <v>995661.37204704608</v>
      </c>
      <c r="AR16" s="54"/>
      <c r="AS16" s="5"/>
      <c r="AT16" s="39"/>
      <c r="AU16" s="20">
        <f t="shared" ref="AU16:AU81" si="24">$A16</f>
        <v>41455</v>
      </c>
      <c r="AV16" s="27"/>
      <c r="AW16" s="46">
        <f t="shared" ref="AW16:AW76" si="25">AW15*AV16/100+AW15</f>
        <v>1000000</v>
      </c>
      <c r="AX16" s="54"/>
      <c r="AY16" s="49"/>
      <c r="AZ16" s="13"/>
      <c r="BA16" s="79"/>
      <c r="BB16" s="20">
        <f t="shared" ref="BB16:BB81" si="26">$A16</f>
        <v>41455</v>
      </c>
      <c r="BC16" s="78">
        <f>10%*$C16+5%*$D16+70%*$E16+15%*$F16</f>
        <v>-1.074341956127141</v>
      </c>
      <c r="BD16" s="46">
        <f t="shared" ref="BD16:BD48" si="27">BD15*BC16/100+BD15</f>
        <v>989256.58043872856</v>
      </c>
      <c r="BE16" s="54"/>
      <c r="BF16" s="5"/>
      <c r="BG16" s="39"/>
      <c r="BH16" s="20">
        <f t="shared" ref="BH16:BH81" si="28">$A16</f>
        <v>41455</v>
      </c>
      <c r="BI16" s="27"/>
      <c r="BJ16" s="46">
        <f t="shared" ref="BJ16:BJ79" si="29">BJ15*BI16/100+BJ15</f>
        <v>1000000</v>
      </c>
      <c r="BK16" s="54"/>
      <c r="BL16" s="49"/>
      <c r="BM16" s="13"/>
      <c r="BN16" s="79"/>
      <c r="BO16" s="20">
        <f t="shared" ref="BO16:BO81" si="30">$A16</f>
        <v>41455</v>
      </c>
      <c r="BP16" s="78"/>
      <c r="BQ16" s="46">
        <f t="shared" ref="BQ16:BQ48" si="31">BQ15*BP16/100+BQ15</f>
        <v>1000000</v>
      </c>
      <c r="BR16" s="54"/>
      <c r="BS16" s="5"/>
      <c r="BV16" s="39"/>
      <c r="BW16" s="20">
        <f t="shared" ref="BW16:BW81" si="32">$A16</f>
        <v>41455</v>
      </c>
      <c r="BX16" s="27"/>
      <c r="BY16" s="46">
        <f t="shared" ref="BY16:BY76" si="33">BY15*BX16/100+BY15</f>
        <v>1000000</v>
      </c>
      <c r="BZ16" s="54"/>
      <c r="CA16" s="49"/>
      <c r="CB16" s="13"/>
      <c r="CC16" s="79"/>
      <c r="CD16" s="20">
        <f t="shared" ref="CD16:CD81" si="34">$A16</f>
        <v>41455</v>
      </c>
      <c r="CE16" s="78"/>
      <c r="CF16" s="46">
        <f t="shared" ref="CF16:CF48" si="35">CF15*CE16/100+CF15</f>
        <v>1000000</v>
      </c>
      <c r="CG16" s="54"/>
      <c r="CH16" s="5"/>
      <c r="CI16" s="39"/>
    </row>
    <row r="17" spans="1:87" x14ac:dyDescent="0.25">
      <c r="A17" s="20">
        <v>41486</v>
      </c>
      <c r="B17" s="24">
        <f t="shared" ref="B17:B80" si="36">IF(A17&gt;A16,1+B16,"-")</f>
        <v>2</v>
      </c>
      <c r="C17" s="301">
        <f>'LC (Gross)'!X179</f>
        <v>4.2384464752580708</v>
      </c>
      <c r="D17" s="301">
        <v>2.9483000000000001</v>
      </c>
      <c r="E17" s="301">
        <f>'CRA (Gross)'!E17</f>
        <v>0.13671907564566621</v>
      </c>
      <c r="F17" s="301">
        <f>'CRA (Gross)'!F17</f>
        <v>0</v>
      </c>
      <c r="G17" s="39"/>
      <c r="H17" s="20">
        <f t="shared" si="12"/>
        <v>41486</v>
      </c>
      <c r="I17" s="27">
        <v>3.95</v>
      </c>
      <c r="J17" s="46">
        <f t="shared" si="13"/>
        <v>1035549.9</v>
      </c>
      <c r="M17" s="17"/>
      <c r="N17" s="79"/>
      <c r="O17" s="20">
        <f t="shared" si="14"/>
        <v>41486</v>
      </c>
      <c r="P17" s="78">
        <f t="shared" ref="P17:P81" si="37">55%*$C17+15%*$D17+0%*$E17+30%*$F17</f>
        <v>2.7733905613919392</v>
      </c>
      <c r="Q17" s="46">
        <f t="shared" si="15"/>
        <v>1029546.9138858143</v>
      </c>
      <c r="T17" s="39"/>
      <c r="U17" s="20">
        <f t="shared" si="16"/>
        <v>41486</v>
      </c>
      <c r="V17" s="27">
        <v>3.2399999999999998</v>
      </c>
      <c r="W17" s="46">
        <f t="shared" si="17"/>
        <v>1025173.2</v>
      </c>
      <c r="Z17" s="17"/>
      <c r="AA17" s="79"/>
      <c r="AB17" s="20">
        <f t="shared" si="18"/>
        <v>41486</v>
      </c>
      <c r="AC17" s="78">
        <f t="shared" ref="AC17:AC81" si="38">45%*$C17+10%*$D17+15%*$E17+30%*$F17</f>
        <v>2.2226387752129821</v>
      </c>
      <c r="AD17" s="46">
        <f t="shared" si="19"/>
        <v>1021571.3872766998</v>
      </c>
      <c r="AG17" s="44"/>
      <c r="AH17" s="20">
        <f t="shared" si="20"/>
        <v>41486</v>
      </c>
      <c r="AI17" s="27">
        <v>2.69</v>
      </c>
      <c r="AJ17" s="46">
        <f t="shared" si="21"/>
        <v>1015604.1</v>
      </c>
      <c r="AM17" s="17"/>
      <c r="AN17" s="79"/>
      <c r="AO17" s="20">
        <f t="shared" si="22"/>
        <v>41486</v>
      </c>
      <c r="AP17" s="78">
        <f t="shared" ref="AP17:AP81" si="39">35%*$C17+10%*$D17+35%*$E17+20%*$F17</f>
        <v>1.826137942816308</v>
      </c>
      <c r="AQ17" s="46">
        <f t="shared" si="23"/>
        <v>1013843.5221439627</v>
      </c>
      <c r="AT17" s="39"/>
      <c r="AU17" s="20">
        <f t="shared" si="24"/>
        <v>41486</v>
      </c>
      <c r="AV17" s="27"/>
      <c r="AW17" s="46">
        <f t="shared" si="25"/>
        <v>1000000</v>
      </c>
      <c r="AZ17" s="17"/>
      <c r="BA17" s="79"/>
      <c r="BB17" s="20">
        <f t="shared" si="26"/>
        <v>41486</v>
      </c>
      <c r="BC17" s="78">
        <f>10%*$C17+5%*$D17+70%*$E17+15%*$F17</f>
        <v>0.66696300047777346</v>
      </c>
      <c r="BD17" s="46">
        <f t="shared" si="27"/>
        <v>995854.5558100465</v>
      </c>
      <c r="BG17" s="39"/>
      <c r="BH17" s="20">
        <f t="shared" si="28"/>
        <v>41486</v>
      </c>
      <c r="BI17" s="27"/>
      <c r="BJ17" s="46">
        <f t="shared" si="29"/>
        <v>1000000</v>
      </c>
      <c r="BM17" s="17"/>
      <c r="BN17" s="79"/>
      <c r="BO17" s="20">
        <f t="shared" si="30"/>
        <v>41486</v>
      </c>
      <c r="BP17" s="78"/>
      <c r="BQ17" s="46">
        <f t="shared" si="31"/>
        <v>1000000</v>
      </c>
      <c r="BV17" s="39"/>
      <c r="BW17" s="20">
        <f t="shared" si="32"/>
        <v>41486</v>
      </c>
      <c r="BX17" s="27"/>
      <c r="BY17" s="46">
        <f t="shared" si="33"/>
        <v>1000000</v>
      </c>
      <c r="CB17" s="17"/>
      <c r="CC17" s="79"/>
      <c r="CD17" s="20">
        <f t="shared" si="34"/>
        <v>41486</v>
      </c>
      <c r="CE17" s="78"/>
      <c r="CF17" s="46">
        <f t="shared" si="35"/>
        <v>1000000</v>
      </c>
      <c r="CI17" s="39"/>
    </row>
    <row r="18" spans="1:87" x14ac:dyDescent="0.25">
      <c r="A18" s="20">
        <v>41517</v>
      </c>
      <c r="B18" s="24">
        <f t="shared" si="36"/>
        <v>3</v>
      </c>
      <c r="C18" s="301">
        <f>'LC (Gross)'!X180</f>
        <v>-4.8339233867019633</v>
      </c>
      <c r="D18" s="301">
        <v>-1.3655999999999999</v>
      </c>
      <c r="E18" s="301">
        <f>'CRA (Gross)'!E18</f>
        <v>-0.51116402204499112</v>
      </c>
      <c r="F18" s="301">
        <f>'CRA (Gross)'!F18</f>
        <v>0</v>
      </c>
      <c r="G18" s="39"/>
      <c r="H18" s="20">
        <f t="shared" si="12"/>
        <v>41517</v>
      </c>
      <c r="I18" s="27">
        <v>-3.58</v>
      </c>
      <c r="J18" s="46">
        <f t="shared" si="13"/>
        <v>998477.21357999998</v>
      </c>
      <c r="M18" s="17"/>
      <c r="N18" s="79"/>
      <c r="O18" s="20">
        <f t="shared" si="14"/>
        <v>41517</v>
      </c>
      <c r="P18" s="78">
        <f t="shared" si="37"/>
        <v>-2.8634978626860801</v>
      </c>
      <c r="Q18" s="46">
        <f t="shared" si="15"/>
        <v>1000065.8600113435</v>
      </c>
      <c r="T18" s="39"/>
      <c r="U18" s="20">
        <f t="shared" si="16"/>
        <v>41517</v>
      </c>
      <c r="V18" s="27">
        <v>-3.02</v>
      </c>
      <c r="W18" s="46">
        <f t="shared" si="17"/>
        <v>994212.96935999999</v>
      </c>
      <c r="Z18" s="17"/>
      <c r="AA18" s="79"/>
      <c r="AB18" s="20">
        <f t="shared" si="18"/>
        <v>41517</v>
      </c>
      <c r="AC18" s="78">
        <f t="shared" si="38"/>
        <v>-2.3885001273226321</v>
      </c>
      <c r="AD18" s="46">
        <f t="shared" si="19"/>
        <v>997171.15339090419</v>
      </c>
      <c r="AG18" s="44"/>
      <c r="AH18" s="20">
        <f t="shared" si="20"/>
        <v>41517</v>
      </c>
      <c r="AI18" s="27">
        <v>-2.4500000000000002</v>
      </c>
      <c r="AJ18" s="46">
        <f t="shared" si="21"/>
        <v>990721.79955</v>
      </c>
      <c r="AM18" s="17"/>
      <c r="AN18" s="79"/>
      <c r="AO18" s="20">
        <f t="shared" si="22"/>
        <v>41517</v>
      </c>
      <c r="AP18" s="78">
        <f t="shared" si="39"/>
        <v>-2.0073405930614339</v>
      </c>
      <c r="AQ18" s="46">
        <f t="shared" si="23"/>
        <v>993492.22957384307</v>
      </c>
      <c r="AT18" s="39"/>
      <c r="AU18" s="20">
        <f t="shared" si="24"/>
        <v>41517</v>
      </c>
      <c r="AV18" s="27"/>
      <c r="AW18" s="46">
        <f t="shared" si="25"/>
        <v>1000000</v>
      </c>
      <c r="AZ18" s="17"/>
      <c r="BA18" s="79"/>
      <c r="BB18" s="20">
        <f t="shared" si="26"/>
        <v>41517</v>
      </c>
      <c r="BC18" s="78">
        <f>10%*$C18+5%*$D18+70%*$E18+15%*$F18</f>
        <v>-0.90948715410169012</v>
      </c>
      <c r="BD18" s="46">
        <f t="shared" si="27"/>
        <v>986797.38655141764</v>
      </c>
      <c r="BG18" s="39"/>
      <c r="BH18" s="20">
        <f t="shared" si="28"/>
        <v>41517</v>
      </c>
      <c r="BI18" s="27"/>
      <c r="BJ18" s="46">
        <f t="shared" si="29"/>
        <v>1000000</v>
      </c>
      <c r="BM18" s="17"/>
      <c r="BN18" s="79"/>
      <c r="BO18" s="20">
        <f t="shared" si="30"/>
        <v>41517</v>
      </c>
      <c r="BP18" s="78"/>
      <c r="BQ18" s="46">
        <f t="shared" si="31"/>
        <v>1000000</v>
      </c>
      <c r="BV18" s="39"/>
      <c r="BW18" s="20">
        <f t="shared" si="32"/>
        <v>41517</v>
      </c>
      <c r="BX18" s="27"/>
      <c r="BY18" s="46">
        <f t="shared" si="33"/>
        <v>1000000</v>
      </c>
      <c r="CB18" s="17"/>
      <c r="CC18" s="79"/>
      <c r="CD18" s="20">
        <f t="shared" si="34"/>
        <v>41517</v>
      </c>
      <c r="CE18" s="78"/>
      <c r="CF18" s="46">
        <f t="shared" si="35"/>
        <v>1000000</v>
      </c>
      <c r="CI18" s="39"/>
    </row>
    <row r="19" spans="1:87" x14ac:dyDescent="0.25">
      <c r="A19" s="20">
        <v>41547</v>
      </c>
      <c r="B19" s="24">
        <f t="shared" si="36"/>
        <v>4</v>
      </c>
      <c r="C19" s="301">
        <f>'LC (Gross)'!X181</f>
        <v>1.9794963904262544</v>
      </c>
      <c r="D19" s="301">
        <v>5.2131999999999996</v>
      </c>
      <c r="E19" s="301">
        <f>'CRA (Gross)'!E19</f>
        <v>0.94669076627839666</v>
      </c>
      <c r="F19" s="301">
        <f>'CRA (Gross)'!F19</f>
        <v>0</v>
      </c>
      <c r="G19" s="39"/>
      <c r="H19" s="20">
        <f t="shared" si="12"/>
        <v>41547</v>
      </c>
      <c r="I19" s="27">
        <v>2.93</v>
      </c>
      <c r="J19" s="46">
        <f t="shared" si="13"/>
        <v>1027732.595937894</v>
      </c>
      <c r="K19" s="54"/>
      <c r="L19" s="49">
        <f>(J19/J16-1)*100</f>
        <v>3.1652876869999957</v>
      </c>
      <c r="M19" s="17"/>
      <c r="N19" s="79"/>
      <c r="O19" s="20">
        <f t="shared" si="14"/>
        <v>41547</v>
      </c>
      <c r="P19" s="78">
        <f t="shared" si="37"/>
        <v>1.8707030147344399</v>
      </c>
      <c r="Q19" s="46">
        <f t="shared" si="15"/>
        <v>1018774.1222039056</v>
      </c>
      <c r="R19" s="54"/>
      <c r="S19" s="5">
        <f>(Q19/Q16-1)*100</f>
        <v>1.6980084568673615</v>
      </c>
      <c r="T19" s="39"/>
      <c r="U19" s="20">
        <f t="shared" si="16"/>
        <v>41547</v>
      </c>
      <c r="V19" s="27">
        <v>2.54</v>
      </c>
      <c r="W19" s="46">
        <f t="shared" si="17"/>
        <v>1019465.978781744</v>
      </c>
      <c r="X19" s="54"/>
      <c r="Y19" s="49">
        <f>(W19/W16-1)*100</f>
        <v>2.6652546608000094</v>
      </c>
      <c r="Z19" s="17"/>
      <c r="AA19" s="79"/>
      <c r="AB19" s="20">
        <f t="shared" si="18"/>
        <v>41547</v>
      </c>
      <c r="AC19" s="78">
        <f t="shared" si="38"/>
        <v>1.5540969906335742</v>
      </c>
      <c r="AD19" s="46">
        <f t="shared" si="19"/>
        <v>1012668.1602772183</v>
      </c>
      <c r="AE19" s="54"/>
      <c r="AF19" s="5">
        <f>(AD19/AD16-1)*100</f>
        <v>1.3317452274523189</v>
      </c>
      <c r="AG19" s="44"/>
      <c r="AH19" s="20">
        <f t="shared" si="20"/>
        <v>41547</v>
      </c>
      <c r="AI19" s="27">
        <v>2.0699999999999998</v>
      </c>
      <c r="AJ19" s="46">
        <f t="shared" si="21"/>
        <v>1011229.740800685</v>
      </c>
      <c r="AK19" s="54"/>
      <c r="AL19" s="49">
        <f>(AJ19/AJ16-1)*100</f>
        <v>2.2476987664999948</v>
      </c>
      <c r="AM19" s="17"/>
      <c r="AN19" s="79"/>
      <c r="AO19" s="20">
        <f t="shared" si="22"/>
        <v>41547</v>
      </c>
      <c r="AP19" s="78">
        <f t="shared" si="39"/>
        <v>1.5454855048466278</v>
      </c>
      <c r="AQ19" s="46">
        <f t="shared" si="23"/>
        <v>1008846.5079736843</v>
      </c>
      <c r="AR19" s="54"/>
      <c r="AS19" s="5">
        <f>(AQ19/AQ16-1)*100</f>
        <v>1.3242590600386572</v>
      </c>
      <c r="AT19" s="39"/>
      <c r="AU19" s="20">
        <f t="shared" si="24"/>
        <v>41547</v>
      </c>
      <c r="AV19" s="27"/>
      <c r="AW19" s="46">
        <f t="shared" si="25"/>
        <v>1000000</v>
      </c>
      <c r="AX19" s="54"/>
      <c r="AY19" s="49">
        <f>(AW19/AW16-1)*100</f>
        <v>0</v>
      </c>
      <c r="AZ19" s="17"/>
      <c r="BA19" s="79"/>
      <c r="BB19" s="20">
        <f t="shared" si="26"/>
        <v>41547</v>
      </c>
      <c r="BC19" s="78">
        <f>10%*$C19+5%*$D19+70%*$E19+15%*$F19</f>
        <v>1.1212931754375031</v>
      </c>
      <c r="BD19" s="46">
        <f t="shared" si="27"/>
        <v>997862.27830221434</v>
      </c>
      <c r="BE19" s="54"/>
      <c r="BF19" s="49">
        <f>(BD19/BD16-1)*100</f>
        <v>0.86991565521548075</v>
      </c>
      <c r="BG19" s="39"/>
      <c r="BH19" s="20">
        <f t="shared" si="28"/>
        <v>41547</v>
      </c>
      <c r="BI19" s="27"/>
      <c r="BJ19" s="46">
        <f t="shared" si="29"/>
        <v>1000000</v>
      </c>
      <c r="BK19" s="54"/>
      <c r="BL19" s="49">
        <f>(BJ19/BJ16-1)*100</f>
        <v>0</v>
      </c>
      <c r="BM19" s="17"/>
      <c r="BN19" s="79"/>
      <c r="BO19" s="20">
        <f t="shared" si="30"/>
        <v>41547</v>
      </c>
      <c r="BP19" s="78"/>
      <c r="BQ19" s="46">
        <f t="shared" si="31"/>
        <v>1000000</v>
      </c>
      <c r="BR19" s="54"/>
      <c r="BS19" s="49">
        <f>(BQ19/BQ16-1)*100</f>
        <v>0</v>
      </c>
      <c r="BV19" s="39"/>
      <c r="BW19" s="20">
        <f t="shared" si="32"/>
        <v>41547</v>
      </c>
      <c r="BX19" s="27">
        <v>1.38</v>
      </c>
      <c r="BY19" s="46">
        <f t="shared" si="33"/>
        <v>1013800</v>
      </c>
      <c r="BZ19" s="54"/>
      <c r="CA19" s="49">
        <f>(BY19/BY16-1)*100</f>
        <v>1.3800000000000034</v>
      </c>
      <c r="CB19" s="17"/>
      <c r="CC19" s="79"/>
      <c r="CD19" s="20">
        <f t="shared" si="34"/>
        <v>41547</v>
      </c>
      <c r="CE19" s="78">
        <f t="shared" ref="CE19:CE89" si="40">25%*$C19+5%*$D19+50%*$E19+20%*$F19</f>
        <v>1.2288794807457619</v>
      </c>
      <c r="CF19" s="46">
        <f t="shared" si="35"/>
        <v>1012288.7948074576</v>
      </c>
      <c r="CG19" s="54"/>
      <c r="CH19" s="5">
        <f>(CF19/CF16-1)*100</f>
        <v>1.2288794807457704</v>
      </c>
      <c r="CI19" s="39"/>
    </row>
    <row r="20" spans="1:87" x14ac:dyDescent="0.25">
      <c r="A20" s="20">
        <v>41578</v>
      </c>
      <c r="B20" s="24">
        <f t="shared" si="36"/>
        <v>5</v>
      </c>
      <c r="C20" s="301">
        <f>'LC (Gross)'!X182</f>
        <v>4.5744904530364456</v>
      </c>
      <c r="D20" s="301">
        <v>2.0381999999999998</v>
      </c>
      <c r="E20" s="301">
        <f>'CRA (Gross)'!E20</f>
        <v>0.80849723408841578</v>
      </c>
      <c r="F20" s="301">
        <f>'CRA (Gross)'!F20</f>
        <v>0</v>
      </c>
      <c r="G20" s="39"/>
      <c r="H20" s="20">
        <f t="shared" si="12"/>
        <v>41578</v>
      </c>
      <c r="I20" s="27">
        <v>3.4299999999999997</v>
      </c>
      <c r="J20" s="46">
        <f t="shared" si="13"/>
        <v>1062983.8239785638</v>
      </c>
      <c r="K20" s="54"/>
      <c r="M20" s="17"/>
      <c r="N20" s="79"/>
      <c r="O20" s="20">
        <f t="shared" si="14"/>
        <v>41578</v>
      </c>
      <c r="P20" s="78">
        <f t="shared" si="37"/>
        <v>2.8216997491700453</v>
      </c>
      <c r="Q20" s="46">
        <f t="shared" si="15"/>
        <v>1047520.8690547425</v>
      </c>
      <c r="R20" s="54"/>
      <c r="T20" s="39"/>
      <c r="U20" s="20">
        <f t="shared" si="16"/>
        <v>41578</v>
      </c>
      <c r="V20" s="27">
        <v>2.8000000000000003</v>
      </c>
      <c r="W20" s="46">
        <f t="shared" si="17"/>
        <v>1048011.0261876328</v>
      </c>
      <c r="X20" s="54"/>
      <c r="Z20" s="17"/>
      <c r="AA20" s="79"/>
      <c r="AB20" s="20">
        <f t="shared" si="18"/>
        <v>41578</v>
      </c>
      <c r="AC20" s="78">
        <f t="shared" si="38"/>
        <v>2.3836152889796627</v>
      </c>
      <c r="AD20" s="46">
        <f t="shared" si="19"/>
        <v>1036806.2733722152</v>
      </c>
      <c r="AE20" s="54"/>
      <c r="AG20" s="44"/>
      <c r="AH20" s="20">
        <f t="shared" si="20"/>
        <v>41578</v>
      </c>
      <c r="AI20" s="27">
        <v>2.2399999999999998</v>
      </c>
      <c r="AJ20" s="46">
        <f t="shared" si="21"/>
        <v>1033881.2869946203</v>
      </c>
      <c r="AK20" s="54"/>
      <c r="AM20" s="17"/>
      <c r="AN20" s="79"/>
      <c r="AO20" s="20">
        <f t="shared" si="22"/>
        <v>41578</v>
      </c>
      <c r="AP20" s="78">
        <f t="shared" si="39"/>
        <v>2.0878656904937012</v>
      </c>
      <c r="AQ20" s="46">
        <f t="shared" si="23"/>
        <v>1029909.8680834107</v>
      </c>
      <c r="AR20" s="54"/>
      <c r="AT20" s="39"/>
      <c r="AU20" s="20">
        <f t="shared" si="24"/>
        <v>41578</v>
      </c>
      <c r="AV20" s="27"/>
      <c r="AW20" s="46">
        <f t="shared" si="25"/>
        <v>1000000</v>
      </c>
      <c r="AX20" s="54"/>
      <c r="AZ20" s="17"/>
      <c r="BA20" s="79"/>
      <c r="BB20" s="20">
        <f t="shared" si="26"/>
        <v>41578</v>
      </c>
      <c r="BC20" s="78">
        <f t="shared" ref="BC20:BC89" si="41">10%*$C20+5%*$D20+70%*$E20+15%*$F20</f>
        <v>1.1253071091655356</v>
      </c>
      <c r="BD20" s="46">
        <f t="shared" si="27"/>
        <v>1009091.2934596303</v>
      </c>
      <c r="BE20" s="54"/>
      <c r="BG20" s="39"/>
      <c r="BH20" s="20">
        <f t="shared" si="28"/>
        <v>41578</v>
      </c>
      <c r="BI20" s="27"/>
      <c r="BJ20" s="46">
        <f t="shared" si="29"/>
        <v>1000000</v>
      </c>
      <c r="BK20" s="54"/>
      <c r="BM20" s="17"/>
      <c r="BN20" s="79"/>
      <c r="BO20" s="20">
        <f t="shared" si="30"/>
        <v>41578</v>
      </c>
      <c r="BP20" s="78"/>
      <c r="BQ20" s="46">
        <f t="shared" si="31"/>
        <v>1000000</v>
      </c>
      <c r="BR20" s="54"/>
      <c r="BV20" s="39"/>
      <c r="BW20" s="20">
        <f t="shared" si="32"/>
        <v>41578</v>
      </c>
      <c r="BX20" s="27">
        <v>1.69</v>
      </c>
      <c r="BY20" s="46">
        <f t="shared" si="33"/>
        <v>1030933.22</v>
      </c>
      <c r="BZ20" s="54"/>
      <c r="CB20" s="17"/>
      <c r="CC20" s="79"/>
      <c r="CD20" s="20">
        <f t="shared" si="34"/>
        <v>41578</v>
      </c>
      <c r="CE20" s="78">
        <f t="shared" si="40"/>
        <v>1.6497812303033192</v>
      </c>
      <c r="CF20" s="46">
        <f t="shared" si="35"/>
        <v>1028989.3453406547</v>
      </c>
      <c r="CG20" s="54"/>
      <c r="CI20" s="39"/>
    </row>
    <row r="21" spans="1:87" x14ac:dyDescent="0.25">
      <c r="A21" s="20">
        <v>41608</v>
      </c>
      <c r="B21" s="24">
        <f t="shared" si="36"/>
        <v>6</v>
      </c>
      <c r="C21" s="301">
        <f>'LC (Gross)'!X183</f>
        <v>1.1941041333819051</v>
      </c>
      <c r="D21" s="301">
        <v>-0.47020000000000001</v>
      </c>
      <c r="E21" s="301">
        <f>'CRA (Gross)'!E21</f>
        <v>-0.37441891062188376</v>
      </c>
      <c r="F21" s="301">
        <f>'CRA (Gross)'!F21</f>
        <v>0</v>
      </c>
      <c r="G21" s="39"/>
      <c r="H21" s="20">
        <f t="shared" si="12"/>
        <v>41608</v>
      </c>
      <c r="I21" s="27">
        <v>0.51</v>
      </c>
      <c r="J21" s="46">
        <f t="shared" si="13"/>
        <v>1068405.0414808544</v>
      </c>
      <c r="K21" s="54"/>
      <c r="M21" s="17"/>
      <c r="N21" s="79"/>
      <c r="O21" s="20">
        <f t="shared" si="14"/>
        <v>41608</v>
      </c>
      <c r="P21" s="78">
        <f t="shared" si="37"/>
        <v>0.58622727336004787</v>
      </c>
      <c r="Q21" s="46">
        <f t="shared" si="15"/>
        <v>1053661.7220832796</v>
      </c>
      <c r="R21" s="54"/>
      <c r="T21" s="39"/>
      <c r="U21" s="20">
        <f t="shared" si="16"/>
        <v>41608</v>
      </c>
      <c r="V21" s="27">
        <v>0.22</v>
      </c>
      <c r="W21" s="46">
        <f t="shared" si="17"/>
        <v>1050316.6504452457</v>
      </c>
      <c r="X21" s="54"/>
      <c r="Z21" s="17"/>
      <c r="AA21" s="79"/>
      <c r="AB21" s="20">
        <f t="shared" si="18"/>
        <v>41608</v>
      </c>
      <c r="AC21" s="78">
        <f t="shared" si="38"/>
        <v>0.43416402342857469</v>
      </c>
      <c r="AD21" s="46">
        <f t="shared" si="19"/>
        <v>1041307.7132038479</v>
      </c>
      <c r="AE21" s="54"/>
      <c r="AG21" s="44"/>
      <c r="AH21" s="20">
        <f t="shared" si="20"/>
        <v>41608</v>
      </c>
      <c r="AI21" s="27">
        <v>0.02</v>
      </c>
      <c r="AJ21" s="46">
        <f t="shared" si="21"/>
        <v>1034088.0632520192</v>
      </c>
      <c r="AK21" s="54"/>
      <c r="AM21" s="17"/>
      <c r="AN21" s="79"/>
      <c r="AO21" s="20">
        <f t="shared" si="22"/>
        <v>41608</v>
      </c>
      <c r="AP21" s="78">
        <f t="shared" si="39"/>
        <v>0.23986982796600745</v>
      </c>
      <c r="AQ21" s="46">
        <f t="shared" si="23"/>
        <v>1032380.3111121872</v>
      </c>
      <c r="AR21" s="54"/>
      <c r="AT21" s="39"/>
      <c r="AU21" s="20">
        <f t="shared" si="24"/>
        <v>41608</v>
      </c>
      <c r="AV21" s="27"/>
      <c r="AW21" s="46">
        <f t="shared" si="25"/>
        <v>1000000</v>
      </c>
      <c r="AX21" s="54"/>
      <c r="AZ21" s="17"/>
      <c r="BA21" s="79"/>
      <c r="BB21" s="20">
        <f t="shared" si="26"/>
        <v>41608</v>
      </c>
      <c r="BC21" s="78">
        <f t="shared" si="41"/>
        <v>-0.16619282409712807</v>
      </c>
      <c r="BD21" s="46">
        <f t="shared" si="27"/>
        <v>1007414.2561413115</v>
      </c>
      <c r="BE21" s="54"/>
      <c r="BG21" s="39"/>
      <c r="BH21" s="20">
        <f t="shared" si="28"/>
        <v>41608</v>
      </c>
      <c r="BI21" s="27"/>
      <c r="BJ21" s="46">
        <f t="shared" si="29"/>
        <v>1000000</v>
      </c>
      <c r="BK21" s="54"/>
      <c r="BM21" s="17"/>
      <c r="BN21" s="79"/>
      <c r="BO21" s="20">
        <f t="shared" si="30"/>
        <v>41608</v>
      </c>
      <c r="BP21" s="78"/>
      <c r="BQ21" s="46">
        <f t="shared" si="31"/>
        <v>1000000</v>
      </c>
      <c r="BR21" s="54"/>
      <c r="BV21" s="39"/>
      <c r="BW21" s="20">
        <f t="shared" si="32"/>
        <v>41608</v>
      </c>
      <c r="BX21" s="27">
        <v>0.27</v>
      </c>
      <c r="BY21" s="46">
        <f t="shared" si="33"/>
        <v>1033716.739694</v>
      </c>
      <c r="BZ21" s="54"/>
      <c r="CB21" s="17"/>
      <c r="CC21" s="79"/>
      <c r="CD21" s="20">
        <f t="shared" si="34"/>
        <v>41608</v>
      </c>
      <c r="CE21" s="78">
        <f t="shared" si="40"/>
        <v>8.7806578034534427E-2</v>
      </c>
      <c r="CF21" s="46">
        <f t="shared" si="35"/>
        <v>1029892.8656731383</v>
      </c>
      <c r="CG21" s="54"/>
      <c r="CI21" s="39"/>
    </row>
    <row r="22" spans="1:87" x14ac:dyDescent="0.25">
      <c r="A22" s="20">
        <v>41639</v>
      </c>
      <c r="B22" s="24">
        <f t="shared" si="36"/>
        <v>7</v>
      </c>
      <c r="C22" s="301">
        <f>'LC (Gross)'!X184</f>
        <v>1.1263765636694114</v>
      </c>
      <c r="D22" s="301">
        <v>0.67659999999999998</v>
      </c>
      <c r="E22" s="301">
        <f>'CRA (Gross)'!E22</f>
        <v>-0.56511475626330843</v>
      </c>
      <c r="F22" s="301">
        <f>'CRA (Gross)'!F22</f>
        <v>0</v>
      </c>
      <c r="G22" s="39"/>
      <c r="H22" s="20">
        <f t="shared" si="12"/>
        <v>41639</v>
      </c>
      <c r="I22" s="27">
        <v>1.44</v>
      </c>
      <c r="J22" s="46">
        <f t="shared" si="13"/>
        <v>1083790.0740781787</v>
      </c>
      <c r="K22" s="100">
        <f>(J22-J15)/J15*100</f>
        <v>8.3790074078178733</v>
      </c>
      <c r="L22" s="49">
        <f>(J22/J19-1)*100</f>
        <v>5.4544808991999982</v>
      </c>
      <c r="M22" s="17"/>
      <c r="N22" s="79"/>
      <c r="O22" s="20">
        <f t="shared" si="14"/>
        <v>41639</v>
      </c>
      <c r="P22" s="78">
        <f t="shared" si="37"/>
        <v>0.72099711001817635</v>
      </c>
      <c r="Q22" s="46">
        <f t="shared" si="15"/>
        <v>1061258.5926488678</v>
      </c>
      <c r="R22" s="100">
        <f>(Q22-Q15)/Q15*100</f>
        <v>6.1258592648867749</v>
      </c>
      <c r="S22" s="5">
        <f>(Q22/Q19-1)*100</f>
        <v>4.1701560256611092</v>
      </c>
      <c r="T22" s="39"/>
      <c r="U22" s="20">
        <f t="shared" si="16"/>
        <v>41639</v>
      </c>
      <c r="V22" s="27">
        <v>1.02</v>
      </c>
      <c r="W22" s="46">
        <f t="shared" si="17"/>
        <v>1061029.8802797871</v>
      </c>
      <c r="X22" s="100">
        <f>(W22-W15)/W15*100</f>
        <v>6.1029880279787116</v>
      </c>
      <c r="Y22" s="49">
        <f>(W22/W19-1)*100</f>
        <v>4.0770268319999969</v>
      </c>
      <c r="Z22" s="17"/>
      <c r="AA22" s="79"/>
      <c r="AB22" s="20">
        <f t="shared" si="18"/>
        <v>41639</v>
      </c>
      <c r="AC22" s="78">
        <f t="shared" si="38"/>
        <v>0.48976224021173881</v>
      </c>
      <c r="AD22" s="46">
        <f t="shared" si="19"/>
        <v>1046407.6451875326</v>
      </c>
      <c r="AE22" s="100">
        <f>(AD22-AD15)/AD15*100</f>
        <v>4.6407645187532642</v>
      </c>
      <c r="AF22" s="49">
        <f>(AD22/AD19-1)*100</f>
        <v>3.3317414562612724</v>
      </c>
      <c r="AG22" s="44"/>
      <c r="AH22" s="20">
        <f t="shared" si="20"/>
        <v>41639</v>
      </c>
      <c r="AI22" s="27">
        <v>0.6</v>
      </c>
      <c r="AJ22" s="46">
        <f t="shared" si="21"/>
        <v>1040292.5916315314</v>
      </c>
      <c r="AK22" s="100">
        <f>(AJ22-AJ15)/AJ15*100</f>
        <v>4.029259163153136</v>
      </c>
      <c r="AL22" s="49">
        <f>(AJ22/AJ19-1)*100</f>
        <v>2.8740106879999949</v>
      </c>
      <c r="AM22" s="17"/>
      <c r="AN22" s="79"/>
      <c r="AO22" s="20">
        <f t="shared" si="22"/>
        <v>41639</v>
      </c>
      <c r="AP22" s="78">
        <f t="shared" si="39"/>
        <v>0.26410163259213604</v>
      </c>
      <c r="AQ22" s="46">
        <f t="shared" si="23"/>
        <v>1035106.8443683942</v>
      </c>
      <c r="AR22" s="100">
        <f>(AQ22-AQ15)/AQ15*100</f>
        <v>3.5106844368394228</v>
      </c>
      <c r="AS22" s="5">
        <f>(AQ22/AQ19-1)*100</f>
        <v>2.6030061250303493</v>
      </c>
      <c r="AT22" s="39"/>
      <c r="AU22" s="20">
        <f t="shared" si="24"/>
        <v>41639</v>
      </c>
      <c r="AV22" s="27"/>
      <c r="AW22" s="46">
        <f t="shared" si="25"/>
        <v>1000000</v>
      </c>
      <c r="AX22" s="100">
        <f>(AW22-AW15)/AW15*100</f>
        <v>0</v>
      </c>
      <c r="AY22" s="49">
        <f>(AW22/AW19-1)*100</f>
        <v>0</v>
      </c>
      <c r="AZ22" s="17"/>
      <c r="BA22" s="79"/>
      <c r="BB22" s="20">
        <f t="shared" si="26"/>
        <v>41639</v>
      </c>
      <c r="BC22" s="78">
        <f t="shared" si="41"/>
        <v>-0.24911267301737472</v>
      </c>
      <c r="BD22" s="46">
        <f t="shared" si="27"/>
        <v>1004904.6595594798</v>
      </c>
      <c r="BE22" s="100">
        <f>(BD22-BD15)/BD15*100</f>
        <v>0.49046595594797981</v>
      </c>
      <c r="BF22" s="49">
        <f>(BD22/BD19-1)*100</f>
        <v>0.70574681600827915</v>
      </c>
      <c r="BG22" s="39"/>
      <c r="BH22" s="20">
        <f t="shared" si="28"/>
        <v>41639</v>
      </c>
      <c r="BI22" s="27"/>
      <c r="BJ22" s="46">
        <f t="shared" si="29"/>
        <v>1000000</v>
      </c>
      <c r="BK22" s="100">
        <f>(BJ22-BJ15)/BJ15*100</f>
        <v>0</v>
      </c>
      <c r="BL22" s="49">
        <f>(BJ22/BJ19-1)*100</f>
        <v>0</v>
      </c>
      <c r="BM22" s="17"/>
      <c r="BN22" s="79"/>
      <c r="BO22" s="20">
        <f t="shared" si="30"/>
        <v>41639</v>
      </c>
      <c r="BP22" s="78"/>
      <c r="BQ22" s="46">
        <f t="shared" si="31"/>
        <v>1000000</v>
      </c>
      <c r="BR22" s="100">
        <f>(BQ22-BQ15)/BQ15*100</f>
        <v>0</v>
      </c>
      <c r="BS22" s="49">
        <f>(BQ22/BQ19-1)*100</f>
        <v>0</v>
      </c>
      <c r="BV22" s="39"/>
      <c r="BW22" s="20">
        <f t="shared" si="32"/>
        <v>41639</v>
      </c>
      <c r="BX22" s="27">
        <v>0.44</v>
      </c>
      <c r="BY22" s="46">
        <f t="shared" si="33"/>
        <v>1038265.0933486536</v>
      </c>
      <c r="BZ22" s="100">
        <f>(BY22-BY18)/BY18*100</f>
        <v>3.826509334865364</v>
      </c>
      <c r="CA22" s="49">
        <f>(BY22/BY19-1)*100</f>
        <v>2.413207077200008</v>
      </c>
      <c r="CB22" s="17"/>
      <c r="CC22" s="79"/>
      <c r="CD22" s="20">
        <f t="shared" si="34"/>
        <v>41639</v>
      </c>
      <c r="CE22" s="78">
        <f t="shared" si="40"/>
        <v>3.2866762785698611E-2</v>
      </c>
      <c r="CF22" s="46">
        <f t="shared" si="35"/>
        <v>1030231.358118246</v>
      </c>
      <c r="CG22" s="100">
        <f>(CF22-CF18)/CF18*100</f>
        <v>3.0231358118245963</v>
      </c>
      <c r="CH22" s="49">
        <f>(CF22/CF19-1)*100</f>
        <v>1.7724747525434292</v>
      </c>
      <c r="CI22" s="39"/>
    </row>
    <row r="23" spans="1:87" x14ac:dyDescent="0.25">
      <c r="A23" s="20">
        <v>41670</v>
      </c>
      <c r="B23" s="24">
        <f t="shared" si="36"/>
        <v>8</v>
      </c>
      <c r="C23" s="301">
        <f>'LC (Gross)'!X185</f>
        <v>-2.4884537648391851</v>
      </c>
      <c r="D23" s="301">
        <v>-2.6019000000000001</v>
      </c>
      <c r="E23" s="301">
        <f>'CRA (Gross)'!E23</f>
        <v>1.477538100561135</v>
      </c>
      <c r="F23" s="301">
        <f>'CRA (Gross)'!F23</f>
        <v>0</v>
      </c>
      <c r="G23" s="39"/>
      <c r="H23" s="20">
        <f t="shared" si="12"/>
        <v>41670</v>
      </c>
      <c r="I23" s="27">
        <v>-3.42</v>
      </c>
      <c r="J23" s="46">
        <f t="shared" si="13"/>
        <v>1046724.4535447051</v>
      </c>
      <c r="K23" s="100"/>
      <c r="M23" s="17"/>
      <c r="N23" s="79"/>
      <c r="O23" s="20">
        <f t="shared" si="14"/>
        <v>41670</v>
      </c>
      <c r="P23" s="78">
        <f t="shared" si="37"/>
        <v>-1.758934570661552</v>
      </c>
      <c r="Q23" s="46">
        <f t="shared" si="15"/>
        <v>1042591.7483786505</v>
      </c>
      <c r="T23" s="39"/>
      <c r="U23" s="20">
        <f t="shared" si="16"/>
        <v>41670</v>
      </c>
      <c r="V23" s="27">
        <v>-2.77</v>
      </c>
      <c r="W23" s="46">
        <f t="shared" si="17"/>
        <v>1031639.352596037</v>
      </c>
      <c r="Z23" s="17"/>
      <c r="AA23" s="79"/>
      <c r="AB23" s="20">
        <f t="shared" si="18"/>
        <v>41670</v>
      </c>
      <c r="AC23" s="78">
        <f t="shared" si="38"/>
        <v>-1.1583634790934632</v>
      </c>
      <c r="AD23" s="46">
        <f t="shared" si="19"/>
        <v>1034286.4411832384</v>
      </c>
      <c r="AG23" s="44"/>
      <c r="AH23" s="20">
        <f t="shared" si="20"/>
        <v>41670</v>
      </c>
      <c r="AI23" s="27">
        <v>-1.8399999999999999</v>
      </c>
      <c r="AJ23" s="46">
        <f t="shared" si="21"/>
        <v>1021151.2079455112</v>
      </c>
      <c r="AM23" s="17"/>
      <c r="AN23" s="79"/>
      <c r="AO23" s="20">
        <f t="shared" si="22"/>
        <v>41670</v>
      </c>
      <c r="AP23" s="78">
        <f t="shared" si="39"/>
        <v>-0.6140104824973176</v>
      </c>
      <c r="AQ23" s="46">
        <f t="shared" si="23"/>
        <v>1028751.1798389251</v>
      </c>
      <c r="AT23" s="39"/>
      <c r="AU23" s="20">
        <f t="shared" si="24"/>
        <v>41670</v>
      </c>
      <c r="AV23" s="27"/>
      <c r="AW23" s="46">
        <f t="shared" si="25"/>
        <v>1000000</v>
      </c>
      <c r="AZ23" s="17"/>
      <c r="BA23" s="79"/>
      <c r="BB23" s="20">
        <f t="shared" si="26"/>
        <v>41670</v>
      </c>
      <c r="BC23" s="78">
        <f t="shared" si="41"/>
        <v>0.65533629390887582</v>
      </c>
      <c r="BD23" s="46">
        <f t="shared" si="27"/>
        <v>1011490.1645127545</v>
      </c>
      <c r="BG23" s="39"/>
      <c r="BH23" s="20">
        <f t="shared" si="28"/>
        <v>41670</v>
      </c>
      <c r="BI23" s="27"/>
      <c r="BJ23" s="46">
        <f t="shared" si="29"/>
        <v>1000000</v>
      </c>
      <c r="BM23" s="17"/>
      <c r="BN23" s="79"/>
      <c r="BO23" s="20">
        <f t="shared" si="30"/>
        <v>41670</v>
      </c>
      <c r="BP23" s="78"/>
      <c r="BQ23" s="46">
        <f t="shared" si="31"/>
        <v>1000000</v>
      </c>
      <c r="BV23" s="39"/>
      <c r="BW23" s="20">
        <f t="shared" si="32"/>
        <v>41670</v>
      </c>
      <c r="BX23" s="27">
        <v>-0.72</v>
      </c>
      <c r="BY23" s="46">
        <f t="shared" si="33"/>
        <v>1030789.5846765434</v>
      </c>
      <c r="CB23" s="17"/>
      <c r="CC23" s="79"/>
      <c r="CD23" s="20">
        <f t="shared" si="34"/>
        <v>41670</v>
      </c>
      <c r="CE23" s="78">
        <f t="shared" si="40"/>
        <v>-1.3439390929228745E-2</v>
      </c>
      <c r="CF23" s="46">
        <f t="shared" si="35"/>
        <v>1030092.901298553</v>
      </c>
      <c r="CI23" s="39"/>
    </row>
    <row r="24" spans="1:87" x14ac:dyDescent="0.25">
      <c r="A24" s="20">
        <v>41698</v>
      </c>
      <c r="B24" s="24">
        <f t="shared" si="36"/>
        <v>9</v>
      </c>
      <c r="C24" s="301">
        <f>'LC (Gross)'!X186</f>
        <v>3.7290898281286364</v>
      </c>
      <c r="D24" s="301">
        <v>4.8772000000000002</v>
      </c>
      <c r="E24" s="301">
        <f>'CRA (Gross)'!E24</f>
        <v>0.5316944420207661</v>
      </c>
      <c r="F24" s="301">
        <f>'CRA (Gross)'!F24</f>
        <v>0</v>
      </c>
      <c r="G24" s="39"/>
      <c r="H24" s="20">
        <f t="shared" si="12"/>
        <v>41698</v>
      </c>
      <c r="I24" s="27">
        <v>3.38</v>
      </c>
      <c r="J24" s="46">
        <f t="shared" si="13"/>
        <v>1082103.740074516</v>
      </c>
      <c r="M24" s="17"/>
      <c r="N24" s="79"/>
      <c r="O24" s="20">
        <f t="shared" si="14"/>
        <v>41698</v>
      </c>
      <c r="P24" s="78">
        <f t="shared" si="37"/>
        <v>2.7825794054707504</v>
      </c>
      <c r="Q24" s="46">
        <f t="shared" si="15"/>
        <v>1071602.6916521722</v>
      </c>
      <c r="T24" s="39"/>
      <c r="U24" s="20">
        <f t="shared" si="16"/>
        <v>41698</v>
      </c>
      <c r="V24" s="27">
        <v>3</v>
      </c>
      <c r="W24" s="46">
        <f t="shared" si="17"/>
        <v>1062588.533173918</v>
      </c>
      <c r="X24" s="54"/>
      <c r="Z24" s="17"/>
      <c r="AA24" s="79"/>
      <c r="AB24" s="20">
        <f t="shared" si="18"/>
        <v>41698</v>
      </c>
      <c r="AC24" s="78">
        <f t="shared" si="38"/>
        <v>2.2455645889610012</v>
      </c>
      <c r="AD24" s="46">
        <f t="shared" si="19"/>
        <v>1057512.0112548741</v>
      </c>
      <c r="AE24" s="54"/>
      <c r="AG24" s="44"/>
      <c r="AH24" s="20">
        <f t="shared" si="20"/>
        <v>41698</v>
      </c>
      <c r="AI24" s="27">
        <v>2.2999999999999998</v>
      </c>
      <c r="AJ24" s="46">
        <f t="shared" si="21"/>
        <v>1044637.685728258</v>
      </c>
      <c r="AK24" s="54"/>
      <c r="AM24" s="17"/>
      <c r="AN24" s="79"/>
      <c r="AO24" s="20">
        <f t="shared" si="22"/>
        <v>41698</v>
      </c>
      <c r="AP24" s="78">
        <f t="shared" si="39"/>
        <v>1.9789944945522908</v>
      </c>
      <c r="AQ24" s="46">
        <f t="shared" si="23"/>
        <v>1049110.1090505791</v>
      </c>
      <c r="AR24" s="54"/>
      <c r="AT24" s="39"/>
      <c r="AU24" s="20">
        <f t="shared" si="24"/>
        <v>41698</v>
      </c>
      <c r="AV24" s="27"/>
      <c r="AW24" s="46">
        <f t="shared" si="25"/>
        <v>1000000</v>
      </c>
      <c r="AX24" s="54"/>
      <c r="AZ24" s="17"/>
      <c r="BA24" s="79"/>
      <c r="BB24" s="20">
        <f t="shared" si="26"/>
        <v>41698</v>
      </c>
      <c r="BC24" s="78">
        <f t="shared" si="41"/>
        <v>0.98895509222739997</v>
      </c>
      <c r="BD24" s="46">
        <f t="shared" si="27"/>
        <v>1021493.3480020827</v>
      </c>
      <c r="BE24" s="54"/>
      <c r="BG24" s="39"/>
      <c r="BH24" s="20">
        <f t="shared" si="28"/>
        <v>41698</v>
      </c>
      <c r="BI24" s="27"/>
      <c r="BJ24" s="46">
        <f t="shared" si="29"/>
        <v>1000000</v>
      </c>
      <c r="BK24" s="54"/>
      <c r="BM24" s="17"/>
      <c r="BN24" s="79"/>
      <c r="BO24" s="20">
        <f t="shared" si="30"/>
        <v>41698</v>
      </c>
      <c r="BP24" s="78"/>
      <c r="BQ24" s="46">
        <f t="shared" si="31"/>
        <v>1000000</v>
      </c>
      <c r="BR24" s="54"/>
      <c r="BV24" s="39"/>
      <c r="BW24" s="20">
        <f t="shared" si="32"/>
        <v>41698</v>
      </c>
      <c r="BX24" s="27">
        <v>1.5599999999999998</v>
      </c>
      <c r="BY24" s="46">
        <f t="shared" si="33"/>
        <v>1046869.9021974974</v>
      </c>
      <c r="BZ24" s="54"/>
      <c r="CB24" s="17"/>
      <c r="CC24" s="79"/>
      <c r="CD24" s="20">
        <f t="shared" si="34"/>
        <v>41698</v>
      </c>
      <c r="CE24" s="78">
        <f t="shared" si="40"/>
        <v>1.4419796780425422</v>
      </c>
      <c r="CF24" s="46">
        <f t="shared" si="35"/>
        <v>1044946.631600237</v>
      </c>
      <c r="CG24" s="54"/>
      <c r="CI24" s="39"/>
    </row>
    <row r="25" spans="1:87" x14ac:dyDescent="0.25">
      <c r="A25" s="20">
        <v>41729</v>
      </c>
      <c r="B25" s="24">
        <f t="shared" si="36"/>
        <v>10</v>
      </c>
      <c r="C25" s="301">
        <f>'LC (Gross)'!X187</f>
        <v>2.1060425250211288</v>
      </c>
      <c r="D25" s="301">
        <v>0.29720000000000002</v>
      </c>
      <c r="E25" s="301">
        <f>'CRA (Gross)'!E25</f>
        <v>-0.17032725615809516</v>
      </c>
      <c r="F25" s="301">
        <f>'CRA (Gross)'!F25</f>
        <v>0</v>
      </c>
      <c r="G25" s="39"/>
      <c r="H25" s="20">
        <f t="shared" si="12"/>
        <v>41729</v>
      </c>
      <c r="I25" s="27">
        <v>1.4500000000000002</v>
      </c>
      <c r="J25" s="46">
        <f t="shared" si="13"/>
        <v>1097794.2443055965</v>
      </c>
      <c r="K25" s="54"/>
      <c r="L25" s="49">
        <f>(J25/J22-1)*100</f>
        <v>1.2921478580000034</v>
      </c>
      <c r="M25" s="17"/>
      <c r="N25" s="79"/>
      <c r="O25" s="20">
        <f t="shared" si="14"/>
        <v>41729</v>
      </c>
      <c r="P25" s="78">
        <f t="shared" si="37"/>
        <v>1.202903388761621</v>
      </c>
      <c r="Q25" s="46">
        <f t="shared" si="15"/>
        <v>1084493.036744117</v>
      </c>
      <c r="R25" s="54"/>
      <c r="S25" s="5">
        <f>(Q25/Q22-1)*100</f>
        <v>2.1893291848178897</v>
      </c>
      <c r="T25" s="39"/>
      <c r="U25" s="20">
        <f t="shared" si="16"/>
        <v>41729</v>
      </c>
      <c r="V25" s="27">
        <v>1.1900000000000002</v>
      </c>
      <c r="W25" s="46">
        <f t="shared" si="17"/>
        <v>1075233.3367186876</v>
      </c>
      <c r="Y25" s="49">
        <f>(W25/W22-1)*100</f>
        <v>1.3386481099999736</v>
      </c>
      <c r="Z25" s="17"/>
      <c r="AA25" s="79"/>
      <c r="AB25" s="20">
        <f t="shared" si="18"/>
        <v>41729</v>
      </c>
      <c r="AC25" s="78">
        <f t="shared" si="38"/>
        <v>0.95189004783579367</v>
      </c>
      <c r="AD25" s="46">
        <f t="shared" si="19"/>
        <v>1067578.3628446774</v>
      </c>
      <c r="AF25" s="49">
        <f>(AD25/AD22-1)*100</f>
        <v>2.0231807130337565</v>
      </c>
      <c r="AG25" s="44"/>
      <c r="AH25" s="20">
        <f t="shared" si="20"/>
        <v>41729</v>
      </c>
      <c r="AI25" s="27">
        <v>0.77999999999999992</v>
      </c>
      <c r="AJ25" s="46">
        <f t="shared" si="21"/>
        <v>1052785.8596769385</v>
      </c>
      <c r="AL25" s="49">
        <f>(AJ25/AJ22-1)*100</f>
        <v>1.2009379040000212</v>
      </c>
      <c r="AM25" s="17"/>
      <c r="AN25" s="79"/>
      <c r="AO25" s="20">
        <f t="shared" si="22"/>
        <v>41729</v>
      </c>
      <c r="AP25" s="78">
        <f t="shared" si="39"/>
        <v>0.70722034410206169</v>
      </c>
      <c r="AQ25" s="46">
        <f t="shared" si="23"/>
        <v>1056529.6291738162</v>
      </c>
      <c r="AS25" s="5">
        <f>(AQ25/AQ22-1)*100</f>
        <v>2.0696206311430432</v>
      </c>
      <c r="AT25" s="39"/>
      <c r="AU25" s="20">
        <f t="shared" si="24"/>
        <v>41729</v>
      </c>
      <c r="AV25" s="27"/>
      <c r="AW25" s="46">
        <f t="shared" si="25"/>
        <v>1000000</v>
      </c>
      <c r="AY25" s="49">
        <f>(AW25/AW22-1)*100</f>
        <v>0</v>
      </c>
      <c r="AZ25" s="17"/>
      <c r="BA25" s="79"/>
      <c r="BB25" s="20">
        <f t="shared" si="26"/>
        <v>41729</v>
      </c>
      <c r="BC25" s="78">
        <f t="shared" si="41"/>
        <v>0.10623517319144631</v>
      </c>
      <c r="BD25" s="46">
        <f t="shared" si="27"/>
        <v>1022578.5332294718</v>
      </c>
      <c r="BF25" s="49">
        <f>(BD25/BD22-1)*100</f>
        <v>1.7587612418614507</v>
      </c>
      <c r="BG25" s="39"/>
      <c r="BH25" s="20">
        <f t="shared" si="28"/>
        <v>41729</v>
      </c>
      <c r="BI25" s="27"/>
      <c r="BJ25" s="46">
        <f t="shared" si="29"/>
        <v>1000000</v>
      </c>
      <c r="BL25" s="49">
        <f>(BJ25/BJ22-1)*100</f>
        <v>0</v>
      </c>
      <c r="BM25" s="17"/>
      <c r="BN25" s="79"/>
      <c r="BO25" s="20">
        <f t="shared" si="30"/>
        <v>41729</v>
      </c>
      <c r="BP25" s="78"/>
      <c r="BQ25" s="46">
        <f t="shared" si="31"/>
        <v>1000000</v>
      </c>
      <c r="BS25" s="49">
        <f>(BQ25/BQ22-1)*100</f>
        <v>0</v>
      </c>
      <c r="BV25" s="39"/>
      <c r="BW25" s="20">
        <f t="shared" si="32"/>
        <v>41729</v>
      </c>
      <c r="BX25" s="27">
        <v>0.45999999999999996</v>
      </c>
      <c r="BY25" s="46">
        <f t="shared" si="33"/>
        <v>1051685.503747606</v>
      </c>
      <c r="CA25" s="49">
        <f>(BY25/BY22-1)*100</f>
        <v>1.2925803327999974</v>
      </c>
      <c r="CB25" s="17"/>
      <c r="CC25" s="79"/>
      <c r="CD25" s="20">
        <f t="shared" si="34"/>
        <v>41729</v>
      </c>
      <c r="CE25" s="78">
        <f t="shared" si="40"/>
        <v>0.45620700317623458</v>
      </c>
      <c r="CF25" s="46">
        <f t="shared" si="35"/>
        <v>1049713.7513130514</v>
      </c>
      <c r="CH25" s="49">
        <f>(CF25/CF22-1)*100</f>
        <v>1.8910697137379584</v>
      </c>
      <c r="CI25" s="39"/>
    </row>
    <row r="26" spans="1:87" x14ac:dyDescent="0.25">
      <c r="A26" s="20">
        <v>41759</v>
      </c>
      <c r="B26" s="24">
        <f t="shared" si="36"/>
        <v>11</v>
      </c>
      <c r="C26" s="301">
        <f>'LC (Gross)'!X188</f>
        <v>1.9478624953933084</v>
      </c>
      <c r="D26" s="301">
        <v>2.2120000000000002</v>
      </c>
      <c r="E26" s="301">
        <f>'CRA (Gross)'!E26</f>
        <v>0.84385205148965703</v>
      </c>
      <c r="F26" s="301">
        <f>'CRA (Gross)'!F26</f>
        <v>0</v>
      </c>
      <c r="G26" s="39"/>
      <c r="H26" s="20">
        <f t="shared" si="12"/>
        <v>41759</v>
      </c>
      <c r="I26" s="27">
        <v>0.62</v>
      </c>
      <c r="J26" s="46">
        <f t="shared" si="13"/>
        <v>1104600.5686202911</v>
      </c>
      <c r="M26" s="17"/>
      <c r="N26" s="79"/>
      <c r="O26" s="20">
        <f t="shared" si="14"/>
        <v>41759</v>
      </c>
      <c r="P26" s="78">
        <f t="shared" si="37"/>
        <v>1.4031243724663198</v>
      </c>
      <c r="Q26" s="46">
        <f t="shared" si="15"/>
        <v>1099709.8228603739</v>
      </c>
      <c r="T26" s="39"/>
      <c r="U26" s="20">
        <f t="shared" si="16"/>
        <v>41759</v>
      </c>
      <c r="V26" s="27">
        <v>0.52</v>
      </c>
      <c r="W26" s="46">
        <f t="shared" si="17"/>
        <v>1080824.5500696248</v>
      </c>
      <c r="Z26" s="17"/>
      <c r="AA26" s="79"/>
      <c r="AB26" s="20">
        <f t="shared" si="18"/>
        <v>41759</v>
      </c>
      <c r="AC26" s="78">
        <f t="shared" si="38"/>
        <v>1.2243159306504372</v>
      </c>
      <c r="AD26" s="46">
        <f t="shared" si="19"/>
        <v>1080648.8948131618</v>
      </c>
      <c r="AG26" s="44"/>
      <c r="AH26" s="20">
        <f t="shared" si="20"/>
        <v>41759</v>
      </c>
      <c r="AI26" s="27">
        <v>0.38999999999999996</v>
      </c>
      <c r="AJ26" s="46">
        <f t="shared" si="21"/>
        <v>1056891.7245296785</v>
      </c>
      <c r="AM26" s="17"/>
      <c r="AN26" s="79"/>
      <c r="AO26" s="20">
        <f t="shared" si="22"/>
        <v>41759</v>
      </c>
      <c r="AP26" s="78">
        <f t="shared" si="39"/>
        <v>1.1983000914090378</v>
      </c>
      <c r="AQ26" s="46">
        <f t="shared" si="23"/>
        <v>1069190.0246859696</v>
      </c>
      <c r="AT26" s="39"/>
      <c r="AU26" s="20">
        <f t="shared" si="24"/>
        <v>41759</v>
      </c>
      <c r="AV26" s="27"/>
      <c r="AW26" s="46">
        <f t="shared" si="25"/>
        <v>1000000</v>
      </c>
      <c r="AZ26" s="17"/>
      <c r="BA26" s="79"/>
      <c r="BB26" s="20">
        <f t="shared" si="26"/>
        <v>41759</v>
      </c>
      <c r="BC26" s="78">
        <f t="shared" si="41"/>
        <v>0.8960826855820907</v>
      </c>
      <c r="BD26" s="46">
        <f t="shared" si="27"/>
        <v>1031741.6824122204</v>
      </c>
      <c r="BG26" s="39"/>
      <c r="BH26" s="20">
        <f t="shared" si="28"/>
        <v>41759</v>
      </c>
      <c r="BI26" s="27"/>
      <c r="BJ26" s="46">
        <f t="shared" si="29"/>
        <v>1000000</v>
      </c>
      <c r="BM26" s="17"/>
      <c r="BN26" s="79"/>
      <c r="BO26" s="20">
        <f t="shared" si="30"/>
        <v>41759</v>
      </c>
      <c r="BP26" s="78"/>
      <c r="BQ26" s="46">
        <f t="shared" si="31"/>
        <v>1000000</v>
      </c>
      <c r="BV26" s="39"/>
      <c r="BW26" s="20">
        <f t="shared" si="32"/>
        <v>41759</v>
      </c>
      <c r="BX26" s="27">
        <v>0.25</v>
      </c>
      <c r="BY26" s="46">
        <f t="shared" si="33"/>
        <v>1054314.7175069749</v>
      </c>
      <c r="CB26" s="17"/>
      <c r="CC26" s="79"/>
      <c r="CD26" s="20">
        <f t="shared" si="34"/>
        <v>41759</v>
      </c>
      <c r="CE26" s="78">
        <f t="shared" si="40"/>
        <v>1.0194916495931556</v>
      </c>
      <c r="CF26" s="46">
        <f t="shared" si="35"/>
        <v>1060415.495352319</v>
      </c>
      <c r="CI26" s="39"/>
    </row>
    <row r="27" spans="1:87" x14ac:dyDescent="0.25">
      <c r="A27" s="20">
        <v>41790</v>
      </c>
      <c r="B27" s="24">
        <f t="shared" si="36"/>
        <v>12</v>
      </c>
      <c r="C27" s="301">
        <f>'LC (Gross)'!X189</f>
        <v>1.0427257307489917</v>
      </c>
      <c r="D27" s="301">
        <v>2.306</v>
      </c>
      <c r="E27" s="301">
        <f>'CRA (Gross)'!E27</f>
        <v>1.1385311708604926</v>
      </c>
      <c r="F27" s="301">
        <f>'CRA (Gross)'!F27</f>
        <v>0</v>
      </c>
      <c r="G27" s="39"/>
      <c r="H27" s="20">
        <f t="shared" si="12"/>
        <v>41790</v>
      </c>
      <c r="I27" s="27">
        <v>1.1900000000000002</v>
      </c>
      <c r="J27" s="46">
        <f t="shared" si="13"/>
        <v>1117745.3153868725</v>
      </c>
      <c r="M27" s="17"/>
      <c r="N27" s="79"/>
      <c r="O27" s="20">
        <f t="shared" si="14"/>
        <v>41790</v>
      </c>
      <c r="P27" s="78">
        <f t="shared" si="37"/>
        <v>0.91939915191194543</v>
      </c>
      <c r="Q27" s="46">
        <f t="shared" si="15"/>
        <v>1109820.5456452444</v>
      </c>
      <c r="T27" s="39"/>
      <c r="U27" s="20">
        <f t="shared" si="16"/>
        <v>41790</v>
      </c>
      <c r="V27" s="27">
        <v>1.1199999999999999</v>
      </c>
      <c r="W27" s="46">
        <f t="shared" si="17"/>
        <v>1092929.7850304046</v>
      </c>
      <c r="X27" s="54"/>
      <c r="Z27" s="17"/>
      <c r="AA27" s="79"/>
      <c r="AB27" s="20">
        <f t="shared" si="18"/>
        <v>41790</v>
      </c>
      <c r="AC27" s="78">
        <f t="shared" si="38"/>
        <v>0.87060625446612028</v>
      </c>
      <c r="AD27" s="46">
        <f t="shared" si="19"/>
        <v>1090057.0916802243</v>
      </c>
      <c r="AE27" s="54"/>
      <c r="AG27" s="44"/>
      <c r="AH27" s="20">
        <f t="shared" si="20"/>
        <v>41790</v>
      </c>
      <c r="AI27" s="27">
        <v>1.03</v>
      </c>
      <c r="AJ27" s="46">
        <f t="shared" si="21"/>
        <v>1067777.709292334</v>
      </c>
      <c r="AK27" s="54"/>
      <c r="AM27" s="17"/>
      <c r="AN27" s="79"/>
      <c r="AO27" s="20">
        <f t="shared" si="22"/>
        <v>41790</v>
      </c>
      <c r="AP27" s="78">
        <f t="shared" si="39"/>
        <v>0.9940399155633195</v>
      </c>
      <c r="AQ27" s="46">
        <f t="shared" si="23"/>
        <v>1079818.2003045694</v>
      </c>
      <c r="AR27" s="54"/>
      <c r="AT27" s="39"/>
      <c r="AU27" s="20">
        <f t="shared" si="24"/>
        <v>41790</v>
      </c>
      <c r="AV27" s="27"/>
      <c r="AW27" s="46">
        <f t="shared" si="25"/>
        <v>1000000</v>
      </c>
      <c r="AX27" s="54"/>
      <c r="AZ27" s="17"/>
      <c r="BA27" s="79"/>
      <c r="BB27" s="20">
        <f t="shared" si="26"/>
        <v>41790</v>
      </c>
      <c r="BC27" s="78">
        <f t="shared" si="41"/>
        <v>1.0165443926772439</v>
      </c>
      <c r="BD27" s="46">
        <f t="shared" si="27"/>
        <v>1042229.7946316957</v>
      </c>
      <c r="BE27" s="54"/>
      <c r="BG27" s="39"/>
      <c r="BH27" s="20">
        <f t="shared" si="28"/>
        <v>41790</v>
      </c>
      <c r="BI27" s="27"/>
      <c r="BJ27" s="46">
        <f t="shared" si="29"/>
        <v>1000000</v>
      </c>
      <c r="BK27" s="54"/>
      <c r="BM27" s="17"/>
      <c r="BN27" s="79"/>
      <c r="BO27" s="20">
        <f t="shared" si="30"/>
        <v>41790</v>
      </c>
      <c r="BP27" s="78"/>
      <c r="BQ27" s="46">
        <f t="shared" si="31"/>
        <v>1000000</v>
      </c>
      <c r="BR27" s="54"/>
      <c r="BV27" s="39"/>
      <c r="BW27" s="20">
        <f t="shared" si="32"/>
        <v>41790</v>
      </c>
      <c r="BX27" s="27">
        <v>0.96</v>
      </c>
      <c r="BY27" s="46">
        <f t="shared" si="33"/>
        <v>1064436.1387950419</v>
      </c>
      <c r="BZ27" s="54"/>
      <c r="CB27" s="17"/>
      <c r="CC27" s="79"/>
      <c r="CD27" s="20">
        <f t="shared" si="34"/>
        <v>41790</v>
      </c>
      <c r="CE27" s="78">
        <f t="shared" si="40"/>
        <v>0.94524701811749423</v>
      </c>
      <c r="CF27" s="46">
        <f t="shared" si="35"/>
        <v>1070439.0412017927</v>
      </c>
      <c r="CG27" s="54"/>
      <c r="CI27" s="39"/>
    </row>
    <row r="28" spans="1:87" x14ac:dyDescent="0.25">
      <c r="A28" s="20">
        <v>41820</v>
      </c>
      <c r="B28" s="24">
        <f t="shared" si="36"/>
        <v>13</v>
      </c>
      <c r="C28" s="301">
        <f>'LC (Gross)'!X190</f>
        <v>2.1555243800838326</v>
      </c>
      <c r="D28" s="301">
        <v>1.5253999999999999</v>
      </c>
      <c r="E28" s="301">
        <f>'CRA (Gross)'!E28</f>
        <v>5.1677383952309086E-2</v>
      </c>
      <c r="F28" s="301">
        <f>'CRA (Gross)'!F28</f>
        <v>0</v>
      </c>
      <c r="G28" s="39"/>
      <c r="H28" s="20">
        <f t="shared" si="12"/>
        <v>41820</v>
      </c>
      <c r="I28" s="27">
        <v>1.1499999999999999</v>
      </c>
      <c r="J28" s="46">
        <f t="shared" si="13"/>
        <v>1130599.3865138215</v>
      </c>
      <c r="K28" s="54"/>
      <c r="L28" s="49">
        <f>(J28/J25-1)*100</f>
        <v>2.9882778469999982</v>
      </c>
      <c r="M28" s="17"/>
      <c r="N28" s="79"/>
      <c r="O28" s="20">
        <f t="shared" si="14"/>
        <v>41820</v>
      </c>
      <c r="P28" s="78">
        <f t="shared" si="37"/>
        <v>1.414348409046108</v>
      </c>
      <c r="Q28" s="46">
        <f t="shared" si="15"/>
        <v>1125517.2748758448</v>
      </c>
      <c r="R28" s="54"/>
      <c r="S28" s="5">
        <f>(Q28/Q25-1)*100</f>
        <v>3.7828032769017472</v>
      </c>
      <c r="T28" s="39"/>
      <c r="U28" s="20">
        <f t="shared" si="16"/>
        <v>41820</v>
      </c>
      <c r="V28" s="27">
        <v>0.95</v>
      </c>
      <c r="W28" s="46">
        <f t="shared" si="17"/>
        <v>1103312.6179881934</v>
      </c>
      <c r="Y28" s="49">
        <f>(W28/W25-1)*100</f>
        <v>2.6114593279999987</v>
      </c>
      <c r="Z28" s="17"/>
      <c r="AA28" s="79"/>
      <c r="AB28" s="20">
        <f t="shared" si="18"/>
        <v>41820</v>
      </c>
      <c r="AC28" s="78">
        <f t="shared" si="38"/>
        <v>1.130277578630571</v>
      </c>
      <c r="AD28" s="46">
        <f t="shared" si="19"/>
        <v>1102377.7625817584</v>
      </c>
      <c r="AF28" s="49">
        <f>(AD28/AD25-1)*100</f>
        <v>3.2596576465220073</v>
      </c>
      <c r="AG28" s="44"/>
      <c r="AH28" s="20">
        <f t="shared" si="20"/>
        <v>41820</v>
      </c>
      <c r="AI28" s="27">
        <v>0.73</v>
      </c>
      <c r="AJ28" s="46">
        <f t="shared" si="21"/>
        <v>1075572.4865701681</v>
      </c>
      <c r="AL28" s="49">
        <f>(AJ28/AJ25-1)*100</f>
        <v>2.1644123240999846</v>
      </c>
      <c r="AM28" s="17"/>
      <c r="AN28" s="79"/>
      <c r="AO28" s="20">
        <f t="shared" si="22"/>
        <v>41820</v>
      </c>
      <c r="AP28" s="78">
        <f t="shared" si="39"/>
        <v>0.92506061741264956</v>
      </c>
      <c r="AQ28" s="46">
        <f t="shared" si="23"/>
        <v>1089807.1732152412</v>
      </c>
      <c r="AS28" s="5">
        <f>(AQ28/AQ25-1)*100</f>
        <v>3.1497028689528861</v>
      </c>
      <c r="AT28" s="39"/>
      <c r="AU28" s="20">
        <f t="shared" si="24"/>
        <v>41820</v>
      </c>
      <c r="AV28" s="27"/>
      <c r="AW28" s="46">
        <f t="shared" si="25"/>
        <v>1000000</v>
      </c>
      <c r="AY28" s="49">
        <f>(AW28/AW25-1)*100</f>
        <v>0</v>
      </c>
      <c r="AZ28" s="17"/>
      <c r="BA28" s="79"/>
      <c r="BB28" s="20">
        <f t="shared" si="26"/>
        <v>41820</v>
      </c>
      <c r="BC28" s="78">
        <f t="shared" si="41"/>
        <v>0.32799660677499964</v>
      </c>
      <c r="BD28" s="46">
        <f t="shared" si="27"/>
        <v>1045648.2729928858</v>
      </c>
      <c r="BF28" s="49">
        <f>(BD28/BD25-1)*100</f>
        <v>2.2560359927130458</v>
      </c>
      <c r="BG28" s="39"/>
      <c r="BH28" s="20">
        <f t="shared" si="28"/>
        <v>41820</v>
      </c>
      <c r="BI28" s="27"/>
      <c r="BJ28" s="46">
        <f t="shared" si="29"/>
        <v>1000000</v>
      </c>
      <c r="BL28" s="49">
        <f>(BJ28/BJ25-1)*100</f>
        <v>0</v>
      </c>
      <c r="BM28" s="17"/>
      <c r="BN28" s="79"/>
      <c r="BO28" s="20">
        <f t="shared" si="30"/>
        <v>41820</v>
      </c>
      <c r="BP28" s="78"/>
      <c r="BQ28" s="46">
        <f t="shared" si="31"/>
        <v>1000000</v>
      </c>
      <c r="BS28" s="49">
        <f>(BQ28/BQ25-1)*100</f>
        <v>0</v>
      </c>
      <c r="BV28" s="39"/>
      <c r="BW28" s="20">
        <f t="shared" si="32"/>
        <v>41820</v>
      </c>
      <c r="BX28" s="27">
        <v>0.5</v>
      </c>
      <c r="BY28" s="46">
        <f t="shared" si="33"/>
        <v>1069758.3194890171</v>
      </c>
      <c r="CA28" s="49">
        <f>(BY28/BY25-1)*100</f>
        <v>1.7184620000000095</v>
      </c>
      <c r="CB28" s="17"/>
      <c r="CC28" s="79"/>
      <c r="CD28" s="20">
        <f t="shared" si="34"/>
        <v>41820</v>
      </c>
      <c r="CE28" s="78">
        <f t="shared" si="40"/>
        <v>0.64098978699711273</v>
      </c>
      <c r="CF28" s="46">
        <f t="shared" si="35"/>
        <v>1077300.446131926</v>
      </c>
      <c r="CH28" s="49">
        <f>(CF28/CF25-1)*100</f>
        <v>2.6280207136819334</v>
      </c>
      <c r="CI28" s="39"/>
    </row>
    <row r="29" spans="1:87" x14ac:dyDescent="0.25">
      <c r="A29" s="20">
        <v>41851</v>
      </c>
      <c r="B29" s="24">
        <f t="shared" si="36"/>
        <v>14</v>
      </c>
      <c r="C29" s="301">
        <f>'LC (Gross)'!X191</f>
        <v>-3.8000697186124377</v>
      </c>
      <c r="D29" s="301">
        <v>-0.43859999999999999</v>
      </c>
      <c r="E29" s="301">
        <f>'CRA (Gross)'!E29</f>
        <v>-0.25079872204473036</v>
      </c>
      <c r="F29" s="301">
        <f>'CRA (Gross)'!F29</f>
        <v>0</v>
      </c>
      <c r="G29" s="39"/>
      <c r="H29" s="20">
        <f t="shared" si="12"/>
        <v>41851</v>
      </c>
      <c r="I29" s="27">
        <v>-1.25</v>
      </c>
      <c r="J29" s="46">
        <f t="shared" si="13"/>
        <v>1116466.8941823987</v>
      </c>
      <c r="M29" s="17"/>
      <c r="N29" s="79"/>
      <c r="O29" s="20">
        <f t="shared" si="14"/>
        <v>41851</v>
      </c>
      <c r="P29" s="78">
        <f t="shared" si="37"/>
        <v>-2.1558283452368405</v>
      </c>
      <c r="Q29" s="46">
        <f t="shared" si="15"/>
        <v>1101253.0544335342</v>
      </c>
      <c r="T29" s="39"/>
      <c r="U29" s="20">
        <f t="shared" si="16"/>
        <v>41851</v>
      </c>
      <c r="V29" s="27">
        <v>-1.17</v>
      </c>
      <c r="W29" s="46">
        <f t="shared" si="17"/>
        <v>1090403.8603577316</v>
      </c>
      <c r="X29" s="54"/>
      <c r="Z29" s="17"/>
      <c r="AA29" s="79"/>
      <c r="AB29" s="20">
        <f t="shared" si="18"/>
        <v>41851</v>
      </c>
      <c r="AC29" s="78">
        <f t="shared" si="38"/>
        <v>-1.7915111816823066</v>
      </c>
      <c r="AD29" s="46">
        <f t="shared" si="19"/>
        <v>1082628.5417007271</v>
      </c>
      <c r="AE29" s="54"/>
      <c r="AG29" s="44"/>
      <c r="AH29" s="20">
        <f t="shared" si="20"/>
        <v>41851</v>
      </c>
      <c r="AI29" s="27">
        <v>-1.06</v>
      </c>
      <c r="AJ29" s="46">
        <f t="shared" si="21"/>
        <v>1064171.4182125244</v>
      </c>
      <c r="AK29" s="54"/>
      <c r="AM29" s="17"/>
      <c r="AN29" s="79"/>
      <c r="AO29" s="20">
        <f t="shared" si="22"/>
        <v>41851</v>
      </c>
      <c r="AP29" s="78">
        <f t="shared" si="39"/>
        <v>-1.4616639542300087</v>
      </c>
      <c r="AQ29" s="46">
        <f t="shared" si="23"/>
        <v>1073877.854593741</v>
      </c>
      <c r="AR29" s="54"/>
      <c r="AT29" s="39"/>
      <c r="AU29" s="20">
        <f t="shared" si="24"/>
        <v>41851</v>
      </c>
      <c r="AV29" s="27"/>
      <c r="AW29" s="46">
        <f t="shared" si="25"/>
        <v>1000000</v>
      </c>
      <c r="AX29" s="54"/>
      <c r="AZ29" s="17"/>
      <c r="BA29" s="79"/>
      <c r="BB29" s="20">
        <f t="shared" si="26"/>
        <v>41851</v>
      </c>
      <c r="BC29" s="78">
        <f t="shared" si="41"/>
        <v>-0.57749607729255503</v>
      </c>
      <c r="BD29" s="46">
        <f t="shared" si="27"/>
        <v>1039609.6952340745</v>
      </c>
      <c r="BE29" s="54"/>
      <c r="BG29" s="39"/>
      <c r="BH29" s="20">
        <f t="shared" si="28"/>
        <v>41851</v>
      </c>
      <c r="BI29" s="27"/>
      <c r="BJ29" s="46">
        <f t="shared" si="29"/>
        <v>1000000</v>
      </c>
      <c r="BK29" s="54"/>
      <c r="BM29" s="17"/>
      <c r="BN29" s="79"/>
      <c r="BO29" s="20">
        <f t="shared" si="30"/>
        <v>41851</v>
      </c>
      <c r="BP29" s="78"/>
      <c r="BQ29" s="46">
        <f t="shared" si="31"/>
        <v>1000000</v>
      </c>
      <c r="BR29" s="54"/>
      <c r="BV29" s="39"/>
      <c r="BW29" s="20">
        <f t="shared" si="32"/>
        <v>41851</v>
      </c>
      <c r="BX29" s="27">
        <v>-0.94000000000000006</v>
      </c>
      <c r="BY29" s="46">
        <f t="shared" si="33"/>
        <v>1059702.5912858204</v>
      </c>
      <c r="BZ29" s="54"/>
      <c r="CB29" s="17"/>
      <c r="CC29" s="79"/>
      <c r="CD29" s="20">
        <f t="shared" si="34"/>
        <v>41851</v>
      </c>
      <c r="CE29" s="78">
        <f t="shared" si="40"/>
        <v>-1.0973467906754746</v>
      </c>
      <c r="CF29" s="46">
        <f t="shared" si="35"/>
        <v>1065478.7242603647</v>
      </c>
      <c r="CG29" s="54"/>
      <c r="CI29" s="39"/>
    </row>
    <row r="30" spans="1:87" x14ac:dyDescent="0.25">
      <c r="A30" s="20">
        <v>41882</v>
      </c>
      <c r="B30" s="24">
        <f t="shared" si="36"/>
        <v>15</v>
      </c>
      <c r="C30" s="301">
        <f>'LC (Gross)'!X192</f>
        <v>3.7552616388082538</v>
      </c>
      <c r="D30" s="301">
        <v>0.59950000000000003</v>
      </c>
      <c r="E30" s="301">
        <f>'CRA (Gross)'!E30</f>
        <v>1.1039401267289135</v>
      </c>
      <c r="F30" s="301">
        <f>'CRA (Gross)'!F30</f>
        <v>0</v>
      </c>
      <c r="G30" s="39"/>
      <c r="H30" s="20">
        <f t="shared" si="12"/>
        <v>41882</v>
      </c>
      <c r="I30" s="27">
        <v>3.0300000000000002</v>
      </c>
      <c r="J30" s="46">
        <f t="shared" si="13"/>
        <v>1150295.8410761254</v>
      </c>
      <c r="K30" s="54"/>
      <c r="M30" s="17"/>
      <c r="N30" s="79"/>
      <c r="O30" s="20">
        <f t="shared" si="14"/>
        <v>41882</v>
      </c>
      <c r="P30" s="78">
        <f t="shared" si="37"/>
        <v>2.1553189013445397</v>
      </c>
      <c r="Q30" s="46">
        <f t="shared" si="15"/>
        <v>1124988.5696673742</v>
      </c>
      <c r="R30" s="54"/>
      <c r="T30" s="39"/>
      <c r="U30" s="20">
        <f t="shared" si="16"/>
        <v>41882</v>
      </c>
      <c r="V30" s="27">
        <v>2.67</v>
      </c>
      <c r="W30" s="46">
        <f t="shared" si="17"/>
        <v>1119517.6434292831</v>
      </c>
      <c r="X30" s="6"/>
      <c r="Z30" s="17"/>
      <c r="AA30" s="79"/>
      <c r="AB30" s="20">
        <f t="shared" si="18"/>
        <v>41882</v>
      </c>
      <c r="AC30" s="78">
        <f t="shared" si="38"/>
        <v>1.9154087564730513</v>
      </c>
      <c r="AD30" s="46">
        <f t="shared" si="19"/>
        <v>1103365.3035885394</v>
      </c>
      <c r="AE30" s="6"/>
      <c r="AG30" s="44"/>
      <c r="AH30" s="20">
        <f t="shared" si="20"/>
        <v>41882</v>
      </c>
      <c r="AI30" s="27">
        <v>2.2399999999999998</v>
      </c>
      <c r="AJ30" s="46">
        <f t="shared" si="21"/>
        <v>1088008.8579804848</v>
      </c>
      <c r="AK30" s="6"/>
      <c r="AM30" s="17"/>
      <c r="AN30" s="79"/>
      <c r="AO30" s="20">
        <f t="shared" si="22"/>
        <v>41882</v>
      </c>
      <c r="AP30" s="78">
        <f t="shared" si="39"/>
        <v>1.7606706179380085</v>
      </c>
      <c r="AQ30" s="46">
        <f t="shared" si="23"/>
        <v>1092785.306452116</v>
      </c>
      <c r="AR30" s="6"/>
      <c r="AT30" s="39"/>
      <c r="AU30" s="20">
        <f t="shared" si="24"/>
        <v>41882</v>
      </c>
      <c r="AV30" s="27"/>
      <c r="AW30" s="46">
        <f t="shared" si="25"/>
        <v>1000000</v>
      </c>
      <c r="AX30" s="6"/>
      <c r="AZ30" s="17"/>
      <c r="BA30" s="79"/>
      <c r="BB30" s="20">
        <f t="shared" si="26"/>
        <v>41882</v>
      </c>
      <c r="BC30" s="78">
        <f t="shared" si="41"/>
        <v>1.1782592525910647</v>
      </c>
      <c r="BD30" s="46">
        <f t="shared" si="27"/>
        <v>1051858.9926590037</v>
      </c>
      <c r="BE30" s="6"/>
      <c r="BG30" s="39"/>
      <c r="BH30" s="20">
        <f t="shared" si="28"/>
        <v>41882</v>
      </c>
      <c r="BI30" s="27"/>
      <c r="BJ30" s="46">
        <f t="shared" si="29"/>
        <v>1000000</v>
      </c>
      <c r="BK30" s="6"/>
      <c r="BM30" s="17"/>
      <c r="BN30" s="79"/>
      <c r="BO30" s="20">
        <f t="shared" si="30"/>
        <v>41882</v>
      </c>
      <c r="BP30" s="78"/>
      <c r="BQ30" s="46">
        <f t="shared" si="31"/>
        <v>1000000</v>
      </c>
      <c r="BR30" s="6"/>
      <c r="BV30" s="39"/>
      <c r="BW30" s="20">
        <f t="shared" si="32"/>
        <v>41882</v>
      </c>
      <c r="BX30" s="27">
        <v>1.77</v>
      </c>
      <c r="BY30" s="46">
        <f t="shared" si="33"/>
        <v>1078459.3271515793</v>
      </c>
      <c r="BZ30" s="6"/>
      <c r="CB30" s="17"/>
      <c r="CC30" s="79"/>
      <c r="CD30" s="20">
        <f t="shared" si="34"/>
        <v>41882</v>
      </c>
      <c r="CE30" s="78">
        <f t="shared" si="40"/>
        <v>1.5207604730665203</v>
      </c>
      <c r="CF30" s="46">
        <f t="shared" si="35"/>
        <v>1081682.1035478497</v>
      </c>
      <c r="CG30" s="6"/>
      <c r="CI30" s="39"/>
    </row>
    <row r="31" spans="1:87" x14ac:dyDescent="0.25">
      <c r="A31" s="20">
        <v>41912</v>
      </c>
      <c r="B31" s="24">
        <f t="shared" si="36"/>
        <v>16</v>
      </c>
      <c r="C31" s="301">
        <f>'LC (Gross)'!X193</f>
        <v>-0.86028701682969022</v>
      </c>
      <c r="D31" s="301">
        <v>-4.0281000000000002</v>
      </c>
      <c r="E31" s="301">
        <f>'CRA (Gross)'!E31</f>
        <v>-0.6789970274080438</v>
      </c>
      <c r="F31" s="301">
        <f>'CRA (Gross)'!F31</f>
        <v>0</v>
      </c>
      <c r="G31" s="39"/>
      <c r="H31" s="20">
        <f t="shared" si="12"/>
        <v>41912</v>
      </c>
      <c r="I31" s="27">
        <v>-1.9300000000000002</v>
      </c>
      <c r="J31" s="46">
        <f t="shared" si="13"/>
        <v>1128095.1313433561</v>
      </c>
      <c r="K31" s="6"/>
      <c r="L31" s="49">
        <f>(J31/J28-1)*100</f>
        <v>-0.22149801250000989</v>
      </c>
      <c r="M31" s="17"/>
      <c r="N31" s="79"/>
      <c r="O31" s="20">
        <f t="shared" si="14"/>
        <v>41912</v>
      </c>
      <c r="P31" s="78">
        <f t="shared" si="37"/>
        <v>-1.0773728592563296</v>
      </c>
      <c r="Q31" s="46">
        <f t="shared" si="15"/>
        <v>1112868.248148042</v>
      </c>
      <c r="R31" s="6"/>
      <c r="S31" s="5">
        <f>(Q31/Q28-1)*100</f>
        <v>-1.1238411893054301</v>
      </c>
      <c r="T31" s="39"/>
      <c r="U31" s="20">
        <f t="shared" si="16"/>
        <v>41912</v>
      </c>
      <c r="V31" s="27">
        <v>-1.7999999999999998</v>
      </c>
      <c r="W31" s="46">
        <f t="shared" si="17"/>
        <v>1099366.3258475559</v>
      </c>
      <c r="X31" s="6"/>
      <c r="Y31" s="49">
        <f>(W31/W28-1)*100</f>
        <v>-0.35767669799999791</v>
      </c>
      <c r="Z31" s="17"/>
      <c r="AA31" s="79"/>
      <c r="AB31" s="20">
        <f t="shared" si="18"/>
        <v>41912</v>
      </c>
      <c r="AC31" s="78">
        <f t="shared" si="38"/>
        <v>-0.89178871168456719</v>
      </c>
      <c r="AD31" s="46">
        <f t="shared" si="19"/>
        <v>1093525.6163624926</v>
      </c>
      <c r="AE31" s="6"/>
      <c r="AF31" s="49">
        <f>(AD31/AD28-1)*100</f>
        <v>-0.80300478835261258</v>
      </c>
      <c r="AG31" s="44"/>
      <c r="AH31" s="20">
        <f t="shared" si="20"/>
        <v>41912</v>
      </c>
      <c r="AI31" s="27">
        <v>-1.66</v>
      </c>
      <c r="AJ31" s="46">
        <f t="shared" si="21"/>
        <v>1069947.9109380087</v>
      </c>
      <c r="AK31" s="6"/>
      <c r="AL31" s="49">
        <f>(AJ31/AJ28-1)*100</f>
        <v>-0.52293784960000256</v>
      </c>
      <c r="AM31" s="17"/>
      <c r="AN31" s="79"/>
      <c r="AO31" s="20">
        <f t="shared" si="22"/>
        <v>41912</v>
      </c>
      <c r="AP31" s="78">
        <f t="shared" si="39"/>
        <v>-0.94155941548320699</v>
      </c>
      <c r="AQ31" s="46">
        <f t="shared" si="23"/>
        <v>1082496.0835081991</v>
      </c>
      <c r="AR31" s="6"/>
      <c r="AS31" s="49">
        <f>(AQ31/AQ28-1)*100</f>
        <v>-0.6708608538033678</v>
      </c>
      <c r="AT31" s="39"/>
      <c r="AU31" s="20">
        <f t="shared" si="24"/>
        <v>41912</v>
      </c>
      <c r="AV31" s="27"/>
      <c r="AW31" s="46">
        <f t="shared" si="25"/>
        <v>1000000</v>
      </c>
      <c r="AX31" s="6"/>
      <c r="AY31" s="49">
        <f>(AW31/AW28-1)*100</f>
        <v>0</v>
      </c>
      <c r="AZ31" s="17"/>
      <c r="BA31" s="79"/>
      <c r="BB31" s="20">
        <f t="shared" si="26"/>
        <v>41912</v>
      </c>
      <c r="BC31" s="78">
        <f t="shared" si="41"/>
        <v>-0.76273162086859969</v>
      </c>
      <c r="BD31" s="46">
        <f t="shared" si="27"/>
        <v>1043836.1315150436</v>
      </c>
      <c r="BE31" s="6"/>
      <c r="BF31" s="49">
        <f>(BD31/BD28-1)*100</f>
        <v>-0.17330315792092321</v>
      </c>
      <c r="BG31" s="39"/>
      <c r="BH31" s="20">
        <f t="shared" si="28"/>
        <v>41912</v>
      </c>
      <c r="BI31" s="27"/>
      <c r="BJ31" s="46">
        <f t="shared" si="29"/>
        <v>1000000</v>
      </c>
      <c r="BK31" s="6"/>
      <c r="BL31" s="49">
        <f>(BJ31/BJ28-1)*100</f>
        <v>0</v>
      </c>
      <c r="BM31" s="17"/>
      <c r="BN31" s="79"/>
      <c r="BO31" s="20">
        <f t="shared" si="30"/>
        <v>41912</v>
      </c>
      <c r="BP31" s="78"/>
      <c r="BQ31" s="46">
        <f t="shared" si="31"/>
        <v>1000000</v>
      </c>
      <c r="BR31" s="6"/>
      <c r="BS31" s="49">
        <f>(BQ31/BQ28-1)*100</f>
        <v>0</v>
      </c>
      <c r="BV31" s="39"/>
      <c r="BW31" s="20">
        <f t="shared" si="32"/>
        <v>41912</v>
      </c>
      <c r="BX31" s="27">
        <v>-1.4000000000000001</v>
      </c>
      <c r="BY31" s="46">
        <f t="shared" si="33"/>
        <v>1063360.8965714572</v>
      </c>
      <c r="BZ31" s="6"/>
      <c r="CA31" s="49">
        <f>(BY31/BY28-1)*100</f>
        <v>-0.59802506800000765</v>
      </c>
      <c r="CB31" s="17"/>
      <c r="CC31" s="79"/>
      <c r="CD31" s="20">
        <f t="shared" si="34"/>
        <v>41912</v>
      </c>
      <c r="CE31" s="78">
        <f t="shared" si="40"/>
        <v>-0.75597526791144443</v>
      </c>
      <c r="CF31" s="46">
        <f t="shared" si="35"/>
        <v>1073504.8543676038</v>
      </c>
      <c r="CG31" s="6"/>
      <c r="CH31" s="49">
        <f>(CF31/CF28-1)*100</f>
        <v>-0.3523243472097648</v>
      </c>
      <c r="CI31" s="39"/>
    </row>
    <row r="32" spans="1:87" x14ac:dyDescent="0.25">
      <c r="A32" s="20">
        <v>41943</v>
      </c>
      <c r="B32" s="24">
        <f t="shared" si="36"/>
        <v>17</v>
      </c>
      <c r="C32" s="301">
        <f>'LC (Gross)'!X194</f>
        <v>4.9408294930875591</v>
      </c>
      <c r="D32" s="301">
        <v>1.0466</v>
      </c>
      <c r="E32" s="301">
        <f>'CRA (Gross)'!E32</f>
        <v>0.98293029115788078</v>
      </c>
      <c r="F32" s="301">
        <f>'CRA (Gross)'!F32</f>
        <v>0</v>
      </c>
      <c r="G32" s="39"/>
      <c r="H32" s="20">
        <f t="shared" si="12"/>
        <v>41943</v>
      </c>
      <c r="I32" s="27">
        <v>2.76</v>
      </c>
      <c r="J32" s="46">
        <f t="shared" si="13"/>
        <v>1159230.5569684326</v>
      </c>
      <c r="K32" s="6"/>
      <c r="L32" s="49"/>
      <c r="M32" s="17"/>
      <c r="N32" s="79"/>
      <c r="O32" s="20">
        <f t="shared" si="14"/>
        <v>41943</v>
      </c>
      <c r="P32" s="78">
        <f t="shared" si="37"/>
        <v>2.8744462211981578</v>
      </c>
      <c r="Q32" s="46">
        <f t="shared" si="15"/>
        <v>1144857.0474538475</v>
      </c>
      <c r="R32" s="6"/>
      <c r="T32" s="39"/>
      <c r="U32" s="20">
        <f t="shared" si="16"/>
        <v>41943</v>
      </c>
      <c r="V32" s="27">
        <v>2.33</v>
      </c>
      <c r="W32" s="46">
        <f t="shared" si="17"/>
        <v>1124981.5612398039</v>
      </c>
      <c r="X32" s="6"/>
      <c r="Y32" s="49"/>
      <c r="Z32" s="17"/>
      <c r="AA32" s="79"/>
      <c r="AB32" s="20">
        <f t="shared" si="18"/>
        <v>41943</v>
      </c>
      <c r="AC32" s="78">
        <f t="shared" si="38"/>
        <v>2.4754728155630836</v>
      </c>
      <c r="AD32" s="46">
        <f t="shared" si="19"/>
        <v>1120595.5457267647</v>
      </c>
      <c r="AE32" s="6"/>
      <c r="AG32" s="44"/>
      <c r="AH32" s="20">
        <f t="shared" si="20"/>
        <v>41943</v>
      </c>
      <c r="AI32" s="27">
        <v>1.8399999999999999</v>
      </c>
      <c r="AJ32" s="46">
        <f t="shared" si="21"/>
        <v>1089634.9524992681</v>
      </c>
      <c r="AK32" s="6"/>
      <c r="AL32" s="49"/>
      <c r="AM32" s="17"/>
      <c r="AN32" s="79"/>
      <c r="AO32" s="20">
        <f t="shared" si="22"/>
        <v>41943</v>
      </c>
      <c r="AP32" s="78">
        <f t="shared" si="39"/>
        <v>2.1779759244859038</v>
      </c>
      <c r="AQ32" s="46">
        <f t="shared" si="23"/>
        <v>1106072.5875905105</v>
      </c>
      <c r="AR32" s="6"/>
      <c r="AT32" s="39"/>
      <c r="AU32" s="20">
        <f t="shared" si="24"/>
        <v>41943</v>
      </c>
      <c r="AV32" s="27"/>
      <c r="AW32" s="46">
        <f t="shared" si="25"/>
        <v>1000000</v>
      </c>
      <c r="AX32" s="6"/>
      <c r="AY32" s="49"/>
      <c r="AZ32" s="17"/>
      <c r="BA32" s="79"/>
      <c r="BB32" s="20">
        <f t="shared" si="26"/>
        <v>41943</v>
      </c>
      <c r="BC32" s="78">
        <f t="shared" si="41"/>
        <v>1.2344641531192724</v>
      </c>
      <c r="BD32" s="46">
        <f t="shared" si="27"/>
        <v>1056721.9143759038</v>
      </c>
      <c r="BE32" s="6"/>
      <c r="BG32" s="39"/>
      <c r="BH32" s="20">
        <f t="shared" si="28"/>
        <v>41943</v>
      </c>
      <c r="BI32" s="27"/>
      <c r="BJ32" s="46">
        <f t="shared" si="29"/>
        <v>1000000</v>
      </c>
      <c r="BK32" s="6"/>
      <c r="BL32" s="49"/>
      <c r="BM32" s="17"/>
      <c r="BN32" s="79"/>
      <c r="BO32" s="20">
        <f t="shared" si="30"/>
        <v>41943</v>
      </c>
      <c r="BP32" s="78"/>
      <c r="BQ32" s="46">
        <f t="shared" si="31"/>
        <v>1000000</v>
      </c>
      <c r="BR32" s="6"/>
      <c r="BV32" s="39"/>
      <c r="BW32" s="20">
        <f t="shared" si="32"/>
        <v>41943</v>
      </c>
      <c r="BX32" s="27">
        <v>1.37</v>
      </c>
      <c r="BY32" s="46">
        <f t="shared" si="33"/>
        <v>1077928.9408544861</v>
      </c>
      <c r="BZ32" s="6"/>
      <c r="CA32" s="49"/>
      <c r="CB32" s="17"/>
      <c r="CC32" s="79"/>
      <c r="CD32" s="20">
        <f t="shared" si="34"/>
        <v>41943</v>
      </c>
      <c r="CE32" s="78">
        <f t="shared" si="40"/>
        <v>1.7790025188508301</v>
      </c>
      <c r="CF32" s="46">
        <f t="shared" si="35"/>
        <v>1092602.5327667894</v>
      </c>
      <c r="CG32" s="6"/>
      <c r="CI32" s="39"/>
    </row>
    <row r="33" spans="1:87" x14ac:dyDescent="0.25">
      <c r="A33" s="20">
        <v>41973</v>
      </c>
      <c r="B33" s="24">
        <f t="shared" si="36"/>
        <v>18</v>
      </c>
      <c r="C33" s="301">
        <f>'LC (Gross)'!X195</f>
        <v>2.854635757970355</v>
      </c>
      <c r="D33" s="301">
        <v>0.58409999999999995</v>
      </c>
      <c r="E33" s="301">
        <f>'CRA (Gross)'!E33</f>
        <v>0.70962307854285211</v>
      </c>
      <c r="F33" s="301">
        <f>'CRA (Gross)'!F33</f>
        <v>0</v>
      </c>
      <c r="G33" s="39"/>
      <c r="H33" s="20">
        <f t="shared" si="12"/>
        <v>41973</v>
      </c>
      <c r="I33" s="27">
        <v>3.2199999999999998</v>
      </c>
      <c r="J33" s="46">
        <f t="shared" si="13"/>
        <v>1196557.7809028162</v>
      </c>
      <c r="K33" s="6"/>
      <c r="M33" s="17"/>
      <c r="N33" s="79"/>
      <c r="O33" s="20">
        <f t="shared" si="14"/>
        <v>41973</v>
      </c>
      <c r="P33" s="78">
        <f t="shared" si="37"/>
        <v>1.6576646668836954</v>
      </c>
      <c r="Q33" s="46">
        <f t="shared" si="15"/>
        <v>1163834.9382158178</v>
      </c>
      <c r="R33" s="6"/>
      <c r="S33" s="8"/>
      <c r="T33" s="39"/>
      <c r="U33" s="20">
        <f t="shared" si="16"/>
        <v>41973</v>
      </c>
      <c r="V33" s="27">
        <v>2.74</v>
      </c>
      <c r="W33" s="46">
        <f t="shared" si="17"/>
        <v>1155806.0560177746</v>
      </c>
      <c r="X33" s="6"/>
      <c r="Z33" s="17"/>
      <c r="AA33" s="79"/>
      <c r="AB33" s="20">
        <f t="shared" si="18"/>
        <v>41973</v>
      </c>
      <c r="AC33" s="78">
        <f t="shared" si="38"/>
        <v>1.4494395528680877</v>
      </c>
      <c r="AD33" s="46">
        <f t="shared" si="19"/>
        <v>1136837.9007942064</v>
      </c>
      <c r="AE33" s="6"/>
      <c r="AF33" s="8"/>
      <c r="AG33" s="44"/>
      <c r="AH33" s="20">
        <f t="shared" si="20"/>
        <v>41973</v>
      </c>
      <c r="AI33" s="27">
        <v>2.16</v>
      </c>
      <c r="AJ33" s="46">
        <f t="shared" si="21"/>
        <v>1113171.0674732523</v>
      </c>
      <c r="AK33" s="6"/>
      <c r="AM33" s="17"/>
      <c r="AN33" s="79"/>
      <c r="AO33" s="20">
        <f t="shared" si="22"/>
        <v>41973</v>
      </c>
      <c r="AP33" s="78">
        <f t="shared" si="39"/>
        <v>1.3059005927796226</v>
      </c>
      <c r="AQ33" s="46">
        <f t="shared" si="23"/>
        <v>1120516.7960684279</v>
      </c>
      <c r="AR33" s="6"/>
      <c r="AS33" s="8"/>
      <c r="AT33" s="39"/>
      <c r="AU33" s="20">
        <f t="shared" si="24"/>
        <v>41973</v>
      </c>
      <c r="AV33" s="27"/>
      <c r="AW33" s="46">
        <f t="shared" si="25"/>
        <v>1000000</v>
      </c>
      <c r="AX33" s="6"/>
      <c r="AZ33" s="17"/>
      <c r="BA33" s="79"/>
      <c r="BB33" s="20">
        <f t="shared" si="26"/>
        <v>41973</v>
      </c>
      <c r="BC33" s="78">
        <f t="shared" si="41"/>
        <v>0.81140473077703201</v>
      </c>
      <c r="BD33" s="46">
        <f t="shared" si="27"/>
        <v>1065296.2059803074</v>
      </c>
      <c r="BE33" s="6"/>
      <c r="BF33" s="8"/>
      <c r="BG33" s="39"/>
      <c r="BH33" s="20">
        <f t="shared" si="28"/>
        <v>41973</v>
      </c>
      <c r="BI33" s="27"/>
      <c r="BJ33" s="46">
        <f t="shared" si="29"/>
        <v>1000000</v>
      </c>
      <c r="BK33" s="6"/>
      <c r="BM33" s="17"/>
      <c r="BN33" s="79"/>
      <c r="BO33" s="20">
        <f t="shared" si="30"/>
        <v>41973</v>
      </c>
      <c r="BP33" s="78"/>
      <c r="BQ33" s="46">
        <f t="shared" si="31"/>
        <v>1000000</v>
      </c>
      <c r="BR33" s="6"/>
      <c r="BS33" s="8"/>
      <c r="BV33" s="39"/>
      <c r="BW33" s="20">
        <f t="shared" si="32"/>
        <v>41973</v>
      </c>
      <c r="BX33" s="27">
        <v>1.6199999999999999</v>
      </c>
      <c r="BY33" s="46">
        <f t="shared" si="33"/>
        <v>1095391.3896963287</v>
      </c>
      <c r="BZ33" s="6"/>
      <c r="CB33" s="17"/>
      <c r="CC33" s="79"/>
      <c r="CD33" s="20">
        <f t="shared" si="34"/>
        <v>41973</v>
      </c>
      <c r="CE33" s="78">
        <f t="shared" si="40"/>
        <v>1.0976754787640148</v>
      </c>
      <c r="CF33" s="46">
        <f t="shared" si="35"/>
        <v>1104595.7628493251</v>
      </c>
      <c r="CG33" s="6"/>
      <c r="CH33" s="8"/>
      <c r="CI33" s="39"/>
    </row>
    <row r="34" spans="1:87" x14ac:dyDescent="0.25">
      <c r="A34" s="20">
        <v>42004</v>
      </c>
      <c r="B34" s="24">
        <f t="shared" si="36"/>
        <v>19</v>
      </c>
      <c r="C34" s="301">
        <f>'LC (Gross)'!X196</f>
        <v>1.2122201138519857</v>
      </c>
      <c r="D34" s="301">
        <v>-1.5197000000000001</v>
      </c>
      <c r="E34" s="301">
        <f>'CRA (Gross)'!E34</f>
        <v>9.3566395550628498E-2</v>
      </c>
      <c r="F34" s="301">
        <f>'CRA (Gross)'!F34</f>
        <v>0</v>
      </c>
      <c r="G34" s="39"/>
      <c r="H34" s="20">
        <f t="shared" si="12"/>
        <v>42004</v>
      </c>
      <c r="I34" s="27">
        <v>-0.01</v>
      </c>
      <c r="J34" s="46">
        <f t="shared" si="13"/>
        <v>1196438.125124726</v>
      </c>
      <c r="K34" s="6">
        <f>(J34-J22)/J22*100</f>
        <v>10.393899495929636</v>
      </c>
      <c r="L34" s="49">
        <f>(J34/J31-1)*100</f>
        <v>6.0582651128000098</v>
      </c>
      <c r="M34" s="17"/>
      <c r="N34" s="79"/>
      <c r="O34" s="20">
        <f t="shared" si="14"/>
        <v>42004</v>
      </c>
      <c r="P34" s="78">
        <f t="shared" si="37"/>
        <v>0.43876606261859219</v>
      </c>
      <c r="Q34" s="46">
        <f t="shared" si="15"/>
        <v>1168941.450949607</v>
      </c>
      <c r="R34" s="6">
        <f>(Q34-Q22)/Q22*100</f>
        <v>10.146712502177834</v>
      </c>
      <c r="S34" s="5">
        <f>(Q34/Q31-1)*100</f>
        <v>5.0386200608093512</v>
      </c>
      <c r="T34" s="39"/>
      <c r="U34" s="20">
        <f t="shared" si="16"/>
        <v>42004</v>
      </c>
      <c r="V34" s="27">
        <v>-0.08</v>
      </c>
      <c r="W34" s="46">
        <f t="shared" si="17"/>
        <v>1154881.4111729604</v>
      </c>
      <c r="X34" s="6">
        <f>(W34-W22)/W22*100</f>
        <v>8.8453240231486436</v>
      </c>
      <c r="Y34" s="49">
        <f>(W34/W31-1)*100</f>
        <v>5.049734926400018</v>
      </c>
      <c r="Z34" s="17"/>
      <c r="AA34" s="79"/>
      <c r="AB34" s="20">
        <f t="shared" si="18"/>
        <v>42004</v>
      </c>
      <c r="AC34" s="78">
        <f t="shared" si="38"/>
        <v>0.40756401056598784</v>
      </c>
      <c r="AD34" s="46">
        <f t="shared" si="19"/>
        <v>1141471.2429363176</v>
      </c>
      <c r="AE34" s="6">
        <f>(AD34-AD22)/AD22*100</f>
        <v>9.0847575690015177</v>
      </c>
      <c r="AF34" s="49">
        <f>(AD34/AD31-1)*100</f>
        <v>4.3844996272982995</v>
      </c>
      <c r="AG34" s="44"/>
      <c r="AH34" s="20">
        <f t="shared" si="20"/>
        <v>42004</v>
      </c>
      <c r="AI34" s="27">
        <v>-0.13</v>
      </c>
      <c r="AJ34" s="46">
        <f t="shared" si="21"/>
        <v>1111723.9450855372</v>
      </c>
      <c r="AK34" s="6">
        <f>(AJ34-AJ22)/AJ22*100</f>
        <v>6.8664675715874521</v>
      </c>
      <c r="AL34" s="49">
        <f>(AJ34/AJ31-1)*100</f>
        <v>3.9044923328000136</v>
      </c>
      <c r="AM34" s="17"/>
      <c r="AN34" s="79"/>
      <c r="AO34" s="20">
        <f t="shared" si="22"/>
        <v>42004</v>
      </c>
      <c r="AP34" s="78">
        <f t="shared" si="39"/>
        <v>0.30505527829091489</v>
      </c>
      <c r="AQ34" s="46">
        <f t="shared" si="23"/>
        <v>1123934.9916989708</v>
      </c>
      <c r="AR34" s="6">
        <f>(AQ34-AQ22)/AQ22*100</f>
        <v>8.5815438100767345</v>
      </c>
      <c r="AS34" s="49">
        <f>(AQ34/AQ31-1)*100</f>
        <v>3.8280885097038642</v>
      </c>
      <c r="AT34" s="39"/>
      <c r="AU34" s="20">
        <f t="shared" si="24"/>
        <v>42004</v>
      </c>
      <c r="AV34" s="27"/>
      <c r="AW34" s="46">
        <f t="shared" si="25"/>
        <v>1000000</v>
      </c>
      <c r="AX34" s="6">
        <f>(AW34-AW22)/AW22*100</f>
        <v>0</v>
      </c>
      <c r="AY34" s="49">
        <f>(AW34/AW31-1)*100</f>
        <v>0</v>
      </c>
      <c r="AZ34" s="17"/>
      <c r="BA34" s="79"/>
      <c r="BB34" s="20">
        <f t="shared" si="26"/>
        <v>42004</v>
      </c>
      <c r="BC34" s="78">
        <f t="shared" si="41"/>
        <v>0.1107334882706385</v>
      </c>
      <c r="BD34" s="46">
        <f t="shared" si="27"/>
        <v>1066475.8456296041</v>
      </c>
      <c r="BE34" s="6">
        <f>(BD34-BD22)/BD22*100</f>
        <v>6.1270674271841106</v>
      </c>
      <c r="BF34" s="49">
        <f>(BD34/BD31-1)*100</f>
        <v>2.1688954263061166</v>
      </c>
      <c r="BG34" s="39"/>
      <c r="BH34" s="20">
        <f t="shared" si="28"/>
        <v>42004</v>
      </c>
      <c r="BI34" s="27"/>
      <c r="BJ34" s="46">
        <f t="shared" si="29"/>
        <v>1000000</v>
      </c>
      <c r="BK34" s="6">
        <f>(BJ34-BJ22)/BJ22*100</f>
        <v>0</v>
      </c>
      <c r="BL34" s="49">
        <f>(BJ34/BJ31-1)*100</f>
        <v>0</v>
      </c>
      <c r="BM34" s="17"/>
      <c r="BN34" s="79"/>
      <c r="BO34" s="20">
        <f t="shared" si="30"/>
        <v>42004</v>
      </c>
      <c r="BP34" s="78"/>
      <c r="BQ34" s="46">
        <f t="shared" si="31"/>
        <v>1000000</v>
      </c>
      <c r="BR34" s="6">
        <f>(BQ34-BQ22)/BQ22*100</f>
        <v>0</v>
      </c>
      <c r="BS34" s="49">
        <f>(BQ34/BQ31-1)*100</f>
        <v>0</v>
      </c>
      <c r="BV34" s="39"/>
      <c r="BW34" s="20">
        <f t="shared" si="32"/>
        <v>42004</v>
      </c>
      <c r="BX34" s="27">
        <v>-0.13</v>
      </c>
      <c r="BY34" s="46">
        <f t="shared" si="33"/>
        <v>1093967.3808897235</v>
      </c>
      <c r="BZ34" s="6">
        <f>(BY34-BY22)/BY22*100</f>
        <v>5.3649388675310927</v>
      </c>
      <c r="CA34" s="49">
        <f>(BY34/BY31-1)*100</f>
        <v>2.8782781477999952</v>
      </c>
      <c r="CB34" s="17"/>
      <c r="CC34" s="79"/>
      <c r="CD34" s="20">
        <f t="shared" si="34"/>
        <v>42004</v>
      </c>
      <c r="CE34" s="78">
        <f t="shared" si="40"/>
        <v>0.27385322623831065</v>
      </c>
      <c r="CF34" s="46">
        <f t="shared" si="35"/>
        <v>1107620.7339827796</v>
      </c>
      <c r="CG34" s="6">
        <f>(CF34-CF22)/CF22*100</f>
        <v>7.5118443303733278</v>
      </c>
      <c r="CH34" s="49">
        <f>(CF34/CF31-1)*100</f>
        <v>3.1779902509405211</v>
      </c>
      <c r="CI34" s="39"/>
    </row>
    <row r="35" spans="1:87" x14ac:dyDescent="0.25">
      <c r="A35" s="20">
        <v>42035</v>
      </c>
      <c r="B35" s="24">
        <f t="shared" si="36"/>
        <v>20</v>
      </c>
      <c r="C35" s="301">
        <f>'LC (Gross)'!X197</f>
        <v>-0.44297926239115598</v>
      </c>
      <c r="D35" s="301">
        <v>3.7736000000000001</v>
      </c>
      <c r="E35" s="301">
        <f>'CRA (Gross)'!E35</f>
        <v>2.0967480821152398</v>
      </c>
      <c r="F35" s="301">
        <f>'CRA (Gross)'!F35</f>
        <v>0</v>
      </c>
      <c r="G35" s="39"/>
      <c r="H35" s="20">
        <f t="shared" si="12"/>
        <v>42035</v>
      </c>
      <c r="I35" s="27">
        <v>-0.53</v>
      </c>
      <c r="J35" s="46">
        <f t="shared" si="13"/>
        <v>1190097.0030615649</v>
      </c>
      <c r="K35" s="6"/>
      <c r="M35" s="17"/>
      <c r="N35" s="79"/>
      <c r="O35" s="20">
        <f t="shared" si="14"/>
        <v>42035</v>
      </c>
      <c r="P35" s="78">
        <f t="shared" si="37"/>
        <v>0.3224014056848642</v>
      </c>
      <c r="Q35" s="46">
        <f t="shared" si="15"/>
        <v>1172710.1346191014</v>
      </c>
      <c r="S35" s="10"/>
      <c r="T35" s="39"/>
      <c r="U35" s="20">
        <f t="shared" si="16"/>
        <v>42035</v>
      </c>
      <c r="V35" s="27">
        <v>-0.22</v>
      </c>
      <c r="W35" s="46">
        <f t="shared" si="17"/>
        <v>1152340.6720683798</v>
      </c>
      <c r="Z35" s="17"/>
      <c r="AA35" s="79"/>
      <c r="AB35" s="20">
        <f t="shared" si="18"/>
        <v>42035</v>
      </c>
      <c r="AC35" s="78">
        <f t="shared" si="38"/>
        <v>0.49253154424126577</v>
      </c>
      <c r="AD35" s="46">
        <f t="shared" si="19"/>
        <v>1147093.3488762218</v>
      </c>
      <c r="AF35" s="10"/>
      <c r="AG35" s="44"/>
      <c r="AH35" s="20">
        <f t="shared" si="20"/>
        <v>42035</v>
      </c>
      <c r="AI35" s="27">
        <v>0.13999999999999999</v>
      </c>
      <c r="AJ35" s="46">
        <f t="shared" si="21"/>
        <v>1113280.3586086568</v>
      </c>
      <c r="AM35" s="17"/>
      <c r="AN35" s="79"/>
      <c r="AO35" s="20">
        <f t="shared" si="22"/>
        <v>42035</v>
      </c>
      <c r="AP35" s="78">
        <f t="shared" si="39"/>
        <v>0.95617908690342934</v>
      </c>
      <c r="AQ35" s="46">
        <f t="shared" si="23"/>
        <v>1134681.8230399862</v>
      </c>
      <c r="AS35" s="10"/>
      <c r="AT35" s="39"/>
      <c r="AU35" s="20">
        <f t="shared" si="24"/>
        <v>42035</v>
      </c>
      <c r="AV35" s="27"/>
      <c r="AW35" s="46">
        <f t="shared" si="25"/>
        <v>1000000</v>
      </c>
      <c r="AZ35" s="17"/>
      <c r="BA35" s="79"/>
      <c r="BB35" s="20">
        <f t="shared" si="26"/>
        <v>42035</v>
      </c>
      <c r="BC35" s="78">
        <f t="shared" si="41"/>
        <v>1.6121057312415523</v>
      </c>
      <c r="BD35" s="46">
        <f t="shared" si="27"/>
        <v>1083668.5638593058</v>
      </c>
      <c r="BF35" s="10"/>
      <c r="BG35" s="39"/>
      <c r="BH35" s="20">
        <f t="shared" si="28"/>
        <v>42035</v>
      </c>
      <c r="BI35" s="27"/>
      <c r="BJ35" s="46">
        <f t="shared" si="29"/>
        <v>1000000</v>
      </c>
      <c r="BM35" s="17"/>
      <c r="BN35" s="79"/>
      <c r="BO35" s="20">
        <f t="shared" si="30"/>
        <v>42035</v>
      </c>
      <c r="BP35" s="78"/>
      <c r="BQ35" s="46">
        <f t="shared" si="31"/>
        <v>1000000</v>
      </c>
      <c r="BS35" s="10"/>
      <c r="BV35" s="39"/>
      <c r="BW35" s="20">
        <f t="shared" si="32"/>
        <v>42035</v>
      </c>
      <c r="BX35" s="27">
        <v>0.57000000000000006</v>
      </c>
      <c r="BY35" s="46">
        <f t="shared" si="33"/>
        <v>1100202.9949607949</v>
      </c>
      <c r="CB35" s="17"/>
      <c r="CC35" s="79"/>
      <c r="CD35" s="20">
        <f t="shared" si="34"/>
        <v>42035</v>
      </c>
      <c r="CE35" s="78">
        <f t="shared" si="40"/>
        <v>1.1263092254598308</v>
      </c>
      <c r="CF35" s="46">
        <f t="shared" si="35"/>
        <v>1120095.9684927335</v>
      </c>
      <c r="CH35" s="10"/>
      <c r="CI35" s="39"/>
    </row>
    <row r="36" spans="1:87" x14ac:dyDescent="0.25">
      <c r="A36" s="20">
        <v>42063</v>
      </c>
      <c r="B36" s="24">
        <f t="shared" si="36"/>
        <v>21</v>
      </c>
      <c r="C36" s="301">
        <f>'LC (Gross)'!X198</f>
        <v>1.521508567571882</v>
      </c>
      <c r="D36" s="301">
        <v>3.0792999999999999</v>
      </c>
      <c r="E36" s="301">
        <f>'CRA (Gross)'!E36</f>
        <v>-0.94014383484567332</v>
      </c>
      <c r="F36" s="301">
        <f>'CRA (Gross)'!F36</f>
        <v>0</v>
      </c>
      <c r="G36" s="39"/>
      <c r="H36" s="20">
        <f t="shared" si="12"/>
        <v>42063</v>
      </c>
      <c r="I36" s="27">
        <v>2.23</v>
      </c>
      <c r="J36" s="46">
        <f t="shared" si="13"/>
        <v>1216636.1662298378</v>
      </c>
      <c r="L36" s="54"/>
      <c r="M36" s="17"/>
      <c r="N36" s="79"/>
      <c r="O36" s="20">
        <f t="shared" si="14"/>
        <v>42063</v>
      </c>
      <c r="P36" s="78">
        <f t="shared" si="37"/>
        <v>1.2987247121645351</v>
      </c>
      <c r="Q36" s="46">
        <f t="shared" si="15"/>
        <v>1187940.4109394576</v>
      </c>
      <c r="S36" s="10"/>
      <c r="T36" s="39"/>
      <c r="U36" s="20">
        <f t="shared" si="16"/>
        <v>42063</v>
      </c>
      <c r="V36" s="27">
        <v>1.7399999999999998</v>
      </c>
      <c r="W36" s="46">
        <f t="shared" si="17"/>
        <v>1172391.3997623697</v>
      </c>
      <c r="Y36" s="54"/>
      <c r="Z36" s="17"/>
      <c r="AA36" s="79"/>
      <c r="AB36" s="20">
        <f t="shared" si="18"/>
        <v>42063</v>
      </c>
      <c r="AC36" s="78">
        <f t="shared" si="38"/>
        <v>0.85158728018049601</v>
      </c>
      <c r="AD36" s="46">
        <f t="shared" si="19"/>
        <v>1156861.8499270482</v>
      </c>
      <c r="AF36" s="10"/>
      <c r="AG36" s="44"/>
      <c r="AH36" s="20">
        <f t="shared" si="20"/>
        <v>42063</v>
      </c>
      <c r="AI36" s="27">
        <v>1.2</v>
      </c>
      <c r="AJ36" s="46">
        <f t="shared" si="21"/>
        <v>1126639.7229119607</v>
      </c>
      <c r="AL36" s="54"/>
      <c r="AM36" s="17"/>
      <c r="AN36" s="79"/>
      <c r="AO36" s="20">
        <f t="shared" si="22"/>
        <v>42063</v>
      </c>
      <c r="AP36" s="78">
        <f t="shared" si="39"/>
        <v>0.51140765645417297</v>
      </c>
      <c r="AQ36" s="46">
        <f t="shared" si="23"/>
        <v>1140484.6727594065</v>
      </c>
      <c r="AS36" s="10"/>
      <c r="AT36" s="39"/>
      <c r="AU36" s="20">
        <f t="shared" si="24"/>
        <v>42063</v>
      </c>
      <c r="AV36" s="27"/>
      <c r="AW36" s="46">
        <f t="shared" si="25"/>
        <v>1000000</v>
      </c>
      <c r="AY36" s="54"/>
      <c r="AZ36" s="17"/>
      <c r="BA36" s="79"/>
      <c r="BB36" s="20">
        <f t="shared" si="26"/>
        <v>42063</v>
      </c>
      <c r="BC36" s="78">
        <f t="shared" si="41"/>
        <v>-0.35198482763478312</v>
      </c>
      <c r="BD36" s="46">
        <f t="shared" si="27"/>
        <v>1079854.2149326734</v>
      </c>
      <c r="BF36" s="10"/>
      <c r="BG36" s="39"/>
      <c r="BH36" s="20">
        <f t="shared" si="28"/>
        <v>42063</v>
      </c>
      <c r="BI36" s="27"/>
      <c r="BJ36" s="46">
        <f t="shared" si="29"/>
        <v>1000000</v>
      </c>
      <c r="BL36" s="54"/>
      <c r="BM36" s="17"/>
      <c r="BN36" s="79"/>
      <c r="BO36" s="20">
        <f t="shared" si="30"/>
        <v>42063</v>
      </c>
      <c r="BP36" s="78"/>
      <c r="BQ36" s="46">
        <f t="shared" si="31"/>
        <v>1000000</v>
      </c>
      <c r="BS36" s="10"/>
      <c r="BV36" s="39"/>
      <c r="BW36" s="20">
        <f t="shared" si="32"/>
        <v>42063</v>
      </c>
      <c r="BX36" s="27">
        <v>0.54999999999999993</v>
      </c>
      <c r="BY36" s="46">
        <f t="shared" si="33"/>
        <v>1106254.1114330792</v>
      </c>
      <c r="CA36" s="54"/>
      <c r="CB36" s="17"/>
      <c r="CC36" s="79"/>
      <c r="CD36" s="20">
        <f t="shared" si="34"/>
        <v>42063</v>
      </c>
      <c r="CE36" s="78">
        <f t="shared" si="40"/>
        <v>6.4270224470133919E-2</v>
      </c>
      <c r="CF36" s="46">
        <f t="shared" si="35"/>
        <v>1120815.8566859649</v>
      </c>
      <c r="CH36" s="10"/>
      <c r="CI36" s="39"/>
    </row>
    <row r="37" spans="1:87" x14ac:dyDescent="0.25">
      <c r="A37" s="20">
        <v>42094</v>
      </c>
      <c r="B37" s="24">
        <f t="shared" si="36"/>
        <v>22</v>
      </c>
      <c r="C37" s="301">
        <f>'LC (Gross)'!X199</f>
        <v>-0.34857760600342619</v>
      </c>
      <c r="D37" s="301">
        <v>-0.61119999999999997</v>
      </c>
      <c r="E37" s="301">
        <f>'CRA (Gross)'!E37</f>
        <v>0.46420604758757478</v>
      </c>
      <c r="F37" s="301">
        <f>'CRA (Gross)'!F37</f>
        <v>0</v>
      </c>
      <c r="G37" s="39"/>
      <c r="H37" s="20">
        <f t="shared" si="12"/>
        <v>42094</v>
      </c>
      <c r="I37" s="27">
        <v>-0.66</v>
      </c>
      <c r="J37" s="46">
        <f t="shared" si="13"/>
        <v>1208606.3675327208</v>
      </c>
      <c r="L37" s="49">
        <f>(J37/J34-1)*100</f>
        <v>1.0170390054</v>
      </c>
      <c r="M37" s="17"/>
      <c r="N37" s="79"/>
      <c r="O37" s="20">
        <f t="shared" si="14"/>
        <v>42094</v>
      </c>
      <c r="P37" s="78">
        <f t="shared" si="37"/>
        <v>-0.28339768330188442</v>
      </c>
      <c r="Q37" s="46">
        <f t="shared" si="15"/>
        <v>1184573.8153358484</v>
      </c>
      <c r="S37" s="5">
        <f>(Q37/Q34-1)*100</f>
        <v>1.3373094412506559</v>
      </c>
      <c r="T37" s="39"/>
      <c r="U37" s="20">
        <f t="shared" si="16"/>
        <v>42094</v>
      </c>
      <c r="V37" s="27">
        <v>-0.54999999999999993</v>
      </c>
      <c r="W37" s="46">
        <f t="shared" si="17"/>
        <v>1165943.2470636766</v>
      </c>
      <c r="Y37" s="49">
        <f>(W37/W34-1)*100</f>
        <v>0.95783305399999019</v>
      </c>
      <c r="Z37" s="17"/>
      <c r="AA37" s="79"/>
      <c r="AB37" s="20">
        <f t="shared" si="18"/>
        <v>42094</v>
      </c>
      <c r="AC37" s="78">
        <f t="shared" si="38"/>
        <v>-0.14834901556340557</v>
      </c>
      <c r="AD37" s="46">
        <f t="shared" si="19"/>
        <v>1155145.6567612528</v>
      </c>
      <c r="AF37" s="49">
        <f>(AD37/AD34-1)*100</f>
        <v>1.1979639355398142</v>
      </c>
      <c r="AG37" s="44"/>
      <c r="AH37" s="20">
        <f t="shared" si="20"/>
        <v>42094</v>
      </c>
      <c r="AI37" s="27">
        <v>-0.38</v>
      </c>
      <c r="AJ37" s="46">
        <f t="shared" si="21"/>
        <v>1122358.4919648953</v>
      </c>
      <c r="AL37" s="49">
        <f>(AJ37/AJ34-1)*100</f>
        <v>0.95658161599998515</v>
      </c>
      <c r="AM37" s="17"/>
      <c r="AN37" s="79"/>
      <c r="AO37" s="20">
        <f t="shared" si="22"/>
        <v>42094</v>
      </c>
      <c r="AP37" s="78">
        <f t="shared" si="39"/>
        <v>-2.0650045445547993E-2</v>
      </c>
      <c r="AQ37" s="46">
        <f t="shared" si="23"/>
        <v>1140249.1621561821</v>
      </c>
      <c r="AS37" s="49">
        <f>(AQ37/AQ34-1)*100</f>
        <v>1.4515226038607887</v>
      </c>
      <c r="AT37" s="39"/>
      <c r="AU37" s="20">
        <f t="shared" si="24"/>
        <v>42094</v>
      </c>
      <c r="AV37" s="27"/>
      <c r="AW37" s="46">
        <f t="shared" si="25"/>
        <v>1000000</v>
      </c>
      <c r="AY37" s="49">
        <f>(AW37/AW34-1)*100</f>
        <v>0</v>
      </c>
      <c r="AZ37" s="17"/>
      <c r="BA37" s="79"/>
      <c r="BB37" s="20">
        <f t="shared" si="26"/>
        <v>42094</v>
      </c>
      <c r="BC37" s="78">
        <f t="shared" si="41"/>
        <v>0.25952647271095974</v>
      </c>
      <c r="BD37" s="46">
        <f t="shared" si="27"/>
        <v>1082656.7224871088</v>
      </c>
      <c r="BF37" s="49">
        <f>(BD37/BD34-1)*100</f>
        <v>1.5172286295853432</v>
      </c>
      <c r="BG37" s="39"/>
      <c r="BH37" s="20">
        <f t="shared" si="28"/>
        <v>42094</v>
      </c>
      <c r="BI37" s="27"/>
      <c r="BJ37" s="46">
        <f t="shared" si="29"/>
        <v>1000000</v>
      </c>
      <c r="BL37" s="49">
        <f>(BJ37/BJ34-1)*100</f>
        <v>0</v>
      </c>
      <c r="BM37" s="17"/>
      <c r="BN37" s="79"/>
      <c r="BO37" s="20">
        <f t="shared" si="30"/>
        <v>42094</v>
      </c>
      <c r="BP37" s="78"/>
      <c r="BQ37" s="46">
        <f t="shared" si="31"/>
        <v>1000000</v>
      </c>
      <c r="BS37" s="49">
        <f>(BQ37/BQ34-1)*100</f>
        <v>0</v>
      </c>
      <c r="BV37" s="39"/>
      <c r="BW37" s="20">
        <f t="shared" si="32"/>
        <v>42094</v>
      </c>
      <c r="BX37" s="27">
        <v>-0.21</v>
      </c>
      <c r="BY37" s="46">
        <f t="shared" si="33"/>
        <v>1103930.9777990698</v>
      </c>
      <c r="CA37" s="49">
        <f>(BY37/BY34-1)*100</f>
        <v>0.91077641649999208</v>
      </c>
      <c r="CB37" s="17"/>
      <c r="CC37" s="79"/>
      <c r="CD37" s="20">
        <f t="shared" si="34"/>
        <v>42094</v>
      </c>
      <c r="CE37" s="78">
        <f t="shared" si="40"/>
        <v>0.11439862229293084</v>
      </c>
      <c r="CF37" s="46">
        <f t="shared" si="35"/>
        <v>1122098.0545844543</v>
      </c>
      <c r="CH37" s="49">
        <f>(CF37/CF34-1)*100</f>
        <v>1.307064788288792</v>
      </c>
      <c r="CI37" s="39"/>
    </row>
    <row r="38" spans="1:87" x14ac:dyDescent="0.25">
      <c r="A38" s="20">
        <v>42124</v>
      </c>
      <c r="B38" s="24">
        <f t="shared" si="36"/>
        <v>23</v>
      </c>
      <c r="C38" s="301">
        <f>'LC (Gross)'!X200</f>
        <v>-1.978534173699706</v>
      </c>
      <c r="D38" s="301">
        <v>3.6316000000000002</v>
      </c>
      <c r="E38" s="301">
        <f>'CRA (Gross)'!E38</f>
        <v>-0.35875269193012121</v>
      </c>
      <c r="F38" s="301">
        <f>'CRA (Gross)'!F38</f>
        <v>0</v>
      </c>
      <c r="G38" s="39"/>
      <c r="H38" s="20">
        <f t="shared" si="12"/>
        <v>42124</v>
      </c>
      <c r="I38" s="27">
        <v>-1.43</v>
      </c>
      <c r="J38" s="46">
        <f t="shared" si="13"/>
        <v>1191323.2964770028</v>
      </c>
      <c r="M38" s="17"/>
      <c r="N38" s="79"/>
      <c r="O38" s="20">
        <f t="shared" si="14"/>
        <v>42124</v>
      </c>
      <c r="P38" s="78">
        <f t="shared" si="37"/>
        <v>-0.54345379553483841</v>
      </c>
      <c r="Q38" s="46">
        <f t="shared" si="15"/>
        <v>1178136.2039754938</v>
      </c>
      <c r="S38" s="10"/>
      <c r="T38" s="39"/>
      <c r="U38" s="20">
        <f t="shared" si="16"/>
        <v>42124</v>
      </c>
      <c r="V38" s="27">
        <v>-1.22</v>
      </c>
      <c r="W38" s="46">
        <f t="shared" si="17"/>
        <v>1151718.7394494996</v>
      </c>
      <c r="X38" s="61"/>
      <c r="Z38" s="17"/>
      <c r="AA38" s="79"/>
      <c r="AB38" s="20">
        <f t="shared" si="18"/>
        <v>42124</v>
      </c>
      <c r="AC38" s="78">
        <f t="shared" si="38"/>
        <v>-0.58099328195438582</v>
      </c>
      <c r="AD38" s="46">
        <f t="shared" si="19"/>
        <v>1148434.338098682</v>
      </c>
      <c r="AE38" s="61"/>
      <c r="AF38" s="10"/>
      <c r="AG38" s="44"/>
      <c r="AH38" s="20">
        <f t="shared" si="20"/>
        <v>42124</v>
      </c>
      <c r="AI38" s="27">
        <v>-0.96</v>
      </c>
      <c r="AJ38" s="46">
        <f t="shared" si="21"/>
        <v>1111583.8504420323</v>
      </c>
      <c r="AK38" s="61"/>
      <c r="AM38" s="17"/>
      <c r="AN38" s="79"/>
      <c r="AO38" s="20">
        <f t="shared" si="22"/>
        <v>42124</v>
      </c>
      <c r="AP38" s="78">
        <f t="shared" si="39"/>
        <v>-0.45489040297043937</v>
      </c>
      <c r="AQ38" s="46">
        <f t="shared" si="23"/>
        <v>1135062.2781475829</v>
      </c>
      <c r="AR38" s="61"/>
      <c r="AS38" s="10"/>
      <c r="AT38" s="39"/>
      <c r="AU38" s="20">
        <f t="shared" si="24"/>
        <v>42124</v>
      </c>
      <c r="AV38" s="27"/>
      <c r="AW38" s="46">
        <f t="shared" si="25"/>
        <v>1000000</v>
      </c>
      <c r="AX38" s="61"/>
      <c r="AZ38" s="17"/>
      <c r="BA38" s="79"/>
      <c r="BB38" s="20">
        <f t="shared" si="26"/>
        <v>42124</v>
      </c>
      <c r="BC38" s="78">
        <f t="shared" si="41"/>
        <v>-0.26740030172105544</v>
      </c>
      <c r="BD38" s="46">
        <f t="shared" si="27"/>
        <v>1079761.6951445749</v>
      </c>
      <c r="BE38" s="61"/>
      <c r="BF38" s="10"/>
      <c r="BG38" s="39"/>
      <c r="BH38" s="20">
        <f t="shared" si="28"/>
        <v>42124</v>
      </c>
      <c r="BI38" s="27"/>
      <c r="BJ38" s="46">
        <f t="shared" si="29"/>
        <v>1000000</v>
      </c>
      <c r="BK38" s="61"/>
      <c r="BM38" s="17"/>
      <c r="BN38" s="79"/>
      <c r="BO38" s="20">
        <f t="shared" si="30"/>
        <v>42124</v>
      </c>
      <c r="BP38" s="78"/>
      <c r="BQ38" s="46">
        <f t="shared" si="31"/>
        <v>1000000</v>
      </c>
      <c r="BR38" s="61"/>
      <c r="BS38" s="10"/>
      <c r="BV38" s="39"/>
      <c r="BW38" s="20">
        <f t="shared" si="32"/>
        <v>42124</v>
      </c>
      <c r="BX38" s="27">
        <v>-0.83</v>
      </c>
      <c r="BY38" s="46">
        <f t="shared" si="33"/>
        <v>1094768.3506833375</v>
      </c>
      <c r="BZ38" s="61"/>
      <c r="CB38" s="17"/>
      <c r="CC38" s="79"/>
      <c r="CD38" s="20">
        <f t="shared" si="34"/>
        <v>42124</v>
      </c>
      <c r="CE38" s="78">
        <f t="shared" si="40"/>
        <v>-0.49242988938998711</v>
      </c>
      <c r="CF38" s="46">
        <f t="shared" si="35"/>
        <v>1116572.5083754167</v>
      </c>
      <c r="CG38" s="61"/>
      <c r="CH38" s="10"/>
      <c r="CI38" s="39"/>
    </row>
    <row r="39" spans="1:87" x14ac:dyDescent="0.25">
      <c r="A39" s="20">
        <v>42155</v>
      </c>
      <c r="B39" s="24">
        <f t="shared" si="36"/>
        <v>24</v>
      </c>
      <c r="C39" s="301">
        <f>'LC (Gross)'!X201</f>
        <v>0.94052983231192977</v>
      </c>
      <c r="D39" s="301">
        <v>-0.96330000000000005</v>
      </c>
      <c r="E39" s="301">
        <f>'CRA (Gross)'!E39</f>
        <v>-0.24088927862172504</v>
      </c>
      <c r="F39" s="301">
        <f>'CRA (Gross)'!F39</f>
        <v>0</v>
      </c>
      <c r="G39" s="39"/>
      <c r="H39" s="20">
        <f t="shared" si="12"/>
        <v>42155</v>
      </c>
      <c r="I39" s="27">
        <v>0.66</v>
      </c>
      <c r="J39" s="46">
        <f t="shared" si="13"/>
        <v>1199186.0302337511</v>
      </c>
      <c r="K39" s="61"/>
      <c r="M39" s="17"/>
      <c r="N39" s="79"/>
      <c r="O39" s="20">
        <f t="shared" si="14"/>
        <v>42155</v>
      </c>
      <c r="P39" s="78">
        <f t="shared" si="37"/>
        <v>0.37279640777156142</v>
      </c>
      <c r="Q39" s="46">
        <f t="shared" si="15"/>
        <v>1182528.2534225706</v>
      </c>
      <c r="R39" s="61"/>
      <c r="S39" s="10"/>
      <c r="T39" s="39"/>
      <c r="U39" s="20">
        <f t="shared" si="16"/>
        <v>42155</v>
      </c>
      <c r="V39" s="27">
        <v>0.44</v>
      </c>
      <c r="W39" s="46">
        <f t="shared" si="17"/>
        <v>1156786.3019030774</v>
      </c>
      <c r="Z39" s="17"/>
      <c r="AA39" s="79"/>
      <c r="AB39" s="20">
        <f t="shared" si="18"/>
        <v>42155</v>
      </c>
      <c r="AC39" s="78">
        <f t="shared" si="38"/>
        <v>0.29077503274710964</v>
      </c>
      <c r="AD39" s="46">
        <f t="shared" si="19"/>
        <v>1151773.6984213674</v>
      </c>
      <c r="AF39" s="10"/>
      <c r="AG39" s="44"/>
      <c r="AH39" s="20">
        <f t="shared" si="20"/>
        <v>42155</v>
      </c>
      <c r="AI39" s="27">
        <v>0.22</v>
      </c>
      <c r="AJ39" s="46">
        <f t="shared" si="21"/>
        <v>1114029.3349130049</v>
      </c>
      <c r="AM39" s="17"/>
      <c r="AN39" s="79"/>
      <c r="AO39" s="20">
        <f t="shared" si="22"/>
        <v>42155</v>
      </c>
      <c r="AP39" s="78">
        <f t="shared" si="39"/>
        <v>0.14854419379157158</v>
      </c>
      <c r="AQ39" s="46">
        <f t="shared" si="23"/>
        <v>1136748.3472576896</v>
      </c>
      <c r="AS39" s="10"/>
      <c r="AT39" s="39"/>
      <c r="AU39" s="20">
        <f t="shared" si="24"/>
        <v>42155</v>
      </c>
      <c r="AV39" s="27"/>
      <c r="AW39" s="46">
        <f t="shared" si="25"/>
        <v>1000000</v>
      </c>
      <c r="AZ39" s="17"/>
      <c r="BA39" s="79"/>
      <c r="BB39" s="20">
        <f t="shared" si="26"/>
        <v>42155</v>
      </c>
      <c r="BC39" s="78">
        <f t="shared" si="41"/>
        <v>-0.12273451180401454</v>
      </c>
      <c r="BD39" s="46">
        <f t="shared" si="27"/>
        <v>1078436.4548993923</v>
      </c>
      <c r="BF39" s="10"/>
      <c r="BG39" s="39"/>
      <c r="BH39" s="20">
        <f t="shared" si="28"/>
        <v>42155</v>
      </c>
      <c r="BI39" s="27"/>
      <c r="BJ39" s="46">
        <f t="shared" si="29"/>
        <v>1000000</v>
      </c>
      <c r="BM39" s="17"/>
      <c r="BN39" s="79"/>
      <c r="BO39" s="20">
        <f t="shared" si="30"/>
        <v>42155</v>
      </c>
      <c r="BP39" s="78"/>
      <c r="BQ39" s="46">
        <f t="shared" si="31"/>
        <v>1000000</v>
      </c>
      <c r="BS39" s="10"/>
      <c r="BV39" s="39"/>
      <c r="BW39" s="20">
        <f t="shared" si="32"/>
        <v>42155</v>
      </c>
      <c r="BX39" s="27">
        <v>0</v>
      </c>
      <c r="BY39" s="46">
        <f t="shared" si="33"/>
        <v>1094768.3506833375</v>
      </c>
      <c r="CB39" s="17"/>
      <c r="CC39" s="79"/>
      <c r="CD39" s="20">
        <f t="shared" si="34"/>
        <v>42155</v>
      </c>
      <c r="CE39" s="78">
        <f t="shared" si="40"/>
        <v>6.6522818767119907E-2</v>
      </c>
      <c r="CF39" s="46">
        <f t="shared" si="35"/>
        <v>1117315.2838815667</v>
      </c>
      <c r="CH39" s="10"/>
      <c r="CI39" s="39"/>
    </row>
    <row r="40" spans="1:87" x14ac:dyDescent="0.25">
      <c r="A40" s="20">
        <v>42185</v>
      </c>
      <c r="B40" s="24">
        <f t="shared" si="36"/>
        <v>25</v>
      </c>
      <c r="C40" s="301">
        <f>'LC (Gross)'!X202</f>
        <v>-1.7730048146024422</v>
      </c>
      <c r="D40" s="301">
        <v>-2.0541</v>
      </c>
      <c r="E40" s="301">
        <f>'CRA (Gross)'!E40</f>
        <v>-1.0904973164148501</v>
      </c>
      <c r="F40" s="301">
        <f>'CRA (Gross)'!F40</f>
        <v>0</v>
      </c>
      <c r="G40" s="39"/>
      <c r="H40" s="20">
        <f t="shared" si="12"/>
        <v>42185</v>
      </c>
      <c r="I40" s="27">
        <v>-2.1399999999999997</v>
      </c>
      <c r="J40" s="46">
        <f t="shared" si="13"/>
        <v>1173523.4491867488</v>
      </c>
      <c r="L40" s="49">
        <f>(J40/J37-1)*100</f>
        <v>-2.9027580268000008</v>
      </c>
      <c r="M40" s="17"/>
      <c r="N40" s="79"/>
      <c r="O40" s="20">
        <f t="shared" si="14"/>
        <v>42185</v>
      </c>
      <c r="P40" s="78">
        <f t="shared" si="37"/>
        <v>-1.2832676480313432</v>
      </c>
      <c r="Q40" s="46">
        <f t="shared" si="15"/>
        <v>1167353.2509175688</v>
      </c>
      <c r="S40" s="5">
        <f>(Q40/Q37-1)*100</f>
        <v>-1.453735022278646</v>
      </c>
      <c r="T40" s="39"/>
      <c r="U40" s="20">
        <f t="shared" si="16"/>
        <v>42185</v>
      </c>
      <c r="V40" s="27">
        <v>-1.95</v>
      </c>
      <c r="W40" s="46">
        <f t="shared" si="17"/>
        <v>1134228.9690159673</v>
      </c>
      <c r="X40" s="61"/>
      <c r="Y40" s="49">
        <f>(W40/W37-1)*100</f>
        <v>-2.7200533240000158</v>
      </c>
      <c r="Z40" s="17"/>
      <c r="AA40" s="79"/>
      <c r="AB40" s="20">
        <f t="shared" si="18"/>
        <v>42185</v>
      </c>
      <c r="AC40" s="78">
        <f t="shared" si="38"/>
        <v>-1.1668367640333266</v>
      </c>
      <c r="AD40" s="46">
        <f t="shared" si="19"/>
        <v>1138334.3794697206</v>
      </c>
      <c r="AE40" s="61"/>
      <c r="AF40" s="49">
        <f>(AD40/AD37-1)*100</f>
        <v>-1.4553383110721185</v>
      </c>
      <c r="AG40" s="44"/>
      <c r="AH40" s="20">
        <f t="shared" si="20"/>
        <v>42185</v>
      </c>
      <c r="AI40" s="27">
        <v>-1.73</v>
      </c>
      <c r="AJ40" s="46">
        <f t="shared" si="21"/>
        <v>1094756.6274190098</v>
      </c>
      <c r="AK40" s="61"/>
      <c r="AL40" s="49">
        <f>(AJ40/AJ37-1)*100</f>
        <v>-2.4592734624000023</v>
      </c>
      <c r="AM40" s="17"/>
      <c r="AN40" s="79"/>
      <c r="AO40" s="20">
        <f t="shared" si="22"/>
        <v>42185</v>
      </c>
      <c r="AP40" s="78">
        <f t="shared" si="39"/>
        <v>-1.2076357458560523</v>
      </c>
      <c r="AQ40" s="46">
        <f t="shared" si="23"/>
        <v>1123020.5678757778</v>
      </c>
      <c r="AR40" s="61"/>
      <c r="AS40" s="49">
        <f>(AQ40/AQ37-1)*100</f>
        <v>-1.5109499618333855</v>
      </c>
      <c r="AT40" s="39"/>
      <c r="AU40" s="20">
        <f t="shared" si="24"/>
        <v>42185</v>
      </c>
      <c r="AV40" s="27"/>
      <c r="AW40" s="46">
        <f t="shared" si="25"/>
        <v>1000000</v>
      </c>
      <c r="AX40" s="61"/>
      <c r="AY40" s="49">
        <f>(AW40/AW37-1)*100</f>
        <v>0</v>
      </c>
      <c r="AZ40" s="17"/>
      <c r="BA40" s="79"/>
      <c r="BB40" s="20">
        <f t="shared" si="26"/>
        <v>42185</v>
      </c>
      <c r="BC40" s="78">
        <f t="shared" si="41"/>
        <v>-1.0433536029506394</v>
      </c>
      <c r="BD40" s="46">
        <f t="shared" si="27"/>
        <v>1067184.5492916664</v>
      </c>
      <c r="BE40" s="61"/>
      <c r="BF40" s="49">
        <f>(BD40/BD37-1)*100</f>
        <v>-1.429093162595374</v>
      </c>
      <c r="BG40" s="39"/>
      <c r="BH40" s="20">
        <f t="shared" si="28"/>
        <v>42185</v>
      </c>
      <c r="BI40" s="27"/>
      <c r="BJ40" s="46">
        <f t="shared" si="29"/>
        <v>1000000</v>
      </c>
      <c r="BK40" s="61"/>
      <c r="BL40" s="49">
        <f>(BJ40/BJ37-1)*100</f>
        <v>0</v>
      </c>
      <c r="BM40" s="17"/>
      <c r="BN40" s="79"/>
      <c r="BO40" s="20">
        <f t="shared" si="30"/>
        <v>42185</v>
      </c>
      <c r="BP40" s="78"/>
      <c r="BQ40" s="46">
        <f t="shared" si="31"/>
        <v>1000000</v>
      </c>
      <c r="BR40" s="61"/>
      <c r="BS40" s="49">
        <f>(BQ40/BQ37-1)*100</f>
        <v>0</v>
      </c>
      <c r="BV40" s="39"/>
      <c r="BW40" s="20">
        <f t="shared" si="32"/>
        <v>42185</v>
      </c>
      <c r="BX40" s="27">
        <v>-1.44</v>
      </c>
      <c r="BY40" s="46">
        <f t="shared" si="33"/>
        <v>1079003.6864334976</v>
      </c>
      <c r="BZ40" s="61"/>
      <c r="CA40" s="49">
        <f>(BY40/BY37-1)*100</f>
        <v>-2.2580479999999903</v>
      </c>
      <c r="CB40" s="17"/>
      <c r="CC40" s="79"/>
      <c r="CD40" s="20">
        <f t="shared" si="34"/>
        <v>42185</v>
      </c>
      <c r="CE40" s="78">
        <f t="shared" si="40"/>
        <v>-1.0912048618580357</v>
      </c>
      <c r="CF40" s="46">
        <f t="shared" si="35"/>
        <v>1105123.0851815681</v>
      </c>
      <c r="CG40" s="61"/>
      <c r="CH40" s="49">
        <f>(CF40/CF37-1)*100</f>
        <v>-1.5127884175124562</v>
      </c>
      <c r="CI40" s="39"/>
    </row>
    <row r="41" spans="1:87" x14ac:dyDescent="0.25">
      <c r="A41" s="20">
        <v>42216</v>
      </c>
      <c r="B41" s="24">
        <f t="shared" si="36"/>
        <v>26</v>
      </c>
      <c r="C41" s="301">
        <f>'LC (Gross)'!X203</f>
        <v>4.3381932149607065</v>
      </c>
      <c r="D41" s="301">
        <v>3.4958</v>
      </c>
      <c r="E41" s="301">
        <f>'CRA (Gross)'!E41</f>
        <v>0.69528305339041729</v>
      </c>
      <c r="F41" s="301">
        <f>'CRA (Gross)'!F41</f>
        <v>0</v>
      </c>
      <c r="G41" s="39"/>
      <c r="H41" s="20">
        <f t="shared" si="12"/>
        <v>42216</v>
      </c>
      <c r="I41" s="27">
        <v>3.29</v>
      </c>
      <c r="J41" s="46">
        <f t="shared" si="13"/>
        <v>1212132.3706649928</v>
      </c>
      <c r="K41" s="61"/>
      <c r="M41" s="17"/>
      <c r="N41" s="79"/>
      <c r="O41" s="20">
        <f t="shared" si="14"/>
        <v>42216</v>
      </c>
      <c r="P41" s="78">
        <f t="shared" si="37"/>
        <v>2.9103762682283891</v>
      </c>
      <c r="Q41" s="46">
        <f t="shared" si="15"/>
        <v>1201327.6228986664</v>
      </c>
      <c r="R41" s="61"/>
      <c r="S41" s="10"/>
      <c r="T41" s="39"/>
      <c r="U41" s="20">
        <f t="shared" si="16"/>
        <v>42216</v>
      </c>
      <c r="V41" s="27">
        <v>2.6599999999999997</v>
      </c>
      <c r="W41" s="46">
        <f t="shared" si="17"/>
        <v>1164399.459591792</v>
      </c>
      <c r="X41" s="61"/>
      <c r="Z41" s="17"/>
      <c r="AA41" s="79"/>
      <c r="AB41" s="20">
        <f t="shared" si="18"/>
        <v>42216</v>
      </c>
      <c r="AC41" s="78">
        <f t="shared" si="38"/>
        <v>2.4060594047408808</v>
      </c>
      <c r="AD41" s="46">
        <f t="shared" si="19"/>
        <v>1165723.3808643506</v>
      </c>
      <c r="AE41" s="61"/>
      <c r="AF41" s="10"/>
      <c r="AG41" s="44"/>
      <c r="AH41" s="20">
        <f t="shared" si="20"/>
        <v>42216</v>
      </c>
      <c r="AI41" s="27">
        <v>2</v>
      </c>
      <c r="AJ41" s="46">
        <f t="shared" si="21"/>
        <v>1116651.75996739</v>
      </c>
      <c r="AK41" s="61"/>
      <c r="AM41" s="17"/>
      <c r="AN41" s="79"/>
      <c r="AO41" s="20">
        <f t="shared" si="22"/>
        <v>42216</v>
      </c>
      <c r="AP41" s="78">
        <f t="shared" si="39"/>
        <v>2.1112966939228932</v>
      </c>
      <c r="AQ41" s="46">
        <f t="shared" si="23"/>
        <v>1146730.8639974133</v>
      </c>
      <c r="AR41" s="61"/>
      <c r="AS41" s="10"/>
      <c r="AT41" s="39"/>
      <c r="AU41" s="20">
        <f t="shared" si="24"/>
        <v>42216</v>
      </c>
      <c r="AV41" s="27"/>
      <c r="AW41" s="46">
        <f t="shared" si="25"/>
        <v>1000000</v>
      </c>
      <c r="AX41" s="61"/>
      <c r="AZ41" s="17"/>
      <c r="BA41" s="79"/>
      <c r="BB41" s="20">
        <f t="shared" si="26"/>
        <v>42216</v>
      </c>
      <c r="BC41" s="78">
        <f t="shared" si="41"/>
        <v>1.0953074588693628</v>
      </c>
      <c r="BD41" s="46">
        <f t="shared" si="27"/>
        <v>1078873.5012599593</v>
      </c>
      <c r="BE41" s="61"/>
      <c r="BF41" s="10"/>
      <c r="BG41" s="39"/>
      <c r="BH41" s="20">
        <f t="shared" si="28"/>
        <v>42216</v>
      </c>
      <c r="BI41" s="27"/>
      <c r="BJ41" s="46">
        <f t="shared" si="29"/>
        <v>1000000</v>
      </c>
      <c r="BK41" s="61"/>
      <c r="BM41" s="17"/>
      <c r="BN41" s="79"/>
      <c r="BO41" s="20">
        <f t="shared" si="30"/>
        <v>42216</v>
      </c>
      <c r="BP41" s="78"/>
      <c r="BQ41" s="46">
        <f t="shared" si="31"/>
        <v>1000000</v>
      </c>
      <c r="BR41" s="61"/>
      <c r="BS41" s="10"/>
      <c r="BV41" s="39"/>
      <c r="BW41" s="20">
        <f t="shared" si="32"/>
        <v>42216</v>
      </c>
      <c r="BX41" s="27">
        <v>1.49</v>
      </c>
      <c r="BY41" s="46">
        <f t="shared" si="33"/>
        <v>1095080.8413613567</v>
      </c>
      <c r="BZ41" s="61"/>
      <c r="CB41" s="17"/>
      <c r="CC41" s="79"/>
      <c r="CD41" s="20">
        <f t="shared" si="34"/>
        <v>42216</v>
      </c>
      <c r="CE41" s="78">
        <f t="shared" si="40"/>
        <v>1.6069798304353853</v>
      </c>
      <c r="CF41" s="46">
        <f t="shared" si="35"/>
        <v>1122882.1902619211</v>
      </c>
      <c r="CG41" s="61"/>
      <c r="CH41" s="10"/>
      <c r="CI41" s="39"/>
    </row>
    <row r="42" spans="1:87" x14ac:dyDescent="0.25">
      <c r="A42" s="20">
        <v>42247</v>
      </c>
      <c r="B42" s="24">
        <f t="shared" si="36"/>
        <v>27</v>
      </c>
      <c r="C42" s="301">
        <f>'LC (Gross)'!X204</f>
        <v>-4.9050618969998618</v>
      </c>
      <c r="D42" s="301">
        <v>-5.4657999999999998</v>
      </c>
      <c r="E42" s="301">
        <f>'CRA (Gross)'!E42</f>
        <v>-0.14380720489671225</v>
      </c>
      <c r="F42" s="301">
        <f>'CRA (Gross)'!F42</f>
        <v>0</v>
      </c>
      <c r="G42" s="39"/>
      <c r="H42" s="20">
        <f t="shared" si="12"/>
        <v>42247</v>
      </c>
      <c r="I42" s="27">
        <v>-4.63</v>
      </c>
      <c r="J42" s="46">
        <f t="shared" si="13"/>
        <v>1156010.6419032037</v>
      </c>
      <c r="K42" s="61"/>
      <c r="L42" s="105"/>
      <c r="M42" s="17"/>
      <c r="N42" s="79"/>
      <c r="O42" s="20">
        <f t="shared" si="14"/>
        <v>42247</v>
      </c>
      <c r="P42" s="78">
        <f t="shared" si="37"/>
        <v>-3.5176540433499239</v>
      </c>
      <c r="Q42" s="46">
        <f t="shared" si="15"/>
        <v>1159069.0731978919</v>
      </c>
      <c r="R42" s="61"/>
      <c r="S42" s="65"/>
      <c r="T42" s="39"/>
      <c r="U42" s="20">
        <f t="shared" si="16"/>
        <v>42247</v>
      </c>
      <c r="V42" s="27">
        <v>-3.9800000000000004</v>
      </c>
      <c r="W42" s="46">
        <f t="shared" si="17"/>
        <v>1118056.3611000387</v>
      </c>
      <c r="X42" s="49"/>
      <c r="Y42" s="105"/>
      <c r="Z42" s="17"/>
      <c r="AA42" s="79"/>
      <c r="AB42" s="20">
        <f t="shared" si="18"/>
        <v>42247</v>
      </c>
      <c r="AC42" s="78">
        <f t="shared" si="38"/>
        <v>-2.7754289343844447</v>
      </c>
      <c r="AD42" s="46">
        <f t="shared" si="19"/>
        <v>1133369.5568569568</v>
      </c>
      <c r="AE42" s="49"/>
      <c r="AF42" s="105"/>
      <c r="AG42" s="44"/>
      <c r="AH42" s="20">
        <f t="shared" si="20"/>
        <v>42247</v>
      </c>
      <c r="AI42" s="27">
        <v>-3.27</v>
      </c>
      <c r="AJ42" s="46">
        <f t="shared" si="21"/>
        <v>1080137.2474164562</v>
      </c>
      <c r="AK42" s="49"/>
      <c r="AL42" s="105"/>
      <c r="AM42" s="17"/>
      <c r="AN42" s="79"/>
      <c r="AO42" s="20">
        <f t="shared" si="22"/>
        <v>42247</v>
      </c>
      <c r="AP42" s="78">
        <f t="shared" si="39"/>
        <v>-2.3136841856638011</v>
      </c>
      <c r="AQ42" s="46">
        <f t="shared" si="23"/>
        <v>1120199.1333449793</v>
      </c>
      <c r="AR42" s="49"/>
      <c r="AS42" s="105"/>
      <c r="AT42" s="39"/>
      <c r="AU42" s="20">
        <f t="shared" si="24"/>
        <v>42247</v>
      </c>
      <c r="AV42" s="27"/>
      <c r="AW42" s="46">
        <f t="shared" si="25"/>
        <v>1000000</v>
      </c>
      <c r="AX42" s="49"/>
      <c r="AY42" s="105"/>
      <c r="AZ42" s="17"/>
      <c r="BA42" s="79"/>
      <c r="BB42" s="20">
        <f t="shared" si="26"/>
        <v>42247</v>
      </c>
      <c r="BC42" s="78">
        <f t="shared" si="41"/>
        <v>-0.86446123312768475</v>
      </c>
      <c r="BD42" s="46">
        <f t="shared" si="27"/>
        <v>1069547.0580870796</v>
      </c>
      <c r="BE42" s="49"/>
      <c r="BF42" s="105"/>
      <c r="BG42" s="39"/>
      <c r="BH42" s="20">
        <f t="shared" si="28"/>
        <v>42247</v>
      </c>
      <c r="BI42" s="27"/>
      <c r="BJ42" s="46">
        <f t="shared" si="29"/>
        <v>1000000</v>
      </c>
      <c r="BK42" s="49"/>
      <c r="BL42" s="105"/>
      <c r="BM42" s="17"/>
      <c r="BN42" s="79"/>
      <c r="BO42" s="20">
        <f t="shared" si="30"/>
        <v>42247</v>
      </c>
      <c r="BP42" s="78"/>
      <c r="BQ42" s="46">
        <f t="shared" si="31"/>
        <v>1000000</v>
      </c>
      <c r="BR42" s="49"/>
      <c r="BS42" s="105"/>
      <c r="BV42" s="39"/>
      <c r="BW42" s="20">
        <f t="shared" si="32"/>
        <v>42247</v>
      </c>
      <c r="BX42" s="27">
        <v>-2.39</v>
      </c>
      <c r="BY42" s="46">
        <f t="shared" si="33"/>
        <v>1068908.4092528203</v>
      </c>
      <c r="BZ42" s="49"/>
      <c r="CA42" s="105"/>
      <c r="CB42" s="17"/>
      <c r="CC42" s="79"/>
      <c r="CD42" s="20">
        <f t="shared" si="34"/>
        <v>42247</v>
      </c>
      <c r="CE42" s="78">
        <f t="shared" si="40"/>
        <v>-1.5714590766983216</v>
      </c>
      <c r="CF42" s="46">
        <f t="shared" si="35"/>
        <v>1105236.5561624214</v>
      </c>
      <c r="CG42" s="49"/>
      <c r="CH42" s="105"/>
      <c r="CI42" s="39"/>
    </row>
    <row r="43" spans="1:87" x14ac:dyDescent="0.25">
      <c r="A43" s="20">
        <v>42277</v>
      </c>
      <c r="B43" s="24">
        <f t="shared" si="36"/>
        <v>28</v>
      </c>
      <c r="C43" s="301">
        <f>'LC (Gross)'!X205</f>
        <v>-0.40605774219850382</v>
      </c>
      <c r="D43" s="301">
        <v>-2.6442000000000001</v>
      </c>
      <c r="E43" s="301">
        <f>'CRA (Gross)'!E43</f>
        <v>0.67639933035946342</v>
      </c>
      <c r="F43" s="301">
        <f>'CRA (Gross)'!F43</f>
        <v>0</v>
      </c>
      <c r="G43" s="39"/>
      <c r="H43" s="20">
        <f t="shared" si="12"/>
        <v>42277</v>
      </c>
      <c r="I43" s="27">
        <v>0.28999999999999998</v>
      </c>
      <c r="J43" s="46">
        <f t="shared" si="13"/>
        <v>1159363.0727647229</v>
      </c>
      <c r="K43" s="49"/>
      <c r="L43" s="49">
        <f>(J43/J40-1)*100</f>
        <v>-1.2066547483000067</v>
      </c>
      <c r="M43" s="17"/>
      <c r="N43" s="79"/>
      <c r="O43" s="20">
        <f t="shared" si="14"/>
        <v>42277</v>
      </c>
      <c r="P43" s="78">
        <f t="shared" si="37"/>
        <v>-0.61996175820917709</v>
      </c>
      <c r="Q43" s="46">
        <f t="shared" si="15"/>
        <v>1151883.2881928354</v>
      </c>
      <c r="R43" s="49"/>
      <c r="S43" s="5">
        <f>(Q43/Q40-1)*100</f>
        <v>-1.3252169137811243</v>
      </c>
      <c r="T43" s="39"/>
      <c r="U43" s="20">
        <f t="shared" si="16"/>
        <v>42277</v>
      </c>
      <c r="V43" s="27">
        <v>0.28999999999999998</v>
      </c>
      <c r="W43" s="46">
        <f t="shared" si="17"/>
        <v>1121298.7245472288</v>
      </c>
      <c r="X43" s="6"/>
      <c r="Y43" s="49">
        <f>(W43/W40-1)*100</f>
        <v>-1.1400030172000086</v>
      </c>
      <c r="Z43" s="17"/>
      <c r="AA43" s="79"/>
      <c r="AB43" s="20">
        <f t="shared" si="18"/>
        <v>42277</v>
      </c>
      <c r="AC43" s="78">
        <f t="shared" si="38"/>
        <v>-0.34568608443540727</v>
      </c>
      <c r="AD43" s="46">
        <f t="shared" si="19"/>
        <v>1129451.656013675</v>
      </c>
      <c r="AE43" s="6"/>
      <c r="AF43" s="49">
        <f>(AD43/AD40-1)*100</f>
        <v>-0.78032638003813215</v>
      </c>
      <c r="AG43" s="44"/>
      <c r="AH43" s="20">
        <f t="shared" si="20"/>
        <v>42277</v>
      </c>
      <c r="AI43" s="27">
        <v>0.32</v>
      </c>
      <c r="AJ43" s="46">
        <f t="shared" si="21"/>
        <v>1083593.6866081888</v>
      </c>
      <c r="AK43" s="6"/>
      <c r="AL43" s="49">
        <f>(AJ43/AJ40-1)*100</f>
        <v>-1.0196732800000219</v>
      </c>
      <c r="AM43" s="17"/>
      <c r="AN43" s="79"/>
      <c r="AO43" s="20">
        <f t="shared" si="22"/>
        <v>42277</v>
      </c>
      <c r="AP43" s="78">
        <f t="shared" si="39"/>
        <v>-0.16980044414366419</v>
      </c>
      <c r="AQ43" s="46">
        <f t="shared" si="23"/>
        <v>1118297.0302412659</v>
      </c>
      <c r="AR43" s="6"/>
      <c r="AS43" s="49">
        <f>(AQ43/AQ40-1)*100</f>
        <v>-0.42061007337084177</v>
      </c>
      <c r="AT43" s="39"/>
      <c r="AU43" s="20">
        <f t="shared" si="24"/>
        <v>42277</v>
      </c>
      <c r="AV43" s="27"/>
      <c r="AW43" s="46">
        <f t="shared" si="25"/>
        <v>1000000</v>
      </c>
      <c r="AX43" s="6"/>
      <c r="AY43" s="49">
        <f>(AW43/AW40-1)*100</f>
        <v>0</v>
      </c>
      <c r="AZ43" s="17"/>
      <c r="BA43" s="79"/>
      <c r="BB43" s="20">
        <f t="shared" si="26"/>
        <v>42277</v>
      </c>
      <c r="BC43" s="78">
        <f t="shared" si="41"/>
        <v>0.30066375703177395</v>
      </c>
      <c r="BD43" s="46">
        <f t="shared" si="27"/>
        <v>1072762.7984551471</v>
      </c>
      <c r="BE43" s="6"/>
      <c r="BF43" s="49">
        <f>(BD43/BD40-1)*100</f>
        <v>0.52270707697026353</v>
      </c>
      <c r="BG43" s="39"/>
      <c r="BH43" s="20">
        <f t="shared" si="28"/>
        <v>42277</v>
      </c>
      <c r="BI43" s="27"/>
      <c r="BJ43" s="46">
        <f t="shared" si="29"/>
        <v>1000000</v>
      </c>
      <c r="BK43" s="6"/>
      <c r="BL43" s="49">
        <f>(BJ43/BJ40-1)*100</f>
        <v>0</v>
      </c>
      <c r="BM43" s="17"/>
      <c r="BN43" s="79"/>
      <c r="BO43" s="20">
        <f t="shared" si="30"/>
        <v>42277</v>
      </c>
      <c r="BP43" s="78"/>
      <c r="BQ43" s="46">
        <f t="shared" si="31"/>
        <v>1000000</v>
      </c>
      <c r="BR43" s="6"/>
      <c r="BS43" s="49">
        <f>(BQ43/BQ40-1)*100</f>
        <v>0</v>
      </c>
      <c r="BV43" s="39"/>
      <c r="BW43" s="20">
        <f t="shared" si="32"/>
        <v>42277</v>
      </c>
      <c r="BX43" s="27">
        <v>0.3</v>
      </c>
      <c r="BY43" s="46">
        <f t="shared" si="33"/>
        <v>1072115.1344805788</v>
      </c>
      <c r="BZ43" s="6"/>
      <c r="CA43" s="49">
        <f>(BY43/BY40-1)*100</f>
        <v>-0.63841783299999344</v>
      </c>
      <c r="CB43" s="17"/>
      <c r="CC43" s="79"/>
      <c r="CD43" s="20">
        <f t="shared" si="34"/>
        <v>42277</v>
      </c>
      <c r="CE43" s="78">
        <f t="shared" si="40"/>
        <v>0.10447522963010575</v>
      </c>
      <c r="CF43" s="46">
        <f t="shared" si="35"/>
        <v>1106391.254592428</v>
      </c>
      <c r="CG43" s="6"/>
      <c r="CH43" s="49">
        <f>(CF43/CF40-1)*100</f>
        <v>0.11475368018862842</v>
      </c>
      <c r="CI43" s="39"/>
    </row>
    <row r="44" spans="1:87" x14ac:dyDescent="0.25">
      <c r="A44" s="20">
        <v>42308</v>
      </c>
      <c r="B44" s="24">
        <f t="shared" si="36"/>
        <v>29</v>
      </c>
      <c r="C44" s="301">
        <f>'LC (Gross)'!X206</f>
        <v>6.8115021819909982</v>
      </c>
      <c r="D44" s="301">
        <v>6.5147000000000004</v>
      </c>
      <c r="E44" s="301">
        <f>'CRA (Gross)'!E44</f>
        <v>1.7041669463906634E-2</v>
      </c>
      <c r="F44" s="301">
        <f>'CRA (Gross)'!F44</f>
        <v>0</v>
      </c>
      <c r="G44" s="39"/>
      <c r="H44" s="20">
        <f t="shared" si="12"/>
        <v>42308</v>
      </c>
      <c r="I44" s="27">
        <v>4.9799999999999995</v>
      </c>
      <c r="J44" s="46">
        <f t="shared" si="13"/>
        <v>1217099.3537884061</v>
      </c>
      <c r="K44" s="6"/>
      <c r="L44" s="49"/>
      <c r="M44" s="17"/>
      <c r="N44" s="79"/>
      <c r="O44" s="20">
        <f t="shared" si="14"/>
        <v>42308</v>
      </c>
      <c r="P44" s="78">
        <f t="shared" si="37"/>
        <v>4.7235312000950493</v>
      </c>
      <c r="Q44" s="46">
        <f t="shared" si="15"/>
        <v>1206292.8546993048</v>
      </c>
      <c r="R44" s="6"/>
      <c r="S44" s="5"/>
      <c r="T44" s="39"/>
      <c r="U44" s="20">
        <f t="shared" si="16"/>
        <v>42308</v>
      </c>
      <c r="V44" s="27">
        <v>4.07</v>
      </c>
      <c r="W44" s="46">
        <f t="shared" si="17"/>
        <v>1166935.5826363009</v>
      </c>
      <c r="X44" s="6"/>
      <c r="Z44" s="17"/>
      <c r="AA44" s="79"/>
      <c r="AB44" s="20">
        <f t="shared" si="18"/>
        <v>42308</v>
      </c>
      <c r="AC44" s="78">
        <f t="shared" si="38"/>
        <v>3.7192022323155358</v>
      </c>
      <c r="AD44" s="46">
        <f t="shared" si="19"/>
        <v>1171458.2472170605</v>
      </c>
      <c r="AE44" s="6"/>
      <c r="AG44" s="44"/>
      <c r="AH44" s="20">
        <f t="shared" si="20"/>
        <v>42308</v>
      </c>
      <c r="AI44" s="27">
        <v>3.1300000000000003</v>
      </c>
      <c r="AJ44" s="46">
        <f t="shared" si="21"/>
        <v>1117510.1689990251</v>
      </c>
      <c r="AK44" s="6"/>
      <c r="AM44" s="17"/>
      <c r="AN44" s="79"/>
      <c r="AO44" s="20">
        <f t="shared" si="22"/>
        <v>42308</v>
      </c>
      <c r="AP44" s="78">
        <f t="shared" si="39"/>
        <v>3.0414603480092168</v>
      </c>
      <c r="AQ44" s="46">
        <f t="shared" si="23"/>
        <v>1152309.5909890186</v>
      </c>
      <c r="AR44" s="6"/>
      <c r="AT44" s="39"/>
      <c r="AU44" s="20">
        <f t="shared" si="24"/>
        <v>42308</v>
      </c>
      <c r="AV44" s="27">
        <v>0.75</v>
      </c>
      <c r="AW44" s="46">
        <f t="shared" si="25"/>
        <v>1007500</v>
      </c>
      <c r="AX44" s="6"/>
      <c r="AZ44" s="17"/>
      <c r="BA44" s="79"/>
      <c r="BB44" s="20">
        <f t="shared" si="26"/>
        <v>42308</v>
      </c>
      <c r="BC44" s="78">
        <f t="shared" si="41"/>
        <v>1.0188143868238346</v>
      </c>
      <c r="BD44" s="46">
        <f t="shared" si="27"/>
        <v>1083692.260182302</v>
      </c>
      <c r="BE44" s="6"/>
      <c r="BG44" s="39"/>
      <c r="BH44" s="20">
        <f t="shared" si="28"/>
        <v>42308</v>
      </c>
      <c r="BI44" s="27"/>
      <c r="BJ44" s="46">
        <f t="shared" si="29"/>
        <v>1000000</v>
      </c>
      <c r="BK44" s="6"/>
      <c r="BM44" s="17"/>
      <c r="BN44" s="79"/>
      <c r="BO44" s="20">
        <f t="shared" si="30"/>
        <v>42308</v>
      </c>
      <c r="BP44" s="78"/>
      <c r="BQ44" s="46">
        <f t="shared" si="31"/>
        <v>1000000</v>
      </c>
      <c r="BR44" s="6"/>
      <c r="BV44" s="39"/>
      <c r="BW44" s="20">
        <f t="shared" si="32"/>
        <v>42308</v>
      </c>
      <c r="BX44" s="27">
        <v>2.0299999999999998</v>
      </c>
      <c r="BY44" s="46">
        <f t="shared" si="33"/>
        <v>1093879.0717105346</v>
      </c>
      <c r="BZ44" s="6"/>
      <c r="CB44" s="17"/>
      <c r="CC44" s="79"/>
      <c r="CD44" s="20">
        <f t="shared" si="34"/>
        <v>42308</v>
      </c>
      <c r="CE44" s="78">
        <f t="shared" si="40"/>
        <v>2.0371313802297029</v>
      </c>
      <c r="CF44" s="46">
        <f t="shared" si="35"/>
        <v>1128929.8980278475</v>
      </c>
      <c r="CG44" s="6"/>
      <c r="CH44" s="49"/>
      <c r="CI44" s="39"/>
    </row>
    <row r="45" spans="1:87" x14ac:dyDescent="0.25">
      <c r="A45" s="20">
        <v>42338</v>
      </c>
      <c r="B45" s="24">
        <f t="shared" si="36"/>
        <v>30</v>
      </c>
      <c r="C45" s="301">
        <f>'LC (Gross)'!X207</f>
        <v>1.0936049478238594</v>
      </c>
      <c r="D45" s="301">
        <v>-1.7473000000000001</v>
      </c>
      <c r="E45" s="301">
        <f>'CRA (Gross)'!E45</f>
        <v>-0.26435903261115939</v>
      </c>
      <c r="F45" s="301">
        <f>'CRA (Gross)'!F45</f>
        <v>0.01</v>
      </c>
      <c r="G45" s="39"/>
      <c r="H45" s="20">
        <f t="shared" si="12"/>
        <v>42338</v>
      </c>
      <c r="I45" s="27">
        <v>-0.67999999999999994</v>
      </c>
      <c r="J45" s="46">
        <f t="shared" si="13"/>
        <v>1208823.0781826449</v>
      </c>
      <c r="K45" s="6"/>
      <c r="L45" s="49"/>
      <c r="M45" s="17"/>
      <c r="N45" s="79"/>
      <c r="O45" s="20">
        <f t="shared" si="14"/>
        <v>42338</v>
      </c>
      <c r="P45" s="78">
        <f t="shared" si="37"/>
        <v>0.34238772130312273</v>
      </c>
      <c r="Q45" s="46">
        <f t="shared" si="15"/>
        <v>1210423.0533167522</v>
      </c>
      <c r="R45" s="6"/>
      <c r="S45" s="5"/>
      <c r="T45" s="39"/>
      <c r="U45" s="20">
        <f t="shared" si="16"/>
        <v>42338</v>
      </c>
      <c r="V45" s="27">
        <v>-0.63</v>
      </c>
      <c r="W45" s="46">
        <f t="shared" si="17"/>
        <v>1159583.8884656923</v>
      </c>
      <c r="X45" s="6"/>
      <c r="Y45" s="49"/>
      <c r="Z45" s="17"/>
      <c r="AA45" s="79"/>
      <c r="AB45" s="20">
        <f t="shared" si="18"/>
        <v>42338</v>
      </c>
      <c r="AC45" s="78">
        <f t="shared" si="38"/>
        <v>0.28073837162906284</v>
      </c>
      <c r="AD45" s="46">
        <f t="shared" si="19"/>
        <v>1174746.980024612</v>
      </c>
      <c r="AE45" s="6"/>
      <c r="AG45" s="44"/>
      <c r="AH45" s="20">
        <f t="shared" si="20"/>
        <v>42338</v>
      </c>
      <c r="AI45" s="27">
        <v>-0.6</v>
      </c>
      <c r="AJ45" s="46">
        <f t="shared" si="21"/>
        <v>1110805.1079850311</v>
      </c>
      <c r="AK45" s="6"/>
      <c r="AM45" s="17"/>
      <c r="AN45" s="79"/>
      <c r="AO45" s="20">
        <f t="shared" si="22"/>
        <v>42338</v>
      </c>
      <c r="AP45" s="78">
        <f t="shared" si="39"/>
        <v>0.11750607032444496</v>
      </c>
      <c r="AQ45" s="46">
        <f t="shared" si="23"/>
        <v>1153663.6247073615</v>
      </c>
      <c r="AR45" s="6"/>
      <c r="AT45" s="39"/>
      <c r="AU45" s="20">
        <f t="shared" si="24"/>
        <v>42338</v>
      </c>
      <c r="AV45" s="27">
        <v>-0.38999999999999996</v>
      </c>
      <c r="AW45" s="46">
        <f t="shared" si="25"/>
        <v>1003570.75</v>
      </c>
      <c r="AX45" s="6"/>
      <c r="AZ45" s="17"/>
      <c r="BA45" s="79"/>
      <c r="BB45" s="20">
        <f t="shared" si="26"/>
        <v>42338</v>
      </c>
      <c r="BC45" s="78">
        <f t="shared" si="41"/>
        <v>-0.16155582804542562</v>
      </c>
      <c r="BD45" s="46">
        <f t="shared" si="27"/>
        <v>1081941.4921779002</v>
      </c>
      <c r="BE45" s="6"/>
      <c r="BG45" s="39"/>
      <c r="BH45" s="20">
        <f t="shared" si="28"/>
        <v>42338</v>
      </c>
      <c r="BI45" s="27"/>
      <c r="BJ45" s="46">
        <f t="shared" si="29"/>
        <v>1000000</v>
      </c>
      <c r="BK45" s="6"/>
      <c r="BM45" s="17"/>
      <c r="BN45" s="79"/>
      <c r="BO45" s="20">
        <f t="shared" si="30"/>
        <v>42338</v>
      </c>
      <c r="BP45" s="78"/>
      <c r="BQ45" s="46">
        <f t="shared" si="31"/>
        <v>1000000</v>
      </c>
      <c r="BR45" s="6"/>
      <c r="BV45" s="39"/>
      <c r="BW45" s="20">
        <f t="shared" si="32"/>
        <v>42338</v>
      </c>
      <c r="BX45" s="27">
        <v>-0.52</v>
      </c>
      <c r="BY45" s="46">
        <f t="shared" si="33"/>
        <v>1088190.9005376399</v>
      </c>
      <c r="BZ45" s="6"/>
      <c r="CB45" s="17"/>
      <c r="CC45" s="79"/>
      <c r="CD45" s="20">
        <f t="shared" si="34"/>
        <v>42338</v>
      </c>
      <c r="CE45" s="78">
        <f t="shared" si="40"/>
        <v>5.5856720650385133E-2</v>
      </c>
      <c r="CF45" s="46">
        <f t="shared" si="35"/>
        <v>1129560.4812473275</v>
      </c>
      <c r="CG45" s="6"/>
      <c r="CI45" s="39"/>
    </row>
    <row r="46" spans="1:87" x14ac:dyDescent="0.25">
      <c r="A46" s="20">
        <v>42369</v>
      </c>
      <c r="B46" s="24">
        <f t="shared" si="36"/>
        <v>31</v>
      </c>
      <c r="C46" s="301">
        <f>'LC (Gross)'!X208</f>
        <v>-0.1071220358356242</v>
      </c>
      <c r="D46" s="301">
        <v>1.3229</v>
      </c>
      <c r="E46" s="301">
        <f>'CRA (Gross)'!E46</f>
        <v>-0.32304156053923139</v>
      </c>
      <c r="F46" s="301">
        <f>'CRA (Gross)'!F46</f>
        <v>0.01</v>
      </c>
      <c r="G46" s="39"/>
      <c r="H46" s="20">
        <f t="shared" si="12"/>
        <v>42369</v>
      </c>
      <c r="I46" s="27">
        <v>-0.31</v>
      </c>
      <c r="J46" s="46">
        <f t="shared" si="13"/>
        <v>1205075.7266402787</v>
      </c>
      <c r="K46" s="6">
        <f>(J46-J$34)/J$34*100</f>
        <v>0.72194301854534071</v>
      </c>
      <c r="L46" s="49">
        <f>(J46/J43-1)*100</f>
        <v>3.9429109784000049</v>
      </c>
      <c r="M46" s="17"/>
      <c r="N46" s="79"/>
      <c r="O46" s="20">
        <f t="shared" si="14"/>
        <v>42369</v>
      </c>
      <c r="P46" s="78">
        <f t="shared" si="37"/>
        <v>0.14251788029040668</v>
      </c>
      <c r="Q46" s="46">
        <f t="shared" si="15"/>
        <v>1212148.1225948858</v>
      </c>
      <c r="R46" s="6">
        <f>(Q46-Q$34)/Q$34*100</f>
        <v>3.6962220486046782</v>
      </c>
      <c r="S46" s="49">
        <f>(Q46/Q43-1)*100</f>
        <v>5.2318524819123358</v>
      </c>
      <c r="T46" s="39"/>
      <c r="U46" s="20">
        <f t="shared" si="16"/>
        <v>42369</v>
      </c>
      <c r="V46" s="27">
        <v>-0.36</v>
      </c>
      <c r="W46" s="46">
        <f t="shared" si="17"/>
        <v>1155409.3864672158</v>
      </c>
      <c r="X46" s="6">
        <f>(W46-W$34)/W$34*100</f>
        <v>4.5716840633808299E-2</v>
      </c>
      <c r="Y46" s="49">
        <f>(W46/W43-1)*100</f>
        <v>3.0420673075999938</v>
      </c>
      <c r="Z46" s="17"/>
      <c r="AA46" s="79"/>
      <c r="AB46" s="20">
        <f t="shared" si="18"/>
        <v>42369</v>
      </c>
      <c r="AC46" s="78">
        <f t="shared" si="38"/>
        <v>3.862884979308439E-2</v>
      </c>
      <c r="AD46" s="46">
        <f t="shared" si="19"/>
        <v>1175200.7712709745</v>
      </c>
      <c r="AE46" s="6">
        <f>(AD46-AD$34)/AD$34*100</f>
        <v>2.9549170461702752</v>
      </c>
      <c r="AF46" s="49">
        <f>(AD46/AD43-1)*100</f>
        <v>4.0505598458961956</v>
      </c>
      <c r="AG46" s="44"/>
      <c r="AH46" s="20">
        <f t="shared" si="20"/>
        <v>42369</v>
      </c>
      <c r="AI46" s="27">
        <v>-0.4</v>
      </c>
      <c r="AJ46" s="46">
        <f t="shared" si="21"/>
        <v>1106361.8875530909</v>
      </c>
      <c r="AK46" s="6">
        <f>(AJ46-AJ$34)/AJ$34*100</f>
        <v>-0.48231915451219903</v>
      </c>
      <c r="AL46" s="49">
        <f>(AJ46/AJ43-1)*100</f>
        <v>2.1011751200000095</v>
      </c>
      <c r="AM46" s="17"/>
      <c r="AN46" s="79"/>
      <c r="AO46" s="20">
        <f t="shared" si="22"/>
        <v>42369</v>
      </c>
      <c r="AP46" s="78">
        <f t="shared" si="39"/>
        <v>-1.6267258731199455E-2</v>
      </c>
      <c r="AQ46" s="46">
        <f t="shared" si="23"/>
        <v>1153475.9552606426</v>
      </c>
      <c r="AR46" s="6">
        <f>(AQ46-AQ$34)/AQ$34*100</f>
        <v>2.6283516199648576</v>
      </c>
      <c r="AS46" s="49">
        <f>(AQ46/AQ43-1)*100</f>
        <v>3.1457586015217309</v>
      </c>
      <c r="AT46" s="39"/>
      <c r="AU46" s="20">
        <f t="shared" si="24"/>
        <v>42369</v>
      </c>
      <c r="AV46" s="27">
        <v>-0.43</v>
      </c>
      <c r="AW46" s="46">
        <f t="shared" si="25"/>
        <v>999255.39577499998</v>
      </c>
      <c r="AX46" s="6">
        <f>(AW46-AW$43)/AW$43*100</f>
        <v>-7.4460422500001733E-2</v>
      </c>
      <c r="AY46" s="49">
        <f>(AW46/AW43-1)*100</f>
        <v>-7.4460422500000067E-2</v>
      </c>
      <c r="AZ46" s="17"/>
      <c r="BA46" s="79"/>
      <c r="BB46" s="20">
        <f t="shared" si="26"/>
        <v>42369</v>
      </c>
      <c r="BC46" s="78">
        <f t="shared" si="41"/>
        <v>-0.16919629596102437</v>
      </c>
      <c r="BD46" s="46">
        <f t="shared" si="27"/>
        <v>1080110.8872486698</v>
      </c>
      <c r="BE46" s="6">
        <f>(BD46-BD$34)/BD$34*100</f>
        <v>1.2785138711712789</v>
      </c>
      <c r="BF46" s="49">
        <f>(BD46/BD43-1)*100</f>
        <v>0.68496864396345725</v>
      </c>
      <c r="BG46" s="39"/>
      <c r="BH46" s="20">
        <f t="shared" si="28"/>
        <v>42369</v>
      </c>
      <c r="BI46" s="27"/>
      <c r="BJ46" s="46">
        <f t="shared" si="29"/>
        <v>1000000</v>
      </c>
      <c r="BK46" s="6">
        <f>(BJ46-BJ$34)/BJ$34*100</f>
        <v>0</v>
      </c>
      <c r="BL46" s="49">
        <f>(BJ46/BJ43-1)*100</f>
        <v>0</v>
      </c>
      <c r="BM46" s="17"/>
      <c r="BN46" s="79"/>
      <c r="BO46" s="20">
        <f t="shared" si="30"/>
        <v>42369</v>
      </c>
      <c r="BP46" s="78"/>
      <c r="BQ46" s="46">
        <f t="shared" si="31"/>
        <v>1000000</v>
      </c>
      <c r="BR46" s="6">
        <f>(BQ46-BQ$34)/BQ$34*100</f>
        <v>0</v>
      </c>
      <c r="BS46" s="49">
        <f>(BQ46/BQ43-1)*100</f>
        <v>0</v>
      </c>
      <c r="BV46" s="39"/>
      <c r="BW46" s="20">
        <f t="shared" si="32"/>
        <v>42369</v>
      </c>
      <c r="BX46" s="27">
        <v>-0.4</v>
      </c>
      <c r="BY46" s="46">
        <f t="shared" si="33"/>
        <v>1083838.1369354893</v>
      </c>
      <c r="BZ46" s="6">
        <f>(BY46-BY$34)/BY$34*100</f>
        <v>-0.92591827975676733</v>
      </c>
      <c r="CA46" s="49">
        <f>(BY46/BY43-1)*100</f>
        <v>1.0934462240000054</v>
      </c>
      <c r="CB46" s="17"/>
      <c r="CC46" s="79"/>
      <c r="CD46" s="20">
        <f t="shared" si="34"/>
        <v>42369</v>
      </c>
      <c r="CE46" s="78">
        <f t="shared" si="40"/>
        <v>-0.12015628922852174</v>
      </c>
      <c r="CF46" s="46">
        <f t="shared" si="35"/>
        <v>1128203.2432884688</v>
      </c>
      <c r="CG46" s="6">
        <f>(CF46-CF$34)/CF$34*100</f>
        <v>1.8582632731764348</v>
      </c>
      <c r="CH46" s="49">
        <f>(CF46/CF43-1)*100</f>
        <v>1.9714534623717528</v>
      </c>
      <c r="CI46" s="39"/>
    </row>
    <row r="47" spans="1:87" x14ac:dyDescent="0.25">
      <c r="A47" s="20">
        <v>42400</v>
      </c>
      <c r="B47" s="24">
        <f t="shared" si="36"/>
        <v>32</v>
      </c>
      <c r="C47" s="301">
        <f>'LC (Gross)'!X209</f>
        <v>-1.7217561553411533</v>
      </c>
      <c r="D47" s="301">
        <v>-3.6076999999999999</v>
      </c>
      <c r="E47" s="301">
        <f>'CRA (Gross)'!E47</f>
        <v>1.3758180118416956</v>
      </c>
      <c r="F47" s="301">
        <f>'CRA (Gross)'!F47</f>
        <v>0.01</v>
      </c>
      <c r="G47" s="39"/>
      <c r="H47" s="20">
        <f t="shared" si="12"/>
        <v>42400</v>
      </c>
      <c r="I47" s="27">
        <v>-2.96</v>
      </c>
      <c r="J47" s="46">
        <f t="shared" si="13"/>
        <v>1169405.4851317264</v>
      </c>
      <c r="K47" s="6"/>
      <c r="M47" s="17"/>
      <c r="N47" s="79"/>
      <c r="O47" s="20">
        <f t="shared" si="14"/>
        <v>42400</v>
      </c>
      <c r="P47" s="78">
        <f t="shared" si="37"/>
        <v>-1.4851208854376343</v>
      </c>
      <c r="Q47" s="46">
        <f t="shared" si="15"/>
        <v>1194146.257663789</v>
      </c>
      <c r="T47" s="39"/>
      <c r="U47" s="20">
        <f t="shared" si="16"/>
        <v>42400</v>
      </c>
      <c r="V47" s="27">
        <v>-2.39</v>
      </c>
      <c r="W47" s="46">
        <f t="shared" si="17"/>
        <v>1127795.1021306494</v>
      </c>
      <c r="X47" s="7"/>
      <c r="Z47" s="17"/>
      <c r="AA47" s="79"/>
      <c r="AB47" s="20">
        <f t="shared" si="18"/>
        <v>42400</v>
      </c>
      <c r="AC47" s="78">
        <f t="shared" si="38"/>
        <v>-0.92618756812726466</v>
      </c>
      <c r="AD47" s="46">
        <f t="shared" si="19"/>
        <v>1164316.2078269271</v>
      </c>
      <c r="AE47" s="7"/>
      <c r="AG47" s="44"/>
      <c r="AH47" s="20">
        <f t="shared" si="20"/>
        <v>42400</v>
      </c>
      <c r="AI47" s="27">
        <v>-1.73</v>
      </c>
      <c r="AJ47" s="46">
        <f t="shared" si="21"/>
        <v>1087221.8268984226</v>
      </c>
      <c r="AK47" s="7"/>
      <c r="AM47" s="17"/>
      <c r="AN47" s="79"/>
      <c r="AO47" s="20">
        <f t="shared" si="22"/>
        <v>42400</v>
      </c>
      <c r="AP47" s="78">
        <f t="shared" si="39"/>
        <v>-0.47984835022481026</v>
      </c>
      <c r="AQ47" s="46">
        <f t="shared" si="23"/>
        <v>1147941.0199190846</v>
      </c>
      <c r="AR47" s="7"/>
      <c r="AT47" s="39"/>
      <c r="AU47" s="20">
        <f t="shared" si="24"/>
        <v>42400</v>
      </c>
      <c r="AV47" s="27">
        <v>-0.11</v>
      </c>
      <c r="AW47" s="46">
        <f t="shared" si="25"/>
        <v>998156.21483964752</v>
      </c>
      <c r="AX47" s="7"/>
      <c r="AZ47" s="17"/>
      <c r="BA47" s="79"/>
      <c r="BB47" s="20">
        <f t="shared" si="26"/>
        <v>42400</v>
      </c>
      <c r="BC47" s="78">
        <f t="shared" si="41"/>
        <v>0.61201199275507145</v>
      </c>
      <c r="BD47" s="46">
        <f t="shared" si="27"/>
        <v>1086721.2954136848</v>
      </c>
      <c r="BE47" s="7"/>
      <c r="BG47" s="39"/>
      <c r="BH47" s="20">
        <f t="shared" si="28"/>
        <v>42400</v>
      </c>
      <c r="BI47" s="27"/>
      <c r="BJ47" s="46">
        <f t="shared" si="29"/>
        <v>1000000</v>
      </c>
      <c r="BK47" s="7"/>
      <c r="BM47" s="17"/>
      <c r="BN47" s="79"/>
      <c r="BO47" s="20">
        <f t="shared" si="30"/>
        <v>42400</v>
      </c>
      <c r="BP47" s="78"/>
      <c r="BQ47" s="46">
        <f t="shared" si="31"/>
        <v>1000000</v>
      </c>
      <c r="BR47" s="7"/>
      <c r="BV47" s="39"/>
      <c r="BW47" s="20">
        <f t="shared" si="32"/>
        <v>42400</v>
      </c>
      <c r="BX47" s="27">
        <v>-0.91</v>
      </c>
      <c r="BY47" s="46">
        <f t="shared" si="33"/>
        <v>1073975.2098893763</v>
      </c>
      <c r="BZ47" s="7"/>
      <c r="CB47" s="17"/>
      <c r="CC47" s="79"/>
      <c r="CD47" s="20">
        <f t="shared" si="34"/>
        <v>42400</v>
      </c>
      <c r="CE47" s="78">
        <f t="shared" si="40"/>
        <v>7.9084967085559454E-2</v>
      </c>
      <c r="CF47" s="46">
        <f t="shared" si="35"/>
        <v>1129095.4824520817</v>
      </c>
      <c r="CG47" s="7"/>
      <c r="CI47" s="39"/>
    </row>
    <row r="48" spans="1:87" x14ac:dyDescent="0.25">
      <c r="A48" s="20">
        <v>42429</v>
      </c>
      <c r="B48" s="24">
        <f t="shared" si="36"/>
        <v>33</v>
      </c>
      <c r="C48" s="301">
        <f>'LC (Gross)'!X210</f>
        <v>1.0310401745849809</v>
      </c>
      <c r="D48" s="301">
        <v>0.66320000000000001</v>
      </c>
      <c r="E48" s="301">
        <f>'CRA (Gross)'!E48</f>
        <v>0.70956867446423255</v>
      </c>
      <c r="F48" s="301">
        <f>'CRA (Gross)'!F48</f>
        <v>0.02</v>
      </c>
      <c r="G48" s="39"/>
      <c r="H48" s="20">
        <f t="shared" si="12"/>
        <v>42429</v>
      </c>
      <c r="I48" s="27">
        <v>1.58</v>
      </c>
      <c r="J48" s="46">
        <f t="shared" si="13"/>
        <v>1187882.0917968077</v>
      </c>
      <c r="K48" s="7"/>
      <c r="L48" s="49"/>
      <c r="M48" s="17"/>
      <c r="N48" s="79"/>
      <c r="O48" s="20">
        <f t="shared" si="14"/>
        <v>42429</v>
      </c>
      <c r="P48" s="78">
        <f t="shared" si="37"/>
        <v>0.6725520960217396</v>
      </c>
      <c r="Q48" s="46">
        <f t="shared" si="15"/>
        <v>1202177.5133492718</v>
      </c>
      <c r="R48" s="7"/>
      <c r="S48" s="49"/>
      <c r="T48" s="39"/>
      <c r="U48" s="20">
        <f t="shared" si="16"/>
        <v>42429</v>
      </c>
      <c r="V48" s="27">
        <v>1.43</v>
      </c>
      <c r="W48" s="46">
        <f t="shared" si="17"/>
        <v>1143922.5720911177</v>
      </c>
      <c r="X48" s="7"/>
      <c r="Y48" s="49"/>
      <c r="Z48" s="17"/>
      <c r="AA48" s="79"/>
      <c r="AB48" s="20">
        <f t="shared" si="18"/>
        <v>42429</v>
      </c>
      <c r="AC48" s="78">
        <f t="shared" si="38"/>
        <v>0.6427233797328763</v>
      </c>
      <c r="AD48" s="46">
        <f t="shared" si="19"/>
        <v>1171799.5403086499</v>
      </c>
      <c r="AE48" s="7"/>
      <c r="AG48" s="44"/>
      <c r="AH48" s="20">
        <f t="shared" si="20"/>
        <v>42429</v>
      </c>
      <c r="AI48" s="27">
        <v>1.21</v>
      </c>
      <c r="AJ48" s="46">
        <f t="shared" si="21"/>
        <v>1100377.2110038935</v>
      </c>
      <c r="AK48" s="7"/>
      <c r="AM48" s="17"/>
      <c r="AN48" s="79"/>
      <c r="AO48" s="20">
        <f t="shared" si="22"/>
        <v>42429</v>
      </c>
      <c r="AP48" s="78">
        <f t="shared" si="39"/>
        <v>0.67953309716722465</v>
      </c>
      <c r="AQ48" s="46">
        <f t="shared" si="23"/>
        <v>1155741.6590853939</v>
      </c>
      <c r="AR48" s="7"/>
      <c r="AT48" s="39"/>
      <c r="AU48" s="20">
        <f t="shared" si="24"/>
        <v>42429</v>
      </c>
      <c r="AV48" s="27">
        <v>0.77</v>
      </c>
      <c r="AW48" s="46">
        <f t="shared" si="25"/>
        <v>1005842.0176939128</v>
      </c>
      <c r="AX48" s="7"/>
      <c r="AZ48" s="17"/>
      <c r="BA48" s="79"/>
      <c r="BB48" s="20">
        <f t="shared" si="26"/>
        <v>42429</v>
      </c>
      <c r="BC48" s="78">
        <f t="shared" si="41"/>
        <v>0.6359620895834609</v>
      </c>
      <c r="BD48" s="46">
        <f t="shared" si="27"/>
        <v>1093632.430871946</v>
      </c>
      <c r="BE48" s="7"/>
      <c r="BG48" s="39"/>
      <c r="BH48" s="20">
        <f t="shared" si="28"/>
        <v>42429</v>
      </c>
      <c r="BI48" s="27"/>
      <c r="BJ48" s="46">
        <f t="shared" si="29"/>
        <v>1000000</v>
      </c>
      <c r="BK48" s="7"/>
      <c r="BM48" s="17"/>
      <c r="BN48" s="79"/>
      <c r="BO48" s="20">
        <f t="shared" si="30"/>
        <v>42429</v>
      </c>
      <c r="BP48" s="78"/>
      <c r="BQ48" s="46">
        <f t="shared" si="31"/>
        <v>1000000</v>
      </c>
      <c r="BR48" s="7"/>
      <c r="BV48" s="39"/>
      <c r="BW48" s="20">
        <f t="shared" si="32"/>
        <v>42429</v>
      </c>
      <c r="BX48" s="27">
        <v>1.02</v>
      </c>
      <c r="BY48" s="46">
        <f t="shared" si="33"/>
        <v>1084929.7570302479</v>
      </c>
      <c r="BZ48" s="7"/>
      <c r="CB48" s="17"/>
      <c r="CC48" s="79"/>
      <c r="CD48" s="20">
        <f t="shared" si="34"/>
        <v>42429</v>
      </c>
      <c r="CE48" s="78">
        <f t="shared" si="40"/>
        <v>0.64970438087836158</v>
      </c>
      <c r="CF48" s="46">
        <f t="shared" si="35"/>
        <v>1136431.2652658727</v>
      </c>
      <c r="CG48" s="7"/>
      <c r="CI48" s="39"/>
    </row>
    <row r="49" spans="1:87" x14ac:dyDescent="0.25">
      <c r="A49" s="20">
        <v>42460</v>
      </c>
      <c r="B49" s="24">
        <f t="shared" si="36"/>
        <v>34</v>
      </c>
      <c r="C49" s="301">
        <f>'LC (Gross)'!X211</f>
        <v>5.9656666340923232</v>
      </c>
      <c r="D49" s="301">
        <v>5.1829000000000001</v>
      </c>
      <c r="E49" s="301">
        <f>'CRA (Gross)'!E49</f>
        <v>0.91721183879861901</v>
      </c>
      <c r="F49" s="301">
        <f>'CRA (Gross)'!F49</f>
        <v>0.02</v>
      </c>
      <c r="G49" s="39"/>
      <c r="H49" s="20">
        <f t="shared" si="12"/>
        <v>42460</v>
      </c>
      <c r="I49" s="27">
        <v>5.99</v>
      </c>
      <c r="J49" s="46">
        <f t="shared" si="13"/>
        <v>1259036.2290954364</v>
      </c>
      <c r="K49" s="7"/>
      <c r="L49" s="49">
        <f>(J49/J46-1)*100</f>
        <v>4.4777685967999803</v>
      </c>
      <c r="M49" s="49"/>
      <c r="N49" s="79"/>
      <c r="O49" s="20">
        <f t="shared" si="14"/>
        <v>42460</v>
      </c>
      <c r="P49" s="78">
        <f t="shared" si="37"/>
        <v>4.0645516487507782</v>
      </c>
      <c r="Q49" s="46">
        <f>Q48*P49/100+Q48</f>
        <v>1251040.6392890208</v>
      </c>
      <c r="R49" s="7"/>
      <c r="S49" s="49">
        <f>(Q49/Q46-1)*100</f>
        <v>3.2085613935429302</v>
      </c>
      <c r="T49" s="39"/>
      <c r="U49" s="20">
        <f t="shared" si="16"/>
        <v>42460</v>
      </c>
      <c r="V49" s="27">
        <v>5.1499999999999995</v>
      </c>
      <c r="W49" s="46">
        <f t="shared" si="17"/>
        <v>1202834.5845538103</v>
      </c>
      <c r="X49" s="129"/>
      <c r="Y49" s="49">
        <f>(W49/W46-1)*100</f>
        <v>4.1046228844999977</v>
      </c>
      <c r="Z49" s="49"/>
      <c r="AA49" s="79"/>
      <c r="AB49" s="20">
        <f t="shared" si="18"/>
        <v>42460</v>
      </c>
      <c r="AC49" s="78">
        <f t="shared" si="38"/>
        <v>3.3464217611613378</v>
      </c>
      <c r="AD49" s="46">
        <f>AD48*AC49/100+AD48</f>
        <v>1211012.8951227271</v>
      </c>
      <c r="AE49" s="129"/>
      <c r="AF49" s="49">
        <f>(AD49/AD46-1)*100</f>
        <v>3.0473196348417941</v>
      </c>
      <c r="AG49" s="44"/>
      <c r="AH49" s="20">
        <f t="shared" si="20"/>
        <v>42460</v>
      </c>
      <c r="AI49" s="27">
        <v>4.1900000000000004</v>
      </c>
      <c r="AJ49" s="46">
        <f t="shared" si="21"/>
        <v>1146483.0161449567</v>
      </c>
      <c r="AK49" s="129"/>
      <c r="AL49" s="49">
        <f>(AJ49/AJ46-1)*100</f>
        <v>3.6264019073000142</v>
      </c>
      <c r="AM49" s="49"/>
      <c r="AN49" s="79"/>
      <c r="AO49" s="20">
        <f t="shared" si="22"/>
        <v>42460</v>
      </c>
      <c r="AP49" s="78">
        <f t="shared" si="39"/>
        <v>2.9312974655118298</v>
      </c>
      <c r="AQ49" s="46">
        <f>AQ48*AP49/100+AQ48</f>
        <v>1189619.8850460283</v>
      </c>
      <c r="AR49" s="129"/>
      <c r="AS49" s="49">
        <f>(AQ49/AQ46-1)*100</f>
        <v>3.1334792563767477</v>
      </c>
      <c r="AT49" s="39"/>
      <c r="AU49" s="20">
        <f t="shared" si="24"/>
        <v>42460</v>
      </c>
      <c r="AV49" s="27">
        <v>1.87</v>
      </c>
      <c r="AW49" s="46">
        <f t="shared" si="25"/>
        <v>1024651.2634247891</v>
      </c>
      <c r="AX49" s="129"/>
      <c r="AY49" s="49">
        <f>(AW49/AW46-1)*100</f>
        <v>2.5414791611000132</v>
      </c>
      <c r="AZ49" s="49"/>
      <c r="BA49" s="79"/>
      <c r="BB49" s="20">
        <f t="shared" si="26"/>
        <v>42460</v>
      </c>
      <c r="BC49" s="78">
        <f t="shared" si="41"/>
        <v>1.5007599505682656</v>
      </c>
      <c r="BD49" s="46">
        <f>BD48*BC49/100+BD48</f>
        <v>1110045.2284008984</v>
      </c>
      <c r="BE49" s="129"/>
      <c r="BF49" s="49">
        <f>(BD49/BD46-1)*100</f>
        <v>2.7714137044280163</v>
      </c>
      <c r="BG49" s="39"/>
      <c r="BH49" s="20">
        <f t="shared" si="28"/>
        <v>42460</v>
      </c>
      <c r="BI49" s="27"/>
      <c r="BJ49" s="46">
        <f t="shared" si="29"/>
        <v>1000000</v>
      </c>
      <c r="BK49" s="129"/>
      <c r="BL49" s="49">
        <f>(BJ49/BJ46-1)*100</f>
        <v>0</v>
      </c>
      <c r="BM49" s="49"/>
      <c r="BN49" s="79"/>
      <c r="BO49" s="20">
        <f t="shared" si="30"/>
        <v>42460</v>
      </c>
      <c r="BP49" s="78"/>
      <c r="BQ49" s="46">
        <f>BQ48*BP49/100+BQ48</f>
        <v>1000000</v>
      </c>
      <c r="BR49" s="129"/>
      <c r="BS49" s="49">
        <f>(BQ49/BQ46-1)*100</f>
        <v>0</v>
      </c>
      <c r="BV49" s="39"/>
      <c r="BW49" s="20">
        <f t="shared" si="32"/>
        <v>42460</v>
      </c>
      <c r="BX49" s="27">
        <v>3.1</v>
      </c>
      <c r="BY49" s="46">
        <f t="shared" si="33"/>
        <v>1118562.5794981855</v>
      </c>
      <c r="BZ49" s="129"/>
      <c r="CA49" s="49">
        <f>(BY49/BY46-1)*100</f>
        <v>3.2038402580000014</v>
      </c>
      <c r="CB49" s="49"/>
      <c r="CC49" s="79"/>
      <c r="CD49" s="20">
        <f t="shared" si="34"/>
        <v>42460</v>
      </c>
      <c r="CE49" s="78">
        <f t="shared" si="40"/>
        <v>2.2131675779223903</v>
      </c>
      <c r="CF49" s="46">
        <f>CF48*CE49/100+CF48</f>
        <v>1161582.3935741102</v>
      </c>
      <c r="CG49" s="129"/>
      <c r="CH49" s="49">
        <f>(CF49/CF46-1)*100</f>
        <v>2.9586114456069401</v>
      </c>
      <c r="CI49" s="39"/>
    </row>
    <row r="50" spans="1:87" x14ac:dyDescent="0.25">
      <c r="A50" s="20">
        <v>42490</v>
      </c>
      <c r="B50" s="24">
        <f t="shared" si="36"/>
        <v>35</v>
      </c>
      <c r="C50" s="301">
        <f>'LC (Gross)'!X212</f>
        <v>-0.70361535329688196</v>
      </c>
      <c r="D50" s="301">
        <v>1.9657</v>
      </c>
      <c r="E50" s="301">
        <f>'CRA (Gross)'!E50</f>
        <v>0.38411711035050022</v>
      </c>
      <c r="F50" s="301">
        <f>'CRA (Gross)'!F50</f>
        <v>0.01</v>
      </c>
      <c r="G50" s="39"/>
      <c r="H50" s="20">
        <f t="shared" si="12"/>
        <v>42490</v>
      </c>
      <c r="I50" s="27">
        <v>-1.4500000000000002</v>
      </c>
      <c r="J50" s="126">
        <f t="shared" si="13"/>
        <v>1240780.2037735526</v>
      </c>
      <c r="K50" s="129"/>
      <c r="M50" s="49"/>
      <c r="N50" s="79"/>
      <c r="O50" s="20">
        <f t="shared" si="14"/>
        <v>42490</v>
      </c>
      <c r="P50" s="78">
        <f t="shared" si="37"/>
        <v>-8.9133444313285126E-2</v>
      </c>
      <c r="Q50" s="126">
        <f>Q49*P50/100+Q49</f>
        <v>1249925.5436774637</v>
      </c>
      <c r="R50" s="129"/>
      <c r="T50" s="39"/>
      <c r="U50" s="20">
        <f t="shared" si="16"/>
        <v>42490</v>
      </c>
      <c r="V50" s="27">
        <v>-1.24</v>
      </c>
      <c r="W50" s="126">
        <f t="shared" si="17"/>
        <v>1187919.435705343</v>
      </c>
      <c r="X50" s="6"/>
      <c r="Z50" s="49"/>
      <c r="AA50" s="79"/>
      <c r="AB50" s="20">
        <f t="shared" si="18"/>
        <v>42490</v>
      </c>
      <c r="AC50" s="78">
        <f t="shared" si="38"/>
        <v>-5.9439342431021856E-2</v>
      </c>
      <c r="AD50" s="126">
        <f>AD49*AC50/100+AD49</f>
        <v>1210293.0770211113</v>
      </c>
      <c r="AE50" s="6"/>
      <c r="AG50" s="44"/>
      <c r="AH50" s="20">
        <f t="shared" si="20"/>
        <v>42490</v>
      </c>
      <c r="AI50" s="27">
        <v>-0.96</v>
      </c>
      <c r="AJ50" s="126">
        <f t="shared" si="21"/>
        <v>1135476.7791899652</v>
      </c>
      <c r="AK50" s="6"/>
      <c r="AM50" s="127"/>
      <c r="AN50" s="79"/>
      <c r="AO50" s="20">
        <f t="shared" si="22"/>
        <v>42490</v>
      </c>
      <c r="AP50" s="78">
        <f t="shared" si="39"/>
        <v>8.6745614968766427E-2</v>
      </c>
      <c r="AQ50" s="126">
        <f>AQ49*AP50/100+AQ49</f>
        <v>1190651.8281311023</v>
      </c>
      <c r="AR50" s="6"/>
      <c r="AT50" s="39"/>
      <c r="AU50" s="20">
        <f t="shared" si="24"/>
        <v>42490</v>
      </c>
      <c r="AV50" s="27">
        <v>-0.44999999999999996</v>
      </c>
      <c r="AW50" s="126">
        <f t="shared" si="25"/>
        <v>1020040.3327393775</v>
      </c>
      <c r="AX50" s="6"/>
      <c r="AZ50" s="127"/>
      <c r="BA50" s="79"/>
      <c r="BB50" s="20">
        <f t="shared" si="26"/>
        <v>42490</v>
      </c>
      <c r="BC50" s="78">
        <f t="shared" si="41"/>
        <v>0.29830544191566194</v>
      </c>
      <c r="BD50" s="126">
        <f>BD49*BC50/100+BD49</f>
        <v>1113356.5537249434</v>
      </c>
      <c r="BE50" s="6"/>
      <c r="BG50" s="39"/>
      <c r="BH50" s="20">
        <f t="shared" si="28"/>
        <v>42490</v>
      </c>
      <c r="BI50" s="27"/>
      <c r="BJ50" s="126">
        <f t="shared" si="29"/>
        <v>1000000</v>
      </c>
      <c r="BK50" s="6"/>
      <c r="BM50" s="127"/>
      <c r="BN50" s="79"/>
      <c r="BO50" s="20">
        <f t="shared" si="30"/>
        <v>42490</v>
      </c>
      <c r="BP50" s="78"/>
      <c r="BQ50" s="126">
        <f>BQ49*BP50/100+BQ49</f>
        <v>1000000</v>
      </c>
      <c r="BR50" s="6"/>
      <c r="BV50" s="39"/>
      <c r="BW50" s="20">
        <f t="shared" si="32"/>
        <v>42490</v>
      </c>
      <c r="BX50" s="27">
        <v>-0.72</v>
      </c>
      <c r="BY50" s="126">
        <f t="shared" si="33"/>
        <v>1110508.9289257985</v>
      </c>
      <c r="BZ50" s="6"/>
      <c r="CB50" s="127"/>
      <c r="CC50" s="79"/>
      <c r="CD50" s="20">
        <f t="shared" si="34"/>
        <v>42490</v>
      </c>
      <c r="CE50" s="78">
        <f t="shared" si="40"/>
        <v>0.11643971685102963</v>
      </c>
      <c r="CF50" s="126">
        <f>CF49*CE50/100+CF49</f>
        <v>1162934.9368241793</v>
      </c>
      <c r="CG50" s="6"/>
      <c r="CI50" s="39"/>
    </row>
    <row r="51" spans="1:87" x14ac:dyDescent="0.25">
      <c r="A51" s="20">
        <v>42521</v>
      </c>
      <c r="B51" s="24">
        <f t="shared" si="36"/>
        <v>36</v>
      </c>
      <c r="C51" s="301">
        <f>'LC (Gross)'!X213</f>
        <v>1.6645936069038334</v>
      </c>
      <c r="D51" s="301">
        <v>-0.89549999999999996</v>
      </c>
      <c r="E51" s="301">
        <f>'CRA (Gross)'!E51</f>
        <v>2.5610252135442626E-2</v>
      </c>
      <c r="F51" s="301">
        <f>'CRA (Gross)'!F51</f>
        <v>0.02</v>
      </c>
      <c r="G51" s="39"/>
      <c r="H51" s="20">
        <f t="shared" si="12"/>
        <v>42521</v>
      </c>
      <c r="I51" s="27">
        <v>1.8900000000000001</v>
      </c>
      <c r="J51" s="126">
        <f t="shared" si="13"/>
        <v>1264230.9496248728</v>
      </c>
      <c r="K51" s="6"/>
      <c r="L51" s="138"/>
      <c r="M51" s="49"/>
      <c r="N51" s="79"/>
      <c r="O51" s="20">
        <f t="shared" si="14"/>
        <v>42521</v>
      </c>
      <c r="P51" s="78">
        <f t="shared" si="37"/>
        <v>0.78720148379710841</v>
      </c>
      <c r="Q51" s="126">
        <f>Q50*P51/100+Q50</f>
        <v>1259764.9761036518</v>
      </c>
      <c r="R51" s="6"/>
      <c r="S51" s="138"/>
      <c r="T51" s="39"/>
      <c r="U51" s="20">
        <f t="shared" si="16"/>
        <v>42521</v>
      </c>
      <c r="V51" s="27">
        <v>1.6</v>
      </c>
      <c r="W51" s="126">
        <f t="shared" si="17"/>
        <v>1206926.1466766286</v>
      </c>
      <c r="X51" s="6"/>
      <c r="Y51" s="138"/>
      <c r="Z51" s="49"/>
      <c r="AA51" s="79"/>
      <c r="AB51" s="20">
        <f t="shared" si="18"/>
        <v>42521</v>
      </c>
      <c r="AC51" s="78">
        <f t="shared" si="38"/>
        <v>0.66935866092704144</v>
      </c>
      <c r="AD51" s="126">
        <f>AD50*AC51/100+AD50</f>
        <v>1218394.2785547525</v>
      </c>
      <c r="AE51" s="6"/>
      <c r="AF51" s="138"/>
      <c r="AG51" s="44"/>
      <c r="AH51" s="20">
        <f t="shared" si="20"/>
        <v>42521</v>
      </c>
      <c r="AI51" s="27">
        <v>1.18</v>
      </c>
      <c r="AJ51" s="126">
        <f t="shared" si="21"/>
        <v>1148875.4051844068</v>
      </c>
      <c r="AK51" s="6"/>
      <c r="AL51" s="138"/>
      <c r="AM51" s="49"/>
      <c r="AN51" s="79"/>
      <c r="AO51" s="20">
        <f t="shared" si="22"/>
        <v>42521</v>
      </c>
      <c r="AP51" s="78">
        <f t="shared" si="39"/>
        <v>0.50602135066374654</v>
      </c>
      <c r="AQ51" s="126">
        <f>AQ50*AP51/100+AQ50</f>
        <v>1196676.7805935137</v>
      </c>
      <c r="AR51" s="6"/>
      <c r="AS51" s="138"/>
      <c r="AT51" s="39"/>
      <c r="AU51" s="20">
        <f t="shared" si="24"/>
        <v>42521</v>
      </c>
      <c r="AV51" s="27">
        <v>0.4</v>
      </c>
      <c r="AW51" s="126">
        <f t="shared" si="25"/>
        <v>1024120.4940703351</v>
      </c>
      <c r="AX51" s="6"/>
      <c r="AY51" s="138"/>
      <c r="AZ51" s="49"/>
      <c r="BA51" s="79"/>
      <c r="BB51" s="20">
        <f t="shared" si="26"/>
        <v>42521</v>
      </c>
      <c r="BC51" s="78">
        <f t="shared" si="41"/>
        <v>0.1426115371851932</v>
      </c>
      <c r="BD51" s="126">
        <f>BD50*BC51/100+BD50</f>
        <v>1114944.3286205626</v>
      </c>
      <c r="BE51" s="6"/>
      <c r="BF51" s="138"/>
      <c r="BG51" s="39"/>
      <c r="BH51" s="20">
        <f t="shared" si="28"/>
        <v>42521</v>
      </c>
      <c r="BI51" s="27"/>
      <c r="BJ51" s="126">
        <f t="shared" si="29"/>
        <v>1000000</v>
      </c>
      <c r="BK51" s="6"/>
      <c r="BL51" s="138"/>
      <c r="BM51" s="49"/>
      <c r="BN51" s="79"/>
      <c r="BO51" s="20">
        <f t="shared" si="30"/>
        <v>42521</v>
      </c>
      <c r="BP51" s="78"/>
      <c r="BQ51" s="126">
        <f>BQ50*BP51/100+BQ50</f>
        <v>1000000</v>
      </c>
      <c r="BR51" s="6"/>
      <c r="BS51" s="138"/>
      <c r="BV51" s="39"/>
      <c r="BW51" s="20">
        <f t="shared" si="32"/>
        <v>42521</v>
      </c>
      <c r="BX51" s="27">
        <v>0.80999999999999994</v>
      </c>
      <c r="BY51" s="126">
        <f t="shared" si="33"/>
        <v>1119504.0512500976</v>
      </c>
      <c r="BZ51" s="6"/>
      <c r="CA51" s="138"/>
      <c r="CB51" s="49"/>
      <c r="CC51" s="79"/>
      <c r="CD51" s="20">
        <f t="shared" si="34"/>
        <v>42521</v>
      </c>
      <c r="CE51" s="78">
        <f t="shared" si="40"/>
        <v>0.38817852779367967</v>
      </c>
      <c r="CF51" s="126">
        <f>CF50*CE51/100+CF50</f>
        <v>1167449.2005411417</v>
      </c>
      <c r="CG51" s="6"/>
      <c r="CH51" s="138"/>
      <c r="CI51" s="39"/>
    </row>
    <row r="52" spans="1:87" x14ac:dyDescent="0.25">
      <c r="A52" s="20">
        <v>42551</v>
      </c>
      <c r="B52" s="24">
        <f t="shared" si="36"/>
        <v>37</v>
      </c>
      <c r="C52" s="301">
        <f>'LC (Gross)'!X214</f>
        <v>5.7451663459117963</v>
      </c>
      <c r="D52" s="301">
        <v>-0.2722</v>
      </c>
      <c r="E52" s="301">
        <f>'CRA (Gross)'!E52</f>
        <v>1.7967769466338652</v>
      </c>
      <c r="F52" s="301">
        <f>'CRA (Gross)'!F52</f>
        <v>0.02</v>
      </c>
      <c r="G52" s="39"/>
      <c r="H52" s="20">
        <f t="shared" si="12"/>
        <v>42551</v>
      </c>
      <c r="I52" s="27">
        <v>2.46</v>
      </c>
      <c r="J52" s="126">
        <f t="shared" si="13"/>
        <v>1295331.0309856446</v>
      </c>
      <c r="K52" s="6"/>
      <c r="L52" s="49">
        <f>(J52/J49-1)*100</f>
        <v>2.8827448369999953</v>
      </c>
      <c r="M52" s="49"/>
      <c r="N52" s="79"/>
      <c r="O52" s="20">
        <f t="shared" si="14"/>
        <v>42551</v>
      </c>
      <c r="P52" s="78">
        <f t="shared" si="37"/>
        <v>3.1250114902514881</v>
      </c>
      <c r="Q52" s="126">
        <f>Q51*P52/100+Q51</f>
        <v>1299132.7763570549</v>
      </c>
      <c r="R52" s="6"/>
      <c r="S52" s="49">
        <f>(Q52/Q49-1)*100</f>
        <v>3.8441706494335204</v>
      </c>
      <c r="T52" s="39"/>
      <c r="U52" s="20">
        <f t="shared" si="16"/>
        <v>42551</v>
      </c>
      <c r="V52" s="27">
        <v>2.39</v>
      </c>
      <c r="W52" s="126">
        <f t="shared" si="17"/>
        <v>1235771.6815822001</v>
      </c>
      <c r="X52" s="6"/>
      <c r="Y52" s="49">
        <f>(W52/W49-1)*100</f>
        <v>2.7382898240000175</v>
      </c>
      <c r="Z52" s="49"/>
      <c r="AA52" s="79"/>
      <c r="AB52" s="20">
        <f t="shared" si="18"/>
        <v>42551</v>
      </c>
      <c r="AC52" s="78">
        <f t="shared" si="38"/>
        <v>2.8336213976553881</v>
      </c>
      <c r="AD52" s="126">
        <f>AD51*AC52/100+AD51</f>
        <v>1252918.9595396889</v>
      </c>
      <c r="AE52" s="6"/>
      <c r="AF52" s="49">
        <f>(AD52/AD49-1)*100</f>
        <v>3.4604143841684643</v>
      </c>
      <c r="AG52" s="44"/>
      <c r="AH52" s="20">
        <f t="shared" si="20"/>
        <v>42551</v>
      </c>
      <c r="AI52" s="27">
        <v>2.1999999999999997</v>
      </c>
      <c r="AJ52" s="126">
        <f t="shared" si="21"/>
        <v>1174150.6640984637</v>
      </c>
      <c r="AK52" s="6"/>
      <c r="AL52" s="49">
        <f>(AJ52/AJ49-1)*100</f>
        <v>2.4132627840000032</v>
      </c>
      <c r="AM52" s="49"/>
      <c r="AN52" s="79"/>
      <c r="AO52" s="20">
        <f t="shared" si="22"/>
        <v>42551</v>
      </c>
      <c r="AP52" s="78">
        <f t="shared" si="39"/>
        <v>2.6164601523909816</v>
      </c>
      <c r="AQ52" s="126">
        <f>AQ51*AP52/100+AQ51</f>
        <v>1227987.3517106583</v>
      </c>
      <c r="AR52" s="6"/>
      <c r="AS52" s="49">
        <f>(AQ52/AQ49-1)*100</f>
        <v>3.225187065795021</v>
      </c>
      <c r="AT52" s="39"/>
      <c r="AU52" s="20">
        <f t="shared" si="24"/>
        <v>42551</v>
      </c>
      <c r="AV52" s="27">
        <v>1.79</v>
      </c>
      <c r="AW52" s="126">
        <f t="shared" si="25"/>
        <v>1042452.250914194</v>
      </c>
      <c r="AX52" s="6"/>
      <c r="AY52" s="49">
        <f>(AW52/AW49-1)*100</f>
        <v>1.7372727799999987</v>
      </c>
      <c r="AZ52" s="49"/>
      <c r="BA52" s="79"/>
      <c r="BB52" s="20">
        <f t="shared" si="26"/>
        <v>42551</v>
      </c>
      <c r="BC52" s="78">
        <f t="shared" si="41"/>
        <v>1.821650497234885</v>
      </c>
      <c r="BD52" s="126">
        <f>BD51*BC52/100+BD51</f>
        <v>1135254.7175267711</v>
      </c>
      <c r="BE52" s="6"/>
      <c r="BF52" s="49">
        <f>(BD52/BD49-1)*100</f>
        <v>2.2710326102828082</v>
      </c>
      <c r="BG52" s="39"/>
      <c r="BH52" s="20">
        <f t="shared" si="28"/>
        <v>42551</v>
      </c>
      <c r="BI52" s="27"/>
      <c r="BJ52" s="126">
        <f t="shared" si="29"/>
        <v>1000000</v>
      </c>
      <c r="BK52" s="6"/>
      <c r="BL52" s="49">
        <f>(BJ52/BJ49-1)*100</f>
        <v>0</v>
      </c>
      <c r="BM52" s="49"/>
      <c r="BN52" s="79"/>
      <c r="BO52" s="20">
        <f t="shared" si="30"/>
        <v>42551</v>
      </c>
      <c r="BP52" s="78"/>
      <c r="BQ52" s="126">
        <f>BQ51*BP52/100+BQ51</f>
        <v>1000000</v>
      </c>
      <c r="BR52" s="6"/>
      <c r="BS52" s="49">
        <f>(BQ52/BQ49-1)*100</f>
        <v>0</v>
      </c>
      <c r="BV52" s="39"/>
      <c r="BW52" s="20">
        <f t="shared" si="32"/>
        <v>42551</v>
      </c>
      <c r="BX52" s="27">
        <v>2.0699999999999998</v>
      </c>
      <c r="BY52" s="126">
        <f t="shared" si="33"/>
        <v>1142677.7851109747</v>
      </c>
      <c r="BZ52" s="6"/>
      <c r="CA52" s="49">
        <f>(BY52/BY49-1)*100</f>
        <v>2.1559102776000039</v>
      </c>
      <c r="CB52" s="49"/>
      <c r="CC52" s="79"/>
      <c r="CD52" s="20">
        <f t="shared" si="34"/>
        <v>42551</v>
      </c>
      <c r="CE52" s="78">
        <f t="shared" si="40"/>
        <v>2.3250700597948817</v>
      </c>
      <c r="CF52" s="126">
        <f>CF51*CE52/100+CF51</f>
        <v>1194593.2123662385</v>
      </c>
      <c r="CG52" s="6"/>
      <c r="CH52" s="49">
        <f>(CF52/CF49-1)*100</f>
        <v>2.8418835353173799</v>
      </c>
      <c r="CI52" s="39"/>
    </row>
    <row r="53" spans="1:87" x14ac:dyDescent="0.25">
      <c r="A53" s="20">
        <v>42582</v>
      </c>
      <c r="B53" s="24">
        <f t="shared" si="36"/>
        <v>38</v>
      </c>
      <c r="C53" s="301">
        <f>'LC (Gross)'!X215</f>
        <v>0.334812858042418</v>
      </c>
      <c r="D53" s="301">
        <v>2.8665000000000003</v>
      </c>
      <c r="E53" s="301">
        <f>'CRA (Gross)'!E53</f>
        <v>0.63224654656283441</v>
      </c>
      <c r="F53" s="301">
        <f>'CRA (Gross)'!F53</f>
        <v>0.02</v>
      </c>
      <c r="G53" s="39"/>
      <c r="H53" s="20">
        <f t="shared" si="12"/>
        <v>42582</v>
      </c>
      <c r="I53" s="27">
        <v>1.3599999999999999</v>
      </c>
      <c r="J53" s="126">
        <f t="shared" si="13"/>
        <v>1312947.5330070492</v>
      </c>
      <c r="K53" s="6"/>
      <c r="M53" s="49"/>
      <c r="N53" s="79"/>
      <c r="O53" s="20">
        <f t="shared" si="14"/>
        <v>42582</v>
      </c>
      <c r="P53" s="78">
        <f t="shared" si="37"/>
        <v>0.62012207192333002</v>
      </c>
      <c r="Q53" s="126">
        <f>Q52*P53/100+Q52</f>
        <v>1307188.9854468354</v>
      </c>
      <c r="R53" s="6"/>
      <c r="T53" s="39"/>
      <c r="U53" s="20">
        <f t="shared" si="16"/>
        <v>42582</v>
      </c>
      <c r="V53" s="27">
        <v>1.1400000000000001</v>
      </c>
      <c r="W53" s="126">
        <f t="shared" si="17"/>
        <v>1249859.4787522373</v>
      </c>
      <c r="X53" s="6"/>
      <c r="Z53" s="49"/>
      <c r="AA53" s="79"/>
      <c r="AB53" s="20">
        <f t="shared" si="18"/>
        <v>42582</v>
      </c>
      <c r="AC53" s="78">
        <f t="shared" si="38"/>
        <v>0.53815276810351331</v>
      </c>
      <c r="AD53" s="126">
        <f>AD52*AC53/100+AD52</f>
        <v>1259661.5776025455</v>
      </c>
      <c r="AE53" s="6"/>
      <c r="AG53" s="44"/>
      <c r="AH53" s="20">
        <f t="shared" si="20"/>
        <v>42582</v>
      </c>
      <c r="AI53" s="27">
        <v>0.92999999999999994</v>
      </c>
      <c r="AJ53" s="126">
        <f t="shared" si="21"/>
        <v>1185070.2652745794</v>
      </c>
      <c r="AK53" s="6"/>
      <c r="AM53" s="49"/>
      <c r="AN53" s="79"/>
      <c r="AO53" s="20">
        <f t="shared" si="22"/>
        <v>42582</v>
      </c>
      <c r="AP53" s="78">
        <f t="shared" si="39"/>
        <v>0.62912079161183831</v>
      </c>
      <c r="AQ53" s="126">
        <f>AQ52*AP53/100+AQ52</f>
        <v>1235712.8754586335</v>
      </c>
      <c r="AR53" s="6"/>
      <c r="AT53" s="39"/>
      <c r="AU53" s="20">
        <f t="shared" si="24"/>
        <v>42582</v>
      </c>
      <c r="AV53" s="27">
        <v>0.57000000000000006</v>
      </c>
      <c r="AW53" s="126">
        <f t="shared" si="25"/>
        <v>1048394.228744405</v>
      </c>
      <c r="AX53" s="6"/>
      <c r="AZ53" s="49"/>
      <c r="BA53" s="79"/>
      <c r="BB53" s="20">
        <f t="shared" si="26"/>
        <v>42582</v>
      </c>
      <c r="BC53" s="78">
        <f t="shared" si="41"/>
        <v>0.62237886839822587</v>
      </c>
      <c r="BD53" s="126">
        <f>BD52*BC53/100+BD52</f>
        <v>1142320.3029911518</v>
      </c>
      <c r="BE53" s="6"/>
      <c r="BG53" s="39"/>
      <c r="BH53" s="20">
        <f t="shared" si="28"/>
        <v>42582</v>
      </c>
      <c r="BI53" s="27"/>
      <c r="BJ53" s="126">
        <f t="shared" si="29"/>
        <v>1000000</v>
      </c>
      <c r="BK53" s="6"/>
      <c r="BM53" s="49"/>
      <c r="BN53" s="79"/>
      <c r="BO53" s="20">
        <f t="shared" si="30"/>
        <v>42582</v>
      </c>
      <c r="BP53" s="78"/>
      <c r="BQ53" s="126">
        <f>BQ52*BP53/100+BQ52</f>
        <v>1000000</v>
      </c>
      <c r="BR53" s="6"/>
      <c r="BV53" s="39"/>
      <c r="BW53" s="20">
        <f t="shared" si="32"/>
        <v>42582</v>
      </c>
      <c r="BX53" s="27">
        <v>0.77</v>
      </c>
      <c r="BY53" s="126">
        <f t="shared" si="33"/>
        <v>1151476.4040563293</v>
      </c>
      <c r="BZ53" s="6"/>
      <c r="CB53" s="49"/>
      <c r="CC53" s="79"/>
      <c r="CD53" s="20">
        <f t="shared" si="34"/>
        <v>42582</v>
      </c>
      <c r="CE53" s="78">
        <f t="shared" si="40"/>
        <v>0.54715148779202172</v>
      </c>
      <c r="CF53" s="126">
        <f>CF52*CE53/100+CF52</f>
        <v>1201129.4469007629</v>
      </c>
      <c r="CG53" s="6"/>
      <c r="CI53" s="39"/>
    </row>
    <row r="54" spans="1:87" x14ac:dyDescent="0.25">
      <c r="A54" s="20">
        <v>42613</v>
      </c>
      <c r="B54" s="24">
        <f t="shared" si="36"/>
        <v>39</v>
      </c>
      <c r="C54" s="301">
        <f>'LC (Gross)'!X216</f>
        <v>-1.8827779393531134</v>
      </c>
      <c r="D54" s="301">
        <v>-2.3121</v>
      </c>
      <c r="E54" s="301">
        <f>'CRA (Gross)'!E54</f>
        <v>-0.11418713948963383</v>
      </c>
      <c r="F54" s="301">
        <f>'CRA (Gross)'!F54</f>
        <v>0.02</v>
      </c>
      <c r="G54" s="39"/>
      <c r="H54" s="20">
        <f t="shared" si="12"/>
        <v>42613</v>
      </c>
      <c r="I54" s="27">
        <v>-1.31</v>
      </c>
      <c r="J54" s="126">
        <f t="shared" si="13"/>
        <v>1295747.9203246569</v>
      </c>
      <c r="K54" s="6"/>
      <c r="L54" s="49"/>
      <c r="M54" s="49"/>
      <c r="N54" s="79"/>
      <c r="O54" s="20">
        <f t="shared" si="14"/>
        <v>42613</v>
      </c>
      <c r="P54" s="78">
        <f t="shared" si="37"/>
        <v>-1.3763428666442123</v>
      </c>
      <c r="Q54" s="126">
        <f t="shared" ref="Q54:Q76" si="42">Q53*P54/100+Q53</f>
        <v>1289197.583092079</v>
      </c>
      <c r="R54" s="6"/>
      <c r="S54" s="49"/>
      <c r="T54" s="39"/>
      <c r="U54" s="20">
        <f t="shared" si="16"/>
        <v>42613</v>
      </c>
      <c r="V54" s="27">
        <v>-1.27</v>
      </c>
      <c r="W54" s="126">
        <f t="shared" si="17"/>
        <v>1233986.2633720839</v>
      </c>
      <c r="X54" s="6"/>
      <c r="Y54" s="49"/>
      <c r="Z54" s="49"/>
      <c r="AA54" s="79"/>
      <c r="AB54" s="20">
        <f t="shared" si="18"/>
        <v>42613</v>
      </c>
      <c r="AC54" s="78">
        <f t="shared" si="38"/>
        <v>-1.0895881436323462</v>
      </c>
      <c r="AD54" s="126">
        <f t="shared" ref="AD54:AD76" si="43">AD53*AC54/100+AD53</f>
        <v>1245936.4544030959</v>
      </c>
      <c r="AE54" s="6"/>
      <c r="AG54" s="44"/>
      <c r="AH54" s="20">
        <f t="shared" si="20"/>
        <v>42613</v>
      </c>
      <c r="AI54" s="27">
        <v>-1.1199999999999999</v>
      </c>
      <c r="AJ54" s="126">
        <f t="shared" si="21"/>
        <v>1171797.4783035042</v>
      </c>
      <c r="AK54" s="6"/>
      <c r="AM54" s="49"/>
      <c r="AN54" s="79"/>
      <c r="AO54" s="20">
        <f t="shared" si="22"/>
        <v>42613</v>
      </c>
      <c r="AP54" s="78">
        <f t="shared" si="39"/>
        <v>-0.92614777759496147</v>
      </c>
      <c r="AQ54" s="126">
        <f t="shared" ref="AQ54:AQ76" si="44">AQ53*AP54/100+AQ53</f>
        <v>1224268.3481251185</v>
      </c>
      <c r="AR54" s="6"/>
      <c r="AT54" s="39"/>
      <c r="AU54" s="20">
        <f t="shared" si="24"/>
        <v>42613</v>
      </c>
      <c r="AV54" s="27">
        <v>-0.63</v>
      </c>
      <c r="AW54" s="126">
        <f t="shared" si="25"/>
        <v>1041789.3451033152</v>
      </c>
      <c r="AX54" s="6"/>
      <c r="AZ54" s="49"/>
      <c r="BA54" s="79"/>
      <c r="BB54" s="20">
        <f t="shared" si="26"/>
        <v>42613</v>
      </c>
      <c r="BC54" s="78">
        <f t="shared" si="41"/>
        <v>-0.38081379157805506</v>
      </c>
      <c r="BD54" s="126">
        <f t="shared" ref="BD54:BD76" si="45">BD53*BC54/100+BD53</f>
        <v>1137970.1897333653</v>
      </c>
      <c r="BE54" s="6"/>
      <c r="BG54" s="39"/>
      <c r="BH54" s="20">
        <f t="shared" si="28"/>
        <v>42613</v>
      </c>
      <c r="BI54" s="27"/>
      <c r="BJ54" s="126">
        <f t="shared" si="29"/>
        <v>1000000</v>
      </c>
      <c r="BK54" s="6"/>
      <c r="BM54" s="49"/>
      <c r="BN54" s="79"/>
      <c r="BO54" s="20">
        <f t="shared" si="30"/>
        <v>42613</v>
      </c>
      <c r="BP54" s="78"/>
      <c r="BQ54" s="126">
        <f t="shared" ref="BQ54:BQ112" si="46">BQ53*BP54/100+BQ53</f>
        <v>1000000</v>
      </c>
      <c r="BR54" s="6"/>
      <c r="BV54" s="39"/>
      <c r="BW54" s="20">
        <f t="shared" si="32"/>
        <v>42613</v>
      </c>
      <c r="BX54" s="27">
        <v>-0.82000000000000006</v>
      </c>
      <c r="BY54" s="126">
        <f t="shared" si="33"/>
        <v>1142034.2975430675</v>
      </c>
      <c r="BZ54" s="6"/>
      <c r="CB54" s="49"/>
      <c r="CC54" s="79"/>
      <c r="CD54" s="20">
        <f t="shared" si="34"/>
        <v>42613</v>
      </c>
      <c r="CE54" s="78">
        <f t="shared" si="40"/>
        <v>-0.63939305458309525</v>
      </c>
      <c r="CF54" s="126">
        <f t="shared" ref="CF54:CF76" si="47">CF53*CE54/100+CF53</f>
        <v>1193449.508640727</v>
      </c>
      <c r="CG54" s="6"/>
      <c r="CI54" s="39"/>
    </row>
    <row r="55" spans="1:87" x14ac:dyDescent="0.25">
      <c r="A55" s="20">
        <v>42643</v>
      </c>
      <c r="B55" s="24">
        <f t="shared" si="36"/>
        <v>40</v>
      </c>
      <c r="C55" s="301">
        <f>'LC (Gross)'!X217</f>
        <v>-0.9729740973598151</v>
      </c>
      <c r="D55" s="301">
        <v>1.6615</v>
      </c>
      <c r="E55" s="301">
        <f>'CRA (Gross)'!E55</f>
        <v>-5.8876056089258333E-2</v>
      </c>
      <c r="F55" s="301">
        <f>'CRA (Gross)'!F55</f>
        <v>0.02</v>
      </c>
      <c r="G55" s="39"/>
      <c r="H55" s="20">
        <f t="shared" si="12"/>
        <v>42643</v>
      </c>
      <c r="I55" s="27">
        <v>-0.91999999999999993</v>
      </c>
      <c r="J55" s="126">
        <f t="shared" si="13"/>
        <v>1283827.0394576699</v>
      </c>
      <c r="K55" s="6"/>
      <c r="L55" s="49">
        <f>(J55/J52-1)*100</f>
        <v>-0.88811209280000858</v>
      </c>
      <c r="M55" s="49"/>
      <c r="N55" s="79"/>
      <c r="O55" s="20">
        <f t="shared" si="14"/>
        <v>42643</v>
      </c>
      <c r="P55" s="78">
        <f t="shared" si="37"/>
        <v>-0.27991075354789835</v>
      </c>
      <c r="Q55" s="126">
        <f t="shared" si="42"/>
        <v>1285588.9804225247</v>
      </c>
      <c r="R55" s="6"/>
      <c r="S55" s="49">
        <f>(Q55/Q52-1)*100</f>
        <v>-1.0425259204458581</v>
      </c>
      <c r="T55" s="39"/>
      <c r="U55" s="20">
        <f t="shared" si="16"/>
        <v>42643</v>
      </c>
      <c r="V55" s="27">
        <v>-0.85000000000000009</v>
      </c>
      <c r="W55" s="126">
        <f t="shared" si="17"/>
        <v>1223497.3801334212</v>
      </c>
      <c r="X55" s="7"/>
      <c r="Y55" s="49">
        <f>(W55/W52-1)*100</f>
        <v>-0.99324993699999586</v>
      </c>
      <c r="Z55" s="49"/>
      <c r="AA55" s="79"/>
      <c r="AB55" s="20">
        <f t="shared" si="18"/>
        <v>42643</v>
      </c>
      <c r="AC55" s="78">
        <f t="shared" si="38"/>
        <v>-0.27451975222530556</v>
      </c>
      <c r="AD55" s="126">
        <f t="shared" si="43"/>
        <v>1242516.1127355837</v>
      </c>
      <c r="AE55" s="7"/>
      <c r="AF55" s="49">
        <f>(AD55/AD52-1)*100</f>
        <v>-0.83028888060941997</v>
      </c>
      <c r="AG55" s="44"/>
      <c r="AH55" s="20">
        <f t="shared" si="20"/>
        <v>42643</v>
      </c>
      <c r="AI55" s="27">
        <v>-0.73</v>
      </c>
      <c r="AJ55" s="126">
        <f t="shared" si="21"/>
        <v>1163243.3567118887</v>
      </c>
      <c r="AK55" s="7"/>
      <c r="AL55" s="49">
        <f>(AJ55/AJ52-1)*100</f>
        <v>-0.92895296319999154</v>
      </c>
      <c r="AM55" s="49"/>
      <c r="AN55" s="79"/>
      <c r="AO55" s="20">
        <f t="shared" si="22"/>
        <v>42643</v>
      </c>
      <c r="AP55" s="78">
        <f t="shared" si="39"/>
        <v>-0.19099755370717567</v>
      </c>
      <c r="AQ55" s="126">
        <f t="shared" si="44"/>
        <v>1221930.0255293883</v>
      </c>
      <c r="AR55" s="7"/>
      <c r="AS55" s="49">
        <f>(AQ55/AQ52-1)*100</f>
        <v>-0.49327268500214405</v>
      </c>
      <c r="AT55" s="39"/>
      <c r="AU55" s="20">
        <f t="shared" si="24"/>
        <v>42643</v>
      </c>
      <c r="AV55" s="27">
        <v>-0.09</v>
      </c>
      <c r="AW55" s="126">
        <f t="shared" si="25"/>
        <v>1040851.7346927222</v>
      </c>
      <c r="AX55" s="7"/>
      <c r="AY55" s="49">
        <f>(AW55/AW52-1)*100</f>
        <v>-0.15353376810000041</v>
      </c>
      <c r="AZ55" s="49"/>
      <c r="BA55" s="79"/>
      <c r="BB55" s="20">
        <f t="shared" si="26"/>
        <v>42643</v>
      </c>
      <c r="BC55" s="78">
        <f t="shared" si="41"/>
        <v>-5.2435648998462328E-2</v>
      </c>
      <c r="BD55" s="126">
        <f t="shared" si="45"/>
        <v>1137373.4876789695</v>
      </c>
      <c r="BE55" s="7"/>
      <c r="BF55" s="49">
        <f>(BD55/BD52-1)*100</f>
        <v>0.18663389981892209</v>
      </c>
      <c r="BG55" s="39"/>
      <c r="BH55" s="20">
        <f t="shared" si="28"/>
        <v>42643</v>
      </c>
      <c r="BI55" s="27"/>
      <c r="BJ55" s="126">
        <f t="shared" si="29"/>
        <v>1000000</v>
      </c>
      <c r="BK55" s="7"/>
      <c r="BL55" s="49">
        <f>(BJ55/BJ52-1)*100</f>
        <v>0</v>
      </c>
      <c r="BM55" s="49"/>
      <c r="BN55" s="79"/>
      <c r="BO55" s="20">
        <f t="shared" si="30"/>
        <v>42643</v>
      </c>
      <c r="BP55" s="78"/>
      <c r="BQ55" s="126">
        <f t="shared" si="46"/>
        <v>1000000</v>
      </c>
      <c r="BR55" s="7"/>
      <c r="BS55" s="49">
        <f>(BQ55/BQ52-1)*100</f>
        <v>0</v>
      </c>
      <c r="BV55" s="39"/>
      <c r="BW55" s="20">
        <f t="shared" si="32"/>
        <v>42643</v>
      </c>
      <c r="BX55" s="27">
        <v>-0.44</v>
      </c>
      <c r="BY55" s="126">
        <f t="shared" si="33"/>
        <v>1137009.3466338781</v>
      </c>
      <c r="BZ55" s="7"/>
      <c r="CA55" s="49">
        <f>(BY55/BY52-1)*100</f>
        <v>-0.49606621839997089</v>
      </c>
      <c r="CB55" s="49"/>
      <c r="CC55" s="79"/>
      <c r="CD55" s="20">
        <f t="shared" si="34"/>
        <v>42643</v>
      </c>
      <c r="CE55" s="78">
        <f t="shared" si="40"/>
        <v>-0.18560655238458293</v>
      </c>
      <c r="CF55" s="126">
        <f t="shared" si="47"/>
        <v>1191234.3881532883</v>
      </c>
      <c r="CG55" s="7"/>
      <c r="CH55" s="49">
        <f>(CF55/CF52-1)*100</f>
        <v>-0.28116886804480101</v>
      </c>
      <c r="CI55" s="39"/>
    </row>
    <row r="56" spans="1:87" x14ac:dyDescent="0.25">
      <c r="A56" s="20">
        <v>42674</v>
      </c>
      <c r="B56" s="24">
        <f t="shared" si="36"/>
        <v>41</v>
      </c>
      <c r="C56" s="301">
        <f>'LC (Gross)'!X218</f>
        <v>-2.2460824677302473</v>
      </c>
      <c r="D56" s="301">
        <v>-4.6243999999999996</v>
      </c>
      <c r="E56" s="301">
        <f>'CRA (Gross)'!E56</f>
        <v>-0.76485777965419033</v>
      </c>
      <c r="F56" s="301">
        <f>'CRA (Gross)'!F56</f>
        <v>0.01</v>
      </c>
      <c r="G56" s="39"/>
      <c r="H56" s="20">
        <f t="shared" si="12"/>
        <v>42674</v>
      </c>
      <c r="I56" s="27">
        <v>-2.3199999999999998</v>
      </c>
      <c r="J56" s="126">
        <f t="shared" si="13"/>
        <v>1254042.2521422519</v>
      </c>
      <c r="K56" s="7"/>
      <c r="M56" s="49"/>
      <c r="N56" s="79"/>
      <c r="O56" s="20">
        <f t="shared" si="14"/>
        <v>42674</v>
      </c>
      <c r="P56" s="78">
        <f t="shared" si="37"/>
        <v>-1.9260053572516362</v>
      </c>
      <c r="Q56" s="126">
        <f t="shared" si="42"/>
        <v>1260828.4677873503</v>
      </c>
      <c r="R56" s="7"/>
      <c r="T56" s="39"/>
      <c r="U56" s="20">
        <f t="shared" si="16"/>
        <v>42674</v>
      </c>
      <c r="V56" s="27">
        <v>-2.23</v>
      </c>
      <c r="W56" s="126">
        <f t="shared" si="17"/>
        <v>1196213.3885564459</v>
      </c>
      <c r="X56" s="6"/>
      <c r="Z56" s="49"/>
      <c r="AA56" s="79"/>
      <c r="AB56" s="20">
        <f t="shared" si="18"/>
        <v>42674</v>
      </c>
      <c r="AC56" s="78">
        <f t="shared" si="38"/>
        <v>-1.5849057774267399</v>
      </c>
      <c r="AD56" s="126">
        <f t="shared" si="43"/>
        <v>1222823.4030793793</v>
      </c>
      <c r="AE56" s="6"/>
      <c r="AG56" s="44"/>
      <c r="AH56" s="20">
        <f t="shared" si="20"/>
        <v>42674</v>
      </c>
      <c r="AI56" s="27">
        <v>-2.0500000000000003</v>
      </c>
      <c r="AJ56" s="126">
        <f t="shared" si="21"/>
        <v>1139396.8678992949</v>
      </c>
      <c r="AK56" s="6"/>
      <c r="AM56" s="49"/>
      <c r="AN56" s="79"/>
      <c r="AO56" s="20">
        <f t="shared" si="22"/>
        <v>42674</v>
      </c>
      <c r="AP56" s="78">
        <f t="shared" si="39"/>
        <v>-1.5142690865845532</v>
      </c>
      <c r="AQ56" s="126">
        <f t="shared" si="44"/>
        <v>1203426.716893102</v>
      </c>
      <c r="AR56" s="6"/>
      <c r="AT56" s="39"/>
      <c r="AU56" s="20">
        <f t="shared" si="24"/>
        <v>42674</v>
      </c>
      <c r="AV56" s="27">
        <v>-1.43</v>
      </c>
      <c r="AW56" s="126">
        <f t="shared" si="25"/>
        <v>1025967.5548866163</v>
      </c>
      <c r="AX56" s="6"/>
      <c r="AZ56" s="49"/>
      <c r="BA56" s="79"/>
      <c r="BB56" s="20">
        <f t="shared" si="26"/>
        <v>42674</v>
      </c>
      <c r="BC56" s="78">
        <f t="shared" si="41"/>
        <v>-0.98972869253095797</v>
      </c>
      <c r="BD56" s="126">
        <f t="shared" si="45"/>
        <v>1126116.5759301707</v>
      </c>
      <c r="BE56" s="6"/>
      <c r="BG56" s="39"/>
      <c r="BH56" s="20">
        <f t="shared" si="28"/>
        <v>42674</v>
      </c>
      <c r="BI56" s="27"/>
      <c r="BJ56" s="126">
        <f t="shared" si="29"/>
        <v>1000000</v>
      </c>
      <c r="BK56" s="6"/>
      <c r="BM56" s="49"/>
      <c r="BN56" s="79"/>
      <c r="BO56" s="20">
        <f t="shared" si="30"/>
        <v>42674</v>
      </c>
      <c r="BP56" s="78"/>
      <c r="BQ56" s="126">
        <f t="shared" si="46"/>
        <v>1000000</v>
      </c>
      <c r="BR56" s="6"/>
      <c r="BV56" s="39"/>
      <c r="BW56" s="20">
        <f t="shared" si="32"/>
        <v>42674</v>
      </c>
      <c r="BX56" s="27">
        <v>-1.72</v>
      </c>
      <c r="BY56" s="126">
        <f t="shared" si="33"/>
        <v>1117452.7858717754</v>
      </c>
      <c r="BZ56" s="6"/>
      <c r="CB56" s="49"/>
      <c r="CC56" s="79"/>
      <c r="CD56" s="20">
        <f t="shared" si="34"/>
        <v>42674</v>
      </c>
      <c r="CE56" s="78">
        <f t="shared" si="40"/>
        <v>-1.173169506759657</v>
      </c>
      <c r="CF56" s="126">
        <f t="shared" si="47"/>
        <v>1177259.1895574389</v>
      </c>
      <c r="CG56" s="6"/>
      <c r="CI56" s="39"/>
    </row>
    <row r="57" spans="1:87" x14ac:dyDescent="0.25">
      <c r="A57" s="20">
        <v>42704</v>
      </c>
      <c r="B57" s="24">
        <f t="shared" si="36"/>
        <v>42</v>
      </c>
      <c r="C57" s="301">
        <f>'LC (Gross)'!X219</f>
        <v>0.53532421294514498</v>
      </c>
      <c r="D57" s="301">
        <v>-3.5678000000000001</v>
      </c>
      <c r="E57" s="301">
        <f>'CRA (Gross)'!E57</f>
        <v>-2.3651924408825651</v>
      </c>
      <c r="F57" s="301">
        <f>'CRA (Gross)'!F57</f>
        <v>0.01</v>
      </c>
      <c r="G57" s="39"/>
      <c r="H57" s="20">
        <f t="shared" si="12"/>
        <v>42704</v>
      </c>
      <c r="I57" s="27">
        <v>4.09</v>
      </c>
      <c r="J57" s="126">
        <f t="shared" si="13"/>
        <v>1305332.58025487</v>
      </c>
      <c r="K57" s="6"/>
      <c r="L57" s="49"/>
      <c r="M57" s="49"/>
      <c r="N57" s="79"/>
      <c r="O57" s="20">
        <f t="shared" si="14"/>
        <v>42704</v>
      </c>
      <c r="P57" s="78">
        <f t="shared" si="37"/>
        <v>-0.23774168288017028</v>
      </c>
      <c r="Q57" s="126">
        <f t="shared" si="42"/>
        <v>1257830.9529698004</v>
      </c>
      <c r="R57" s="6"/>
      <c r="S57" s="49"/>
      <c r="T57" s="39"/>
      <c r="U57" s="20">
        <f t="shared" si="16"/>
        <v>42704</v>
      </c>
      <c r="V57" s="27">
        <v>3.25</v>
      </c>
      <c r="W57" s="126">
        <f t="shared" si="17"/>
        <v>1235090.3236845303</v>
      </c>
      <c r="X57" s="6"/>
      <c r="Y57" s="49"/>
      <c r="Z57" s="49"/>
      <c r="AA57" s="79"/>
      <c r="AB57" s="20">
        <f t="shared" si="18"/>
        <v>42704</v>
      </c>
      <c r="AC57" s="78">
        <f t="shared" si="38"/>
        <v>-0.46766297030706949</v>
      </c>
      <c r="AD57" s="126">
        <f t="shared" si="43"/>
        <v>1217104.7108309283</v>
      </c>
      <c r="AE57" s="6"/>
      <c r="AF57" s="49"/>
      <c r="AG57" s="44"/>
      <c r="AH57" s="20">
        <f t="shared" si="20"/>
        <v>42704</v>
      </c>
      <c r="AI57" s="27">
        <v>2.27</v>
      </c>
      <c r="AJ57" s="126">
        <f t="shared" si="21"/>
        <v>1165261.1768006089</v>
      </c>
      <c r="AK57" s="6"/>
      <c r="AL57" s="49"/>
      <c r="AM57" s="49"/>
      <c r="AN57" s="79"/>
      <c r="AO57" s="20">
        <f t="shared" si="22"/>
        <v>42704</v>
      </c>
      <c r="AP57" s="78">
        <f t="shared" si="39"/>
        <v>-0.99523387977809696</v>
      </c>
      <c r="AQ57" s="126">
        <f t="shared" si="44"/>
        <v>1191449.8064882807</v>
      </c>
      <c r="AR57" s="6"/>
      <c r="AS57" s="49"/>
      <c r="AT57" s="39"/>
      <c r="AU57" s="20">
        <f t="shared" si="24"/>
        <v>42704</v>
      </c>
      <c r="AV57" s="27">
        <v>0.95</v>
      </c>
      <c r="AW57" s="126">
        <f t="shared" si="25"/>
        <v>1035714.2466580392</v>
      </c>
      <c r="AX57" s="6"/>
      <c r="AY57" s="49"/>
      <c r="AZ57" s="49"/>
      <c r="BA57" s="79"/>
      <c r="BB57" s="20">
        <f t="shared" si="26"/>
        <v>42704</v>
      </c>
      <c r="BC57" s="78">
        <f t="shared" si="41"/>
        <v>-1.7789922873232809</v>
      </c>
      <c r="BD57" s="126">
        <f t="shared" si="45"/>
        <v>1106083.0488981039</v>
      </c>
      <c r="BE57" s="6"/>
      <c r="BF57" s="49"/>
      <c r="BG57" s="39"/>
      <c r="BH57" s="20">
        <f t="shared" si="28"/>
        <v>42704</v>
      </c>
      <c r="BI57" s="27"/>
      <c r="BJ57" s="126">
        <f t="shared" si="29"/>
        <v>1000000</v>
      </c>
      <c r="BK57" s="6"/>
      <c r="BL57" s="49"/>
      <c r="BM57" s="49"/>
      <c r="BN57" s="79"/>
      <c r="BO57" s="20">
        <f t="shared" si="30"/>
        <v>42704</v>
      </c>
      <c r="BP57" s="78"/>
      <c r="BQ57" s="126">
        <f t="shared" si="46"/>
        <v>1000000</v>
      </c>
      <c r="BR57" s="6"/>
      <c r="BS57" s="49"/>
      <c r="BV57" s="39"/>
      <c r="BW57" s="20">
        <f t="shared" si="32"/>
        <v>42704</v>
      </c>
      <c r="BX57" s="27">
        <v>1.47</v>
      </c>
      <c r="BY57" s="126">
        <f t="shared" si="33"/>
        <v>1133879.3418240903</v>
      </c>
      <c r="BZ57" s="6"/>
      <c r="CA57" s="49"/>
      <c r="CB57" s="49"/>
      <c r="CC57" s="79"/>
      <c r="CD57" s="20">
        <f t="shared" si="34"/>
        <v>42704</v>
      </c>
      <c r="CE57" s="78">
        <f t="shared" si="40"/>
        <v>-1.2251551672049963</v>
      </c>
      <c r="CF57" s="126">
        <f t="shared" si="47"/>
        <v>1162835.9377651804</v>
      </c>
      <c r="CG57" s="6"/>
      <c r="CH57" s="49"/>
      <c r="CI57" s="39"/>
    </row>
    <row r="58" spans="1:87" x14ac:dyDescent="0.25">
      <c r="A58" s="20">
        <v>42735</v>
      </c>
      <c r="B58" s="24">
        <f t="shared" si="36"/>
        <v>43</v>
      </c>
      <c r="C58" s="301">
        <f>'LC (Gross)'!X220</f>
        <v>2.5687917748434885</v>
      </c>
      <c r="D58" s="301">
        <v>1.6069</v>
      </c>
      <c r="E58" s="301">
        <f>'CRA (Gross)'!E58</f>
        <v>0.14086005705338864</v>
      </c>
      <c r="F58" s="301">
        <f>'CRA (Gross)'!F58</f>
        <v>0.03</v>
      </c>
      <c r="G58" s="39"/>
      <c r="H58" s="20">
        <f t="shared" si="12"/>
        <v>42735</v>
      </c>
      <c r="I58" s="27">
        <v>2.33</v>
      </c>
      <c r="J58" s="126">
        <f t="shared" si="13"/>
        <v>1335746.8293748086</v>
      </c>
      <c r="K58" s="6">
        <f t="shared" ref="K58" si="48">(J58-J$46)/J$46*100</f>
        <v>10.843393476925941</v>
      </c>
      <c r="L58" s="49">
        <f>(J58/J55-1)*100</f>
        <v>4.0441421096000019</v>
      </c>
      <c r="M58" s="49"/>
      <c r="N58" s="79"/>
      <c r="O58" s="20">
        <f t="shared" si="14"/>
        <v>42735</v>
      </c>
      <c r="P58" s="78">
        <f t="shared" si="37"/>
        <v>1.6628704761639188</v>
      </c>
      <c r="Q58" s="126">
        <f t="shared" si="42"/>
        <v>1278747.0525267865</v>
      </c>
      <c r="R58" s="6">
        <f>(Q58-Q$46)/Q$46*100</f>
        <v>5.4942897398818022</v>
      </c>
      <c r="S58" s="49">
        <f>(Q58/Q55-1)*100</f>
        <v>-0.53220181566037139</v>
      </c>
      <c r="T58" s="39"/>
      <c r="U58" s="20">
        <f t="shared" si="16"/>
        <v>42735</v>
      </c>
      <c r="V58" s="27">
        <v>1.92</v>
      </c>
      <c r="W58" s="126">
        <f t="shared" si="17"/>
        <v>1258804.0578992732</v>
      </c>
      <c r="X58" s="6">
        <f>(W58-W$46)/W$46*100</f>
        <v>8.9487477463029226</v>
      </c>
      <c r="Y58" s="49">
        <f>(W58/W55-1)*100</f>
        <v>2.8857174799999941</v>
      </c>
      <c r="Z58" s="49"/>
      <c r="AA58" s="79"/>
      <c r="AB58" s="20">
        <f t="shared" si="18"/>
        <v>42735</v>
      </c>
      <c r="AC58" s="78">
        <f t="shared" si="38"/>
        <v>1.3467753072375781</v>
      </c>
      <c r="AD58" s="126">
        <f t="shared" si="43"/>
        <v>1233496.3765396245</v>
      </c>
      <c r="AE58" s="6">
        <f>(AD58-AD$46)/AD$46*100</f>
        <v>4.9604805147977862</v>
      </c>
      <c r="AF58" s="49">
        <f>(AD58/AD55-1)*100</f>
        <v>-0.72592508889891549</v>
      </c>
      <c r="AG58" s="44"/>
      <c r="AH58" s="20">
        <f t="shared" si="20"/>
        <v>42735</v>
      </c>
      <c r="AI58" s="27">
        <v>1.44</v>
      </c>
      <c r="AJ58" s="126">
        <f t="shared" si="21"/>
        <v>1182040.9377465376</v>
      </c>
      <c r="AK58" s="6">
        <f>(AJ58-AJ$46)/AJ$46*100</f>
        <v>6.8403522432270227</v>
      </c>
      <c r="AL58" s="49">
        <f>(AJ58/AJ55-1)*100</f>
        <v>1.6159628959999894</v>
      </c>
      <c r="AM58" s="49"/>
      <c r="AN58" s="79"/>
      <c r="AO58" s="20">
        <f t="shared" si="22"/>
        <v>42735</v>
      </c>
      <c r="AP58" s="78">
        <f t="shared" si="39"/>
        <v>1.115068141163907</v>
      </c>
      <c r="AQ58" s="126">
        <f t="shared" si="44"/>
        <v>1204735.2836983905</v>
      </c>
      <c r="AR58" s="6">
        <f>(AQ58-AQ$46)/AQ$46*100</f>
        <v>4.4439009069907494</v>
      </c>
      <c r="AS58" s="49">
        <f>(AQ58/AQ55-1)*100</f>
        <v>-1.4071789277416591</v>
      </c>
      <c r="AT58" s="39"/>
      <c r="AU58" s="20">
        <f t="shared" si="24"/>
        <v>42735</v>
      </c>
      <c r="AV58" s="27">
        <v>0.9900000000000001</v>
      </c>
      <c r="AW58" s="126">
        <f t="shared" si="25"/>
        <v>1045967.8176999538</v>
      </c>
      <c r="AX58" s="6">
        <f>(AW58-AW$46)/AW$46*100</f>
        <v>4.6747230110000766</v>
      </c>
      <c r="AY58" s="49">
        <f>(AW58/AW55-1)*100</f>
        <v>0.4915285085000054</v>
      </c>
      <c r="AZ58" s="49"/>
      <c r="BA58" s="79"/>
      <c r="BB58" s="20">
        <f t="shared" si="26"/>
        <v>42735</v>
      </c>
      <c r="BC58" s="78">
        <f t="shared" si="41"/>
        <v>0.4403262174217209</v>
      </c>
      <c r="BD58" s="126">
        <f t="shared" si="45"/>
        <v>1110953.4225488598</v>
      </c>
      <c r="BE58" s="6">
        <f>(BD58-BD$46)/BD$46*100</f>
        <v>2.8554971220366316</v>
      </c>
      <c r="BF58" s="49">
        <f>(BD58/BD55-1)*100</f>
        <v>-2.3229014405835025</v>
      </c>
      <c r="BG58" s="39"/>
      <c r="BH58" s="20">
        <f t="shared" si="28"/>
        <v>42735</v>
      </c>
      <c r="BI58" s="27"/>
      <c r="BJ58" s="126">
        <f t="shared" si="29"/>
        <v>1000000</v>
      </c>
      <c r="BK58" s="6">
        <f>(BJ58-BJ$46)/BJ$46*100</f>
        <v>0</v>
      </c>
      <c r="BL58" s="49">
        <f>(BJ58/BJ55-1)*100</f>
        <v>0</v>
      </c>
      <c r="BM58" s="49"/>
      <c r="BN58" s="79"/>
      <c r="BO58" s="20">
        <f t="shared" si="30"/>
        <v>42735</v>
      </c>
      <c r="BP58" s="78"/>
      <c r="BQ58" s="126">
        <f t="shared" si="46"/>
        <v>1000000</v>
      </c>
      <c r="BR58" s="6">
        <f>(BQ58-BQ$46)/BQ$46*100</f>
        <v>0</v>
      </c>
      <c r="BS58" s="49">
        <f>(BQ58/BQ55-1)*100</f>
        <v>0</v>
      </c>
      <c r="BV58" s="39"/>
      <c r="BW58" s="20">
        <f t="shared" si="32"/>
        <v>42735</v>
      </c>
      <c r="BX58" s="27">
        <v>1.24</v>
      </c>
      <c r="BY58" s="126">
        <f t="shared" si="33"/>
        <v>1147939.445662709</v>
      </c>
      <c r="BZ58" s="6">
        <f>(BY58-BY$46)/BY$46*100</f>
        <v>5.914287986623509</v>
      </c>
      <c r="CA58" s="49">
        <f>(BY58/BY55-1)*100</f>
        <v>0.96130247839998351</v>
      </c>
      <c r="CB58" s="49"/>
      <c r="CC58" s="79"/>
      <c r="CD58" s="20">
        <f t="shared" si="34"/>
        <v>42735</v>
      </c>
      <c r="CE58" s="78">
        <f t="shared" si="40"/>
        <v>0.79897297223756647</v>
      </c>
      <c r="CF58" s="126">
        <f t="shared" si="47"/>
        <v>1172126.6826193894</v>
      </c>
      <c r="CG58" s="6">
        <f>(CF58-CF$46)/CF$46*100</f>
        <v>3.8932204451826635</v>
      </c>
      <c r="CH58" s="49">
        <f>(CF58/CF55-1)*100</f>
        <v>-1.6040256832679733</v>
      </c>
      <c r="CI58" s="39"/>
    </row>
    <row r="59" spans="1:87" x14ac:dyDescent="0.25">
      <c r="A59" s="20">
        <v>42766</v>
      </c>
      <c r="B59" s="24">
        <f t="shared" si="36"/>
        <v>44</v>
      </c>
      <c r="C59" s="301">
        <f>'LC (Gross)'!X221</f>
        <v>0.73983050516338389</v>
      </c>
      <c r="D59" s="301">
        <v>2.7669000000000001</v>
      </c>
      <c r="E59" s="301">
        <f>'CRA (Gross)'!E59</f>
        <v>0.19631951507056419</v>
      </c>
      <c r="F59" s="301">
        <f>'CRA (Gross)'!F59</f>
        <v>0.04</v>
      </c>
      <c r="G59" s="39"/>
      <c r="H59" s="20">
        <f t="shared" si="12"/>
        <v>42766</v>
      </c>
      <c r="I59" s="27">
        <v>-0.80999999999999994</v>
      </c>
      <c r="J59" s="126">
        <f t="shared" si="13"/>
        <v>1324927.2800568726</v>
      </c>
      <c r="K59" s="6"/>
      <c r="M59" s="49"/>
      <c r="N59" s="79"/>
      <c r="O59" s="20">
        <f t="shared" si="14"/>
        <v>42766</v>
      </c>
      <c r="P59" s="78">
        <f t="shared" si="37"/>
        <v>0.83394177783986123</v>
      </c>
      <c r="Q59" s="126">
        <f t="shared" si="42"/>
        <v>1289411.0584307031</v>
      </c>
      <c r="T59" s="39"/>
      <c r="U59" s="20">
        <f t="shared" si="16"/>
        <v>42766</v>
      </c>
      <c r="V59" s="27">
        <v>-0.61</v>
      </c>
      <c r="W59" s="126">
        <f t="shared" si="17"/>
        <v>1251125.3531460876</v>
      </c>
      <c r="X59" s="6"/>
      <c r="Z59" s="49"/>
      <c r="AA59" s="79"/>
      <c r="AB59" s="20">
        <f t="shared" si="18"/>
        <v>42766</v>
      </c>
      <c r="AC59" s="78">
        <f t="shared" si="38"/>
        <v>0.65106165458410747</v>
      </c>
      <c r="AD59" s="126">
        <f t="shared" si="43"/>
        <v>1241527.1984579584</v>
      </c>
      <c r="AE59" s="6"/>
      <c r="AG59" s="44"/>
      <c r="AH59" s="20">
        <f t="shared" si="20"/>
        <v>42766</v>
      </c>
      <c r="AI59" s="27">
        <v>-0.38999999999999996</v>
      </c>
      <c r="AJ59" s="126">
        <f t="shared" si="21"/>
        <v>1177430.9780893261</v>
      </c>
      <c r="AK59" s="6"/>
      <c r="AM59" s="49"/>
      <c r="AN59" s="79"/>
      <c r="AO59" s="20">
        <f t="shared" si="22"/>
        <v>42766</v>
      </c>
      <c r="AP59" s="78">
        <f t="shared" si="39"/>
        <v>0.61234250708188176</v>
      </c>
      <c r="AQ59" s="126">
        <f t="shared" si="44"/>
        <v>1212112.3899382893</v>
      </c>
      <c r="AR59" s="6"/>
      <c r="AT59" s="39"/>
      <c r="AU59" s="20">
        <f t="shared" si="24"/>
        <v>42766</v>
      </c>
      <c r="AV59" s="27">
        <v>-0.32</v>
      </c>
      <c r="AW59" s="126">
        <f t="shared" si="25"/>
        <v>1042620.7206833139</v>
      </c>
      <c r="AX59" s="6"/>
      <c r="AZ59" s="49"/>
      <c r="BA59" s="79"/>
      <c r="BB59" s="20">
        <f t="shared" si="26"/>
        <v>42766</v>
      </c>
      <c r="BC59" s="78">
        <f t="shared" si="41"/>
        <v>0.35575171106573333</v>
      </c>
      <c r="BD59" s="126">
        <f t="shared" si="45"/>
        <v>1114905.6583587208</v>
      </c>
      <c r="BE59" s="6"/>
      <c r="BG59" s="39"/>
      <c r="BH59" s="20">
        <f t="shared" si="28"/>
        <v>42766</v>
      </c>
      <c r="BI59" s="27"/>
      <c r="BJ59" s="126">
        <f t="shared" si="29"/>
        <v>1000000</v>
      </c>
      <c r="BK59" s="6"/>
      <c r="BM59" s="49"/>
      <c r="BN59" s="79"/>
      <c r="BO59" s="20">
        <f t="shared" si="30"/>
        <v>42766</v>
      </c>
      <c r="BP59" s="78"/>
      <c r="BQ59" s="126">
        <f t="shared" si="46"/>
        <v>1000000</v>
      </c>
      <c r="BR59" s="6"/>
      <c r="BV59" s="39"/>
      <c r="BW59" s="20">
        <f t="shared" si="32"/>
        <v>42766</v>
      </c>
      <c r="BX59" s="27">
        <v>-0.36</v>
      </c>
      <c r="BY59" s="126">
        <f t="shared" si="33"/>
        <v>1143806.8636583232</v>
      </c>
      <c r="BZ59" s="6"/>
      <c r="CB59" s="49"/>
      <c r="CC59" s="79"/>
      <c r="CD59" s="20">
        <f t="shared" si="34"/>
        <v>42766</v>
      </c>
      <c r="CE59" s="78">
        <f t="shared" si="40"/>
        <v>0.42946238382612811</v>
      </c>
      <c r="CF59" s="126">
        <f t="shared" si="47"/>
        <v>1177160.5258120287</v>
      </c>
      <c r="CG59" s="6"/>
      <c r="CI59" s="39"/>
    </row>
    <row r="60" spans="1:87" x14ac:dyDescent="0.25">
      <c r="A60" s="20">
        <v>42794</v>
      </c>
      <c r="B60" s="24">
        <f t="shared" si="36"/>
        <v>45</v>
      </c>
      <c r="C60" s="301">
        <f>'LC (Gross)'!X222</f>
        <v>4.495007378878765</v>
      </c>
      <c r="D60" s="301">
        <v>2.0106999999999999</v>
      </c>
      <c r="E60" s="301">
        <f>'CRA (Gross)'!E60</f>
        <v>0.67213735639439187</v>
      </c>
      <c r="F60" s="301">
        <f>'CRA (Gross)'!F60</f>
        <v>0.04</v>
      </c>
      <c r="G60" s="39"/>
      <c r="H60" s="20">
        <f t="shared" si="12"/>
        <v>42794</v>
      </c>
      <c r="I60" s="27">
        <v>2.8000000000000003</v>
      </c>
      <c r="J60" s="126">
        <f t="shared" si="13"/>
        <v>1362025.2438984651</v>
      </c>
      <c r="K60" s="6"/>
      <c r="L60" s="49"/>
      <c r="M60" s="49"/>
      <c r="N60" s="79"/>
      <c r="O60" s="20">
        <f t="shared" si="14"/>
        <v>42794</v>
      </c>
      <c r="P60" s="78">
        <f t="shared" si="37"/>
        <v>2.7858590583833207</v>
      </c>
      <c r="Q60" s="126">
        <f t="shared" si="42"/>
        <v>1325332.2332017911</v>
      </c>
      <c r="R60" s="6"/>
      <c r="S60" s="49"/>
      <c r="T60" s="39"/>
      <c r="U60" s="20">
        <f t="shared" si="16"/>
        <v>42794</v>
      </c>
      <c r="V60" s="27">
        <v>2.7199999999999998</v>
      </c>
      <c r="W60" s="126">
        <f t="shared" si="17"/>
        <v>1285155.9627516612</v>
      </c>
      <c r="X60" s="8"/>
      <c r="Y60" s="49"/>
      <c r="Z60" s="49"/>
      <c r="AA60" s="79"/>
      <c r="AB60" s="20">
        <f t="shared" si="18"/>
        <v>42794</v>
      </c>
      <c r="AC60" s="78">
        <f t="shared" si="38"/>
        <v>2.3366439239546031</v>
      </c>
      <c r="AD60" s="126">
        <f t="shared" si="43"/>
        <v>1270537.2683049701</v>
      </c>
      <c r="AE60" s="8"/>
      <c r="AG60" s="44"/>
      <c r="AH60" s="20">
        <f t="shared" si="20"/>
        <v>42794</v>
      </c>
      <c r="AI60" s="27">
        <v>2.4699999999999998</v>
      </c>
      <c r="AJ60" s="126">
        <f t="shared" si="21"/>
        <v>1206513.5232481323</v>
      </c>
      <c r="AK60" s="8"/>
      <c r="AM60" s="49"/>
      <c r="AN60" s="79"/>
      <c r="AO60" s="20">
        <f t="shared" si="22"/>
        <v>42794</v>
      </c>
      <c r="AP60" s="78">
        <f t="shared" si="39"/>
        <v>2.0175706573456047</v>
      </c>
      <c r="AQ60" s="126">
        <f t="shared" si="44"/>
        <v>1236567.6138517347</v>
      </c>
      <c r="AR60" s="8"/>
      <c r="AT60" s="39"/>
      <c r="AU60" s="20">
        <f t="shared" si="24"/>
        <v>42794</v>
      </c>
      <c r="AV60" s="27">
        <v>1.35</v>
      </c>
      <c r="AW60" s="126">
        <f t="shared" si="25"/>
        <v>1056696.1004125387</v>
      </c>
      <c r="AX60" s="8"/>
      <c r="AZ60" s="49"/>
      <c r="BA60" s="79"/>
      <c r="BB60" s="20">
        <f t="shared" si="26"/>
        <v>42794</v>
      </c>
      <c r="BC60" s="78">
        <f t="shared" si="41"/>
        <v>1.0265318873639508</v>
      </c>
      <c r="BD60" s="126">
        <f t="shared" si="45"/>
        <v>1126350.5204557981</v>
      </c>
      <c r="BE60" s="8"/>
      <c r="BG60" s="39"/>
      <c r="BH60" s="20">
        <f t="shared" si="28"/>
        <v>42794</v>
      </c>
      <c r="BI60" s="27"/>
      <c r="BJ60" s="126">
        <f t="shared" si="29"/>
        <v>1000000</v>
      </c>
      <c r="BK60" s="8"/>
      <c r="BM60" s="49"/>
      <c r="BN60" s="79"/>
      <c r="BO60" s="20">
        <f t="shared" si="30"/>
        <v>42794</v>
      </c>
      <c r="BP60" s="78"/>
      <c r="BQ60" s="126">
        <f t="shared" si="46"/>
        <v>1000000</v>
      </c>
      <c r="BR60" s="8"/>
      <c r="BV60" s="39"/>
      <c r="BW60" s="20">
        <f t="shared" si="32"/>
        <v>42794</v>
      </c>
      <c r="BX60" s="27">
        <v>1.76</v>
      </c>
      <c r="BY60" s="126">
        <f t="shared" si="33"/>
        <v>1163937.8644587097</v>
      </c>
      <c r="BZ60" s="8"/>
      <c r="CB60" s="49"/>
      <c r="CC60" s="79"/>
      <c r="CD60" s="20">
        <f t="shared" si="34"/>
        <v>42794</v>
      </c>
      <c r="CE60" s="78">
        <f t="shared" si="40"/>
        <v>1.5683555229168873</v>
      </c>
      <c r="CF60" s="126">
        <f t="shared" si="47"/>
        <v>1195622.587932199</v>
      </c>
      <c r="CG60" s="8"/>
      <c r="CI60" s="39"/>
    </row>
    <row r="61" spans="1:87" x14ac:dyDescent="0.25">
      <c r="A61" s="20">
        <v>42825</v>
      </c>
      <c r="B61" s="24">
        <f t="shared" si="36"/>
        <v>46</v>
      </c>
      <c r="C61" s="301">
        <f>'LC (Gross)'!X223</f>
        <v>-5.084997401826865E-2</v>
      </c>
      <c r="D61" s="301">
        <v>1.9685999999999999</v>
      </c>
      <c r="E61" s="301">
        <f>'CRA (Gross)'!E61</f>
        <v>-5.2669596099437915E-2</v>
      </c>
      <c r="F61" s="301">
        <f>'CRA (Gross)'!F61</f>
        <v>0.03</v>
      </c>
      <c r="G61" s="39"/>
      <c r="H61" s="20">
        <f t="shared" si="12"/>
        <v>42825</v>
      </c>
      <c r="I61" s="27">
        <v>-0.3</v>
      </c>
      <c r="J61" s="126">
        <f t="shared" si="13"/>
        <v>1357939.1681667697</v>
      </c>
      <c r="K61" s="8"/>
      <c r="L61" s="49">
        <f>(J61/J58-1)*100</f>
        <v>1.6614180399999956</v>
      </c>
      <c r="M61" s="49"/>
      <c r="N61" s="79"/>
      <c r="O61" s="20">
        <f t="shared" si="14"/>
        <v>42825</v>
      </c>
      <c r="P61" s="78">
        <f t="shared" si="37"/>
        <v>0.27632251428995225</v>
      </c>
      <c r="Q61" s="126">
        <f t="shared" si="42"/>
        <v>1328994.4245512695</v>
      </c>
      <c r="R61" s="8"/>
      <c r="S61" s="49">
        <f>(Q61/Q58-1)*100</f>
        <v>3.9294223142250839</v>
      </c>
      <c r="T61" s="39"/>
      <c r="U61" s="20">
        <f t="shared" si="16"/>
        <v>42825</v>
      </c>
      <c r="V61" s="27">
        <v>-0.31</v>
      </c>
      <c r="W61" s="126">
        <f t="shared" si="17"/>
        <v>1281171.9792671311</v>
      </c>
      <c r="X61" s="8"/>
      <c r="Y61" s="49">
        <f>(W61/W58-1)*100</f>
        <v>1.7769184352000034</v>
      </c>
      <c r="Z61" s="49"/>
      <c r="AA61" s="79"/>
      <c r="AB61" s="20">
        <f t="shared" si="18"/>
        <v>42825</v>
      </c>
      <c r="AC61" s="78">
        <f t="shared" si="38"/>
        <v>0.17507707227686342</v>
      </c>
      <c r="AD61" s="126">
        <f t="shared" si="43"/>
        <v>1272761.6877565049</v>
      </c>
      <c r="AE61" s="8"/>
      <c r="AF61" s="49">
        <f>(AD61/AD58-1)*100</f>
        <v>3.1832530653258084</v>
      </c>
      <c r="AG61" s="44"/>
      <c r="AH61" s="20">
        <f t="shared" si="20"/>
        <v>42825</v>
      </c>
      <c r="AI61" s="27">
        <v>-0.27</v>
      </c>
      <c r="AJ61" s="126">
        <f t="shared" si="21"/>
        <v>1203255.9367353623</v>
      </c>
      <c r="AK61" s="8"/>
      <c r="AL61" s="49">
        <f>(AJ61/AJ58-1)*100</f>
        <v>1.7947770090999793</v>
      </c>
      <c r="AM61" s="49"/>
      <c r="AN61" s="79"/>
      <c r="AO61" s="20">
        <f t="shared" si="22"/>
        <v>42825</v>
      </c>
      <c r="AP61" s="78">
        <f t="shared" si="39"/>
        <v>0.16662815045880272</v>
      </c>
      <c r="AQ61" s="126">
        <f t="shared" si="44"/>
        <v>1238628.0835958684</v>
      </c>
      <c r="AR61" s="8"/>
      <c r="AS61" s="49">
        <f>(AQ61/AQ58-1)*100</f>
        <v>2.813298519275631</v>
      </c>
      <c r="AT61" s="39"/>
      <c r="AU61" s="20">
        <f t="shared" si="24"/>
        <v>42825</v>
      </c>
      <c r="AV61" s="27">
        <v>-0.12</v>
      </c>
      <c r="AW61" s="126">
        <f t="shared" si="25"/>
        <v>1055428.0650920437</v>
      </c>
      <c r="AX61" s="8"/>
      <c r="AY61" s="49">
        <f>(AW61/AW58-1)*100</f>
        <v>0.90444918400001129</v>
      </c>
      <c r="AZ61" s="49"/>
      <c r="BA61" s="79"/>
      <c r="BB61" s="20">
        <f t="shared" si="26"/>
        <v>42825</v>
      </c>
      <c r="BC61" s="78">
        <f t="shared" si="41"/>
        <v>6.0976285328566589E-2</v>
      </c>
      <c r="BD61" s="126">
        <f t="shared" si="45"/>
        <v>1127037.327162951</v>
      </c>
      <c r="BE61" s="8"/>
      <c r="BF61" s="49">
        <f>(BD61/BD58-1)*100</f>
        <v>1.4477568804990737</v>
      </c>
      <c r="BG61" s="39"/>
      <c r="BH61" s="20">
        <f t="shared" si="28"/>
        <v>42825</v>
      </c>
      <c r="BI61" s="27"/>
      <c r="BJ61" s="126">
        <f t="shared" si="29"/>
        <v>1000000</v>
      </c>
      <c r="BK61" s="8"/>
      <c r="BL61" s="49">
        <f>(BJ61/BJ58-1)*100</f>
        <v>0</v>
      </c>
      <c r="BM61" s="49"/>
      <c r="BN61" s="79"/>
      <c r="BO61" s="20">
        <f t="shared" si="30"/>
        <v>42825</v>
      </c>
      <c r="BP61" s="78"/>
      <c r="BQ61" s="126">
        <f t="shared" si="46"/>
        <v>1000000</v>
      </c>
      <c r="BR61" s="8"/>
      <c r="BS61" s="49">
        <f>(BQ61/BQ58-1)*100</f>
        <v>0</v>
      </c>
      <c r="BV61" s="39"/>
      <c r="BW61" s="20">
        <f t="shared" si="32"/>
        <v>42825</v>
      </c>
      <c r="BX61" s="27">
        <v>-0.19</v>
      </c>
      <c r="BY61" s="126">
        <f t="shared" si="33"/>
        <v>1161726.3825162381</v>
      </c>
      <c r="BZ61" s="8"/>
      <c r="CA61" s="49">
        <f>(BY61/BY58-1)*100</f>
        <v>1.2010160383999935</v>
      </c>
      <c r="CB61" s="49"/>
      <c r="CC61" s="79"/>
      <c r="CD61" s="20">
        <f t="shared" si="34"/>
        <v>42825</v>
      </c>
      <c r="CE61" s="78">
        <f t="shared" si="40"/>
        <v>6.5382708445713894E-2</v>
      </c>
      <c r="CF61" s="126">
        <f t="shared" si="47"/>
        <v>1196404.3183629778</v>
      </c>
      <c r="CG61" s="8"/>
      <c r="CH61" s="49">
        <f>(CF61/CF58-1)*100</f>
        <v>2.0712467435119342</v>
      </c>
      <c r="CI61" s="39"/>
    </row>
    <row r="62" spans="1:87" x14ac:dyDescent="0.25">
      <c r="A62" s="20">
        <v>42855</v>
      </c>
      <c r="B62" s="24">
        <f t="shared" si="36"/>
        <v>47</v>
      </c>
      <c r="C62" s="301">
        <f>'LC (Gross)'!X224</f>
        <v>1.0873319147513971</v>
      </c>
      <c r="D62" s="301">
        <v>1.9697</v>
      </c>
      <c r="E62" s="301">
        <f>'CRA (Gross)'!E62</f>
        <v>0.77189073078680204</v>
      </c>
      <c r="F62" s="301">
        <f>'CRA (Gross)'!F62</f>
        <v>0.05</v>
      </c>
      <c r="G62" s="39"/>
      <c r="H62" s="20">
        <f t="shared" si="12"/>
        <v>42855</v>
      </c>
      <c r="I62" s="27">
        <v>1.01</v>
      </c>
      <c r="J62" s="126">
        <f t="shared" si="13"/>
        <v>1371654.3537652541</v>
      </c>
      <c r="K62" s="8"/>
      <c r="L62" s="49"/>
      <c r="M62" s="49"/>
      <c r="N62" s="79"/>
      <c r="O62" s="20">
        <f t="shared" si="14"/>
        <v>42855</v>
      </c>
      <c r="P62" s="78">
        <f t="shared" si="37"/>
        <v>0.90848755311326845</v>
      </c>
      <c r="Q62" s="126">
        <f t="shared" si="42"/>
        <v>1341068.1734798872</v>
      </c>
      <c r="R62" s="8"/>
      <c r="S62" s="49"/>
      <c r="T62" s="39"/>
      <c r="U62" s="20">
        <f t="shared" si="16"/>
        <v>42855</v>
      </c>
      <c r="V62" s="27">
        <v>0.75</v>
      </c>
      <c r="W62" s="126">
        <f t="shared" si="17"/>
        <v>1290780.7691116345</v>
      </c>
      <c r="X62" s="6"/>
      <c r="Y62" s="49"/>
      <c r="Z62" s="49"/>
      <c r="AA62" s="79"/>
      <c r="AB62" s="20">
        <f t="shared" si="18"/>
        <v>42855</v>
      </c>
      <c r="AC62" s="78">
        <f t="shared" si="38"/>
        <v>0.81705297125614895</v>
      </c>
      <c r="AD62" s="126">
        <f t="shared" si="43"/>
        <v>1283160.8249433292</v>
      </c>
      <c r="AE62" s="6"/>
      <c r="AF62" s="49"/>
      <c r="AG62" s="44"/>
      <c r="AH62" s="20">
        <f t="shared" si="20"/>
        <v>42855</v>
      </c>
      <c r="AI62" s="27">
        <v>0.62</v>
      </c>
      <c r="AJ62" s="126">
        <f t="shared" si="21"/>
        <v>1210716.1235431216</v>
      </c>
      <c r="AK62" s="6"/>
      <c r="AL62" s="49"/>
      <c r="AM62" s="49"/>
      <c r="AN62" s="79"/>
      <c r="AO62" s="20">
        <f t="shared" si="22"/>
        <v>42855</v>
      </c>
      <c r="AP62" s="78">
        <f t="shared" si="39"/>
        <v>0.85769792593836969</v>
      </c>
      <c r="AQ62" s="126">
        <f t="shared" si="44"/>
        <v>1249251.7709789604</v>
      </c>
      <c r="AR62" s="6"/>
      <c r="AS62" s="49"/>
      <c r="AT62" s="39"/>
      <c r="AU62" s="20">
        <f t="shared" si="24"/>
        <v>42855</v>
      </c>
      <c r="AV62" s="27">
        <v>0.48</v>
      </c>
      <c r="AW62" s="126">
        <f t="shared" si="25"/>
        <v>1060494.1198044855</v>
      </c>
      <c r="AX62" s="6"/>
      <c r="AY62" s="49"/>
      <c r="AZ62" s="49"/>
      <c r="BA62" s="79"/>
      <c r="BB62" s="20">
        <f t="shared" si="26"/>
        <v>42855</v>
      </c>
      <c r="BC62" s="78">
        <f t="shared" si="41"/>
        <v>0.75504170302590101</v>
      </c>
      <c r="BD62" s="126">
        <f t="shared" si="45"/>
        <v>1135546.9289916998</v>
      </c>
      <c r="BE62" s="6"/>
      <c r="BF62" s="49"/>
      <c r="BG62" s="39"/>
      <c r="BH62" s="20">
        <f t="shared" si="28"/>
        <v>42855</v>
      </c>
      <c r="BI62" s="27"/>
      <c r="BJ62" s="126">
        <f t="shared" si="29"/>
        <v>1000000</v>
      </c>
      <c r="BK62" s="6"/>
      <c r="BL62" s="49"/>
      <c r="BM62" s="49"/>
      <c r="BN62" s="79"/>
      <c r="BO62" s="20">
        <f t="shared" si="30"/>
        <v>42855</v>
      </c>
      <c r="BP62" s="78"/>
      <c r="BQ62" s="126">
        <f t="shared" si="46"/>
        <v>1000000</v>
      </c>
      <c r="BR62" s="6"/>
      <c r="BS62" s="49"/>
      <c r="BV62" s="39"/>
      <c r="BW62" s="20">
        <f t="shared" si="32"/>
        <v>42855</v>
      </c>
      <c r="BX62" s="27">
        <v>0.62</v>
      </c>
      <c r="BY62" s="126">
        <f t="shared" si="33"/>
        <v>1168929.0860878387</v>
      </c>
      <c r="BZ62" s="6"/>
      <c r="CA62" s="49"/>
      <c r="CB62" s="49"/>
      <c r="CC62" s="79"/>
      <c r="CD62" s="20">
        <f t="shared" si="34"/>
        <v>42855</v>
      </c>
      <c r="CE62" s="78">
        <f t="shared" si="40"/>
        <v>0.7662633440812503</v>
      </c>
      <c r="CF62" s="126">
        <f t="shared" si="47"/>
        <v>1205571.9261015984</v>
      </c>
      <c r="CG62" s="6"/>
      <c r="CH62" s="49"/>
      <c r="CI62" s="39"/>
    </row>
    <row r="63" spans="1:87" x14ac:dyDescent="0.25">
      <c r="A63" s="20">
        <v>42886</v>
      </c>
      <c r="B63" s="24">
        <f t="shared" si="36"/>
        <v>48</v>
      </c>
      <c r="C63" s="301">
        <f>'LC (Gross)'!X225</f>
        <v>2.6960703277971878</v>
      </c>
      <c r="D63" s="301">
        <v>5.5664999999999996</v>
      </c>
      <c r="E63" s="301">
        <f>'CRA (Gross)'!E63</f>
        <v>0.7694644626946604</v>
      </c>
      <c r="F63" s="301">
        <f>'CRA (Gross)'!F63</f>
        <v>0.06</v>
      </c>
      <c r="G63" s="39"/>
      <c r="H63" s="20">
        <f t="shared" si="12"/>
        <v>42886</v>
      </c>
      <c r="I63" s="27">
        <v>0.83</v>
      </c>
      <c r="J63" s="126">
        <f t="shared" si="13"/>
        <v>1383039.0849015058</v>
      </c>
      <c r="K63" s="6"/>
      <c r="L63" s="49"/>
      <c r="M63" s="49"/>
      <c r="N63" s="79"/>
      <c r="O63" s="20">
        <f t="shared" si="14"/>
        <v>42886</v>
      </c>
      <c r="P63" s="78">
        <f t="shared" si="37"/>
        <v>2.335813680288453</v>
      </c>
      <c r="Q63" s="126">
        <f t="shared" si="42"/>
        <v>1372393.0273380249</v>
      </c>
      <c r="R63" s="6"/>
      <c r="S63" s="5"/>
      <c r="T63" s="39"/>
      <c r="U63" s="20">
        <f t="shared" si="16"/>
        <v>42886</v>
      </c>
      <c r="V63" s="27">
        <v>0.89</v>
      </c>
      <c r="W63" s="126">
        <f t="shared" si="17"/>
        <v>1302268.7179567281</v>
      </c>
      <c r="X63" s="6"/>
      <c r="Y63" s="6"/>
      <c r="Z63" s="49"/>
      <c r="AA63" s="79"/>
      <c r="AB63" s="20">
        <f t="shared" si="18"/>
        <v>42886</v>
      </c>
      <c r="AC63" s="78">
        <f t="shared" si="38"/>
        <v>1.9033013169129336</v>
      </c>
      <c r="AD63" s="126">
        <f t="shared" si="43"/>
        <v>1307583.2418225864</v>
      </c>
      <c r="AE63" s="6"/>
      <c r="AG63" s="44"/>
      <c r="AH63" s="20">
        <f t="shared" si="20"/>
        <v>42886</v>
      </c>
      <c r="AI63" s="27">
        <v>0.84</v>
      </c>
      <c r="AJ63" s="126">
        <f t="shared" si="21"/>
        <v>1220886.1389808839</v>
      </c>
      <c r="AK63" s="6"/>
      <c r="AM63" s="49"/>
      <c r="AN63" s="79"/>
      <c r="AO63" s="20">
        <f t="shared" si="22"/>
        <v>42886</v>
      </c>
      <c r="AP63" s="78">
        <f t="shared" si="39"/>
        <v>1.7815871766721469</v>
      </c>
      <c r="AQ63" s="126">
        <f t="shared" si="44"/>
        <v>1271508.2803350713</v>
      </c>
      <c r="AR63" s="6"/>
      <c r="AT63" s="39"/>
      <c r="AU63" s="20">
        <f t="shared" si="24"/>
        <v>42886</v>
      </c>
      <c r="AV63" s="27">
        <v>0.51</v>
      </c>
      <c r="AW63" s="126">
        <f t="shared" si="25"/>
        <v>1065902.6398154884</v>
      </c>
      <c r="AX63" s="6"/>
      <c r="AZ63" s="49"/>
      <c r="BA63" s="79"/>
      <c r="BB63" s="20">
        <f t="shared" si="26"/>
        <v>42886</v>
      </c>
      <c r="BC63" s="78">
        <f t="shared" si="41"/>
        <v>1.095557156665981</v>
      </c>
      <c r="BD63" s="126">
        <f t="shared" si="45"/>
        <v>1147987.4946395692</v>
      </c>
      <c r="BE63" s="6"/>
      <c r="BG63" s="39"/>
      <c r="BH63" s="20">
        <f t="shared" si="28"/>
        <v>42886</v>
      </c>
      <c r="BI63" s="27"/>
      <c r="BJ63" s="126">
        <f t="shared" si="29"/>
        <v>1000000</v>
      </c>
      <c r="BK63" s="6"/>
      <c r="BM63" s="49"/>
      <c r="BN63" s="79"/>
      <c r="BO63" s="20">
        <f t="shared" si="30"/>
        <v>42886</v>
      </c>
      <c r="BP63" s="78"/>
      <c r="BQ63" s="126">
        <f t="shared" si="46"/>
        <v>1000000</v>
      </c>
      <c r="BR63" s="6"/>
      <c r="BV63" s="39"/>
      <c r="BW63" s="20">
        <f t="shared" si="32"/>
        <v>42886</v>
      </c>
      <c r="BX63" s="27">
        <v>0.67999999999999994</v>
      </c>
      <c r="BY63" s="126">
        <f t="shared" si="33"/>
        <v>1176877.8038732361</v>
      </c>
      <c r="BZ63" s="6"/>
      <c r="CB63" s="49"/>
      <c r="CC63" s="79"/>
      <c r="CD63" s="20">
        <f t="shared" si="34"/>
        <v>42886</v>
      </c>
      <c r="CE63" s="78">
        <f t="shared" si="40"/>
        <v>1.3490748132966273</v>
      </c>
      <c r="CF63" s="126">
        <f t="shared" si="47"/>
        <v>1221835.9933128101</v>
      </c>
      <c r="CG63" s="6"/>
      <c r="CI63" s="39"/>
    </row>
    <row r="64" spans="1:87" x14ac:dyDescent="0.25">
      <c r="A64" s="20">
        <v>42916</v>
      </c>
      <c r="B64" s="24">
        <f t="shared" si="36"/>
        <v>49</v>
      </c>
      <c r="C64" s="301">
        <f>'LC (Gross)'!X226</f>
        <v>-0.32260180051273224</v>
      </c>
      <c r="D64" s="301">
        <v>-0.66090000000000004</v>
      </c>
      <c r="E64" s="301">
        <f>'CRA (Gross)'!E64</f>
        <v>-0.10032915871776235</v>
      </c>
      <c r="F64" s="301">
        <f>'CRA (Gross)'!F64</f>
        <v>0.06</v>
      </c>
      <c r="G64" s="39"/>
      <c r="H64" s="20">
        <f t="shared" si="12"/>
        <v>42916</v>
      </c>
      <c r="I64" s="27">
        <v>0.37</v>
      </c>
      <c r="J64" s="126">
        <f t="shared" si="13"/>
        <v>1388156.3295156413</v>
      </c>
      <c r="K64" s="6"/>
      <c r="L64" s="49">
        <f>(J64/J61-1)*100</f>
        <v>2.2252220171000037</v>
      </c>
      <c r="M64" s="49"/>
      <c r="N64" s="79"/>
      <c r="O64" s="20">
        <f t="shared" si="14"/>
        <v>42916</v>
      </c>
      <c r="P64" s="78">
        <f t="shared" si="37"/>
        <v>-0.25856599028200272</v>
      </c>
      <c r="Q64" s="126">
        <f t="shared" si="42"/>
        <v>1368844.4857163271</v>
      </c>
      <c r="R64" s="6"/>
      <c r="S64" s="49">
        <f>(Q64/Q61-1)*100</f>
        <v>2.9985122908632755</v>
      </c>
      <c r="T64" s="39"/>
      <c r="U64" s="20">
        <f t="shared" si="16"/>
        <v>42916</v>
      </c>
      <c r="V64" s="27">
        <v>0.24</v>
      </c>
      <c r="W64" s="126">
        <f t="shared" si="17"/>
        <v>1305394.1628798242</v>
      </c>
      <c r="X64" s="6"/>
      <c r="Y64" s="49">
        <f>(W64/W61-1)*100</f>
        <v>1.8906270200000019</v>
      </c>
      <c r="Z64" s="49"/>
      <c r="AA64" s="79"/>
      <c r="AB64" s="20">
        <f t="shared" si="18"/>
        <v>42916</v>
      </c>
      <c r="AC64" s="78">
        <f t="shared" si="38"/>
        <v>-0.20831018403839388</v>
      </c>
      <c r="AD64" s="126">
        <f t="shared" si="43"/>
        <v>1304859.4127650906</v>
      </c>
      <c r="AE64" s="6"/>
      <c r="AF64" s="49">
        <f>(AD64/AD61-1)*100</f>
        <v>2.521895914793304</v>
      </c>
      <c r="AG64" s="44"/>
      <c r="AH64" s="20">
        <f t="shared" si="20"/>
        <v>42916</v>
      </c>
      <c r="AI64" s="27">
        <v>0.13999999999999999</v>
      </c>
      <c r="AJ64" s="126">
        <f t="shared" si="21"/>
        <v>1222595.3795754572</v>
      </c>
      <c r="AK64" s="6"/>
      <c r="AL64" s="49">
        <f>(AJ64/AJ61-1)*100</f>
        <v>1.607259291200025</v>
      </c>
      <c r="AM64" s="49"/>
      <c r="AN64" s="79"/>
      <c r="AO64" s="20">
        <f t="shared" si="22"/>
        <v>42916</v>
      </c>
      <c r="AP64" s="78">
        <f t="shared" si="39"/>
        <v>-0.2021158357306731</v>
      </c>
      <c r="AQ64" s="126">
        <f t="shared" si="44"/>
        <v>1268938.3607478873</v>
      </c>
      <c r="AR64" s="6"/>
      <c r="AS64" s="49">
        <f>(AQ64/AQ61-1)*100</f>
        <v>2.4470846054148065</v>
      </c>
      <c r="AT64" s="39"/>
      <c r="AU64" s="20">
        <f t="shared" si="24"/>
        <v>42916</v>
      </c>
      <c r="AV64" s="27">
        <v>-0.01</v>
      </c>
      <c r="AW64" s="126">
        <f t="shared" si="25"/>
        <v>1065796.0495515068</v>
      </c>
      <c r="AX64" s="6"/>
      <c r="AY64" s="49">
        <f>(AW64/AW61-1)*100</f>
        <v>0.98234875519997988</v>
      </c>
      <c r="AZ64" s="49"/>
      <c r="BA64" s="79"/>
      <c r="BB64" s="20">
        <f t="shared" si="26"/>
        <v>42916</v>
      </c>
      <c r="BC64" s="78">
        <f t="shared" si="41"/>
        <v>-0.12653559115370686</v>
      </c>
      <c r="BD64" s="126">
        <f t="shared" si="45"/>
        <v>1146534.8818768563</v>
      </c>
      <c r="BE64" s="6"/>
      <c r="BF64" s="49">
        <f>(BD64/BD61-1)*100</f>
        <v>1.7299830488299639</v>
      </c>
      <c r="BG64" s="39"/>
      <c r="BH64" s="20">
        <f t="shared" si="28"/>
        <v>42916</v>
      </c>
      <c r="BI64" s="27"/>
      <c r="BJ64" s="126">
        <f t="shared" si="29"/>
        <v>1000000</v>
      </c>
      <c r="BK64" s="6"/>
      <c r="BL64" s="49">
        <f>(BJ64/BJ61-1)*100</f>
        <v>0</v>
      </c>
      <c r="BM64" s="49"/>
      <c r="BN64" s="79"/>
      <c r="BO64" s="20">
        <f t="shared" si="30"/>
        <v>42916</v>
      </c>
      <c r="BP64" s="78"/>
      <c r="BQ64" s="126">
        <f t="shared" si="46"/>
        <v>1000000</v>
      </c>
      <c r="BR64" s="6"/>
      <c r="BS64" s="49">
        <f>(BQ64/BQ61-1)*100</f>
        <v>0</v>
      </c>
      <c r="BV64" s="39"/>
      <c r="BW64" s="20">
        <f t="shared" si="32"/>
        <v>42916</v>
      </c>
      <c r="BX64" s="27">
        <v>0.11</v>
      </c>
      <c r="BY64" s="126">
        <f t="shared" si="33"/>
        <v>1178172.3694574966</v>
      </c>
      <c r="BZ64" s="6"/>
      <c r="CA64" s="49">
        <f>(BY64/BY61-1)*100</f>
        <v>1.4156506375999856</v>
      </c>
      <c r="CB64" s="49"/>
      <c r="CC64" s="79"/>
      <c r="CD64" s="20">
        <f t="shared" si="34"/>
        <v>42916</v>
      </c>
      <c r="CE64" s="78">
        <f t="shared" si="40"/>
        <v>-0.15186002948706423</v>
      </c>
      <c r="CF64" s="126">
        <f t="shared" si="47"/>
        <v>1219980.5128130817</v>
      </c>
      <c r="CG64" s="6"/>
      <c r="CH64" s="49">
        <f>(CF64/CF61-1)*100</f>
        <v>1.9705875420412022</v>
      </c>
      <c r="CI64" s="39"/>
    </row>
    <row r="65" spans="1:87" x14ac:dyDescent="0.25">
      <c r="A65" s="20">
        <v>42947</v>
      </c>
      <c r="B65" s="24">
        <f t="shared" si="36"/>
        <v>50</v>
      </c>
      <c r="C65" s="301">
        <f>'LC (Gross)'!X227</f>
        <v>1.37873985653355</v>
      </c>
      <c r="D65" s="301">
        <v>1.9378</v>
      </c>
      <c r="E65" s="301">
        <f>'CRA (Gross)'!E65</f>
        <v>0.43041393947489726</v>
      </c>
      <c r="F65" s="301">
        <f>'CRA (Gross)'!F65</f>
        <v>7.0000000000000007E-2</v>
      </c>
      <c r="G65" s="39"/>
      <c r="H65" s="20">
        <f t="shared" si="12"/>
        <v>42947</v>
      </c>
      <c r="I65" s="27">
        <v>0.91999999999999993</v>
      </c>
      <c r="J65" s="126">
        <f t="shared" si="13"/>
        <v>1400927.3677471853</v>
      </c>
      <c r="K65" s="6"/>
      <c r="M65" s="49"/>
      <c r="N65" s="79"/>
      <c r="O65" s="20">
        <f t="shared" si="14"/>
        <v>42947</v>
      </c>
      <c r="P65" s="78">
        <f t="shared" si="37"/>
        <v>1.0699769210934524</v>
      </c>
      <c r="Q65" s="126">
        <f t="shared" si="42"/>
        <v>1383490.8057991522</v>
      </c>
      <c r="R65" s="6"/>
      <c r="T65" s="39"/>
      <c r="U65" s="20">
        <f t="shared" si="16"/>
        <v>42947</v>
      </c>
      <c r="V65" s="27">
        <v>0.83</v>
      </c>
      <c r="W65" s="126">
        <f t="shared" si="17"/>
        <v>1316228.9344317268</v>
      </c>
      <c r="X65" s="8"/>
      <c r="Y65" s="3"/>
      <c r="Z65" s="49"/>
      <c r="AA65" s="79"/>
      <c r="AB65" s="20">
        <f t="shared" si="18"/>
        <v>42947</v>
      </c>
      <c r="AC65" s="78">
        <f t="shared" si="38"/>
        <v>0.89977502636133211</v>
      </c>
      <c r="AD65" s="126">
        <f t="shared" si="43"/>
        <v>1316600.2118902761</v>
      </c>
      <c r="AE65" s="8"/>
      <c r="AG65" s="44"/>
      <c r="AH65" s="20">
        <f t="shared" si="20"/>
        <v>42947</v>
      </c>
      <c r="AI65" s="27">
        <v>0.74</v>
      </c>
      <c r="AJ65" s="126">
        <f t="shared" si="21"/>
        <v>1231642.5853843156</v>
      </c>
      <c r="AK65" s="8"/>
      <c r="AM65" s="49"/>
      <c r="AN65" s="79"/>
      <c r="AO65" s="20">
        <f t="shared" si="22"/>
        <v>42947</v>
      </c>
      <c r="AP65" s="78">
        <f t="shared" si="39"/>
        <v>0.84098382860295651</v>
      </c>
      <c r="AQ65" s="126">
        <f t="shared" si="44"/>
        <v>1279609.9271567164</v>
      </c>
      <c r="AR65" s="8"/>
      <c r="AT65" s="39"/>
      <c r="AU65" s="20">
        <f t="shared" si="24"/>
        <v>42947</v>
      </c>
      <c r="AV65" s="27">
        <v>0.35000000000000003</v>
      </c>
      <c r="AW65" s="126">
        <f t="shared" si="25"/>
        <v>1069526.335724937</v>
      </c>
      <c r="AX65" s="8"/>
      <c r="AY65" s="49"/>
      <c r="AZ65" s="49"/>
      <c r="BA65" s="79"/>
      <c r="BB65" s="20">
        <f t="shared" si="26"/>
        <v>42947</v>
      </c>
      <c r="BC65" s="78">
        <f t="shared" si="41"/>
        <v>0.54655374328578299</v>
      </c>
      <c r="BD65" s="126">
        <f t="shared" si="45"/>
        <v>1152801.3111918315</v>
      </c>
      <c r="BE65" s="8"/>
      <c r="BF65" s="49"/>
      <c r="BG65" s="39"/>
      <c r="BH65" s="20">
        <f t="shared" si="28"/>
        <v>42947</v>
      </c>
      <c r="BI65" s="27"/>
      <c r="BJ65" s="126">
        <f t="shared" si="29"/>
        <v>1000000</v>
      </c>
      <c r="BK65" s="8"/>
      <c r="BL65" s="49"/>
      <c r="BM65" s="49"/>
      <c r="BN65" s="79"/>
      <c r="BO65" s="20">
        <f t="shared" si="30"/>
        <v>42947</v>
      </c>
      <c r="BP65" s="78"/>
      <c r="BQ65" s="126">
        <f t="shared" si="46"/>
        <v>1000000</v>
      </c>
      <c r="BR65" s="8"/>
      <c r="BS65" s="49"/>
      <c r="BV65" s="39"/>
      <c r="BW65" s="20">
        <f t="shared" si="32"/>
        <v>42947</v>
      </c>
      <c r="BX65" s="27">
        <v>0.54</v>
      </c>
      <c r="BY65" s="126">
        <f t="shared" si="33"/>
        <v>1184534.500252567</v>
      </c>
      <c r="BZ65" s="8"/>
      <c r="CB65" s="49"/>
      <c r="CC65" s="79"/>
      <c r="CD65" s="20">
        <f t="shared" si="34"/>
        <v>42947</v>
      </c>
      <c r="CE65" s="78">
        <f t="shared" si="40"/>
        <v>0.67078193387083607</v>
      </c>
      <c r="CF65" s="126">
        <f t="shared" si="47"/>
        <v>1228163.9216897767</v>
      </c>
      <c r="CG65" s="8"/>
      <c r="CH65" s="49"/>
      <c r="CI65" s="39"/>
    </row>
    <row r="66" spans="1:87" x14ac:dyDescent="0.25">
      <c r="A66" s="20">
        <v>42978</v>
      </c>
      <c r="B66" s="24">
        <f t="shared" si="36"/>
        <v>51</v>
      </c>
      <c r="C66" s="301">
        <f>'LC (Gross)'!X228</f>
        <v>0.85165256587252958</v>
      </c>
      <c r="D66" s="301">
        <v>0.7117</v>
      </c>
      <c r="E66" s="301">
        <f>'CRA (Gross)'!E66</f>
        <v>0.89654730764873303</v>
      </c>
      <c r="F66" s="301">
        <f>'CRA (Gross)'!F66</f>
        <v>0.09</v>
      </c>
      <c r="G66" s="39"/>
      <c r="H66" s="20">
        <f t="shared" si="12"/>
        <v>42978</v>
      </c>
      <c r="I66" s="27">
        <v>-0.48</v>
      </c>
      <c r="J66" s="126">
        <f t="shared" si="13"/>
        <v>1394202.9163819987</v>
      </c>
      <c r="K66" s="8"/>
      <c r="L66" s="49"/>
      <c r="M66" s="49"/>
      <c r="N66" s="79"/>
      <c r="O66" s="20">
        <f t="shared" si="14"/>
        <v>42978</v>
      </c>
      <c r="P66" s="78">
        <f t="shared" si="37"/>
        <v>0.60216391122989132</v>
      </c>
      <c r="Q66" s="126">
        <f t="shared" si="42"/>
        <v>1391821.6881468582</v>
      </c>
      <c r="R66" s="8"/>
      <c r="S66" s="5"/>
      <c r="T66" s="39"/>
      <c r="U66" s="20">
        <f t="shared" si="16"/>
        <v>42978</v>
      </c>
      <c r="V66" s="27">
        <v>-0.25</v>
      </c>
      <c r="W66" s="126">
        <f t="shared" si="17"/>
        <v>1312938.3620956475</v>
      </c>
      <c r="X66" s="6"/>
      <c r="Y66" s="6"/>
      <c r="Z66" s="49"/>
      <c r="AA66" s="79"/>
      <c r="AB66" s="20">
        <f t="shared" si="18"/>
        <v>42978</v>
      </c>
      <c r="AC66" s="78">
        <f t="shared" si="38"/>
        <v>0.61589575078994829</v>
      </c>
      <c r="AD66" s="126">
        <f t="shared" si="43"/>
        <v>1324709.0966501997</v>
      </c>
      <c r="AE66" s="6"/>
      <c r="AG66" s="44"/>
      <c r="AH66" s="20">
        <f t="shared" si="20"/>
        <v>42978</v>
      </c>
      <c r="AI66" s="27">
        <v>-0.05</v>
      </c>
      <c r="AJ66" s="126">
        <f t="shared" si="21"/>
        <v>1231026.7640916235</v>
      </c>
      <c r="AK66" s="6"/>
      <c r="AM66" s="49"/>
      <c r="AN66" s="79"/>
      <c r="AO66" s="20">
        <f t="shared" si="22"/>
        <v>42978</v>
      </c>
      <c r="AP66" s="78">
        <f t="shared" si="39"/>
        <v>0.70103995573244182</v>
      </c>
      <c r="AQ66" s="126">
        <f t="shared" si="44"/>
        <v>1288580.5040236036</v>
      </c>
      <c r="AR66" s="6"/>
      <c r="AT66" s="39"/>
      <c r="AU66" s="20">
        <f t="shared" si="24"/>
        <v>42978</v>
      </c>
      <c r="AV66" s="27">
        <v>0.06</v>
      </c>
      <c r="AW66" s="126">
        <f t="shared" si="25"/>
        <v>1070168.0515263721</v>
      </c>
      <c r="AX66" s="6"/>
      <c r="AZ66" s="49"/>
      <c r="BA66" s="79"/>
      <c r="BB66" s="20">
        <f t="shared" si="26"/>
        <v>42978</v>
      </c>
      <c r="BC66" s="78">
        <f t="shared" si="41"/>
        <v>0.76183337194136602</v>
      </c>
      <c r="BD66" s="126">
        <f t="shared" si="45"/>
        <v>1161583.7362926684</v>
      </c>
      <c r="BE66" s="6"/>
      <c r="BG66" s="39"/>
      <c r="BH66" s="20">
        <f t="shared" si="28"/>
        <v>42978</v>
      </c>
      <c r="BI66" s="27"/>
      <c r="BJ66" s="126">
        <f t="shared" si="29"/>
        <v>1000000</v>
      </c>
      <c r="BK66" s="6"/>
      <c r="BM66" s="49"/>
      <c r="BN66" s="79"/>
      <c r="BO66" s="20">
        <f t="shared" si="30"/>
        <v>42978</v>
      </c>
      <c r="BP66" s="78"/>
      <c r="BQ66" s="126">
        <f t="shared" si="46"/>
        <v>1000000</v>
      </c>
      <c r="BR66" s="6"/>
      <c r="BV66" s="39"/>
      <c r="BW66" s="20">
        <f t="shared" si="32"/>
        <v>42978</v>
      </c>
      <c r="BX66" s="27">
        <v>0.01</v>
      </c>
      <c r="BY66" s="126">
        <f t="shared" si="33"/>
        <v>1184652.9537025923</v>
      </c>
      <c r="BZ66" s="6"/>
      <c r="CB66" s="49"/>
      <c r="CC66" s="79"/>
      <c r="CD66" s="20">
        <f t="shared" si="34"/>
        <v>42978</v>
      </c>
      <c r="CE66" s="78">
        <f t="shared" si="40"/>
        <v>0.7147717952924989</v>
      </c>
      <c r="CF66" s="126">
        <f t="shared" si="47"/>
        <v>1236942.4910019734</v>
      </c>
      <c r="CG66" s="6"/>
      <c r="CI66" s="39"/>
    </row>
    <row r="67" spans="1:87" x14ac:dyDescent="0.25">
      <c r="A67" s="20">
        <v>43008</v>
      </c>
      <c r="B67" s="24">
        <f t="shared" si="36"/>
        <v>52</v>
      </c>
      <c r="C67" s="301">
        <f>'LC (Gross)'!X229</f>
        <v>0.78794881170017517</v>
      </c>
      <c r="D67" s="301">
        <v>0.107</v>
      </c>
      <c r="E67" s="301">
        <f>'CRA (Gross)'!E67</f>
        <v>-0.47607423066970556</v>
      </c>
      <c r="F67" s="301">
        <f>'CRA (Gross)'!F67</f>
        <v>0.09</v>
      </c>
      <c r="G67" s="39"/>
      <c r="H67" s="20">
        <f t="shared" si="12"/>
        <v>43008</v>
      </c>
      <c r="I67" s="27">
        <v>2.59</v>
      </c>
      <c r="J67" s="126">
        <f t="shared" si="13"/>
        <v>1430312.7719162924</v>
      </c>
      <c r="K67" s="6"/>
      <c r="L67" s="49">
        <f>(J67/J64-1)*100</f>
        <v>3.0368656255999937</v>
      </c>
      <c r="M67" s="49"/>
      <c r="N67" s="79"/>
      <c r="O67" s="20">
        <f t="shared" si="14"/>
        <v>43008</v>
      </c>
      <c r="P67" s="78">
        <f t="shared" si="37"/>
        <v>0.47642184643509639</v>
      </c>
      <c r="Q67" s="126">
        <f t="shared" si="42"/>
        <v>1398452.6307326115</v>
      </c>
      <c r="R67" s="6"/>
      <c r="S67" s="49">
        <f>(Q67/Q64-1)*100</f>
        <v>2.1630028337945362</v>
      </c>
      <c r="T67" s="39"/>
      <c r="U67" s="20">
        <f t="shared" si="16"/>
        <v>43008</v>
      </c>
      <c r="V67" s="27">
        <v>2.0099999999999998</v>
      </c>
      <c r="W67" s="126">
        <f t="shared" si="17"/>
        <v>1339328.4231737701</v>
      </c>
      <c r="X67" s="8"/>
      <c r="Y67" s="49">
        <f>(W67/W64-1)*100</f>
        <v>2.5995412925000183</v>
      </c>
      <c r="Z67" s="49"/>
      <c r="AA67" s="79"/>
      <c r="AB67" s="20">
        <f t="shared" si="18"/>
        <v>43008</v>
      </c>
      <c r="AC67" s="78">
        <f t="shared" si="38"/>
        <v>0.32086583066462299</v>
      </c>
      <c r="AD67" s="126">
        <f t="shared" si="43"/>
        <v>1328959.6354970562</v>
      </c>
      <c r="AE67" s="8"/>
      <c r="AF67" s="49">
        <f>(AD67/AD64-1)*100</f>
        <v>1.8469593349444091</v>
      </c>
      <c r="AG67" s="44"/>
      <c r="AH67" s="20">
        <f t="shared" si="20"/>
        <v>43008</v>
      </c>
      <c r="AI67" s="27">
        <v>1.44</v>
      </c>
      <c r="AJ67" s="126">
        <f t="shared" si="21"/>
        <v>1248753.5494945429</v>
      </c>
      <c r="AK67" s="8"/>
      <c r="AL67" s="49">
        <f>(AJ67/AJ64-1)*100</f>
        <v>2.1395606720000071</v>
      </c>
      <c r="AM67" s="49"/>
      <c r="AN67" s="79"/>
      <c r="AO67" s="20">
        <f t="shared" si="22"/>
        <v>43008</v>
      </c>
      <c r="AP67" s="78">
        <f t="shared" si="39"/>
        <v>0.13785610336066431</v>
      </c>
      <c r="AQ67" s="126">
        <f t="shared" si="44"/>
        <v>1290356.8908951157</v>
      </c>
      <c r="AR67" s="8"/>
      <c r="AS67" s="49">
        <f>(AQ67/AQ64-1)*100</f>
        <v>1.6879094217472357</v>
      </c>
      <c r="AT67" s="39"/>
      <c r="AU67" s="20">
        <f t="shared" si="24"/>
        <v>43008</v>
      </c>
      <c r="AV67" s="27">
        <v>1.02</v>
      </c>
      <c r="AW67" s="126">
        <f t="shared" si="25"/>
        <v>1081083.7656519411</v>
      </c>
      <c r="AX67" s="8"/>
      <c r="AY67" s="49">
        <f>(AW67/AW64-1)*100</f>
        <v>1.4343941420000172</v>
      </c>
      <c r="AZ67" s="49"/>
      <c r="BA67" s="79"/>
      <c r="BB67" s="20">
        <f t="shared" si="26"/>
        <v>43008</v>
      </c>
      <c r="BC67" s="78">
        <f t="shared" si="41"/>
        <v>-0.23560708029877633</v>
      </c>
      <c r="BD67" s="126">
        <f t="shared" si="45"/>
        <v>1158846.9627663638</v>
      </c>
      <c r="BE67" s="8"/>
      <c r="BF67" s="49">
        <f>(BD67/BD64-1)*100</f>
        <v>1.0738514007836208</v>
      </c>
      <c r="BG67" s="39"/>
      <c r="BH67" s="20">
        <f t="shared" si="28"/>
        <v>43008</v>
      </c>
      <c r="BI67" s="27"/>
      <c r="BJ67" s="126">
        <f t="shared" si="29"/>
        <v>1000000</v>
      </c>
      <c r="BK67" s="8"/>
      <c r="BL67" s="49">
        <f>(BJ67/BJ64-1)*100</f>
        <v>0</v>
      </c>
      <c r="BM67" s="49"/>
      <c r="BN67" s="79"/>
      <c r="BO67" s="20">
        <f t="shared" si="30"/>
        <v>43008</v>
      </c>
      <c r="BP67" s="78"/>
      <c r="BQ67" s="126">
        <f t="shared" si="46"/>
        <v>1000000</v>
      </c>
      <c r="BR67" s="8"/>
      <c r="BS67" s="49">
        <f>(BQ67/BQ64-1)*100</f>
        <v>0</v>
      </c>
      <c r="BV67" s="39"/>
      <c r="BW67" s="20">
        <f t="shared" si="32"/>
        <v>43008</v>
      </c>
      <c r="BX67" s="27">
        <v>1.3299999999999998</v>
      </c>
      <c r="BY67" s="126">
        <f t="shared" si="33"/>
        <v>1200408.8379868367</v>
      </c>
      <c r="BZ67" s="8"/>
      <c r="CA67" s="49">
        <f>(BY67/BY64-1)*100</f>
        <v>1.8873697181999827</v>
      </c>
      <c r="CB67" s="49"/>
      <c r="CC67" s="79"/>
      <c r="CD67" s="20">
        <f t="shared" si="34"/>
        <v>43008</v>
      </c>
      <c r="CE67" s="78">
        <f t="shared" si="40"/>
        <v>-1.7699912409808994E-2</v>
      </c>
      <c r="CF67" s="126">
        <f t="shared" si="47"/>
        <v>1236723.5532645064</v>
      </c>
      <c r="CG67" s="8"/>
      <c r="CH67" s="49">
        <f>(CF67/CF64-1)*100</f>
        <v>1.3724022863953689</v>
      </c>
      <c r="CI67" s="39"/>
    </row>
    <row r="68" spans="1:87" x14ac:dyDescent="0.25">
      <c r="A68" s="20">
        <v>43039</v>
      </c>
      <c r="B68" s="24">
        <f t="shared" si="36"/>
        <v>53</v>
      </c>
      <c r="C68" s="301">
        <f>'LC (Gross)'!X230</f>
        <v>1.9045253081532783</v>
      </c>
      <c r="D68" s="301">
        <v>0.95920000000000005</v>
      </c>
      <c r="E68" s="301">
        <f>'CRA (Gross)'!E68</f>
        <v>5.7935921203224591E-2</v>
      </c>
      <c r="F68" s="301">
        <f>'CRA (Gross)'!F68</f>
        <v>0.09</v>
      </c>
      <c r="G68" s="39"/>
      <c r="H68" s="20">
        <f t="shared" si="12"/>
        <v>43039</v>
      </c>
      <c r="I68" s="27">
        <v>0.47775042926905947</v>
      </c>
      <c r="J68" s="126">
        <f t="shared" si="13"/>
        <v>1437146.0973240125</v>
      </c>
      <c r="K68" s="8"/>
      <c r="M68" s="49"/>
      <c r="N68" s="79"/>
      <c r="O68" s="20">
        <f t="shared" si="14"/>
        <v>43039</v>
      </c>
      <c r="P68" s="78">
        <f t="shared" si="37"/>
        <v>1.218368919484303</v>
      </c>
      <c r="Q68" s="126">
        <f t="shared" si="42"/>
        <v>1415490.9429391683</v>
      </c>
      <c r="R68" s="8"/>
      <c r="T68" s="39"/>
      <c r="U68" s="20">
        <f t="shared" si="16"/>
        <v>43039</v>
      </c>
      <c r="V68" s="27">
        <v>0.3</v>
      </c>
      <c r="W68" s="126">
        <f t="shared" si="17"/>
        <v>1343346.4084432914</v>
      </c>
      <c r="X68" s="6"/>
      <c r="Y68" s="3"/>
      <c r="Z68" s="49"/>
      <c r="AA68" s="79"/>
      <c r="AB68" s="20">
        <f t="shared" si="18"/>
        <v>43039</v>
      </c>
      <c r="AC68" s="78">
        <f t="shared" si="38"/>
        <v>0.98864677684945901</v>
      </c>
      <c r="AD68" s="126">
        <f t="shared" si="43"/>
        <v>1342098.3520990282</v>
      </c>
      <c r="AE68" s="6"/>
      <c r="AG68" s="44"/>
      <c r="AH68" s="20">
        <f t="shared" si="20"/>
        <v>43039</v>
      </c>
      <c r="AI68" s="27">
        <v>0.24</v>
      </c>
      <c r="AJ68" s="126">
        <f t="shared" si="21"/>
        <v>1251750.5580133297</v>
      </c>
      <c r="AK68" s="6"/>
      <c r="AM68" s="49"/>
      <c r="AN68" s="79"/>
      <c r="AO68" s="20">
        <f t="shared" si="22"/>
        <v>43039</v>
      </c>
      <c r="AP68" s="78">
        <f t="shared" si="39"/>
        <v>0.800781430274776</v>
      </c>
      <c r="AQ68" s="126">
        <f t="shared" si="44"/>
        <v>1300689.8292616748</v>
      </c>
      <c r="AR68" s="6"/>
      <c r="AT68" s="39"/>
      <c r="AU68" s="20">
        <f t="shared" si="24"/>
        <v>43039</v>
      </c>
      <c r="AV68" s="27">
        <v>0</v>
      </c>
      <c r="AW68" s="126">
        <f t="shared" si="25"/>
        <v>1081083.7656519411</v>
      </c>
      <c r="AX68" s="6"/>
      <c r="AZ68" s="49"/>
      <c r="BA68" s="79"/>
      <c r="BB68" s="20">
        <f t="shared" si="26"/>
        <v>43039</v>
      </c>
      <c r="BC68" s="78">
        <f t="shared" si="41"/>
        <v>0.29246767565758508</v>
      </c>
      <c r="BD68" s="126">
        <f t="shared" si="45"/>
        <v>1162236.2155427951</v>
      </c>
      <c r="BE68" s="6"/>
      <c r="BG68" s="39"/>
      <c r="BH68" s="20">
        <f t="shared" si="28"/>
        <v>43039</v>
      </c>
      <c r="BI68" s="27"/>
      <c r="BJ68" s="126">
        <f t="shared" si="29"/>
        <v>1000000</v>
      </c>
      <c r="BK68" s="6"/>
      <c r="BM68" s="49"/>
      <c r="BN68" s="79"/>
      <c r="BO68" s="20">
        <f t="shared" si="30"/>
        <v>43039</v>
      </c>
      <c r="BP68" s="78"/>
      <c r="BQ68" s="126">
        <f t="shared" si="46"/>
        <v>1000000</v>
      </c>
      <c r="BR68" s="6"/>
      <c r="BV68" s="39"/>
      <c r="BW68" s="20">
        <f t="shared" si="32"/>
        <v>43039</v>
      </c>
      <c r="BX68" s="27">
        <v>0.12</v>
      </c>
      <c r="BY68" s="126">
        <f t="shared" si="33"/>
        <v>1201849.3285924208</v>
      </c>
      <c r="BZ68" s="6"/>
      <c r="CB68" s="49"/>
      <c r="CC68" s="79"/>
      <c r="CD68" s="20">
        <f t="shared" si="34"/>
        <v>43039</v>
      </c>
      <c r="CE68" s="78">
        <f t="shared" si="40"/>
        <v>0.57105928763993197</v>
      </c>
      <c r="CF68" s="126">
        <f t="shared" si="47"/>
        <v>1243785.977977854</v>
      </c>
      <c r="CG68" s="6"/>
      <c r="CI68" s="39"/>
    </row>
    <row r="69" spans="1:87" x14ac:dyDescent="0.25">
      <c r="A69" s="20">
        <v>43069</v>
      </c>
      <c r="B69" s="24">
        <f t="shared" si="36"/>
        <v>54</v>
      </c>
      <c r="C69" s="301">
        <f>'LC (Gross)'!X231</f>
        <v>3.8567919911417667</v>
      </c>
      <c r="D69" s="301">
        <v>1.7753000000000001</v>
      </c>
      <c r="E69" s="301">
        <f>'CRA (Gross)'!E69</f>
        <v>-0.12845404090918583</v>
      </c>
      <c r="F69" s="301">
        <f>'CRA (Gross)'!F69</f>
        <v>0.08</v>
      </c>
      <c r="G69" s="39"/>
      <c r="H69" s="20">
        <f t="shared" si="12"/>
        <v>43069</v>
      </c>
      <c r="I69" s="27">
        <v>3.7740419675059567</v>
      </c>
      <c r="J69" s="126">
        <f t="shared" si="13"/>
        <v>1491384.5941713948</v>
      </c>
      <c r="K69" s="6"/>
      <c r="L69" s="49"/>
      <c r="M69" s="49"/>
      <c r="N69" s="79"/>
      <c r="O69" s="20">
        <f t="shared" si="14"/>
        <v>43069</v>
      </c>
      <c r="P69" s="78">
        <f t="shared" si="37"/>
        <v>2.4115305951279717</v>
      </c>
      <c r="Q69" s="126">
        <f t="shared" si="42"/>
        <v>1449625.9400994119</v>
      </c>
      <c r="R69" s="6"/>
      <c r="S69" s="5"/>
      <c r="T69" s="39"/>
      <c r="U69" s="20">
        <f t="shared" si="16"/>
        <v>43069</v>
      </c>
      <c r="V69" s="27">
        <v>3.64</v>
      </c>
      <c r="W69" s="126">
        <f t="shared" si="17"/>
        <v>1392244.2177106272</v>
      </c>
      <c r="X69" s="6"/>
      <c r="Y69" s="6"/>
      <c r="Z69" s="49"/>
      <c r="AA69" s="79"/>
      <c r="AB69" s="20">
        <f t="shared" si="18"/>
        <v>43069</v>
      </c>
      <c r="AC69" s="78">
        <f t="shared" si="38"/>
        <v>1.917818289877417</v>
      </c>
      <c r="AD69" s="126">
        <f t="shared" si="43"/>
        <v>1367837.3597637268</v>
      </c>
      <c r="AE69" s="6"/>
      <c r="AG69" s="44"/>
      <c r="AH69" s="20">
        <f t="shared" si="20"/>
        <v>43069</v>
      </c>
      <c r="AI69" s="27">
        <v>3.19</v>
      </c>
      <c r="AJ69" s="126">
        <f t="shared" si="21"/>
        <v>1291681.4008139549</v>
      </c>
      <c r="AK69" s="6"/>
      <c r="AM69" s="49"/>
      <c r="AN69" s="79"/>
      <c r="AO69" s="20">
        <f t="shared" si="22"/>
        <v>43069</v>
      </c>
      <c r="AP69" s="78">
        <f t="shared" si="39"/>
        <v>1.4984482825814034</v>
      </c>
      <c r="AQ69" s="126">
        <f t="shared" si="44"/>
        <v>1320179.9936699574</v>
      </c>
      <c r="AR69" s="6"/>
      <c r="AT69" s="39"/>
      <c r="AU69" s="20">
        <f t="shared" si="24"/>
        <v>43069</v>
      </c>
      <c r="AV69" s="27">
        <v>1.58</v>
      </c>
      <c r="AW69" s="126">
        <f t="shared" si="25"/>
        <v>1098164.8891492418</v>
      </c>
      <c r="AX69" s="6"/>
      <c r="AZ69" s="49"/>
      <c r="BA69" s="79"/>
      <c r="BB69" s="20">
        <f t="shared" si="26"/>
        <v>43069</v>
      </c>
      <c r="BC69" s="78">
        <f t="shared" si="41"/>
        <v>0.39652637047774664</v>
      </c>
      <c r="BD69" s="126">
        <f t="shared" si="45"/>
        <v>1166844.788624665</v>
      </c>
      <c r="BE69" s="6"/>
      <c r="BG69" s="39"/>
      <c r="BH69" s="20">
        <f t="shared" si="28"/>
        <v>43069</v>
      </c>
      <c r="BI69" s="27"/>
      <c r="BJ69" s="126">
        <f t="shared" si="29"/>
        <v>1000000</v>
      </c>
      <c r="BK69" s="6"/>
      <c r="BM69" s="49"/>
      <c r="BN69" s="79"/>
      <c r="BO69" s="20">
        <f t="shared" si="30"/>
        <v>43069</v>
      </c>
      <c r="BP69" s="78"/>
      <c r="BQ69" s="126">
        <f t="shared" si="46"/>
        <v>1000000</v>
      </c>
      <c r="BR69" s="6"/>
      <c r="BV69" s="39"/>
      <c r="BW69" s="20">
        <f t="shared" si="32"/>
        <v>43069</v>
      </c>
      <c r="BX69" s="27">
        <v>2.19</v>
      </c>
      <c r="BY69" s="126">
        <f t="shared" si="33"/>
        <v>1228169.8288885949</v>
      </c>
      <c r="BZ69" s="6"/>
      <c r="CB69" s="49"/>
      <c r="CC69" s="79"/>
      <c r="CD69" s="20">
        <f t="shared" si="34"/>
        <v>43069</v>
      </c>
      <c r="CE69" s="78">
        <f t="shared" si="40"/>
        <v>1.0047359773308489</v>
      </c>
      <c r="CF69" s="126">
        <f t="shared" si="47"/>
        <v>1256282.7431795937</v>
      </c>
      <c r="CG69" s="6"/>
      <c r="CI69" s="39"/>
    </row>
    <row r="70" spans="1:87" x14ac:dyDescent="0.25">
      <c r="A70" s="20">
        <v>43100</v>
      </c>
      <c r="B70" s="24">
        <f t="shared" si="36"/>
        <v>55</v>
      </c>
      <c r="C70" s="301">
        <f>'LC (Gross)'!X232</f>
        <v>-1.1197410506272014</v>
      </c>
      <c r="D70" s="301">
        <v>0.75590000000000002</v>
      </c>
      <c r="E70" s="301">
        <f>'CRA (Gross)'!E70</f>
        <v>0.45900383894119395</v>
      </c>
      <c r="F70" s="301">
        <f>'CRA (Gross)'!F70</f>
        <v>0.09</v>
      </c>
      <c r="G70" s="39"/>
      <c r="H70" s="20">
        <f t="shared" si="12"/>
        <v>43100</v>
      </c>
      <c r="I70" s="27">
        <v>0.51705517342478902</v>
      </c>
      <c r="J70" s="126">
        <f t="shared" si="13"/>
        <v>1499095.8753712184</v>
      </c>
      <c r="K70" s="6">
        <f>(J70-J$58)/J$58*100</f>
        <v>12.229042390680034</v>
      </c>
      <c r="L70" s="49">
        <f>(J70/J67-1)*100</f>
        <v>4.8089554120930078</v>
      </c>
      <c r="M70" s="49"/>
      <c r="N70" s="79"/>
      <c r="O70" s="20">
        <f t="shared" si="14"/>
        <v>43100</v>
      </c>
      <c r="P70" s="78">
        <f t="shared" si="37"/>
        <v>-0.47547257784496089</v>
      </c>
      <c r="Q70" s="126">
        <f t="shared" si="42"/>
        <v>1442733.3662729119</v>
      </c>
      <c r="R70" s="6">
        <f>(Q70-Q$58)/Q$58*100</f>
        <v>12.823983712970502</v>
      </c>
      <c r="S70" s="49">
        <f>(Q70/Q67-1)*100</f>
        <v>3.1664093990157571</v>
      </c>
      <c r="T70" s="39"/>
      <c r="U70" s="20">
        <f t="shared" si="16"/>
        <v>43100</v>
      </c>
      <c r="V70" s="27">
        <v>0.67999999999999994</v>
      </c>
      <c r="W70" s="126">
        <f t="shared" si="17"/>
        <v>1401711.4783910594</v>
      </c>
      <c r="X70" s="6">
        <f>(W70-W$58)/W$58*100</f>
        <v>11.352634240016197</v>
      </c>
      <c r="Y70" s="49">
        <f>(W70/W67-1)*100</f>
        <v>4.6577862559999961</v>
      </c>
      <c r="Z70" s="49"/>
      <c r="AA70" s="79"/>
      <c r="AB70" s="20">
        <f t="shared" si="18"/>
        <v>43100</v>
      </c>
      <c r="AC70" s="78">
        <f t="shared" si="38"/>
        <v>-0.33244289694106155</v>
      </c>
      <c r="AD70" s="126">
        <f t="shared" si="43"/>
        <v>1363290.0816194862</v>
      </c>
      <c r="AE70" s="6">
        <f>(AD70-AD$58)/AD$58*100</f>
        <v>10.522422890610917</v>
      </c>
      <c r="AF70" s="49">
        <f>(AD70/AD67-1)*100</f>
        <v>2.5832572491631511</v>
      </c>
      <c r="AG70" s="44"/>
      <c r="AH70" s="20">
        <f t="shared" si="20"/>
        <v>43100</v>
      </c>
      <c r="AI70" s="27">
        <v>0.73</v>
      </c>
      <c r="AJ70" s="126">
        <f t="shared" si="21"/>
        <v>1301110.6750398967</v>
      </c>
      <c r="AK70" s="6">
        <f>(AJ70-AJ$58)/AJ$58*100</f>
        <v>10.073232955903849</v>
      </c>
      <c r="AL70" s="49">
        <f>(AJ70/AJ67-1)*100</f>
        <v>4.1927508887999787</v>
      </c>
      <c r="AM70" s="49"/>
      <c r="AN70" s="79"/>
      <c r="AO70" s="20">
        <f t="shared" si="22"/>
        <v>43100</v>
      </c>
      <c r="AP70" s="78">
        <f t="shared" si="39"/>
        <v>-0.13766802409010259</v>
      </c>
      <c r="AQ70" s="126">
        <f t="shared" si="44"/>
        <v>1318362.5279582392</v>
      </c>
      <c r="AR70" s="6">
        <f>(AQ70-AQ$58)/AQ$58*100</f>
        <v>9.431718801413945</v>
      </c>
      <c r="AS70" s="49">
        <f>(AQ70/AQ67-1)*100</f>
        <v>2.1703791610471423</v>
      </c>
      <c r="AT70" s="39"/>
      <c r="AU70" s="20">
        <f t="shared" si="24"/>
        <v>43100</v>
      </c>
      <c r="AV70" s="27">
        <v>0.47000000000000003</v>
      </c>
      <c r="AW70" s="126">
        <f t="shared" si="25"/>
        <v>1103326.2641282433</v>
      </c>
      <c r="AX70" s="6">
        <f>(AW70-AW$58)/AW$58*100</f>
        <v>5.4837678041011539</v>
      </c>
      <c r="AY70" s="49">
        <f>(AW70/AW67-1)*100</f>
        <v>2.0574260000000066</v>
      </c>
      <c r="AZ70" s="49"/>
      <c r="BA70" s="79"/>
      <c r="BB70" s="20">
        <f t="shared" si="26"/>
        <v>43100</v>
      </c>
      <c r="BC70" s="78">
        <f t="shared" si="41"/>
        <v>0.26062358219611559</v>
      </c>
      <c r="BD70" s="126">
        <f t="shared" si="45"/>
        <v>1169885.8613114473</v>
      </c>
      <c r="BE70" s="6">
        <f>(BD70-BD$58)/BD$58*100</f>
        <v>5.3046723261699693</v>
      </c>
      <c r="BF70" s="49">
        <f>(BD70/BD67-1)*100</f>
        <v>0.9525760432362862</v>
      </c>
      <c r="BG70" s="39"/>
      <c r="BH70" s="20">
        <f t="shared" si="28"/>
        <v>43100</v>
      </c>
      <c r="BI70" s="27"/>
      <c r="BJ70" s="126">
        <f t="shared" si="29"/>
        <v>1000000</v>
      </c>
      <c r="BK70" s="6">
        <f>(BJ70-BJ$58)/BJ$58*100</f>
        <v>0</v>
      </c>
      <c r="BL70" s="49">
        <f>(BJ70/BJ67-1)*100</f>
        <v>0</v>
      </c>
      <c r="BM70" s="49"/>
      <c r="BN70" s="79"/>
      <c r="BO70" s="20">
        <f t="shared" si="30"/>
        <v>43100</v>
      </c>
      <c r="BP70" s="78"/>
      <c r="BQ70" s="126">
        <f t="shared" si="46"/>
        <v>1000000</v>
      </c>
      <c r="BR70" s="6">
        <f>(BQ70-BQ$58)/BQ$58*100</f>
        <v>0</v>
      </c>
      <c r="BS70" s="49">
        <f>(BQ70/BQ67-1)*100</f>
        <v>0</v>
      </c>
      <c r="BV70" s="39"/>
      <c r="BW70" s="20">
        <f t="shared" si="32"/>
        <v>43100</v>
      </c>
      <c r="BX70" s="27">
        <v>0.44999999999999996</v>
      </c>
      <c r="BY70" s="126">
        <f t="shared" si="33"/>
        <v>1233696.5931185936</v>
      </c>
      <c r="BZ70" s="6">
        <f>(BY70-BY$58)/BY$58*100</f>
        <v>7.4705288488781525</v>
      </c>
      <c r="CA70" s="49">
        <f>(BY70/BY67-1)*100</f>
        <v>2.7730348259999982</v>
      </c>
      <c r="CB70" s="49"/>
      <c r="CC70" s="79"/>
      <c r="CD70" s="20">
        <f t="shared" si="34"/>
        <v>43100</v>
      </c>
      <c r="CE70" s="78">
        <f t="shared" si="40"/>
        <v>5.3616568137966163E-3</v>
      </c>
      <c r="CF70" s="126">
        <f t="shared" si="47"/>
        <v>1256350.100748894</v>
      </c>
      <c r="CG70" s="6">
        <f>(CF70-CF$58)/CF$58*100</f>
        <v>7.185521785178361</v>
      </c>
      <c r="CH70" s="49">
        <f>(CF70/CF67-1)*100</f>
        <v>1.5869793562660384</v>
      </c>
      <c r="CI70" s="39"/>
    </row>
    <row r="71" spans="1:87" x14ac:dyDescent="0.25">
      <c r="A71" s="20">
        <v>43131</v>
      </c>
      <c r="B71" s="24">
        <f t="shared" si="36"/>
        <v>56</v>
      </c>
      <c r="C71" s="301">
        <f>'LC (Gross)'!X233</f>
        <v>2.6513754394878313</v>
      </c>
      <c r="D71" s="301">
        <v>3.2374999999999998</v>
      </c>
      <c r="E71" s="301">
        <f>'CRA (Gross)'!E71</f>
        <v>-1.1517956185831466</v>
      </c>
      <c r="F71" s="301">
        <f>'CRA (Gross)'!F71</f>
        <v>0.11</v>
      </c>
      <c r="G71" s="39"/>
      <c r="H71" s="20">
        <f t="shared" si="12"/>
        <v>43131</v>
      </c>
      <c r="I71" s="27">
        <v>3.1685768028302181</v>
      </c>
      <c r="J71" s="126">
        <f t="shared" si="13"/>
        <v>1546595.8795304154</v>
      </c>
      <c r="K71" s="6"/>
      <c r="M71" s="49"/>
      <c r="N71" s="79"/>
      <c r="O71" s="20">
        <f t="shared" si="14"/>
        <v>43131</v>
      </c>
      <c r="P71" s="78">
        <f t="shared" si="37"/>
        <v>1.9768814917183073</v>
      </c>
      <c r="Q71" s="126">
        <f t="shared" si="42"/>
        <v>1471254.4951656056</v>
      </c>
      <c r="T71" s="39"/>
      <c r="U71" s="20">
        <f t="shared" si="16"/>
        <v>43131</v>
      </c>
      <c r="V71" s="27">
        <v>3.0459803022487653</v>
      </c>
      <c r="W71" s="126">
        <f t="shared" si="17"/>
        <v>1444407.333917211</v>
      </c>
      <c r="X71" s="8"/>
      <c r="Y71" s="3"/>
      <c r="Z71" s="49"/>
      <c r="AA71" s="79"/>
      <c r="AB71" s="20">
        <f t="shared" si="18"/>
        <v>43131</v>
      </c>
      <c r="AC71" s="78">
        <f t="shared" si="38"/>
        <v>1.3770996049820521</v>
      </c>
      <c r="AD71" s="126">
        <f t="shared" si="43"/>
        <v>1382063.9439482277</v>
      </c>
      <c r="AE71" s="8"/>
      <c r="AG71" s="44"/>
      <c r="AH71" s="20">
        <f t="shared" si="20"/>
        <v>43131</v>
      </c>
      <c r="AI71" s="27">
        <v>2.5485056956077683</v>
      </c>
      <c r="AJ71" s="126">
        <f t="shared" si="21"/>
        <v>1334269.5546994491</v>
      </c>
      <c r="AK71" s="8"/>
      <c r="AM71" s="49"/>
      <c r="AN71" s="79"/>
      <c r="AO71" s="20">
        <f t="shared" si="22"/>
        <v>43131</v>
      </c>
      <c r="AP71" s="78">
        <f t="shared" si="39"/>
        <v>0.87060293731663951</v>
      </c>
      <c r="AQ71" s="126">
        <f t="shared" si="44"/>
        <v>1329840.2308511254</v>
      </c>
      <c r="AR71" s="8"/>
      <c r="AT71" s="39"/>
      <c r="AU71" s="20">
        <f t="shared" si="24"/>
        <v>43131</v>
      </c>
      <c r="AV71" s="27">
        <v>0.65849482678972682</v>
      </c>
      <c r="AW71" s="126">
        <f t="shared" si="25"/>
        <v>1110591.6105001401</v>
      </c>
      <c r="AX71" s="8"/>
      <c r="AZ71" s="49"/>
      <c r="BA71" s="79"/>
      <c r="BB71" s="20">
        <f t="shared" si="26"/>
        <v>43131</v>
      </c>
      <c r="BC71" s="78">
        <f t="shared" si="41"/>
        <v>-0.36274438905941941</v>
      </c>
      <c r="BD71" s="126">
        <f t="shared" si="45"/>
        <v>1165642.1659911405</v>
      </c>
      <c r="BE71" s="8"/>
      <c r="BG71" s="39"/>
      <c r="BH71" s="20">
        <f t="shared" si="28"/>
        <v>43131</v>
      </c>
      <c r="BI71" s="27"/>
      <c r="BJ71" s="126">
        <f t="shared" si="29"/>
        <v>1000000</v>
      </c>
      <c r="BK71" s="8"/>
      <c r="BM71" s="49"/>
      <c r="BN71" s="79"/>
      <c r="BO71" s="20">
        <f t="shared" si="30"/>
        <v>43131</v>
      </c>
      <c r="BP71" s="78"/>
      <c r="BQ71" s="126">
        <f t="shared" si="46"/>
        <v>1000000</v>
      </c>
      <c r="BR71" s="8"/>
      <c r="BV71" s="39"/>
      <c r="BW71" s="20">
        <f t="shared" si="32"/>
        <v>43131</v>
      </c>
      <c r="BX71" s="27">
        <v>1.3922782547806618</v>
      </c>
      <c r="BY71" s="126">
        <f t="shared" si="33"/>
        <v>1250873.0825145536</v>
      </c>
      <c r="BZ71" s="8"/>
      <c r="CB71" s="49"/>
      <c r="CC71" s="79"/>
      <c r="CD71" s="20">
        <f t="shared" si="34"/>
        <v>43131</v>
      </c>
      <c r="CE71" s="78">
        <f t="shared" si="40"/>
        <v>0.27082105058038453</v>
      </c>
      <c r="CF71" s="126">
        <f t="shared" si="47"/>
        <v>1259752.56129071</v>
      </c>
      <c r="CG71" s="8"/>
      <c r="CI71" s="39"/>
    </row>
    <row r="72" spans="1:87" x14ac:dyDescent="0.25">
      <c r="A72" s="20">
        <v>43159</v>
      </c>
      <c r="B72" s="24">
        <f t="shared" si="36"/>
        <v>57</v>
      </c>
      <c r="C72" s="301">
        <f>'LC (Gross)'!X234</f>
        <v>-4.2397855144443843</v>
      </c>
      <c r="D72" s="301">
        <v>-2.6040999999999999</v>
      </c>
      <c r="E72" s="301">
        <f>'CRA (Gross)'!E72</f>
        <v>-0.9476962626062807</v>
      </c>
      <c r="F72" s="301">
        <f>'CRA (Gross)'!F72</f>
        <v>0.11</v>
      </c>
      <c r="G72" s="39"/>
      <c r="H72" s="20">
        <f t="shared" si="12"/>
        <v>43159</v>
      </c>
      <c r="I72" s="27">
        <v>-3.254311796895367</v>
      </c>
      <c r="J72" s="126">
        <f t="shared" si="13"/>
        <v>1496264.8273725593</v>
      </c>
      <c r="K72" s="8"/>
      <c r="L72" s="49"/>
      <c r="M72" s="49"/>
      <c r="N72" s="79"/>
      <c r="O72" s="20">
        <f t="shared" si="14"/>
        <v>43159</v>
      </c>
      <c r="P72" s="78">
        <f t="shared" si="37"/>
        <v>-2.6894970329444114</v>
      </c>
      <c r="Q72" s="126">
        <f t="shared" si="42"/>
        <v>1431685.1491710653</v>
      </c>
      <c r="R72" s="8"/>
      <c r="S72" s="5"/>
      <c r="T72" s="39"/>
      <c r="U72" s="20">
        <f t="shared" si="16"/>
        <v>43159</v>
      </c>
      <c r="V72" s="27">
        <v>-2.9616512223951887</v>
      </c>
      <c r="W72" s="126">
        <f t="shared" si="17"/>
        <v>1401629.0264558862</v>
      </c>
      <c r="X72" s="8"/>
      <c r="Y72" s="6"/>
      <c r="Z72" s="49"/>
      <c r="AA72" s="79"/>
      <c r="AB72" s="20">
        <f t="shared" si="18"/>
        <v>43159</v>
      </c>
      <c r="AC72" s="78">
        <f t="shared" si="38"/>
        <v>-2.2774679208909148</v>
      </c>
      <c r="AD72" s="126">
        <f t="shared" si="43"/>
        <v>1350587.8809786071</v>
      </c>
      <c r="AE72" s="8"/>
      <c r="AG72" s="44"/>
      <c r="AH72" s="20">
        <f t="shared" si="20"/>
        <v>43159</v>
      </c>
      <c r="AI72" s="27">
        <v>-2.5947956429307037</v>
      </c>
      <c r="AJ72" s="126">
        <f t="shared" si="21"/>
        <v>1299647.986429157</v>
      </c>
      <c r="AK72" s="8"/>
      <c r="AM72" s="49"/>
      <c r="AN72" s="79"/>
      <c r="AO72" s="20">
        <f t="shared" si="22"/>
        <v>43159</v>
      </c>
      <c r="AP72" s="78">
        <f t="shared" si="39"/>
        <v>-2.0540286219677326</v>
      </c>
      <c r="AQ72" s="126">
        <f t="shared" si="44"/>
        <v>1302524.9318830015</v>
      </c>
      <c r="AR72" s="8"/>
      <c r="AT72" s="39"/>
      <c r="AU72" s="20">
        <f t="shared" si="24"/>
        <v>43159</v>
      </c>
      <c r="AV72" s="27">
        <v>-1.8581741993736343</v>
      </c>
      <c r="AW72" s="126">
        <f t="shared" si="25"/>
        <v>1089954.8837334183</v>
      </c>
      <c r="AX72" s="8"/>
      <c r="AZ72" s="49"/>
      <c r="BA72" s="79"/>
      <c r="BB72" s="20">
        <f t="shared" si="26"/>
        <v>43159</v>
      </c>
      <c r="BC72" s="78">
        <f t="shared" si="41"/>
        <v>-1.2010709352688349</v>
      </c>
      <c r="BD72" s="126">
        <f t="shared" si="45"/>
        <v>1151641.9767261827</v>
      </c>
      <c r="BE72" s="8"/>
      <c r="BG72" s="39"/>
      <c r="BH72" s="20">
        <f t="shared" si="28"/>
        <v>43159</v>
      </c>
      <c r="BI72" s="27"/>
      <c r="BJ72" s="126">
        <f t="shared" si="29"/>
        <v>1000000</v>
      </c>
      <c r="BK72" s="8"/>
      <c r="BM72" s="49"/>
      <c r="BN72" s="79"/>
      <c r="BO72" s="20">
        <f t="shared" si="30"/>
        <v>43159</v>
      </c>
      <c r="BP72" s="78"/>
      <c r="BQ72" s="126">
        <f t="shared" si="46"/>
        <v>1000000</v>
      </c>
      <c r="BR72" s="8"/>
      <c r="BV72" s="39"/>
      <c r="BW72" s="20">
        <f t="shared" si="32"/>
        <v>43159</v>
      </c>
      <c r="BX72" s="27">
        <v>-2.2401574876623522</v>
      </c>
      <c r="BY72" s="126">
        <f t="shared" si="33"/>
        <v>1222851.555495451</v>
      </c>
      <c r="BZ72" s="8"/>
      <c r="CB72" s="49"/>
      <c r="CC72" s="79"/>
      <c r="CD72" s="20">
        <f t="shared" si="34"/>
        <v>43159</v>
      </c>
      <c r="CE72" s="78">
        <f t="shared" si="40"/>
        <v>-1.6419995099142364</v>
      </c>
      <c r="CF72" s="126">
        <f t="shared" si="47"/>
        <v>1239067.4304081844</v>
      </c>
      <c r="CG72" s="8"/>
      <c r="CI72" s="39"/>
    </row>
    <row r="73" spans="1:87" x14ac:dyDescent="0.25">
      <c r="A73" s="20">
        <v>43190</v>
      </c>
      <c r="B73" s="24">
        <f t="shared" si="36"/>
        <v>58</v>
      </c>
      <c r="C73" s="301">
        <f>'LC (Gross)'!X235</f>
        <v>0.85099131855693555</v>
      </c>
      <c r="D73" s="301">
        <v>-0.1053</v>
      </c>
      <c r="E73" s="301">
        <f>'CRA (Gross)'!E73</f>
        <v>0.6413359752049983</v>
      </c>
      <c r="F73" s="301">
        <f>'CRA (Gross)'!F73</f>
        <v>0.12</v>
      </c>
      <c r="G73" s="39"/>
      <c r="H73" s="20">
        <f t="shared" si="12"/>
        <v>43190</v>
      </c>
      <c r="I73" s="27">
        <v>9.9116679529411608E-3</v>
      </c>
      <c r="J73" s="126">
        <f t="shared" si="13"/>
        <v>1496413.1321739452</v>
      </c>
      <c r="K73" s="8"/>
      <c r="L73" s="49">
        <f>(J73/J70-1)*100</f>
        <v>-0.17895741302129675</v>
      </c>
      <c r="M73" s="49"/>
      <c r="N73" s="79"/>
      <c r="O73" s="20">
        <f t="shared" si="14"/>
        <v>43190</v>
      </c>
      <c r="P73" s="78">
        <f t="shared" si="37"/>
        <v>0.48825022520631456</v>
      </c>
      <c r="Q73" s="126">
        <f t="shared" si="42"/>
        <v>1438675.3551361384</v>
      </c>
      <c r="R73" s="8"/>
      <c r="S73" s="49">
        <f>(Q73/Q70-1)*100</f>
        <v>-0.28127242577447031</v>
      </c>
      <c r="T73" s="39"/>
      <c r="U73" s="20">
        <f t="shared" si="16"/>
        <v>43190</v>
      </c>
      <c r="V73" s="27">
        <v>-0.14252400892617523</v>
      </c>
      <c r="W73" s="126">
        <f t="shared" si="17"/>
        <v>1399631.3685771083</v>
      </c>
      <c r="X73" s="8"/>
      <c r="Y73" s="49">
        <f>(W73/W70-1)*100</f>
        <v>-0.14839785833378194</v>
      </c>
      <c r="Z73" s="49"/>
      <c r="AA73" s="79"/>
      <c r="AB73" s="20">
        <f t="shared" si="18"/>
        <v>43190</v>
      </c>
      <c r="AC73" s="78">
        <f t="shared" si="38"/>
        <v>0.50461648963137073</v>
      </c>
      <c r="AD73" s="126">
        <f t="shared" si="43"/>
        <v>1357403.1701329881</v>
      </c>
      <c r="AE73" s="8"/>
      <c r="AF73" s="49">
        <f>(AD73/AD70-1)*100</f>
        <v>-0.4318164978875827</v>
      </c>
      <c r="AG73" s="44"/>
      <c r="AH73" s="20">
        <f t="shared" si="20"/>
        <v>43190</v>
      </c>
      <c r="AI73" s="27">
        <v>-0.12854455466905973</v>
      </c>
      <c r="AJ73" s="126">
        <f t="shared" si="21"/>
        <v>1297977.3597127362</v>
      </c>
      <c r="AK73" s="8"/>
      <c r="AL73" s="49">
        <f>(AJ73/AJ70-1)*100</f>
        <v>-0.24081850893002965</v>
      </c>
      <c r="AM73" s="49"/>
      <c r="AN73" s="79"/>
      <c r="AO73" s="20">
        <f t="shared" si="22"/>
        <v>43190</v>
      </c>
      <c r="AP73" s="78">
        <f t="shared" si="39"/>
        <v>0.53578455281667681</v>
      </c>
      <c r="AQ73" s="126">
        <f t="shared" si="44"/>
        <v>1309503.6592646164</v>
      </c>
      <c r="AR73" s="8"/>
      <c r="AS73" s="49">
        <f>(AQ73/AQ70-1)*100</f>
        <v>-0.67195998867948248</v>
      </c>
      <c r="AT73" s="39"/>
      <c r="AU73" s="20">
        <f t="shared" si="24"/>
        <v>43190</v>
      </c>
      <c r="AV73" s="27">
        <v>0.36089245813640713</v>
      </c>
      <c r="AW73" s="126">
        <f t="shared" si="25"/>
        <v>1093888.4487059016</v>
      </c>
      <c r="AX73" s="8"/>
      <c r="AY73" s="49">
        <f>(AW73/AW70-1)*100</f>
        <v>-0.85539660653312088</v>
      </c>
      <c r="AZ73" s="49"/>
      <c r="BA73" s="79"/>
      <c r="BB73" s="20">
        <f t="shared" si="26"/>
        <v>43190</v>
      </c>
      <c r="BC73" s="78">
        <f t="shared" si="41"/>
        <v>0.54676931449919242</v>
      </c>
      <c r="BD73" s="126">
        <f t="shared" si="45"/>
        <v>1157938.8016678134</v>
      </c>
      <c r="BE73" s="8"/>
      <c r="BF73" s="49">
        <f>(BD73/BD70-1)*100</f>
        <v>-1.0212158329908516</v>
      </c>
      <c r="BG73" s="39"/>
      <c r="BH73" s="20">
        <f t="shared" si="28"/>
        <v>43190</v>
      </c>
      <c r="BI73" s="27"/>
      <c r="BJ73" s="126">
        <f t="shared" si="29"/>
        <v>1000000</v>
      </c>
      <c r="BK73" s="8"/>
      <c r="BL73" s="49">
        <f>(BJ73/BJ70-1)*100</f>
        <v>0</v>
      </c>
      <c r="BM73" s="49"/>
      <c r="BN73" s="79"/>
      <c r="BO73" s="20">
        <f t="shared" si="30"/>
        <v>43190</v>
      </c>
      <c r="BP73" s="78"/>
      <c r="BQ73" s="126">
        <f t="shared" si="46"/>
        <v>1000000</v>
      </c>
      <c r="BR73" s="8"/>
      <c r="BS73" s="49">
        <f>(BQ73/BQ70-1)*100</f>
        <v>0</v>
      </c>
      <c r="BV73" s="39"/>
      <c r="BW73" s="20">
        <f t="shared" si="32"/>
        <v>43190</v>
      </c>
      <c r="BX73" s="27">
        <v>0.23133079093546879</v>
      </c>
      <c r="BY73" s="126">
        <f t="shared" si="33"/>
        <v>1225680.3876707454</v>
      </c>
      <c r="BZ73" s="8"/>
      <c r="CA73" s="49">
        <f>(BY73/BY70-1)*100</f>
        <v>-0.64977122353758743</v>
      </c>
      <c r="CB73" s="49"/>
      <c r="CC73" s="79"/>
      <c r="CD73" s="20">
        <f t="shared" si="34"/>
        <v>43190</v>
      </c>
      <c r="CE73" s="78">
        <f t="shared" si="40"/>
        <v>0.55215081724173309</v>
      </c>
      <c r="CF73" s="126">
        <f t="shared" si="47"/>
        <v>1245908.9513513593</v>
      </c>
      <c r="CG73" s="8"/>
      <c r="CH73" s="49">
        <f>(CF73/CF70-1)*100</f>
        <v>-0.83107004897050585</v>
      </c>
      <c r="CI73" s="39"/>
    </row>
    <row r="74" spans="1:87" x14ac:dyDescent="0.25">
      <c r="A74" s="20">
        <v>43220</v>
      </c>
      <c r="B74" s="24">
        <f t="shared" si="36"/>
        <v>59</v>
      </c>
      <c r="C74" s="301">
        <f>'LC (Gross)'!X236</f>
        <v>-0.5668110875880138</v>
      </c>
      <c r="D74" s="301">
        <v>1.2118</v>
      </c>
      <c r="E74" s="301">
        <f>'CRA (Gross)'!E74</f>
        <v>-0.74387050702213753</v>
      </c>
      <c r="F74" s="301">
        <f>'CRA (Gross)'!F74</f>
        <v>0.14000000000000001</v>
      </c>
      <c r="G74" s="39"/>
      <c r="H74" s="20">
        <f t="shared" si="12"/>
        <v>43220</v>
      </c>
      <c r="I74" s="27">
        <v>0.9313909159677477</v>
      </c>
      <c r="J74" s="126">
        <f t="shared" si="13"/>
        <v>1510350.5881523618</v>
      </c>
      <c r="K74" s="8"/>
      <c r="M74" s="49"/>
      <c r="N74" s="79"/>
      <c r="O74" s="20">
        <f t="shared" si="14"/>
        <v>43220</v>
      </c>
      <c r="P74" s="78">
        <f t="shared" si="37"/>
        <v>-8.7976098173407596E-2</v>
      </c>
      <c r="Q74" s="126">
        <f t="shared" si="42"/>
        <v>1437409.6646933071</v>
      </c>
      <c r="R74" s="8"/>
      <c r="T74" s="39"/>
      <c r="U74" s="20">
        <f t="shared" si="16"/>
        <v>43220</v>
      </c>
      <c r="V74" s="27">
        <v>0.76100270871171227</v>
      </c>
      <c r="W74" s="126">
        <f t="shared" si="17"/>
        <v>1410282.601203959</v>
      </c>
      <c r="X74" s="6"/>
      <c r="Y74" s="3"/>
      <c r="Z74" s="49"/>
      <c r="AA74" s="79"/>
      <c r="AB74" s="20">
        <f t="shared" si="18"/>
        <v>43220</v>
      </c>
      <c r="AC74" s="78">
        <f t="shared" si="38"/>
        <v>-0.2034655654679268</v>
      </c>
      <c r="AD74" s="126">
        <f t="shared" si="43"/>
        <v>1354641.3220971974</v>
      </c>
      <c r="AE74" s="6"/>
      <c r="AG74" s="44"/>
      <c r="AH74" s="20">
        <f t="shared" si="20"/>
        <v>43220</v>
      </c>
      <c r="AI74" s="27">
        <v>0.51394771639065173</v>
      </c>
      <c r="AJ74" s="126">
        <f t="shared" si="21"/>
        <v>1304648.2847122476</v>
      </c>
      <c r="AK74" s="6"/>
      <c r="AN74" s="79"/>
      <c r="AO74" s="20">
        <f t="shared" si="22"/>
        <v>43220</v>
      </c>
      <c r="AP74" s="78">
        <f t="shared" si="39"/>
        <v>-0.30955855811355287</v>
      </c>
      <c r="AQ74" s="126">
        <f t="shared" si="44"/>
        <v>1305449.9786185527</v>
      </c>
      <c r="AR74" s="6"/>
      <c r="AT74" s="39"/>
      <c r="AU74" s="20">
        <f t="shared" si="24"/>
        <v>43220</v>
      </c>
      <c r="AV74" s="27">
        <v>-2.9143884959547993E-3</v>
      </c>
      <c r="AW74" s="126">
        <f t="shared" si="25"/>
        <v>1093856.5685467939</v>
      </c>
      <c r="AX74" s="6"/>
      <c r="AZ74" s="49"/>
      <c r="BA74" s="79"/>
      <c r="BB74" s="20">
        <f t="shared" si="26"/>
        <v>43220</v>
      </c>
      <c r="BC74" s="78">
        <f t="shared" si="41"/>
        <v>-0.49580046367429753</v>
      </c>
      <c r="BD74" s="126">
        <f t="shared" si="45"/>
        <v>1152197.7357200799</v>
      </c>
      <c r="BE74" s="6"/>
      <c r="BG74" s="39"/>
      <c r="BH74" s="20">
        <f t="shared" si="28"/>
        <v>43220</v>
      </c>
      <c r="BI74" s="27"/>
      <c r="BJ74" s="126">
        <f t="shared" si="29"/>
        <v>1000000</v>
      </c>
      <c r="BK74" s="6"/>
      <c r="BM74" s="49"/>
      <c r="BN74" s="79"/>
      <c r="BO74" s="20">
        <f t="shared" si="30"/>
        <v>43220</v>
      </c>
      <c r="BP74" s="78"/>
      <c r="BQ74" s="126">
        <f t="shared" si="46"/>
        <v>1000000</v>
      </c>
      <c r="BR74" s="6"/>
      <c r="BV74" s="39"/>
      <c r="BW74" s="20">
        <f t="shared" si="32"/>
        <v>43220</v>
      </c>
      <c r="BX74" s="27">
        <v>0.18733760852631426</v>
      </c>
      <c r="BY74" s="126">
        <f t="shared" si="33"/>
        <v>1227976.5479971839</v>
      </c>
      <c r="BZ74" s="6"/>
      <c r="CC74" s="79"/>
      <c r="CD74" s="20">
        <f t="shared" si="34"/>
        <v>43220</v>
      </c>
      <c r="CE74" s="78">
        <f t="shared" si="40"/>
        <v>-0.42504802540807218</v>
      </c>
      <c r="CF74" s="126">
        <f t="shared" si="47"/>
        <v>1240613.2399552579</v>
      </c>
      <c r="CG74" s="6"/>
      <c r="CI74" s="39"/>
    </row>
    <row r="75" spans="1:87" x14ac:dyDescent="0.25">
      <c r="A75" s="20">
        <v>43251</v>
      </c>
      <c r="B75" s="24">
        <f t="shared" si="36"/>
        <v>60</v>
      </c>
      <c r="C75" s="301">
        <f>'LC (Gross)'!X237</f>
        <v>0.72798394361585439</v>
      </c>
      <c r="D75" s="301">
        <v>-1.2379</v>
      </c>
      <c r="E75" s="301">
        <f>'CRA (Gross)'!E75</f>
        <v>0.7134720306972826</v>
      </c>
      <c r="F75" s="301">
        <f>'CRA (Gross)'!F75</f>
        <v>0.14000000000000001</v>
      </c>
      <c r="G75" s="39"/>
      <c r="H75" s="20">
        <f t="shared" si="12"/>
        <v>43251</v>
      </c>
      <c r="I75" s="27">
        <v>2.92709722459501</v>
      </c>
      <c r="J75" s="126">
        <f t="shared" si="13"/>
        <v>1554560.0182998241</v>
      </c>
      <c r="K75" s="6"/>
      <c r="L75" s="49"/>
      <c r="M75" s="49"/>
      <c r="N75" s="79"/>
      <c r="O75" s="20">
        <f t="shared" si="14"/>
        <v>43251</v>
      </c>
      <c r="P75" s="78">
        <f t="shared" si="37"/>
        <v>0.25670616898871995</v>
      </c>
      <c r="Q75" s="126">
        <f t="shared" si="42"/>
        <v>1441099.583976215</v>
      </c>
      <c r="R75" s="6"/>
      <c r="S75" s="5"/>
      <c r="T75" s="39"/>
      <c r="U75" s="20">
        <f t="shared" si="16"/>
        <v>43251</v>
      </c>
      <c r="V75" s="27">
        <v>2.5115390426398347</v>
      </c>
      <c r="W75" s="126">
        <f t="shared" si="17"/>
        <v>1445702.399344753</v>
      </c>
      <c r="X75" s="6"/>
      <c r="Y75" s="6"/>
      <c r="Z75" s="49"/>
      <c r="AA75" s="79"/>
      <c r="AB75" s="20">
        <f t="shared" si="18"/>
        <v>43251</v>
      </c>
      <c r="AC75" s="78">
        <f t="shared" si="38"/>
        <v>0.35282357923172686</v>
      </c>
      <c r="AD75" s="126">
        <f t="shared" si="43"/>
        <v>1359420.8160955727</v>
      </c>
      <c r="AE75" s="6"/>
      <c r="AG75" s="44"/>
      <c r="AH75" s="20">
        <f t="shared" si="20"/>
        <v>43251</v>
      </c>
      <c r="AI75" s="27">
        <v>2.1053561779044152</v>
      </c>
      <c r="AJ75" s="126">
        <f t="shared" si="21"/>
        <v>1332115.7779743609</v>
      </c>
      <c r="AK75" s="6"/>
      <c r="AN75" s="79"/>
      <c r="AO75" s="20">
        <f t="shared" si="22"/>
        <v>43251</v>
      </c>
      <c r="AP75" s="78">
        <f t="shared" si="39"/>
        <v>0.40871959100959793</v>
      </c>
      <c r="AQ75" s="126">
        <f t="shared" si="44"/>
        <v>1310785.6084319972</v>
      </c>
      <c r="AR75" s="6"/>
      <c r="AT75" s="39"/>
      <c r="AU75" s="20">
        <f t="shared" si="24"/>
        <v>43251</v>
      </c>
      <c r="AV75" s="27">
        <v>1.4737619355494078</v>
      </c>
      <c r="AW75" s="126">
        <f t="shared" si="25"/>
        <v>1109977.4102835434</v>
      </c>
      <c r="AX75" s="6"/>
      <c r="AZ75" s="49"/>
      <c r="BA75" s="79"/>
      <c r="BB75" s="20">
        <f t="shared" si="26"/>
        <v>43251</v>
      </c>
      <c r="BC75" s="78">
        <f t="shared" si="41"/>
        <v>0.53133381584968331</v>
      </c>
      <c r="BD75" s="126">
        <f t="shared" si="45"/>
        <v>1158319.7519154151</v>
      </c>
      <c r="BE75" s="6"/>
      <c r="BG75" s="39"/>
      <c r="BH75" s="20">
        <f t="shared" si="28"/>
        <v>43251</v>
      </c>
      <c r="BI75" s="27"/>
      <c r="BJ75" s="126">
        <f t="shared" si="29"/>
        <v>1000000</v>
      </c>
      <c r="BK75" s="6"/>
      <c r="BM75" s="49"/>
      <c r="BN75" s="79"/>
      <c r="BO75" s="20">
        <f t="shared" si="30"/>
        <v>43251</v>
      </c>
      <c r="BP75" s="78"/>
      <c r="BQ75" s="126">
        <f t="shared" si="46"/>
        <v>1000000</v>
      </c>
      <c r="BR75" s="6"/>
      <c r="BV75" s="39"/>
      <c r="BW75" s="20">
        <f t="shared" si="32"/>
        <v>43251</v>
      </c>
      <c r="BX75" s="27">
        <v>1.8508455018805738</v>
      </c>
      <c r="BY75" s="126">
        <f t="shared" si="33"/>
        <v>1250704.4966999381</v>
      </c>
      <c r="BZ75" s="6"/>
      <c r="CC75" s="79"/>
      <c r="CD75" s="20">
        <f t="shared" si="34"/>
        <v>43251</v>
      </c>
      <c r="CE75" s="78">
        <f t="shared" si="40"/>
        <v>0.50483700125260489</v>
      </c>
      <c r="CF75" s="126">
        <f t="shared" si="47"/>
        <v>1246876.3146329909</v>
      </c>
      <c r="CG75" s="6"/>
      <c r="CI75" s="39"/>
    </row>
    <row r="76" spans="1:87" x14ac:dyDescent="0.25">
      <c r="A76" s="20">
        <v>43281</v>
      </c>
      <c r="B76" s="24">
        <f t="shared" si="36"/>
        <v>61</v>
      </c>
      <c r="C76" s="301">
        <f>'LC (Gross)'!X238</f>
        <v>1.4332118368315931</v>
      </c>
      <c r="D76" s="301">
        <v>-0.75190000000000001</v>
      </c>
      <c r="E76" s="301">
        <f>'CRA (Gross)'!E76</f>
        <v>-0.12303051950629133</v>
      </c>
      <c r="F76" s="301">
        <f>'CRA (Gross)'!F76</f>
        <v>0.14000000000000001</v>
      </c>
      <c r="G76" s="39"/>
      <c r="H76" s="20">
        <f t="shared" si="12"/>
        <v>43281</v>
      </c>
      <c r="I76" s="27">
        <v>1.6509472837804948</v>
      </c>
      <c r="J76" s="126">
        <f t="shared" si="13"/>
        <v>1580224.9846966825</v>
      </c>
      <c r="K76" s="6"/>
      <c r="L76" s="49">
        <f>(J76/J73-1)*100</f>
        <v>5.6008498402428497</v>
      </c>
      <c r="M76" s="49"/>
      <c r="N76" s="79"/>
      <c r="O76" s="20">
        <f t="shared" si="14"/>
        <v>43281</v>
      </c>
      <c r="P76" s="78">
        <f t="shared" si="37"/>
        <v>0.71748151025737628</v>
      </c>
      <c r="Q76" s="126">
        <f t="shared" si="42"/>
        <v>1451439.2070356403</v>
      </c>
      <c r="R76" s="6"/>
      <c r="S76" s="49">
        <f>(Q76/Q73-1)*100</f>
        <v>0.88719472770102392</v>
      </c>
      <c r="T76" s="39"/>
      <c r="U76" s="20">
        <f t="shared" si="16"/>
        <v>43281</v>
      </c>
      <c r="V76" s="27">
        <v>1.5706884312033382</v>
      </c>
      <c r="W76" s="126">
        <f t="shared" si="17"/>
        <v>1468409.8796808901</v>
      </c>
      <c r="X76" s="6"/>
      <c r="Y76" s="49">
        <f>(W76/W73-1)*100</f>
        <v>4.9140447011918109</v>
      </c>
      <c r="Z76" s="49"/>
      <c r="AA76" s="79"/>
      <c r="AB76" s="20">
        <f t="shared" si="18"/>
        <v>43281</v>
      </c>
      <c r="AC76" s="78">
        <f t="shared" si="38"/>
        <v>0.5933007486482732</v>
      </c>
      <c r="AD76" s="126">
        <f t="shared" si="43"/>
        <v>1367486.2699747481</v>
      </c>
      <c r="AE76" s="6"/>
      <c r="AF76" s="49">
        <f>(AD76/AD73-1)*100</f>
        <v>0.74282277098056682</v>
      </c>
      <c r="AG76" s="44"/>
      <c r="AH76" s="20">
        <f t="shared" si="20"/>
        <v>43281</v>
      </c>
      <c r="AI76" s="27">
        <v>1.3738611270671366</v>
      </c>
      <c r="AJ76" s="126">
        <f t="shared" si="21"/>
        <v>1350417.1988154785</v>
      </c>
      <c r="AK76" s="6"/>
      <c r="AL76" s="49">
        <f>(AJ76/AJ73-1)*100</f>
        <v>4.0401197070454309</v>
      </c>
      <c r="AN76" s="79"/>
      <c r="AO76" s="20">
        <f t="shared" si="22"/>
        <v>43281</v>
      </c>
      <c r="AP76" s="78">
        <f t="shared" si="39"/>
        <v>0.41137346106385569</v>
      </c>
      <c r="AQ76" s="126">
        <f t="shared" si="44"/>
        <v>1316177.8325565308</v>
      </c>
      <c r="AR76" s="6"/>
      <c r="AS76" s="49">
        <f>(AQ76/AQ73-1)*100</f>
        <v>0.50967198485436516</v>
      </c>
      <c r="AT76" s="39"/>
      <c r="AU76" s="20">
        <f t="shared" si="24"/>
        <v>43281</v>
      </c>
      <c r="AV76" s="27">
        <v>0.89719095864364684</v>
      </c>
      <c r="AW76" s="126">
        <f t="shared" si="25"/>
        <v>1119936.0272515942</v>
      </c>
      <c r="AX76" s="6"/>
      <c r="AY76" s="49">
        <f>(AW76/AW73-1)*100</f>
        <v>2.3811914804025447</v>
      </c>
      <c r="AZ76" s="49"/>
      <c r="BA76" s="79"/>
      <c r="BB76" s="20">
        <f t="shared" si="26"/>
        <v>43281</v>
      </c>
      <c r="BC76" s="78">
        <f t="shared" si="41"/>
        <v>4.0604820028755401E-2</v>
      </c>
      <c r="BD76" s="126">
        <f t="shared" si="45"/>
        <v>1158790.0855660378</v>
      </c>
      <c r="BE76" s="6"/>
      <c r="BF76" s="49">
        <f>(BD76/BD73-1)*100</f>
        <v>7.3517175259896206E-2</v>
      </c>
      <c r="BG76" s="39"/>
      <c r="BH76" s="20">
        <f t="shared" si="28"/>
        <v>43281</v>
      </c>
      <c r="BI76" s="27"/>
      <c r="BJ76" s="126">
        <f t="shared" si="29"/>
        <v>1000000</v>
      </c>
      <c r="BK76" s="6"/>
      <c r="BL76" s="49">
        <f>(BJ76/BJ73-1)*100</f>
        <v>0</v>
      </c>
      <c r="BM76" s="49"/>
      <c r="BN76" s="79"/>
      <c r="BO76" s="20">
        <f t="shared" si="30"/>
        <v>43281</v>
      </c>
      <c r="BP76" s="78"/>
      <c r="BQ76" s="126">
        <f t="shared" si="46"/>
        <v>1000000</v>
      </c>
      <c r="BR76" s="6"/>
      <c r="BS76" s="49">
        <f>(BQ76/BQ73-1)*100</f>
        <v>0</v>
      </c>
      <c r="BV76" s="39"/>
      <c r="BW76" s="20">
        <f t="shared" si="32"/>
        <v>43281</v>
      </c>
      <c r="BX76" s="27">
        <v>1.0919369516886732</v>
      </c>
      <c r="BY76" s="126">
        <f t="shared" si="33"/>
        <v>1264361.4012558365</v>
      </c>
      <c r="BZ76" s="6"/>
      <c r="CA76" s="49">
        <f>(BY76/BY73-1)*100</f>
        <v>3.1558809273761534</v>
      </c>
      <c r="CC76" s="79"/>
      <c r="CD76" s="20">
        <f t="shared" si="34"/>
        <v>43281</v>
      </c>
      <c r="CE76" s="78">
        <f t="shared" si="40"/>
        <v>0.28719269945475268</v>
      </c>
      <c r="CF76" s="126">
        <f t="shared" si="47"/>
        <v>1250457.2523798472</v>
      </c>
      <c r="CG76" s="6"/>
      <c r="CH76" s="49">
        <f>(CF76/CF73-1)*100</f>
        <v>0.36505886112743191</v>
      </c>
      <c r="CI76" s="39"/>
    </row>
    <row r="77" spans="1:87" x14ac:dyDescent="0.25">
      <c r="A77" s="20">
        <v>43312</v>
      </c>
      <c r="B77" s="24">
        <f t="shared" ref="B77" si="49">IF(A77&gt;A76,1+B76,"-")</f>
        <v>62</v>
      </c>
      <c r="C77" s="301">
        <f>'LC (Gross)'!X239</f>
        <v>3.5258768432322021</v>
      </c>
      <c r="D77" s="301">
        <v>2.2804000000000002</v>
      </c>
      <c r="E77" s="301">
        <f>'CRA (Gross)'!E77</f>
        <v>2.3782000000000001E-2</v>
      </c>
      <c r="F77" s="301">
        <f>'CRA (Gross)'!F77</f>
        <v>0.16</v>
      </c>
      <c r="G77" s="39"/>
      <c r="H77" s="20">
        <f t="shared" si="12"/>
        <v>43312</v>
      </c>
      <c r="I77" s="27">
        <v>2.8387968891905828</v>
      </c>
      <c r="J77" s="126">
        <f t="shared" ref="J77" si="50">J76*I77/100+J76</f>
        <v>1625084.3624044643</v>
      </c>
      <c r="K77" s="6"/>
      <c r="M77" s="17"/>
      <c r="N77" s="79"/>
      <c r="O77" s="20">
        <f t="shared" si="14"/>
        <v>43312</v>
      </c>
      <c r="P77" s="78">
        <f t="shared" si="37"/>
        <v>2.3292922637777114</v>
      </c>
      <c r="Q77" s="126">
        <f t="shared" ref="Q77" si="51">Q76*P77/100+Q76</f>
        <v>1485247.4681985581</v>
      </c>
      <c r="R77" s="6"/>
      <c r="T77" s="39"/>
      <c r="U77" s="20">
        <f t="shared" si="16"/>
        <v>43312</v>
      </c>
      <c r="V77" s="27">
        <v>2.5662765260021523</v>
      </c>
      <c r="W77" s="126">
        <f t="shared" ref="W77" si="52">W76*V77/100+W76</f>
        <v>1506093.3377286373</v>
      </c>
      <c r="X77" s="6"/>
      <c r="Y77" s="3"/>
      <c r="AA77" s="79"/>
      <c r="AB77" s="20">
        <f t="shared" si="18"/>
        <v>43312</v>
      </c>
      <c r="AC77" s="78">
        <f t="shared" si="38"/>
        <v>1.8662518794544911</v>
      </c>
      <c r="AD77" s="126">
        <f t="shared" ref="AD77" si="53">AD76*AC77/100+AD76</f>
        <v>1393007.008189434</v>
      </c>
      <c r="AE77" s="6"/>
      <c r="AG77" s="44"/>
      <c r="AH77" s="20">
        <f t="shared" si="20"/>
        <v>43312</v>
      </c>
      <c r="AI77" s="27">
        <v>2.1259757950309028</v>
      </c>
      <c r="AJ77" s="126">
        <f t="shared" ref="AJ77" si="54">AJ76*AI77/100+AJ76</f>
        <v>1379126.7415942298</v>
      </c>
      <c r="AK77" s="6"/>
      <c r="AN77" s="79"/>
      <c r="AO77" s="20">
        <f t="shared" si="22"/>
        <v>43312</v>
      </c>
      <c r="AP77" s="78">
        <f t="shared" si="39"/>
        <v>1.5024205951312708</v>
      </c>
      <c r="AQ77" s="126">
        <f t="shared" ref="AQ77" si="55">AQ76*AP77/100+AQ76</f>
        <v>1335952.3593814126</v>
      </c>
      <c r="AR77" s="6"/>
      <c r="AT77" s="39"/>
      <c r="AU77" s="20">
        <f t="shared" si="24"/>
        <v>43312</v>
      </c>
      <c r="AV77" s="27">
        <v>0.86056989008922546</v>
      </c>
      <c r="AW77" s="126">
        <f t="shared" ref="AW77" si="56">AW76*AV77/100+AW76</f>
        <v>1129573.859490383</v>
      </c>
      <c r="AX77" s="6"/>
      <c r="AZ77" s="49"/>
      <c r="BA77" s="79"/>
      <c r="BB77" s="20">
        <f t="shared" si="26"/>
        <v>43312</v>
      </c>
      <c r="BC77" s="78">
        <f t="shared" si="41"/>
        <v>0.5072550843232202</v>
      </c>
      <c r="BD77" s="126">
        <f t="shared" ref="BD77" si="57">BD76*BC77/100+BD76</f>
        <v>1164668.1071917049</v>
      </c>
      <c r="BE77" s="6"/>
      <c r="BG77" s="39"/>
      <c r="BH77" s="20">
        <f t="shared" si="28"/>
        <v>43312</v>
      </c>
      <c r="BI77" s="27"/>
      <c r="BJ77" s="126">
        <f t="shared" si="29"/>
        <v>1000000</v>
      </c>
      <c r="BK77" s="6"/>
      <c r="BM77" s="49"/>
      <c r="BN77" s="79"/>
      <c r="BO77" s="20">
        <f t="shared" si="30"/>
        <v>43312</v>
      </c>
      <c r="BP77" s="78"/>
      <c r="BQ77" s="126">
        <f t="shared" si="46"/>
        <v>1000000</v>
      </c>
      <c r="BR77" s="6"/>
      <c r="BV77" s="39"/>
      <c r="BW77" s="20">
        <f t="shared" si="32"/>
        <v>43312</v>
      </c>
      <c r="BX77" s="27">
        <v>1.4154160353743122</v>
      </c>
      <c r="BY77" s="126">
        <f t="shared" ref="BY77" si="58">BY76*BX77/100+BY76</f>
        <v>1282257.375274295</v>
      </c>
      <c r="BZ77" s="6"/>
      <c r="CC77" s="79"/>
      <c r="CD77" s="20">
        <f t="shared" si="34"/>
        <v>43312</v>
      </c>
      <c r="CE77" s="78">
        <f t="shared" si="40"/>
        <v>1.0393802108080505</v>
      </c>
      <c r="CF77" s="126">
        <f t="shared" ref="CF77" si="59">CF76*CE77/100+CF76</f>
        <v>1263454.2576056975</v>
      </c>
      <c r="CG77" s="6"/>
      <c r="CI77" s="39"/>
    </row>
    <row r="78" spans="1:87" x14ac:dyDescent="0.25">
      <c r="A78" s="20">
        <v>43343</v>
      </c>
      <c r="B78" s="24">
        <f t="shared" si="36"/>
        <v>63</v>
      </c>
      <c r="C78" s="301">
        <f>'LC (Gross)'!X240</f>
        <v>1.8217884774152782</v>
      </c>
      <c r="D78" s="301">
        <v>-0.74539999999999995</v>
      </c>
      <c r="E78" s="301">
        <f>'CRA (Gross)'!E78</f>
        <v>0.64339999999999997</v>
      </c>
      <c r="F78" s="301">
        <f>'CRA (Gross)'!F78</f>
        <v>0.16</v>
      </c>
      <c r="G78" s="39"/>
      <c r="H78" s="20">
        <f t="shared" si="12"/>
        <v>43343</v>
      </c>
      <c r="I78" s="27">
        <v>4.5128594146063987</v>
      </c>
      <c r="J78" s="126">
        <f t="shared" ref="J78:J79" si="60">J77*I78/100+J77</f>
        <v>1698422.1350485305</v>
      </c>
      <c r="K78" s="6"/>
      <c r="L78" s="49"/>
      <c r="M78" s="17"/>
      <c r="N78" s="79"/>
      <c r="O78" s="20">
        <f t="shared" si="14"/>
        <v>43343</v>
      </c>
      <c r="P78" s="78">
        <f t="shared" si="37"/>
        <v>0.93817366257840318</v>
      </c>
      <c r="Q78" s="126">
        <f t="shared" ref="Q78:Q79" si="61">Q77*P78/100+Q77</f>
        <v>1499181.6687693095</v>
      </c>
      <c r="R78" s="6"/>
      <c r="S78" s="5"/>
      <c r="T78" s="39"/>
      <c r="U78" s="20">
        <f t="shared" si="16"/>
        <v>43343</v>
      </c>
      <c r="V78" s="27">
        <v>4.0849183603273369</v>
      </c>
      <c r="W78" s="126">
        <f t="shared" ref="W78" si="62">W77*V78/100+W77</f>
        <v>1567616.0210051811</v>
      </c>
      <c r="X78" s="6"/>
      <c r="Y78" s="6"/>
      <c r="Z78" s="5"/>
      <c r="AA78" s="79"/>
      <c r="AB78" s="20">
        <f t="shared" si="18"/>
        <v>43343</v>
      </c>
      <c r="AC78" s="78">
        <f t="shared" si="38"/>
        <v>0.88977481483687526</v>
      </c>
      <c r="AD78" s="126">
        <f t="shared" ref="AD78" si="63">AD77*AC78/100+AD77</f>
        <v>1405401.6337172161</v>
      </c>
      <c r="AE78" s="6"/>
      <c r="AG78" s="44"/>
      <c r="AH78" s="20">
        <f t="shared" si="20"/>
        <v>43343</v>
      </c>
      <c r="AI78" s="27">
        <v>3.4925954103870316</v>
      </c>
      <c r="AJ78" s="126">
        <f t="shared" ref="AJ78:AJ79" si="64">AJ77*AI78/100+AJ77</f>
        <v>1427294.0588745701</v>
      </c>
      <c r="AK78" s="6"/>
      <c r="AN78" s="79"/>
      <c r="AO78" s="20">
        <f t="shared" si="22"/>
        <v>43343</v>
      </c>
      <c r="AP78" s="78">
        <f t="shared" si="39"/>
        <v>0.82027596709534745</v>
      </c>
      <c r="AQ78" s="126">
        <f t="shared" ref="AQ78" si="65">AQ77*AP78/100+AQ77</f>
        <v>1346910.8555172617</v>
      </c>
      <c r="AR78" s="6"/>
      <c r="AT78" s="39"/>
      <c r="AU78" s="20">
        <f t="shared" si="24"/>
        <v>43343</v>
      </c>
      <c r="AV78" s="27">
        <v>2.3326576325363271</v>
      </c>
      <c r="AW78" s="126">
        <f t="shared" ref="AW78" si="66">AW77*AV78/100+AW77</f>
        <v>1155922.9503389206</v>
      </c>
      <c r="AX78" s="6"/>
      <c r="AZ78" s="49"/>
      <c r="BA78" s="79"/>
      <c r="BB78" s="20">
        <f t="shared" si="26"/>
        <v>43343</v>
      </c>
      <c r="BC78" s="78">
        <f t="shared" si="41"/>
        <v>0.61928884774152781</v>
      </c>
      <c r="BD78" s="126">
        <f t="shared" ref="BD78" si="67">BD77*BC78/100+BD77</f>
        <v>1171880.7668927454</v>
      </c>
      <c r="BE78" s="6"/>
      <c r="BG78" s="39"/>
      <c r="BH78" s="20">
        <f t="shared" si="28"/>
        <v>43343</v>
      </c>
      <c r="BI78" s="27"/>
      <c r="BJ78" s="126">
        <f t="shared" si="29"/>
        <v>1000000</v>
      </c>
      <c r="BK78" s="6"/>
      <c r="BM78" s="49"/>
      <c r="BN78" s="79"/>
      <c r="BO78" s="20">
        <f t="shared" si="30"/>
        <v>43343</v>
      </c>
      <c r="BP78" s="78"/>
      <c r="BQ78" s="126">
        <f t="shared" si="46"/>
        <v>1000000</v>
      </c>
      <c r="BR78" s="6"/>
      <c r="BV78" s="39"/>
      <c r="BW78" s="20">
        <f t="shared" si="32"/>
        <v>43343</v>
      </c>
      <c r="BX78" s="27">
        <v>2.9065481585219324</v>
      </c>
      <c r="BY78" s="126">
        <f t="shared" ref="BY78:BY79" si="68">BY77*BX78/100+BY77</f>
        <v>1319526.8034028416</v>
      </c>
      <c r="BZ78" s="6"/>
      <c r="CC78" s="79"/>
      <c r="CD78" s="20">
        <f t="shared" si="34"/>
        <v>43343</v>
      </c>
      <c r="CE78" s="78">
        <f t="shared" si="40"/>
        <v>0.77187711935381953</v>
      </c>
      <c r="CF78" s="126">
        <f t="shared" ref="CF78" si="69">CF77*CE78/100+CF77</f>
        <v>1273206.5719336576</v>
      </c>
      <c r="CG78" s="6"/>
      <c r="CI78" s="39"/>
    </row>
    <row r="79" spans="1:87" x14ac:dyDescent="0.25">
      <c r="A79" s="20">
        <v>43373</v>
      </c>
      <c r="B79" s="24">
        <f t="shared" si="36"/>
        <v>64</v>
      </c>
      <c r="C79" s="301">
        <f>'LC (Gross)'!X241</f>
        <v>-0.3545263760623153</v>
      </c>
      <c r="D79" s="301">
        <v>0.66210000000000002</v>
      </c>
      <c r="E79" s="301">
        <f>'CRA (Gross)'!E79</f>
        <v>-0.64389750000000001</v>
      </c>
      <c r="F79" s="301">
        <f>'CRA (Gross)'!F79</f>
        <v>0.15</v>
      </c>
      <c r="G79" s="39"/>
      <c r="H79" s="20">
        <f t="shared" si="12"/>
        <v>43373</v>
      </c>
      <c r="I79" s="27">
        <v>-0.50511546345797731</v>
      </c>
      <c r="J79" s="126">
        <f t="shared" si="60"/>
        <v>1689843.1422096072</v>
      </c>
      <c r="K79" s="6"/>
      <c r="L79" s="49">
        <f>(J79/J76-1)*100</f>
        <v>6.9368702921733139</v>
      </c>
      <c r="M79" s="17"/>
      <c r="N79" s="79"/>
      <c r="O79" s="20">
        <f t="shared" si="14"/>
        <v>43373</v>
      </c>
      <c r="P79" s="78">
        <f t="shared" si="37"/>
        <v>-5.0674506834273436E-2</v>
      </c>
      <c r="Q79" s="126">
        <f t="shared" si="61"/>
        <v>1498421.9658521109</v>
      </c>
      <c r="R79" s="6"/>
      <c r="S79" s="49">
        <f>(Q79/Q76-1)*100</f>
        <v>3.2369773800189794</v>
      </c>
      <c r="T79" s="39"/>
      <c r="U79" s="20">
        <f t="shared" si="16"/>
        <v>43373</v>
      </c>
      <c r="V79" s="27">
        <v>-0.34850702843475123</v>
      </c>
      <c r="W79" s="126">
        <f t="shared" ref="W79" si="70">W78*V79/100+W78</f>
        <v>1562152.768993109</v>
      </c>
      <c r="X79" s="6"/>
      <c r="Y79" s="49">
        <f>(W79/W76-1)*100</f>
        <v>6.3839729362615616</v>
      </c>
      <c r="AA79" s="79"/>
      <c r="AB79" s="20">
        <f t="shared" si="18"/>
        <v>43373</v>
      </c>
      <c r="AC79" s="78">
        <f t="shared" si="38"/>
        <v>-0.14491149422804189</v>
      </c>
      <c r="AD79" s="126">
        <f t="shared" ref="AD79" si="71">AD78*AC79/100+AD78</f>
        <v>1403365.0452098912</v>
      </c>
      <c r="AE79" s="6"/>
      <c r="AF79" s="49">
        <f>(AD79/AD76-1)*100</f>
        <v>2.6237027766140342</v>
      </c>
      <c r="AG79" s="44"/>
      <c r="AH79" s="20">
        <f t="shared" si="20"/>
        <v>43373</v>
      </c>
      <c r="AI79" s="27">
        <v>-0.30094023819697902</v>
      </c>
      <c r="AJ79" s="126">
        <f t="shared" si="64"/>
        <v>1422998.7567340217</v>
      </c>
      <c r="AK79" s="6"/>
      <c r="AL79" s="49">
        <f>(AJ79/AJ76-1)*100</f>
        <v>5.3747507053530041</v>
      </c>
      <c r="AN79" s="79"/>
      <c r="AO79" s="20">
        <f t="shared" si="22"/>
        <v>43373</v>
      </c>
      <c r="AP79" s="78">
        <f t="shared" si="39"/>
        <v>-0.25323835662181038</v>
      </c>
      <c r="AQ79" s="126">
        <f t="shared" ref="AQ79" si="72">AQ78*AP79/100+AQ78</f>
        <v>1343499.9606015889</v>
      </c>
      <c r="AR79" s="6"/>
      <c r="AS79" s="49">
        <f>(AQ79/AQ76-1)*100</f>
        <v>2.0758690329852891</v>
      </c>
      <c r="AT79" s="39"/>
      <c r="AU79" s="20">
        <f t="shared" si="24"/>
        <v>43373</v>
      </c>
      <c r="AV79" s="27">
        <v>-0.60465526892237065</v>
      </c>
      <c r="AW79" s="126">
        <f t="shared" ref="AW79" si="73">AW78*AV79/100+AW78</f>
        <v>1148933.6013150134</v>
      </c>
      <c r="AX79" s="6"/>
      <c r="AY79" s="49">
        <f>(AW79/AW76-1)*100</f>
        <v>2.5892170050624497</v>
      </c>
      <c r="AZ79" s="49"/>
      <c r="BA79" s="79"/>
      <c r="BB79" s="20">
        <f t="shared" si="26"/>
        <v>43373</v>
      </c>
      <c r="BC79" s="78">
        <f t="shared" si="41"/>
        <v>-0.4305758876062315</v>
      </c>
      <c r="BD79" s="126">
        <f t="shared" ref="BD79" si="74">BD78*BC79/100+BD78</f>
        <v>1166834.9308790104</v>
      </c>
      <c r="BE79" s="6"/>
      <c r="BF79" s="49">
        <f>(BD79/BD76-1)*100</f>
        <v>0.694245266090876</v>
      </c>
      <c r="BG79" s="39"/>
      <c r="BH79" s="20">
        <f t="shared" si="28"/>
        <v>43373</v>
      </c>
      <c r="BI79" s="27"/>
      <c r="BJ79" s="126">
        <f t="shared" si="29"/>
        <v>1000000</v>
      </c>
      <c r="BK79" s="6"/>
      <c r="BL79" s="49">
        <f>(BJ79/BJ76-1)*100</f>
        <v>0</v>
      </c>
      <c r="BM79" s="49"/>
      <c r="BN79" s="79"/>
      <c r="BO79" s="20">
        <f t="shared" si="30"/>
        <v>43373</v>
      </c>
      <c r="BP79" s="78"/>
      <c r="BQ79" s="126">
        <f t="shared" si="46"/>
        <v>1000000</v>
      </c>
      <c r="BR79" s="6"/>
      <c r="BS79" s="49">
        <f>(BQ79/BQ76-1)*100</f>
        <v>0</v>
      </c>
      <c r="BV79" s="39"/>
      <c r="BW79" s="20">
        <f t="shared" si="32"/>
        <v>43373</v>
      </c>
      <c r="BX79" s="27">
        <v>-0.55089475097050933</v>
      </c>
      <c r="BY79" s="126">
        <f t="shared" si="68"/>
        <v>1312257.5995052464</v>
      </c>
      <c r="BZ79" s="6"/>
      <c r="CA79" s="49">
        <f>(BY79/BY76-1)*100</f>
        <v>3.7881730810381153</v>
      </c>
      <c r="CC79" s="79"/>
      <c r="CD79" s="20">
        <f t="shared" si="34"/>
        <v>43373</v>
      </c>
      <c r="CE79" s="78">
        <f t="shared" si="40"/>
        <v>-0.34747534401557878</v>
      </c>
      <c r="CF79" s="126">
        <f t="shared" ref="CF79" si="75">CF78*CE79/100+CF78</f>
        <v>1268782.4930178022</v>
      </c>
      <c r="CG79" s="6"/>
      <c r="CH79" s="49">
        <f>(CF79/CF76-1)*100</f>
        <v>1.4654831745010588</v>
      </c>
      <c r="CI79" s="39"/>
    </row>
    <row r="80" spans="1:87" x14ac:dyDescent="0.25">
      <c r="A80" s="20">
        <v>43404</v>
      </c>
      <c r="B80" s="24">
        <f t="shared" si="36"/>
        <v>65</v>
      </c>
      <c r="C80" s="301">
        <f>'LC (Gross)'!X242</f>
        <v>-2.8728837419264712</v>
      </c>
      <c r="D80" s="301">
        <v>-6.1153000000000004</v>
      </c>
      <c r="E80" s="301">
        <f>'CRA (Gross)'!E80</f>
        <v>-0.79009966876400217</v>
      </c>
      <c r="F80" s="301">
        <f>'CRA (Gross)'!F80</f>
        <v>0.19</v>
      </c>
      <c r="G80" s="39"/>
      <c r="H80" s="20">
        <f t="shared" si="12"/>
        <v>43404</v>
      </c>
      <c r="I80" s="27">
        <v>-8.4515191172559074</v>
      </c>
      <c r="J80" s="126">
        <f t="shared" ref="J80:J85" si="76">J79*I80/100+J79</f>
        <v>1547025.7259941243</v>
      </c>
      <c r="K80" s="6"/>
      <c r="M80" s="17"/>
      <c r="N80" s="79"/>
      <c r="O80" s="20">
        <f t="shared" si="14"/>
        <v>43404</v>
      </c>
      <c r="P80" s="78">
        <f t="shared" si="37"/>
        <v>-2.4403810580595593</v>
      </c>
      <c r="Q80" s="126">
        <f t="shared" ref="Q80:Q83" si="77">Q79*P80/100+Q79</f>
        <v>1461854.7600276524</v>
      </c>
      <c r="R80" s="6"/>
      <c r="T80" s="39"/>
      <c r="U80" s="20">
        <f t="shared" si="16"/>
        <v>43404</v>
      </c>
      <c r="V80" s="27">
        <v>-7.6102789164205706</v>
      </c>
      <c r="W80" s="126">
        <f t="shared" ref="W80:W85" si="78">W79*V80/100+W79</f>
        <v>1443268.5861721463</v>
      </c>
      <c r="X80" s="8"/>
      <c r="Y80" s="3"/>
      <c r="AA80" s="79"/>
      <c r="AB80" s="20">
        <f t="shared" si="18"/>
        <v>43404</v>
      </c>
      <c r="AC80" s="78">
        <f t="shared" si="38"/>
        <v>-1.9658426341815125</v>
      </c>
      <c r="AD80" s="126">
        <f t="shared" ref="AD80:AD83" si="79">AD79*AC80/100+AD79</f>
        <v>1375777.0968379544</v>
      </c>
      <c r="AE80" s="8"/>
      <c r="AG80" s="44"/>
      <c r="AH80" s="20">
        <f t="shared" si="20"/>
        <v>43404</v>
      </c>
      <c r="AI80" s="27">
        <v>-6.4339922529483937</v>
      </c>
      <c r="AJ80" s="126">
        <f t="shared" ref="AJ80:AJ85" si="80">AJ79*AI80/100+AJ79</f>
        <v>1331443.1269662029</v>
      </c>
      <c r="AK80" s="8"/>
      <c r="AN80" s="79"/>
      <c r="AO80" s="20">
        <f t="shared" si="22"/>
        <v>43404</v>
      </c>
      <c r="AP80" s="78">
        <f t="shared" si="39"/>
        <v>-1.8555741937416657</v>
      </c>
      <c r="AQ80" s="126">
        <f t="shared" ref="AQ80" si="81">AQ79*AP80/100+AQ79</f>
        <v>1318570.3220397364</v>
      </c>
      <c r="AR80" s="8"/>
      <c r="AT80" s="39"/>
      <c r="AU80" s="20">
        <f t="shared" si="24"/>
        <v>43404</v>
      </c>
      <c r="AV80" s="27">
        <v>-4.5365676314958128</v>
      </c>
      <c r="AW80" s="126">
        <f t="shared" ref="AW80" si="82">AW79*AV80/100+AW79</f>
        <v>1096811.4514503772</v>
      </c>
      <c r="AX80" s="8"/>
      <c r="AZ80" s="49"/>
      <c r="BA80" s="79"/>
      <c r="BB80" s="20">
        <f t="shared" si="26"/>
        <v>43404</v>
      </c>
      <c r="BC80" s="78">
        <f t="shared" si="41"/>
        <v>-1.1176231423274487</v>
      </c>
      <c r="BD80" s="126">
        <f t="shared" ref="BD80" si="83">BD79*BC80/100+BD79</f>
        <v>1153794.113658746</v>
      </c>
      <c r="BE80" s="8"/>
      <c r="BG80" s="39"/>
      <c r="BH80" s="20">
        <f t="shared" si="28"/>
        <v>43404</v>
      </c>
      <c r="BI80" s="27"/>
      <c r="BJ80" s="126">
        <f t="shared" ref="BJ80:BJ112" si="84">BJ79*BI80/100+BJ79</f>
        <v>1000000</v>
      </c>
      <c r="BK80" s="8"/>
      <c r="BM80" s="49"/>
      <c r="BN80" s="79"/>
      <c r="BO80" s="20">
        <f t="shared" si="30"/>
        <v>43404</v>
      </c>
      <c r="BP80" s="78"/>
      <c r="BQ80" s="126">
        <f t="shared" si="46"/>
        <v>1000000</v>
      </c>
      <c r="BR80" s="8"/>
      <c r="BV80" s="39"/>
      <c r="BW80" s="20">
        <f t="shared" si="32"/>
        <v>43404</v>
      </c>
      <c r="BX80" s="27">
        <v>-5.467359395299324</v>
      </c>
      <c r="BY80" s="126">
        <f t="shared" ref="BY80:BY85" si="85">BY79*BX80/100+BY79</f>
        <v>1240511.7603481668</v>
      </c>
      <c r="BZ80" s="8"/>
      <c r="CC80" s="79"/>
      <c r="CD80" s="20">
        <f t="shared" si="34"/>
        <v>43404</v>
      </c>
      <c r="CE80" s="78">
        <f t="shared" si="40"/>
        <v>-1.3810357698636189</v>
      </c>
      <c r="CF80" s="126">
        <f t="shared" ref="CF80" si="86">CF79*CE80/100+CF79</f>
        <v>1251260.1529474591</v>
      </c>
      <c r="CG80" s="8"/>
      <c r="CI80" s="39"/>
    </row>
    <row r="81" spans="1:87" x14ac:dyDescent="0.25">
      <c r="A81" s="20">
        <v>43434</v>
      </c>
      <c r="B81" s="24">
        <f t="shared" ref="B81:B114" si="87">IF(A81&gt;A80,1+B80,"-")</f>
        <v>66</v>
      </c>
      <c r="C81" s="301">
        <f>'LC (Gross)'!X243</f>
        <v>4.8495510444680248</v>
      </c>
      <c r="D81" s="301">
        <v>1.6153999999999999</v>
      </c>
      <c r="E81" s="301">
        <f>'CRA (Gross)'!E81</f>
        <v>0.59666826846067955</v>
      </c>
      <c r="F81" s="301">
        <f>'CRA (Gross)'!F81</f>
        <v>0.18</v>
      </c>
      <c r="G81" s="39"/>
      <c r="H81" s="20">
        <f t="shared" si="12"/>
        <v>43434</v>
      </c>
      <c r="I81" s="27">
        <v>1.3473952320924714</v>
      </c>
      <c r="J81" s="126">
        <f t="shared" si="76"/>
        <v>1567870.2768654132</v>
      </c>
      <c r="K81" s="8"/>
      <c r="L81" s="49"/>
      <c r="M81" s="17"/>
      <c r="N81" s="79"/>
      <c r="O81" s="20">
        <f t="shared" si="14"/>
        <v>43434</v>
      </c>
      <c r="P81" s="78">
        <f t="shared" si="37"/>
        <v>2.9635630744574133</v>
      </c>
      <c r="Q81" s="126">
        <f t="shared" si="77"/>
        <v>1505177.7478980299</v>
      </c>
      <c r="R81" s="8"/>
      <c r="S81" s="5"/>
      <c r="T81" s="39"/>
      <c r="U81" s="20">
        <f t="shared" si="16"/>
        <v>43434</v>
      </c>
      <c r="V81" s="27">
        <v>1.3042259932364926</v>
      </c>
      <c r="W81" s="126">
        <f t="shared" si="78"/>
        <v>1462092.0702252202</v>
      </c>
      <c r="X81" s="6"/>
      <c r="Y81" s="6"/>
      <c r="Z81" s="5"/>
      <c r="AA81" s="79"/>
      <c r="AB81" s="20">
        <f t="shared" si="18"/>
        <v>43434</v>
      </c>
      <c r="AC81" s="78">
        <f t="shared" si="38"/>
        <v>2.487338210279713</v>
      </c>
      <c r="AD81" s="126">
        <f t="shared" si="79"/>
        <v>1409997.3262558817</v>
      </c>
      <c r="AE81" s="6"/>
      <c r="AG81" s="44"/>
      <c r="AH81" s="20">
        <f t="shared" si="20"/>
        <v>43434</v>
      </c>
      <c r="AI81" s="27">
        <v>1.1636221923494445</v>
      </c>
      <c r="AJ81" s="126">
        <f t="shared" si="80"/>
        <v>1346936.0946700929</v>
      </c>
      <c r="AK81" s="6"/>
      <c r="AN81" s="79"/>
      <c r="AO81" s="20">
        <f t="shared" si="22"/>
        <v>43434</v>
      </c>
      <c r="AP81" s="78">
        <f t="shared" si="39"/>
        <v>2.1037167595250463</v>
      </c>
      <c r="AQ81" s="126">
        <f t="shared" ref="AQ81:AQ82" si="88">AQ80*AP81/100+AQ80</f>
        <v>1346309.3068906097</v>
      </c>
      <c r="AR81" s="6"/>
      <c r="AT81" s="39"/>
      <c r="AU81" s="20">
        <f t="shared" si="24"/>
        <v>43434</v>
      </c>
      <c r="AV81" s="27">
        <v>0.82441674528216635</v>
      </c>
      <c r="AW81" s="126">
        <f t="shared" ref="AW81:AW85" si="89">AW80*AV81/100+AW80</f>
        <v>1105853.7487203064</v>
      </c>
      <c r="AX81" s="6"/>
      <c r="AZ81" s="49"/>
      <c r="BA81" s="79"/>
      <c r="BB81" s="20">
        <f t="shared" si="26"/>
        <v>43434</v>
      </c>
      <c r="BC81" s="78">
        <f t="shared" si="41"/>
        <v>1.0103928923692782</v>
      </c>
      <c r="BD81" s="126">
        <f t="shared" ref="BD81:BD83" si="90">BD80*BC81/100+BD80</f>
        <v>1165451.967375729</v>
      </c>
      <c r="BE81" s="6"/>
      <c r="BG81" s="39"/>
      <c r="BH81" s="20">
        <f t="shared" si="28"/>
        <v>43434</v>
      </c>
      <c r="BI81" s="27"/>
      <c r="BJ81" s="126">
        <f t="shared" si="84"/>
        <v>1000000</v>
      </c>
      <c r="BK81" s="6"/>
      <c r="BM81" s="49"/>
      <c r="BN81" s="79"/>
      <c r="BO81" s="20">
        <f t="shared" si="30"/>
        <v>43434</v>
      </c>
      <c r="BP81" s="78"/>
      <c r="BQ81" s="126">
        <f t="shared" si="46"/>
        <v>1000000</v>
      </c>
      <c r="BR81" s="6"/>
      <c r="BV81" s="39"/>
      <c r="BW81" s="20">
        <f t="shared" si="32"/>
        <v>43434</v>
      </c>
      <c r="BX81" s="27">
        <v>0.95597232223045181</v>
      </c>
      <c r="BY81" s="126">
        <f t="shared" si="85"/>
        <v>1252370.709431109</v>
      </c>
      <c r="BZ81" s="6"/>
      <c r="CC81" s="79"/>
      <c r="CD81" s="20">
        <f t="shared" si="34"/>
        <v>43434</v>
      </c>
      <c r="CE81" s="78">
        <f t="shared" si="40"/>
        <v>1.6274918953473461</v>
      </c>
      <c r="CF81" s="126">
        <f t="shared" ref="CF81:CF84" si="91">CF80*CE81/100+CF80</f>
        <v>1271624.3105263899</v>
      </c>
      <c r="CG81" s="6"/>
      <c r="CI81" s="39"/>
    </row>
    <row r="82" spans="1:87" x14ac:dyDescent="0.25">
      <c r="A82" s="20">
        <v>43465</v>
      </c>
      <c r="B82" s="24">
        <f t="shared" si="87"/>
        <v>67</v>
      </c>
      <c r="C82" s="301">
        <f>'LC (Gross)'!X244</f>
        <v>-6.9267247437525858</v>
      </c>
      <c r="D82" s="301">
        <v>-2.9233000000000002</v>
      </c>
      <c r="E82" s="301">
        <f>'CRA (Gross)'!E82</f>
        <v>1.8371083953664189</v>
      </c>
      <c r="F82" s="301">
        <f>'CRA (Gross)'!F82</f>
        <v>0.19</v>
      </c>
      <c r="G82" s="39"/>
      <c r="H82" s="20">
        <f t="shared" si="12"/>
        <v>43465</v>
      </c>
      <c r="I82" s="27">
        <v>-8.2119317263707803</v>
      </c>
      <c r="J82" s="126">
        <f t="shared" si="76"/>
        <v>1439117.8401711648</v>
      </c>
      <c r="K82" s="6">
        <f>(J82-J$70)/J$70*100</f>
        <v>-4.0009472499683412</v>
      </c>
      <c r="L82" s="49">
        <f>(J82/J79-1)*100</f>
        <v>-14.837193806674776</v>
      </c>
      <c r="M82" s="17"/>
      <c r="N82" s="79"/>
      <c r="O82" s="20">
        <f t="shared" ref="O82:O146" si="92">$A82</f>
        <v>43465</v>
      </c>
      <c r="P82" s="78">
        <f t="shared" ref="P82:P94" si="93">55%*$C82+15%*$D82+0%*$E82+30%*$F82</f>
        <v>-4.1911936090639221</v>
      </c>
      <c r="Q82" s="126">
        <f t="shared" si="77"/>
        <v>1442092.8343230754</v>
      </c>
      <c r="R82" s="6">
        <f>(Q82-Q$70)/Q$70*100</f>
        <v>-4.4397112093639828E-2</v>
      </c>
      <c r="S82" s="49">
        <f>(Q82/Q79-1)*100</f>
        <v>-3.7592302310519576</v>
      </c>
      <c r="T82" s="39"/>
      <c r="U82" s="20">
        <f t="shared" ref="U82:U146" si="94">$A82</f>
        <v>43465</v>
      </c>
      <c r="V82" s="27">
        <v>-7.1129680588399564</v>
      </c>
      <c r="W82" s="126">
        <f t="shared" si="78"/>
        <v>1358093.9282792683</v>
      </c>
      <c r="X82" s="6">
        <f>(W82-W$70)/W$70*100</f>
        <v>-3.111735245391376</v>
      </c>
      <c r="Y82" s="49">
        <f>(W82/W79-1)*100</f>
        <v>-13.062668694391999</v>
      </c>
      <c r="AA82" s="79"/>
      <c r="AB82" s="20">
        <f t="shared" ref="AB82:AB146" si="95">$A82</f>
        <v>43465</v>
      </c>
      <c r="AC82" s="78">
        <f t="shared" ref="AC82:AC94" si="96">45%*$C82+10%*$D82+15%*$E82+30%*$F82</f>
        <v>-3.0767898753837013</v>
      </c>
      <c r="AD82" s="126">
        <f t="shared" si="79"/>
        <v>1366614.6712784597</v>
      </c>
      <c r="AE82" s="6">
        <f>(AD82-AD$70)/AD$70*100</f>
        <v>0.24386516881455947</v>
      </c>
      <c r="AF82" s="49">
        <f>(AD82/AD79-1)*100</f>
        <v>-2.6187323146512398</v>
      </c>
      <c r="AG82" s="44"/>
      <c r="AH82" s="20">
        <f t="shared" ref="AH82:AH146" si="97">$A82</f>
        <v>43465</v>
      </c>
      <c r="AI82" s="27">
        <v>-5.6353008804039204</v>
      </c>
      <c r="AJ82" s="126">
        <f t="shared" si="80"/>
        <v>1271032.193068671</v>
      </c>
      <c r="AK82" s="6">
        <f>(AJ82-AJ$70)/AJ$70*100</f>
        <v>-2.3117542994798184</v>
      </c>
      <c r="AL82" s="49">
        <f>(AJ82/AJ79-1)*100</f>
        <v>-10.679318091193203</v>
      </c>
      <c r="AN82" s="79"/>
      <c r="AO82" s="20">
        <f t="shared" ref="AO82:AO146" si="98">$A82</f>
        <v>43465</v>
      </c>
      <c r="AP82" s="78">
        <f t="shared" ref="AP82:AP94" si="99">35%*$C82+10%*$D82+35%*$E82+20%*$F82</f>
        <v>-2.0356957219351588</v>
      </c>
      <c r="AQ82" s="126">
        <f t="shared" si="88"/>
        <v>1318902.5459262226</v>
      </c>
      <c r="AR82" s="6">
        <f>(AQ82-AQ$70)/AQ$70*100</f>
        <v>4.0961264942785722E-2</v>
      </c>
      <c r="AS82" s="49">
        <f>(AQ82/AQ79-1)*100</f>
        <v>-1.8308459543498801</v>
      </c>
      <c r="AT82" s="39"/>
      <c r="AU82" s="20">
        <f t="shared" ref="AU82:AU146" si="100">$A82</f>
        <v>43465</v>
      </c>
      <c r="AV82" s="27">
        <v>-2.8229228438777731</v>
      </c>
      <c r="AW82" s="126">
        <f t="shared" si="89"/>
        <v>1074636.3506278023</v>
      </c>
      <c r="AX82" s="6">
        <f>(AW82-AW$70)/AW$70*100</f>
        <v>-2.600310935506406</v>
      </c>
      <c r="AY82" s="49">
        <f>(AW82/AW79-1)*100</f>
        <v>-6.4666270184955854</v>
      </c>
      <c r="AZ82" s="49"/>
      <c r="BA82" s="79"/>
      <c r="BB82" s="20">
        <f t="shared" ref="BB82:BB146" si="101">$A82</f>
        <v>43465</v>
      </c>
      <c r="BC82" s="78">
        <f t="shared" si="41"/>
        <v>0.47563840238123445</v>
      </c>
      <c r="BD82" s="126">
        <f t="shared" si="90"/>
        <v>1170995.3044938755</v>
      </c>
      <c r="BE82" s="6">
        <f>(BD82-BD$70)/BD$70*100</f>
        <v>9.4833455050430629E-2</v>
      </c>
      <c r="BF82" s="49">
        <f>(BD82/BD79-1)*100</f>
        <v>0.35655202846309741</v>
      </c>
      <c r="BG82" s="39"/>
      <c r="BH82" s="20">
        <f t="shared" ref="BH82:BH146" si="102">$A82</f>
        <v>43465</v>
      </c>
      <c r="BI82" s="27"/>
      <c r="BJ82" s="126">
        <f t="shared" si="84"/>
        <v>1000000</v>
      </c>
      <c r="BK82" s="6">
        <f>(BJ82-BJ$70)/BJ$70*100</f>
        <v>0</v>
      </c>
      <c r="BL82" s="49">
        <f>(BJ82/BJ79-1)*100</f>
        <v>0</v>
      </c>
      <c r="BM82" s="49"/>
      <c r="BN82" s="79"/>
      <c r="BO82" s="20">
        <f t="shared" ref="BO82:BO146" si="103">$A82</f>
        <v>43465</v>
      </c>
      <c r="BP82" s="78"/>
      <c r="BQ82" s="126">
        <f t="shared" si="46"/>
        <v>1000000</v>
      </c>
      <c r="BR82" s="6">
        <f>(BQ82-BQ$70)/BQ$70*100</f>
        <v>0</v>
      </c>
      <c r="BS82" s="49">
        <f>(BQ82/BQ79-1)*100</f>
        <v>0</v>
      </c>
      <c r="BV82" s="39"/>
      <c r="BW82" s="20">
        <f t="shared" ref="BW82:BW146" si="104">$A82</f>
        <v>43465</v>
      </c>
      <c r="BX82" s="27">
        <v>-4.1266620074189264</v>
      </c>
      <c r="BY82" s="126">
        <f t="shared" si="85"/>
        <v>1200689.6031729726</v>
      </c>
      <c r="BZ82" s="6">
        <f>(BY82-BY$70)/BY$70*100</f>
        <v>-2.6754544131620279</v>
      </c>
      <c r="CA82" s="49">
        <f>(BY82/BY79-1)*100</f>
        <v>-8.5019889672833813</v>
      </c>
      <c r="CC82" s="79"/>
      <c r="CD82" s="20">
        <f t="shared" ref="CD82:CD146" si="105">$A82</f>
        <v>43465</v>
      </c>
      <c r="CE82" s="78">
        <f t="shared" si="40"/>
        <v>-0.92129198825493708</v>
      </c>
      <c r="CF82" s="126">
        <f t="shared" si="91"/>
        <v>1259908.9376328082</v>
      </c>
      <c r="CG82" s="6">
        <f>(CF82-CF$70)/CF$70*100</f>
        <v>0.28326792681377705</v>
      </c>
      <c r="CH82" s="49">
        <f>(CF82/CF79-1)*100</f>
        <v>-0.69937561668969028</v>
      </c>
      <c r="CI82" s="39"/>
    </row>
    <row r="83" spans="1:87" x14ac:dyDescent="0.25">
      <c r="A83" s="20">
        <v>43496</v>
      </c>
      <c r="B83" s="24">
        <f t="shared" si="87"/>
        <v>68</v>
      </c>
      <c r="C83" s="301">
        <f>'LC (Gross)'!X245</f>
        <v>6.6371135605943001</v>
      </c>
      <c r="D83" s="301">
        <v>4.5034999999999998</v>
      </c>
      <c r="E83" s="301">
        <f>'CRA (Gross)'!E83</f>
        <v>1.0622495846770368</v>
      </c>
      <c r="F83" s="301">
        <f>'CRA (Gross)'!F83</f>
        <v>0.21</v>
      </c>
      <c r="G83" s="39"/>
      <c r="H83" s="20">
        <f t="shared" si="12"/>
        <v>43496</v>
      </c>
      <c r="I83" s="27">
        <v>6.9162025122652224</v>
      </c>
      <c r="J83" s="126">
        <f t="shared" si="76"/>
        <v>1538650.1443875399</v>
      </c>
      <c r="K83" s="6"/>
      <c r="M83" s="17"/>
      <c r="N83" s="79"/>
      <c r="O83" s="20">
        <f t="shared" si="92"/>
        <v>43496</v>
      </c>
      <c r="P83" s="78">
        <f t="shared" si="93"/>
        <v>4.3889374583268657</v>
      </c>
      <c r="Q83" s="126">
        <f t="shared" si="77"/>
        <v>1505385.3869125284</v>
      </c>
      <c r="T83" s="39"/>
      <c r="U83" s="20">
        <f t="shared" si="94"/>
        <v>43496</v>
      </c>
      <c r="V83" s="27">
        <v>6.17469887153303</v>
      </c>
      <c r="W83" s="126">
        <f t="shared" si="78"/>
        <v>1441952.138743087</v>
      </c>
      <c r="X83" s="8"/>
      <c r="Y83" s="3"/>
      <c r="AA83" s="79"/>
      <c r="AB83" s="20">
        <f t="shared" si="95"/>
        <v>43496</v>
      </c>
      <c r="AC83" s="78">
        <f t="shared" si="96"/>
        <v>3.6593885399689907</v>
      </c>
      <c r="AD83" s="126">
        <f t="shared" si="79"/>
        <v>1416624.4119447586</v>
      </c>
      <c r="AE83" s="8"/>
      <c r="AG83" s="44"/>
      <c r="AH83" s="20">
        <f t="shared" si="97"/>
        <v>43496</v>
      </c>
      <c r="AI83" s="27">
        <v>5.1874707905370228</v>
      </c>
      <c r="AJ83" s="126">
        <f t="shared" si="80"/>
        <v>1336966.6168224304</v>
      </c>
      <c r="AK83" s="8"/>
      <c r="AN83" s="79"/>
      <c r="AO83" s="20">
        <f t="shared" si="98"/>
        <v>43496</v>
      </c>
      <c r="AP83" s="78">
        <f t="shared" si="99"/>
        <v>3.1871271008449673</v>
      </c>
      <c r="AQ83" s="126">
        <f t="shared" ref="AQ83:AQ85" si="106">AQ82*AP83/100+AQ82</f>
        <v>1360937.6464011716</v>
      </c>
      <c r="AR83" s="8"/>
      <c r="AT83" s="39"/>
      <c r="AU83" s="20">
        <f t="shared" si="100"/>
        <v>43496</v>
      </c>
      <c r="AV83" s="27">
        <v>3.1591661627521401</v>
      </c>
      <c r="AW83" s="126">
        <f t="shared" si="89"/>
        <v>1108585.8985894702</v>
      </c>
      <c r="AX83" s="8"/>
      <c r="AZ83" s="49"/>
      <c r="BA83" s="79"/>
      <c r="BB83" s="20">
        <f t="shared" si="101"/>
        <v>43496</v>
      </c>
      <c r="BC83" s="78">
        <f t="shared" si="41"/>
        <v>1.6639610653333559</v>
      </c>
      <c r="BD83" s="126">
        <f t="shared" si="90"/>
        <v>1190480.2104375353</v>
      </c>
      <c r="BE83" s="8"/>
      <c r="BG83" s="39"/>
      <c r="BH83" s="20">
        <f t="shared" si="102"/>
        <v>43496</v>
      </c>
      <c r="BI83" s="27"/>
      <c r="BJ83" s="126">
        <f t="shared" si="84"/>
        <v>1000000</v>
      </c>
      <c r="BK83" s="8"/>
      <c r="BM83" s="49"/>
      <c r="BN83" s="79"/>
      <c r="BO83" s="20">
        <f t="shared" si="103"/>
        <v>43496</v>
      </c>
      <c r="BP83" s="78"/>
      <c r="BQ83" s="126">
        <f t="shared" si="46"/>
        <v>1000000</v>
      </c>
      <c r="BR83" s="8"/>
      <c r="BV83" s="39"/>
      <c r="BW83" s="20">
        <f t="shared" si="104"/>
        <v>43496</v>
      </c>
      <c r="BX83" s="27">
        <v>4.158241872702269</v>
      </c>
      <c r="BY83" s="126">
        <f t="shared" si="85"/>
        <v>1250617.1810132938</v>
      </c>
      <c r="BZ83" s="8"/>
      <c r="CC83" s="79"/>
      <c r="CD83" s="20">
        <f t="shared" si="105"/>
        <v>43496</v>
      </c>
      <c r="CE83" s="78">
        <f t="shared" si="40"/>
        <v>2.4575781824870933</v>
      </c>
      <c r="CF83" s="126">
        <f t="shared" si="91"/>
        <v>1290872.184803277</v>
      </c>
      <c r="CG83" s="8"/>
      <c r="CI83" s="39"/>
    </row>
    <row r="84" spans="1:87" x14ac:dyDescent="0.25">
      <c r="A84" s="20">
        <v>43524</v>
      </c>
      <c r="B84" s="24">
        <f t="shared" si="87"/>
        <v>69</v>
      </c>
      <c r="C84" s="301">
        <f>'LC (Gross)'!X246</f>
        <v>4.1204872274492272</v>
      </c>
      <c r="D84" s="301">
        <v>1.8254000000000001</v>
      </c>
      <c r="E84" s="301">
        <f>'CRA (Gross)'!E84</f>
        <v>-5.8017540636465609E-2</v>
      </c>
      <c r="F84" s="301">
        <f>'CRA (Gross)'!F84</f>
        <v>0.18</v>
      </c>
      <c r="G84" s="39"/>
      <c r="H84" s="20">
        <f t="shared" si="12"/>
        <v>43524</v>
      </c>
      <c r="I84" s="27">
        <v>4.2434969261958999</v>
      </c>
      <c r="J84" s="126">
        <f t="shared" si="76"/>
        <v>1603942.7159695339</v>
      </c>
      <c r="K84" s="8"/>
      <c r="L84" s="49"/>
      <c r="M84" s="17"/>
      <c r="N84" s="79"/>
      <c r="O84" s="20">
        <f t="shared" si="92"/>
        <v>43524</v>
      </c>
      <c r="P84" s="78">
        <f t="shared" si="93"/>
        <v>2.5940779750970751</v>
      </c>
      <c r="Q84" s="126">
        <f t="shared" ref="Q84" si="107">Q83*P84/100+Q83</f>
        <v>1544436.2576747562</v>
      </c>
      <c r="R84" s="8"/>
      <c r="S84" s="5"/>
      <c r="T84" s="39"/>
      <c r="U84" s="20">
        <f t="shared" si="94"/>
        <v>43524</v>
      </c>
      <c r="V84" s="27">
        <v>3.8032026545632904</v>
      </c>
      <c r="W84" s="126">
        <f t="shared" si="78"/>
        <v>1496792.5007612961</v>
      </c>
      <c r="X84" s="6"/>
      <c r="Y84" s="6"/>
      <c r="Z84" s="5"/>
      <c r="AA84" s="79"/>
      <c r="AB84" s="20">
        <f t="shared" si="95"/>
        <v>43524</v>
      </c>
      <c r="AC84" s="78">
        <f t="shared" si="96"/>
        <v>2.0820566212566827</v>
      </c>
      <c r="AD84" s="126">
        <f t="shared" ref="AD84" si="108">AD83*AC84/100+AD83</f>
        <v>1446119.3343119931</v>
      </c>
      <c r="AE84" s="6"/>
      <c r="AG84" s="44"/>
      <c r="AH84" s="20">
        <f t="shared" si="97"/>
        <v>43524</v>
      </c>
      <c r="AI84" s="27">
        <v>3.1472360740978167</v>
      </c>
      <c r="AJ84" s="126">
        <f t="shared" si="80"/>
        <v>1379044.112485711</v>
      </c>
      <c r="AK84" s="6"/>
      <c r="AN84" s="79"/>
      <c r="AO84" s="20">
        <f t="shared" si="98"/>
        <v>43524</v>
      </c>
      <c r="AP84" s="78">
        <f t="shared" si="99"/>
        <v>1.6404043903844665</v>
      </c>
      <c r="AQ84" s="126">
        <f t="shared" si="106"/>
        <v>1383262.5273031315</v>
      </c>
      <c r="AR84" s="6"/>
      <c r="AT84" s="39"/>
      <c r="AU84" s="20">
        <f t="shared" si="100"/>
        <v>43524</v>
      </c>
      <c r="AV84" s="27">
        <v>1.6613743122840838</v>
      </c>
      <c r="AW84" s="126">
        <f t="shared" si="89"/>
        <v>1127003.6599382393</v>
      </c>
      <c r="AX84" s="6"/>
      <c r="AZ84" s="49"/>
      <c r="BA84" s="79"/>
      <c r="BB84" s="20">
        <f t="shared" si="101"/>
        <v>43524</v>
      </c>
      <c r="BC84" s="78">
        <f t="shared" si="41"/>
        <v>0.4897064442993968</v>
      </c>
      <c r="BD84" s="126">
        <f t="shared" ref="BD84" si="109">BD83*BC84/100+BD83</f>
        <v>1196310.068746157</v>
      </c>
      <c r="BE84" s="6"/>
      <c r="BG84" s="39"/>
      <c r="BH84" s="20">
        <f t="shared" si="102"/>
        <v>43524</v>
      </c>
      <c r="BI84" s="27"/>
      <c r="BJ84" s="126">
        <f t="shared" si="84"/>
        <v>1000000</v>
      </c>
      <c r="BK84" s="6"/>
      <c r="BM84" s="49"/>
      <c r="BN84" s="79"/>
      <c r="BO84" s="20">
        <f t="shared" si="103"/>
        <v>43524</v>
      </c>
      <c r="BP84" s="78"/>
      <c r="BQ84" s="126">
        <f t="shared" si="46"/>
        <v>1000000</v>
      </c>
      <c r="BR84" s="6"/>
      <c r="BV84" s="39"/>
      <c r="BW84" s="20">
        <f t="shared" si="104"/>
        <v>43524</v>
      </c>
      <c r="BX84" s="27">
        <v>2.367678558869875</v>
      </c>
      <c r="BY84" s="126">
        <f t="shared" si="85"/>
        <v>1280227.7758616884</v>
      </c>
      <c r="BZ84" s="6"/>
      <c r="CC84" s="79"/>
      <c r="CD84" s="20">
        <f t="shared" si="105"/>
        <v>43524</v>
      </c>
      <c r="CE84" s="78">
        <f t="shared" si="40"/>
        <v>1.1283830365440739</v>
      </c>
      <c r="CF84" s="126">
        <f t="shared" si="91"/>
        <v>1305438.1675600631</v>
      </c>
      <c r="CG84" s="6"/>
      <c r="CI84" s="39"/>
    </row>
    <row r="85" spans="1:87" x14ac:dyDescent="0.25">
      <c r="A85" s="20">
        <v>43555</v>
      </c>
      <c r="B85" s="24">
        <f t="shared" si="87"/>
        <v>70</v>
      </c>
      <c r="C85" s="301">
        <f>'LC (Gross)'!X247</f>
        <v>2.3280213985266385</v>
      </c>
      <c r="D85" s="301">
        <v>1.4128000000000001</v>
      </c>
      <c r="E85" s="301">
        <f>'CRA (Gross)'!E85</f>
        <v>1.9200441189276032</v>
      </c>
      <c r="F85" s="301">
        <f>'CRA (Gross)'!F85</f>
        <v>0.19</v>
      </c>
      <c r="G85" s="39"/>
      <c r="H85" s="20">
        <f t="shared" si="12"/>
        <v>43555</v>
      </c>
      <c r="I85" s="27">
        <v>0.58874654414791727</v>
      </c>
      <c r="J85" s="126">
        <f t="shared" si="76"/>
        <v>1613385.8732799168</v>
      </c>
      <c r="K85" s="6"/>
      <c r="L85" s="49">
        <f>(J85/J82-1)*100</f>
        <v>12.109365073816679</v>
      </c>
      <c r="M85" s="17"/>
      <c r="N85" s="79"/>
      <c r="O85" s="20">
        <f t="shared" si="92"/>
        <v>43555</v>
      </c>
      <c r="P85" s="78">
        <f t="shared" si="93"/>
        <v>1.5493317691896511</v>
      </c>
      <c r="Q85" s="126">
        <f t="shared" ref="Q85" si="110">Q84*P85/100+Q84</f>
        <v>1568364.6992697949</v>
      </c>
      <c r="R85" s="6"/>
      <c r="S85" s="49">
        <f>(Q85/Q82-1)*100</f>
        <v>8.7561536914502405</v>
      </c>
      <c r="T85" s="39"/>
      <c r="U85" s="20">
        <f t="shared" si="94"/>
        <v>43555</v>
      </c>
      <c r="V85" s="27">
        <v>0.93816147852571219</v>
      </c>
      <c r="W85" s="126">
        <f t="shared" si="78"/>
        <v>1510834.8314169003</v>
      </c>
      <c r="X85" s="6"/>
      <c r="Y85" s="49">
        <f>(W85/W82-1)*100</f>
        <v>11.246711288309609</v>
      </c>
      <c r="AA85" s="79"/>
      <c r="AB85" s="20">
        <f t="shared" si="95"/>
        <v>43555</v>
      </c>
      <c r="AC85" s="78">
        <f t="shared" si="96"/>
        <v>1.5338962471761279</v>
      </c>
      <c r="AD85" s="126">
        <f t="shared" ref="AD85" si="111">AD84*AC85/100+AD84</f>
        <v>1468301.3045106931</v>
      </c>
      <c r="AE85" s="6"/>
      <c r="AF85" s="49">
        <f>(AD85/AD82-1)*100</f>
        <v>7.4407684455126022</v>
      </c>
      <c r="AG85" s="44"/>
      <c r="AH85" s="20">
        <f t="shared" si="97"/>
        <v>43555</v>
      </c>
      <c r="AI85" s="27">
        <v>1.1472355863194474</v>
      </c>
      <c r="AJ85" s="126">
        <f t="shared" si="80"/>
        <v>1394864.9972951903</v>
      </c>
      <c r="AK85" s="6"/>
      <c r="AL85" s="49">
        <f>(AJ85/AJ82-1)*100</f>
        <v>9.7426961253867184</v>
      </c>
      <c r="AN85" s="79"/>
      <c r="AO85" s="20">
        <f t="shared" si="98"/>
        <v>43555</v>
      </c>
      <c r="AP85" s="78">
        <f t="shared" si="99"/>
        <v>1.6661029311089846</v>
      </c>
      <c r="AQ85" s="126">
        <f t="shared" si="106"/>
        <v>1406309.1048154612</v>
      </c>
      <c r="AR85" s="6"/>
      <c r="AS85" s="49">
        <f>(AQ85/AQ82-1)*100</f>
        <v>6.6272189070539556</v>
      </c>
      <c r="AT85" s="39"/>
      <c r="AU85" s="20">
        <f t="shared" si="100"/>
        <v>43555</v>
      </c>
      <c r="AV85" s="27">
        <v>1.1952927080873073</v>
      </c>
      <c r="AW85" s="126">
        <f t="shared" si="89"/>
        <v>1140474.6525053582</v>
      </c>
      <c r="AX85" s="6"/>
      <c r="AY85" s="49">
        <f>(AW85/AW82-1)*100</f>
        <v>6.1265656832744542</v>
      </c>
      <c r="AZ85" s="49"/>
      <c r="BA85" s="79"/>
      <c r="BB85" s="20">
        <f t="shared" si="101"/>
        <v>43555</v>
      </c>
      <c r="BC85" s="78">
        <f t="shared" si="41"/>
        <v>1.675973023101986</v>
      </c>
      <c r="BD85" s="126">
        <f t="shared" ref="BD85" si="112">BD84*BC85/100+BD84</f>
        <v>1216359.9027709954</v>
      </c>
      <c r="BE85" s="6"/>
      <c r="BF85" s="49">
        <f>(BD85/BD82-1)*100</f>
        <v>3.8740205108446002</v>
      </c>
      <c r="BG85" s="39"/>
      <c r="BH85" s="20">
        <f t="shared" si="102"/>
        <v>43555</v>
      </c>
      <c r="BI85" s="27"/>
      <c r="BJ85" s="126">
        <f t="shared" si="84"/>
        <v>1000000</v>
      </c>
      <c r="BK85" s="6"/>
      <c r="BL85" s="49">
        <f>(BJ85/BJ82-1)*100</f>
        <v>0</v>
      </c>
      <c r="BM85" s="49"/>
      <c r="BN85" s="79"/>
      <c r="BO85" s="20">
        <f t="shared" si="103"/>
        <v>43555</v>
      </c>
      <c r="BP85" s="78"/>
      <c r="BQ85" s="126">
        <f t="shared" si="46"/>
        <v>1000000</v>
      </c>
      <c r="BR85" s="6"/>
      <c r="BS85" s="49">
        <f>(BQ85/BQ82-1)*100</f>
        <v>0</v>
      </c>
      <c r="BV85" s="39"/>
      <c r="BW85" s="20">
        <f t="shared" si="104"/>
        <v>43555</v>
      </c>
      <c r="BX85" s="27">
        <v>1.1052318989615209</v>
      </c>
      <c r="BY85" s="126">
        <f t="shared" si="85"/>
        <v>1294377.2616198773</v>
      </c>
      <c r="BZ85" s="6"/>
      <c r="CA85" s="49">
        <f>(BY85/BY82-1)*100</f>
        <v>7.8028208289072643</v>
      </c>
      <c r="CC85" s="79"/>
      <c r="CD85" s="20">
        <f t="shared" si="105"/>
        <v>43555</v>
      </c>
      <c r="CE85" s="78">
        <f t="shared" si="40"/>
        <v>1.6506674090954612</v>
      </c>
      <c r="CF85" s="126">
        <f t="shared" ref="CF85" si="113">CF84*CE85/100+CF84</f>
        <v>1326986.6099378699</v>
      </c>
      <c r="CG85" s="6"/>
      <c r="CH85" s="49">
        <f>(CF85/CF82-1)*100</f>
        <v>5.3240095614442762</v>
      </c>
      <c r="CI85" s="39"/>
    </row>
    <row r="86" spans="1:87" x14ac:dyDescent="0.25">
      <c r="A86" s="20">
        <v>43585</v>
      </c>
      <c r="B86" s="24">
        <f t="shared" si="87"/>
        <v>71</v>
      </c>
      <c r="C86" s="301">
        <f>'LC (Gross)'!X248</f>
        <v>2.3496935203532621</v>
      </c>
      <c r="D86" s="301">
        <v>-0.1946</v>
      </c>
      <c r="E86" s="301">
        <f>'CRA (Gross)'!E86</f>
        <v>2.5630924184673831E-2</v>
      </c>
      <c r="F86" s="301">
        <f>'CRA (Gross)'!F86</f>
        <v>0.21</v>
      </c>
      <c r="G86" s="39"/>
      <c r="H86" s="20">
        <f t="shared" si="12"/>
        <v>43585</v>
      </c>
      <c r="I86" s="27">
        <v>2.9371311227570911</v>
      </c>
      <c r="J86" s="126">
        <f t="shared" ref="J86" si="114">J85*I86/100+J85</f>
        <v>1660773.1318941875</v>
      </c>
      <c r="K86" s="6"/>
      <c r="M86" s="17"/>
      <c r="N86" s="79"/>
      <c r="O86" s="20">
        <f t="shared" si="92"/>
        <v>43585</v>
      </c>
      <c r="P86" s="78">
        <f t="shared" si="93"/>
        <v>1.326141436194294</v>
      </c>
      <c r="Q86" s="126">
        <f t="shared" ref="Q86" si="115">Q85*P86/100+Q85</f>
        <v>1589163.4334174555</v>
      </c>
      <c r="R86" s="6"/>
      <c r="T86" s="39"/>
      <c r="U86" s="20">
        <f t="shared" si="94"/>
        <v>43585</v>
      </c>
      <c r="V86" s="27">
        <v>2.6383761456704868</v>
      </c>
      <c r="W86" s="126">
        <f t="shared" ref="W86" si="116">W85*V86/100+W85</f>
        <v>1550696.3372094848</v>
      </c>
      <c r="X86" s="6"/>
      <c r="AA86" s="79"/>
      <c r="AB86" s="20">
        <f t="shared" si="95"/>
        <v>43585</v>
      </c>
      <c r="AC86" s="78">
        <f t="shared" si="96"/>
        <v>1.104746722786669</v>
      </c>
      <c r="AD86" s="126">
        <f t="shared" ref="AD86" si="117">AD85*AC86/100+AD85</f>
        <v>1484522.3150529088</v>
      </c>
      <c r="AE86" s="6"/>
      <c r="AG86" s="44"/>
      <c r="AH86" s="20">
        <f t="shared" si="97"/>
        <v>43585</v>
      </c>
      <c r="AI86" s="27">
        <v>2.1928196699256377</v>
      </c>
      <c r="AJ86" s="126">
        <f t="shared" ref="AJ86:AJ87" si="118">AJ85*AI86/100+AJ85</f>
        <v>1425451.8713247869</v>
      </c>
      <c r="AK86" s="6"/>
      <c r="AN86" s="79"/>
      <c r="AO86" s="20">
        <f t="shared" si="98"/>
        <v>43585</v>
      </c>
      <c r="AP86" s="78">
        <f t="shared" si="99"/>
        <v>0.85390355558827757</v>
      </c>
      <c r="AQ86" s="126">
        <f t="shared" ref="AQ86" si="119">AQ85*AP86/100+AQ85</f>
        <v>1418317.6282640421</v>
      </c>
      <c r="AR86" s="6"/>
      <c r="AT86" s="39"/>
      <c r="AU86" s="20">
        <f t="shared" si="100"/>
        <v>43585</v>
      </c>
      <c r="AV86" s="27">
        <v>1.0420078282049166</v>
      </c>
      <c r="AW86" s="126">
        <f t="shared" ref="AW86:AW87" si="120">AW85*AV86/100+AW85</f>
        <v>1152358.4876631568</v>
      </c>
      <c r="AX86" s="6"/>
      <c r="AZ86" s="49"/>
      <c r="BA86" s="79"/>
      <c r="BB86" s="20">
        <f t="shared" si="101"/>
        <v>43585</v>
      </c>
      <c r="BC86" s="78">
        <f t="shared" si="41"/>
        <v>0.27468099896459786</v>
      </c>
      <c r="BD86" s="126">
        <f t="shared" ref="BD86" si="121">BD85*BC86/100+BD85</f>
        <v>1219701.0123029316</v>
      </c>
      <c r="BE86" s="6"/>
      <c r="BG86" s="39"/>
      <c r="BH86" s="20">
        <f t="shared" si="102"/>
        <v>43585</v>
      </c>
      <c r="BI86" s="27"/>
      <c r="BJ86" s="126">
        <f t="shared" si="84"/>
        <v>1000000</v>
      </c>
      <c r="BK86" s="6"/>
      <c r="BM86" s="49"/>
      <c r="BN86" s="79"/>
      <c r="BO86" s="20">
        <f t="shared" si="103"/>
        <v>43585</v>
      </c>
      <c r="BP86" s="78"/>
      <c r="BQ86" s="126">
        <f t="shared" si="46"/>
        <v>1000000</v>
      </c>
      <c r="BR86" s="6"/>
      <c r="BV86" s="39"/>
      <c r="BW86" s="20">
        <f t="shared" si="104"/>
        <v>43585</v>
      </c>
      <c r="BX86" s="27">
        <v>1.5275057197399349</v>
      </c>
      <c r="BY86" s="126">
        <f t="shared" ref="BY86:BY87" si="122">BY85*BX86/100+BY85</f>
        <v>1314148.9483261341</v>
      </c>
      <c r="BZ86" s="6"/>
      <c r="CC86" s="79"/>
      <c r="CD86" s="20">
        <f t="shared" si="105"/>
        <v>43585</v>
      </c>
      <c r="CE86" s="78">
        <f t="shared" si="40"/>
        <v>0.6325088421806524</v>
      </c>
      <c r="CF86" s="126">
        <f t="shared" ref="CF86" si="123">CF85*CE86/100+CF85</f>
        <v>1335379.9175802802</v>
      </c>
      <c r="CG86" s="6"/>
      <c r="CI86" s="39"/>
    </row>
    <row r="87" spans="1:87" x14ac:dyDescent="0.25">
      <c r="A87" s="20">
        <v>43616</v>
      </c>
      <c r="B87" s="24">
        <f t="shared" si="87"/>
        <v>72</v>
      </c>
      <c r="C87" s="301">
        <f>'LC (Gross)'!X249</f>
        <v>-0.93319861937217341</v>
      </c>
      <c r="D87" s="301">
        <v>-1.1061000000000001</v>
      </c>
      <c r="E87" s="301">
        <f>'CRA (Gross)'!E87</f>
        <v>1.775198470131031</v>
      </c>
      <c r="F87" s="301">
        <f>'CRA (Gross)'!F87</f>
        <v>0.21</v>
      </c>
      <c r="G87" s="39"/>
      <c r="H87" s="20">
        <f t="shared" si="12"/>
        <v>43616</v>
      </c>
      <c r="I87" s="27">
        <v>-4.9529312044001159</v>
      </c>
      <c r="J87" s="126">
        <f t="shared" ref="J87" si="124">J86*I87/100+J86</f>
        <v>1578516.1812103072</v>
      </c>
      <c r="K87" s="6"/>
      <c r="L87" s="49"/>
      <c r="M87" s="17"/>
      <c r="N87" s="79"/>
      <c r="O87" s="20">
        <f t="shared" si="92"/>
        <v>43616</v>
      </c>
      <c r="P87" s="78">
        <f t="shared" si="93"/>
        <v>-0.6161742406546955</v>
      </c>
      <c r="Q87" s="126">
        <f t="shared" ref="Q87" si="125">Q86*P87/100+Q86</f>
        <v>1579371.4176988334</v>
      </c>
      <c r="R87" s="6"/>
      <c r="S87" s="5"/>
      <c r="T87" s="39"/>
      <c r="U87" s="20">
        <f t="shared" si="94"/>
        <v>43616</v>
      </c>
      <c r="V87" s="27">
        <v>-4.3883403109315298</v>
      </c>
      <c r="W87" s="126">
        <f t="shared" ref="W87" si="126">W86*V87/100+W86</f>
        <v>1482646.5047435821</v>
      </c>
      <c r="X87" s="6"/>
      <c r="Y87" s="5"/>
      <c r="Z87" s="5"/>
      <c r="AA87" s="79"/>
      <c r="AB87" s="20">
        <f t="shared" si="95"/>
        <v>43616</v>
      </c>
      <c r="AC87" s="78">
        <f t="shared" si="96"/>
        <v>-0.20126960819782347</v>
      </c>
      <c r="AD87" s="126">
        <f t="shared" ref="AD87" si="127">AD86*AC87/100+AD86</f>
        <v>1481534.4228057927</v>
      </c>
      <c r="AE87" s="6"/>
      <c r="AG87" s="44"/>
      <c r="AH87" s="20">
        <f t="shared" si="97"/>
        <v>43616</v>
      </c>
      <c r="AI87" s="27">
        <v>-3.4517167486783853</v>
      </c>
      <c r="AJ87" s="126">
        <f t="shared" si="118"/>
        <v>1376249.3103379197</v>
      </c>
      <c r="AK87" s="6"/>
      <c r="AN87" s="79"/>
      <c r="AO87" s="20">
        <f t="shared" si="98"/>
        <v>43616</v>
      </c>
      <c r="AP87" s="78">
        <f t="shared" si="99"/>
        <v>0.22608994776560018</v>
      </c>
      <c r="AQ87" s="126">
        <f t="shared" ref="AQ87" si="128">AQ86*AP87/100+AQ86</f>
        <v>1421524.3018489345</v>
      </c>
      <c r="AR87" s="6"/>
      <c r="AT87" s="39"/>
      <c r="AU87" s="20">
        <f t="shared" si="100"/>
        <v>43616</v>
      </c>
      <c r="AV87" s="27">
        <v>-1.3972238654444764</v>
      </c>
      <c r="AW87" s="126">
        <f t="shared" si="120"/>
        <v>1136257.4598580522</v>
      </c>
      <c r="AX87" s="6"/>
      <c r="AZ87" s="49"/>
      <c r="BA87" s="79"/>
      <c r="BB87" s="20">
        <f t="shared" si="101"/>
        <v>43616</v>
      </c>
      <c r="BC87" s="78">
        <f t="shared" si="41"/>
        <v>1.1255140671545043</v>
      </c>
      <c r="BD87" s="126">
        <f t="shared" ref="BD87" si="129">BD86*BC87/100+BD86</f>
        <v>1233428.9187736269</v>
      </c>
      <c r="BE87" s="6"/>
      <c r="BG87" s="39"/>
      <c r="BH87" s="20">
        <f t="shared" si="102"/>
        <v>43616</v>
      </c>
      <c r="BI87" s="27"/>
      <c r="BJ87" s="126">
        <f t="shared" si="84"/>
        <v>1000000</v>
      </c>
      <c r="BK87" s="6"/>
      <c r="BM87" s="49"/>
      <c r="BN87" s="79"/>
      <c r="BO87" s="20">
        <f t="shared" si="103"/>
        <v>43616</v>
      </c>
      <c r="BP87" s="78"/>
      <c r="BQ87" s="126">
        <f t="shared" si="46"/>
        <v>1000000</v>
      </c>
      <c r="BR87" s="6"/>
      <c r="BV87" s="39"/>
      <c r="BW87" s="20">
        <f t="shared" si="104"/>
        <v>43616</v>
      </c>
      <c r="BX87" s="27">
        <v>-2.3118181595011698</v>
      </c>
      <c r="BY87" s="126">
        <f t="shared" si="122"/>
        <v>1283768.2142958369</v>
      </c>
      <c r="BZ87" s="6"/>
      <c r="CC87" s="79"/>
      <c r="CD87" s="20">
        <f t="shared" si="105"/>
        <v>43616</v>
      </c>
      <c r="CE87" s="78">
        <f t="shared" si="40"/>
        <v>0.64099458022247213</v>
      </c>
      <c r="CF87" s="126">
        <f t="shared" ref="CF87" si="130">CF86*CE87/100+CF86</f>
        <v>1343939.630477349</v>
      </c>
      <c r="CG87" s="6"/>
      <c r="CI87" s="39"/>
    </row>
    <row r="88" spans="1:87" x14ac:dyDescent="0.25">
      <c r="A88" s="20">
        <v>43646</v>
      </c>
      <c r="B88" s="24">
        <f>IF(A88&gt;A87,1+B87,"-")</f>
        <v>73</v>
      </c>
      <c r="C88" s="301">
        <f>'LC (Gross)'!X250</f>
        <v>3.7568651704060372</v>
      </c>
      <c r="D88" s="301">
        <v>4.1538000000000004</v>
      </c>
      <c r="E88" s="301">
        <f>'CRA (Gross)'!E88</f>
        <v>1.2556066356456062</v>
      </c>
      <c r="F88" s="301">
        <f>'CRA (Gross)'!F88</f>
        <v>0.18</v>
      </c>
      <c r="G88" s="39"/>
      <c r="H88" s="20">
        <f t="shared" si="12"/>
        <v>43646</v>
      </c>
      <c r="I88" s="27">
        <v>5.4134922259340597</v>
      </c>
      <c r="J88" s="126">
        <f t="shared" ref="J88:J90" si="131">J87*I88/100+J87</f>
        <v>1663969.0319652383</v>
      </c>
      <c r="K88" s="6"/>
      <c r="L88" s="49">
        <f>(J88/J85-1)*100</f>
        <v>3.1352176514654273</v>
      </c>
      <c r="M88" s="17"/>
      <c r="N88" s="79"/>
      <c r="O88" s="20">
        <f t="shared" si="92"/>
        <v>43646</v>
      </c>
      <c r="P88" s="78">
        <f t="shared" si="93"/>
        <v>2.7433458437233207</v>
      </c>
      <c r="Q88" s="126">
        <f t="shared" ref="Q88" si="132">Q87*P88/100+Q87</f>
        <v>1622699.0378432283</v>
      </c>
      <c r="R88" s="6"/>
      <c r="S88" s="49">
        <f>(Q88/Q85-1)*100</f>
        <v>3.4643943847199932</v>
      </c>
      <c r="T88" s="39"/>
      <c r="U88" s="20">
        <f t="shared" si="94"/>
        <v>43646</v>
      </c>
      <c r="V88" s="27">
        <v>5.0702557582694219</v>
      </c>
      <c r="W88" s="126">
        <f t="shared" ref="W88:W90" si="133">W87*V88/100+W87</f>
        <v>1557820.4745251238</v>
      </c>
      <c r="X88" s="8"/>
      <c r="Y88" s="49">
        <f>(W88/W85-1)*100</f>
        <v>3.1099126212333461</v>
      </c>
      <c r="AA88" s="79"/>
      <c r="AB88" s="20">
        <f t="shared" si="95"/>
        <v>43646</v>
      </c>
      <c r="AC88" s="78">
        <f t="shared" si="96"/>
        <v>2.3483103220295578</v>
      </c>
      <c r="AD88" s="126">
        <f t="shared" ref="AD88" si="134">AD87*AC88/100+AD87</f>
        <v>1516325.4485809621</v>
      </c>
      <c r="AE88" s="8"/>
      <c r="AF88" s="49">
        <f>(AD88/AD85-1)*100</f>
        <v>3.2707281484213535</v>
      </c>
      <c r="AG88" s="44"/>
      <c r="AH88" s="20">
        <f t="shared" si="97"/>
        <v>43646</v>
      </c>
      <c r="AI88" s="27">
        <v>4.3959359512378295</v>
      </c>
      <c r="AJ88" s="126">
        <f t="shared" ref="AJ88:AJ90" si="135">AJ87*AI88/100+AJ87</f>
        <v>1436748.3485497271</v>
      </c>
      <c r="AK88" s="8"/>
      <c r="AL88" s="49">
        <f>(AJ88/AJ85-1)*100</f>
        <v>3.0026813588235113</v>
      </c>
      <c r="AN88" s="79"/>
      <c r="AO88" s="20">
        <f t="shared" si="98"/>
        <v>43646</v>
      </c>
      <c r="AP88" s="78">
        <f t="shared" si="99"/>
        <v>2.205745132118075</v>
      </c>
      <c r="AQ88" s="126">
        <f t="shared" ref="AQ88" si="136">AQ87*AP88/100+AQ87</f>
        <v>1452879.5049388427</v>
      </c>
      <c r="AR88" s="8"/>
      <c r="AS88" s="49">
        <f>(AQ88/AQ85-1)*100</f>
        <v>3.3115337135993794</v>
      </c>
      <c r="AT88" s="39"/>
      <c r="AU88" s="20">
        <f t="shared" si="100"/>
        <v>43646</v>
      </c>
      <c r="AV88" s="27">
        <v>2.7522593879909896</v>
      </c>
      <c r="AW88" s="126">
        <f t="shared" ref="AW88:AW90" si="137">AW87*AV88/100+AW87</f>
        <v>1167530.2124687433</v>
      </c>
      <c r="AX88" s="8"/>
      <c r="AY88" s="49">
        <f>(AW88/AW85-1)*100</f>
        <v>2.372306995508433</v>
      </c>
      <c r="AZ88" s="49"/>
      <c r="BA88" s="79"/>
      <c r="BB88" s="20">
        <f t="shared" si="101"/>
        <v>43646</v>
      </c>
      <c r="BC88" s="78">
        <f t="shared" si="41"/>
        <v>1.4893011619925278</v>
      </c>
      <c r="BD88" s="126">
        <f t="shared" ref="BD88" si="138">BD87*BC88/100+BD87</f>
        <v>1251798.3899932744</v>
      </c>
      <c r="BE88" s="8"/>
      <c r="BF88" s="49">
        <f>(BD88/BD85-1)*100</f>
        <v>2.9134869656214812</v>
      </c>
      <c r="BG88" s="39"/>
      <c r="BH88" s="20">
        <f t="shared" si="102"/>
        <v>43646</v>
      </c>
      <c r="BI88" s="27"/>
      <c r="BJ88" s="126">
        <f t="shared" si="84"/>
        <v>1000000</v>
      </c>
      <c r="BK88" s="8"/>
      <c r="BL88" s="49">
        <f>(BJ88/BJ85-1)*100</f>
        <v>0</v>
      </c>
      <c r="BM88" s="49"/>
      <c r="BN88" s="79"/>
      <c r="BO88" s="20">
        <f t="shared" si="103"/>
        <v>43646</v>
      </c>
      <c r="BP88" s="78"/>
      <c r="BQ88" s="126">
        <f t="shared" si="46"/>
        <v>1000000</v>
      </c>
      <c r="BR88" s="8"/>
      <c r="BS88" s="49">
        <f>(BQ88/BQ85-1)*100</f>
        <v>0</v>
      </c>
      <c r="BV88" s="39"/>
      <c r="BW88" s="20">
        <f t="shared" si="104"/>
        <v>43646</v>
      </c>
      <c r="BX88" s="27">
        <v>3.5139071850183301</v>
      </c>
      <c r="BY88" s="126">
        <f t="shared" ref="BY88:BY90" si="139">BY87*BX88/100+BY87</f>
        <v>1328878.6378169598</v>
      </c>
      <c r="BZ88" s="8"/>
      <c r="CA88" s="49">
        <f>(BY88/BY85-1)*100</f>
        <v>2.6654807079896425</v>
      </c>
      <c r="CC88" s="79"/>
      <c r="CD88" s="20">
        <f t="shared" si="105"/>
        <v>43646</v>
      </c>
      <c r="CE88" s="78">
        <f t="shared" si="40"/>
        <v>1.8107096104243123</v>
      </c>
      <c r="CF88" s="126">
        <f t="shared" ref="CF88" si="140">CF87*CE88/100+CF87</f>
        <v>1368274.4745247033</v>
      </c>
      <c r="CG88" s="8"/>
      <c r="CH88" s="49">
        <f>(CF88/CF85-1)*100</f>
        <v>3.1114002415417286</v>
      </c>
      <c r="CI88" s="39"/>
    </row>
    <row r="89" spans="1:87" x14ac:dyDescent="0.25">
      <c r="A89" s="20">
        <v>43677</v>
      </c>
      <c r="B89" s="24">
        <f t="shared" si="87"/>
        <v>74</v>
      </c>
      <c r="C89" s="301">
        <f>'LC (Gross)'!X251</f>
        <v>1.0579608534584717</v>
      </c>
      <c r="D89" s="301">
        <v>-0.90780000000000005</v>
      </c>
      <c r="E89" s="301">
        <f>'CRA (Gross)'!E89</f>
        <v>0.2201031</v>
      </c>
      <c r="F89" s="301">
        <f>'CRA (Gross)'!F89</f>
        <v>0.19</v>
      </c>
      <c r="G89" s="39"/>
      <c r="H89" s="20">
        <f t="shared" si="12"/>
        <v>43677</v>
      </c>
      <c r="I89" s="27">
        <v>1.5590226575739099</v>
      </c>
      <c r="J89" s="126">
        <f t="shared" si="131"/>
        <v>1689910.6861885895</v>
      </c>
      <c r="K89" s="8"/>
      <c r="M89" s="17"/>
      <c r="N89" s="79"/>
      <c r="O89" s="20">
        <f t="shared" si="92"/>
        <v>43677</v>
      </c>
      <c r="P89" s="78">
        <f t="shared" si="93"/>
        <v>0.50270846940215952</v>
      </c>
      <c r="Q89" s="126">
        <f t="shared" ref="Q89:Q90" si="141">Q88*P89/100+Q88</f>
        <v>1630856.4833393735</v>
      </c>
      <c r="R89" s="8"/>
      <c r="T89" s="39"/>
      <c r="U89" s="20">
        <f t="shared" si="94"/>
        <v>43677</v>
      </c>
      <c r="V89" s="27">
        <v>1.452643783032725</v>
      </c>
      <c r="W89" s="126">
        <f t="shared" si="133"/>
        <v>1580450.056799124</v>
      </c>
      <c r="X89" s="6"/>
      <c r="AA89" s="79"/>
      <c r="AB89" s="20">
        <f t="shared" si="95"/>
        <v>43677</v>
      </c>
      <c r="AC89" s="78">
        <f t="shared" si="96"/>
        <v>0.47531784905631225</v>
      </c>
      <c r="AD89" s="126">
        <f t="shared" ref="AD89:AD90" si="142">AD88*AC89/100+AD88</f>
        <v>1523532.8140878507</v>
      </c>
      <c r="AE89" s="6"/>
      <c r="AG89" s="44"/>
      <c r="AH89" s="20">
        <f t="shared" si="97"/>
        <v>43677</v>
      </c>
      <c r="AI89" s="27">
        <v>1.2271137140239918</v>
      </c>
      <c r="AJ89" s="126">
        <f t="shared" si="135"/>
        <v>1454378.8845707939</v>
      </c>
      <c r="AK89" s="6"/>
      <c r="AN89" s="79"/>
      <c r="AO89" s="20">
        <f t="shared" si="98"/>
        <v>43677</v>
      </c>
      <c r="AP89" s="78">
        <f t="shared" si="99"/>
        <v>0.39454238371046502</v>
      </c>
      <c r="AQ89" s="126">
        <f t="shared" ref="AQ89:AQ90" si="143">AQ88*AP89/100+AQ88</f>
        <v>1458611.7303700692</v>
      </c>
      <c r="AR89" s="6"/>
      <c r="AT89" s="39"/>
      <c r="AU89" s="20">
        <f t="shared" si="100"/>
        <v>43677</v>
      </c>
      <c r="AV89" s="27">
        <v>0.5919735613112953</v>
      </c>
      <c r="AW89" s="126">
        <f t="shared" si="137"/>
        <v>1174441.6826468799</v>
      </c>
      <c r="AX89" s="6"/>
      <c r="AZ89" s="49"/>
      <c r="BA89" s="79"/>
      <c r="BB89" s="20">
        <f t="shared" si="101"/>
        <v>43677</v>
      </c>
      <c r="BC89" s="78">
        <f t="shared" si="41"/>
        <v>0.24297825534584713</v>
      </c>
      <c r="BD89" s="126">
        <f t="shared" ref="BD89:BD90" si="144">BD88*BC89/100+BD88</f>
        <v>1254839.9878817275</v>
      </c>
      <c r="BE89" s="6"/>
      <c r="BG89" s="39"/>
      <c r="BH89" s="20">
        <f t="shared" si="102"/>
        <v>43677</v>
      </c>
      <c r="BI89" s="27"/>
      <c r="BJ89" s="126">
        <f t="shared" si="84"/>
        <v>1000000</v>
      </c>
      <c r="BK89" s="6"/>
      <c r="BM89" s="49"/>
      <c r="BN89" s="79"/>
      <c r="BO89" s="20">
        <f t="shared" si="103"/>
        <v>43677</v>
      </c>
      <c r="BP89" s="78"/>
      <c r="BQ89" s="126">
        <f t="shared" si="46"/>
        <v>1000000</v>
      </c>
      <c r="BR89" s="6"/>
      <c r="BV89" s="39"/>
      <c r="BW89" s="20">
        <f t="shared" si="104"/>
        <v>43677</v>
      </c>
      <c r="BX89" s="27">
        <v>0.89390024757379161</v>
      </c>
      <c r="BY89" s="126">
        <f t="shared" si="139"/>
        <v>1340757.4872503609</v>
      </c>
      <c r="BZ89" s="6"/>
      <c r="CC89" s="79"/>
      <c r="CD89" s="20">
        <f t="shared" si="105"/>
        <v>43677</v>
      </c>
      <c r="CE89" s="78">
        <f t="shared" si="40"/>
        <v>0.36715176336461797</v>
      </c>
      <c r="CF89" s="126">
        <f t="shared" ref="CF89:CF90" si="145">CF88*CE89/100+CF88</f>
        <v>1373298.1183855888</v>
      </c>
      <c r="CG89" s="6"/>
      <c r="CI89" s="39"/>
    </row>
    <row r="90" spans="1:87" x14ac:dyDescent="0.25">
      <c r="A90" s="20">
        <v>43708</v>
      </c>
      <c r="B90" s="24">
        <f t="shared" si="87"/>
        <v>75</v>
      </c>
      <c r="C90" s="301">
        <f>'LC (Gross)'!X252</f>
        <v>2.4347946344671132</v>
      </c>
      <c r="D90" s="301">
        <v>-3.5200000000000002E-2</v>
      </c>
      <c r="E90" s="301">
        <f>'CRA (Gross)'!E90</f>
        <v>2.5913279999999999</v>
      </c>
      <c r="F90" s="301">
        <f>'CRA (Gross)'!F90</f>
        <v>0.16</v>
      </c>
      <c r="G90" s="39"/>
      <c r="H90" s="20">
        <f t="shared" ref="H90:H155" si="146">$A90</f>
        <v>43708</v>
      </c>
      <c r="I90" s="27">
        <v>-0.3855285458444046</v>
      </c>
      <c r="J90" s="126">
        <f t="shared" si="131"/>
        <v>1683395.5980940575</v>
      </c>
      <c r="K90" s="6"/>
      <c r="L90" s="49"/>
      <c r="M90" s="17"/>
      <c r="N90" s="79"/>
      <c r="O90" s="20">
        <f t="shared" si="92"/>
        <v>43708</v>
      </c>
      <c r="P90" s="78">
        <f t="shared" si="93"/>
        <v>1.3818570489569124</v>
      </c>
      <c r="Q90" s="126">
        <f t="shared" si="141"/>
        <v>1653392.5886127695</v>
      </c>
      <c r="R90" s="6"/>
      <c r="S90" s="5"/>
      <c r="T90" s="39"/>
      <c r="U90" s="20">
        <f t="shared" si="94"/>
        <v>43708</v>
      </c>
      <c r="V90" s="27">
        <v>0.17995597879270706</v>
      </c>
      <c r="W90" s="126">
        <f t="shared" si="133"/>
        <v>1583294.1711681667</v>
      </c>
      <c r="X90" s="6"/>
      <c r="Y90" s="5"/>
      <c r="Z90" s="5"/>
      <c r="AA90" s="79"/>
      <c r="AB90" s="20">
        <f t="shared" si="95"/>
        <v>43708</v>
      </c>
      <c r="AC90" s="78">
        <f t="shared" si="96"/>
        <v>1.528836785510201</v>
      </c>
      <c r="AD90" s="126">
        <f t="shared" si="142"/>
        <v>1546825.1441889445</v>
      </c>
      <c r="AE90" s="6"/>
      <c r="AG90" s="44"/>
      <c r="AH90" s="20">
        <f t="shared" si="97"/>
        <v>43708</v>
      </c>
      <c r="AI90" s="27">
        <v>0.61788183055896551</v>
      </c>
      <c r="AJ90" s="126">
        <f t="shared" si="135"/>
        <v>1463365.2274460429</v>
      </c>
      <c r="AK90" s="6"/>
      <c r="AN90" s="79"/>
      <c r="AO90" s="20">
        <f t="shared" si="98"/>
        <v>43708</v>
      </c>
      <c r="AP90" s="78">
        <f t="shared" si="99"/>
        <v>1.7876229220634894</v>
      </c>
      <c r="AQ90" s="126">
        <f t="shared" si="143"/>
        <v>1484686.2080060714</v>
      </c>
      <c r="AR90" s="6"/>
      <c r="AT90" s="39"/>
      <c r="AU90" s="20">
        <f t="shared" si="100"/>
        <v>43708</v>
      </c>
      <c r="AV90" s="27">
        <v>0.93011543659407858</v>
      </c>
      <c r="AW90" s="126">
        <f t="shared" si="137"/>
        <v>1185365.3460309738</v>
      </c>
      <c r="AX90" s="6"/>
      <c r="AZ90" s="49"/>
      <c r="BA90" s="79"/>
      <c r="BB90" s="20">
        <f t="shared" si="101"/>
        <v>43708</v>
      </c>
      <c r="BC90" s="78">
        <f t="shared" ref="BC90:BC94" si="147">10%*$C90+5%*$D90+70%*$E90+15%*$F90</f>
        <v>2.0796490634467113</v>
      </c>
      <c r="BD90" s="126">
        <f t="shared" si="144"/>
        <v>1280936.2559374648</v>
      </c>
      <c r="BE90" s="6"/>
      <c r="BG90" s="39"/>
      <c r="BH90" s="20">
        <f t="shared" si="102"/>
        <v>43708</v>
      </c>
      <c r="BI90" s="27"/>
      <c r="BJ90" s="126">
        <f t="shared" si="84"/>
        <v>1000000</v>
      </c>
      <c r="BK90" s="6"/>
      <c r="BM90" s="49"/>
      <c r="BN90" s="79"/>
      <c r="BO90" s="20">
        <f t="shared" si="103"/>
        <v>43708</v>
      </c>
      <c r="BP90" s="78"/>
      <c r="BQ90" s="126">
        <f t="shared" si="46"/>
        <v>1000000</v>
      </c>
      <c r="BR90" s="6"/>
      <c r="BV90" s="39"/>
      <c r="BW90" s="20">
        <f t="shared" si="104"/>
        <v>43708</v>
      </c>
      <c r="BX90" s="27">
        <v>0.71445518214708958</v>
      </c>
      <c r="BY90" s="126">
        <f t="shared" si="139"/>
        <v>1350336.5985980462</v>
      </c>
      <c r="BZ90" s="6"/>
      <c r="CC90" s="79"/>
      <c r="CD90" s="20">
        <f t="shared" si="105"/>
        <v>43708</v>
      </c>
      <c r="CE90" s="78">
        <f t="shared" ref="CE90:CE94" si="148">25%*$C90+5%*$D90+50%*$E90+20%*$F90</f>
        <v>1.9346026586167784</v>
      </c>
      <c r="CF90" s="126">
        <f t="shared" si="145"/>
        <v>1399865.9802946106</v>
      </c>
      <c r="CG90" s="6"/>
      <c r="CI90" s="39"/>
    </row>
    <row r="91" spans="1:87" x14ac:dyDescent="0.25">
      <c r="A91" s="20">
        <v>43738</v>
      </c>
      <c r="B91" s="24">
        <f t="shared" si="87"/>
        <v>76</v>
      </c>
      <c r="C91" s="301">
        <f>'LC (Gross)'!X253</f>
        <v>2.2043600810949164</v>
      </c>
      <c r="D91" s="301">
        <v>1.7461</v>
      </c>
      <c r="E91" s="301">
        <f>'CRA (Gross)'!E91</f>
        <v>-0.53249380000000002</v>
      </c>
      <c r="F91" s="301">
        <f>'CRA (Gross)'!F91</f>
        <v>0.18</v>
      </c>
      <c r="G91" s="39"/>
      <c r="H91" s="20">
        <f t="shared" si="146"/>
        <v>43738</v>
      </c>
      <c r="I91" s="27">
        <v>1.7431226345366022</v>
      </c>
      <c r="J91" s="126">
        <f t="shared" ref="J91:J94" si="149">J90*I91/100+J90</f>
        <v>1712739.2477932279</v>
      </c>
      <c r="K91" s="6"/>
      <c r="L91" s="49">
        <f>(J91/J88-1)*100</f>
        <v>2.9309569403698221</v>
      </c>
      <c r="M91" s="17"/>
      <c r="N91" s="79"/>
      <c r="O91" s="20">
        <f t="shared" si="92"/>
        <v>43738</v>
      </c>
      <c r="P91" s="78">
        <f t="shared" si="93"/>
        <v>1.5283130446022042</v>
      </c>
      <c r="Q91" s="126">
        <f t="shared" ref="Q91:Q94" si="150">Q90*P91/100+Q90</f>
        <v>1678661.6032230244</v>
      </c>
      <c r="R91" s="6"/>
      <c r="S91" s="49">
        <f>(Q91/Q88-1)*100</f>
        <v>3.4487335035446431</v>
      </c>
      <c r="T91" s="39"/>
      <c r="U91" s="20">
        <f t="shared" si="94"/>
        <v>43738</v>
      </c>
      <c r="V91" s="27">
        <v>1.2865961694854084</v>
      </c>
      <c r="W91" s="126">
        <f t="shared" ref="W91:W94" si="151">W90*V91/100+W90</f>
        <v>1603664.7733261019</v>
      </c>
      <c r="X91" s="8"/>
      <c r="Y91" s="49">
        <f>(W91/W88-1)*100</f>
        <v>2.9428486498068951</v>
      </c>
      <c r="Z91" s="5"/>
      <c r="AA91" s="79"/>
      <c r="AB91" s="20">
        <f t="shared" si="95"/>
        <v>43738</v>
      </c>
      <c r="AC91" s="78">
        <f t="shared" si="96"/>
        <v>1.1406979664927124</v>
      </c>
      <c r="AD91" s="126">
        <f t="shared" ref="AD91:AD94" si="152">AD90*AC91/100+AD90</f>
        <v>1564469.7471539057</v>
      </c>
      <c r="AE91" s="8"/>
      <c r="AF91" s="49">
        <f>(AD91/AD88-1)*100</f>
        <v>3.1750636789746434</v>
      </c>
      <c r="AG91" s="44"/>
      <c r="AH91" s="20">
        <f t="shared" si="97"/>
        <v>43738</v>
      </c>
      <c r="AI91" s="27">
        <v>0.89719067533144581</v>
      </c>
      <c r="AJ91" s="126">
        <f t="shared" ref="AJ91:AJ94" si="153">AJ90*AI91/100+AJ90</f>
        <v>1476494.4038127316</v>
      </c>
      <c r="AK91" s="8"/>
      <c r="AL91" s="49">
        <f>(AJ91/AJ88-1)*100</f>
        <v>2.7663894865878724</v>
      </c>
      <c r="AN91" s="79"/>
      <c r="AO91" s="20">
        <f t="shared" si="98"/>
        <v>43738</v>
      </c>
      <c r="AP91" s="78">
        <f t="shared" si="99"/>
        <v>0.79576319838322074</v>
      </c>
      <c r="AQ91" s="126">
        <f t="shared" ref="AQ91:AQ94" si="154">AQ90*AP91/100+AQ90</f>
        <v>1496500.794460855</v>
      </c>
      <c r="AR91" s="8"/>
      <c r="AS91" s="49">
        <f>(AQ91/AQ88-1)*100</f>
        <v>3.0024024272989225</v>
      </c>
      <c r="AT91" s="39"/>
      <c r="AU91" s="20">
        <f t="shared" si="100"/>
        <v>43738</v>
      </c>
      <c r="AV91" s="27">
        <v>0.46439120369562686</v>
      </c>
      <c r="AW91" s="126">
        <f t="shared" ref="AW91:AW94" si="155">AW90*AV91/100+AW90</f>
        <v>1190870.0784295979</v>
      </c>
      <c r="AX91" s="8"/>
      <c r="AY91" s="49">
        <f>(AW91/AW88-1)*100</f>
        <v>1.9990802560477139</v>
      </c>
      <c r="AZ91" s="49"/>
      <c r="BA91" s="79"/>
      <c r="BB91" s="20">
        <f t="shared" si="101"/>
        <v>43738</v>
      </c>
      <c r="BC91" s="78">
        <f t="shared" si="147"/>
        <v>-3.8004651890508306E-2</v>
      </c>
      <c r="BD91" s="126">
        <f t="shared" ref="BD91:BD94" si="156">BD90*BC91/100+BD90</f>
        <v>1280449.4405724565</v>
      </c>
      <c r="BE91" s="8"/>
      <c r="BF91" s="49">
        <f>(BD91/BD88-1)*100</f>
        <v>2.2887911350753631</v>
      </c>
      <c r="BG91" s="39"/>
      <c r="BH91" s="20">
        <f t="shared" si="102"/>
        <v>43738</v>
      </c>
      <c r="BI91" s="27"/>
      <c r="BJ91" s="126">
        <f t="shared" si="84"/>
        <v>1000000</v>
      </c>
      <c r="BK91" s="8"/>
      <c r="BL91" s="49">
        <f>(BJ91/BJ88-1)*100</f>
        <v>0</v>
      </c>
      <c r="BM91" s="49"/>
      <c r="BN91" s="79"/>
      <c r="BO91" s="20">
        <f t="shared" si="103"/>
        <v>43738</v>
      </c>
      <c r="BP91" s="78"/>
      <c r="BQ91" s="126">
        <f t="shared" si="46"/>
        <v>1000000</v>
      </c>
      <c r="BR91" s="8"/>
      <c r="BS91" s="49">
        <f>(BQ91/BQ88-1)*100</f>
        <v>0</v>
      </c>
      <c r="BV91" s="39"/>
      <c r="BW91" s="20">
        <f t="shared" si="104"/>
        <v>43738</v>
      </c>
      <c r="BX91" s="27">
        <v>0.71480106623844264</v>
      </c>
      <c r="BY91" s="126">
        <f t="shared" ref="BY91:BY94" si="157">BY90*BX91/100+BY90</f>
        <v>1359988.819002633</v>
      </c>
      <c r="BZ91" s="8"/>
      <c r="CA91" s="49">
        <f>(BY91/BY88-1)*100</f>
        <v>2.341085205250959</v>
      </c>
      <c r="CC91" s="79"/>
      <c r="CD91" s="20">
        <f t="shared" si="105"/>
        <v>43738</v>
      </c>
      <c r="CE91" s="78">
        <f t="shared" si="148"/>
        <v>0.40814812027372904</v>
      </c>
      <c r="CF91" s="126">
        <f t="shared" ref="CF91:CF94" si="158">CF90*CE91/100+CF90</f>
        <v>1405579.5069795344</v>
      </c>
      <c r="CG91" s="8"/>
      <c r="CH91" s="49">
        <f>(CF91/CF88-1)*100</f>
        <v>2.7264290279031655</v>
      </c>
      <c r="CI91" s="39"/>
    </row>
    <row r="92" spans="1:87" x14ac:dyDescent="0.25">
      <c r="A92" s="20">
        <v>43769</v>
      </c>
      <c r="B92" s="24">
        <f t="shared" si="87"/>
        <v>77</v>
      </c>
      <c r="C92" s="301">
        <f>'LC (Gross)'!X254</f>
        <v>-0.37818312881583599</v>
      </c>
      <c r="D92" s="301">
        <v>2.5038999999999998</v>
      </c>
      <c r="E92" s="301">
        <f>'CRA (Gross)'!E92</f>
        <v>0.30121569999999998</v>
      </c>
      <c r="F92" s="301">
        <f>'CRA (Gross)'!F92</f>
        <v>0.15</v>
      </c>
      <c r="G92" s="39"/>
      <c r="H92" s="20">
        <f t="shared" si="146"/>
        <v>43769</v>
      </c>
      <c r="I92" s="27">
        <v>-0.22350242481711086</v>
      </c>
      <c r="J92" s="126">
        <f t="shared" si="149"/>
        <v>1708911.2340436156</v>
      </c>
      <c r="K92" s="8"/>
      <c r="M92" s="17"/>
      <c r="N92" s="79"/>
      <c r="O92" s="20">
        <f t="shared" si="92"/>
        <v>43769</v>
      </c>
      <c r="P92" s="78">
        <f t="shared" si="93"/>
        <v>0.21258427915129013</v>
      </c>
      <c r="Q92" s="126">
        <f t="shared" si="150"/>
        <v>1682230.1738916256</v>
      </c>
      <c r="R92" s="8"/>
      <c r="T92" s="39"/>
      <c r="U92" s="20">
        <f t="shared" si="94"/>
        <v>43769</v>
      </c>
      <c r="V92" s="27">
        <v>-0.31336100854099413</v>
      </c>
      <c r="W92" s="126">
        <f t="shared" si="151"/>
        <v>1598639.5132187905</v>
      </c>
      <c r="X92" s="8"/>
      <c r="AA92" s="79"/>
      <c r="AB92" s="20">
        <f t="shared" si="95"/>
        <v>43769</v>
      </c>
      <c r="AC92" s="78">
        <f t="shared" si="96"/>
        <v>0.1703899470328738</v>
      </c>
      <c r="AD92" s="126">
        <f t="shared" si="152"/>
        <v>1567135.4463274265</v>
      </c>
      <c r="AE92" s="8"/>
      <c r="AG92" s="44"/>
      <c r="AH92" s="20">
        <f t="shared" si="97"/>
        <v>43769</v>
      </c>
      <c r="AI92" s="27">
        <v>-0.36996647574536157</v>
      </c>
      <c r="AJ92" s="126">
        <f t="shared" si="153"/>
        <v>1471031.8695023682</v>
      </c>
      <c r="AK92" s="8"/>
      <c r="AN92" s="79"/>
      <c r="AO92" s="20">
        <f t="shared" si="98"/>
        <v>43769</v>
      </c>
      <c r="AP92" s="78">
        <f t="shared" si="99"/>
        <v>0.25345139991445742</v>
      </c>
      <c r="AQ92" s="126">
        <f t="shared" si="154"/>
        <v>1500293.6966741469</v>
      </c>
      <c r="AR92" s="8"/>
      <c r="AT92" s="39"/>
      <c r="AU92" s="20">
        <f t="shared" si="100"/>
        <v>43769</v>
      </c>
      <c r="AV92" s="27">
        <v>-0.2259684733628553</v>
      </c>
      <c r="AW92" s="126">
        <f t="shared" si="155"/>
        <v>1188179.0874936355</v>
      </c>
      <c r="AX92" s="8"/>
      <c r="AZ92" s="49"/>
      <c r="BA92" s="79"/>
      <c r="BB92" s="20">
        <f t="shared" si="101"/>
        <v>43769</v>
      </c>
      <c r="BC92" s="78">
        <f t="shared" si="147"/>
        <v>0.32072767711841638</v>
      </c>
      <c r="BD92" s="126">
        <f t="shared" si="156"/>
        <v>1284556.1963198802</v>
      </c>
      <c r="BE92" s="8"/>
      <c r="BG92" s="39"/>
      <c r="BH92" s="20">
        <f t="shared" si="102"/>
        <v>43769</v>
      </c>
      <c r="BI92" s="27"/>
      <c r="BJ92" s="126">
        <f t="shared" si="84"/>
        <v>1000000</v>
      </c>
      <c r="BK92" s="8"/>
      <c r="BM92" s="49"/>
      <c r="BN92" s="79"/>
      <c r="BO92" s="20">
        <f t="shared" si="103"/>
        <v>43769</v>
      </c>
      <c r="BP92" s="78"/>
      <c r="BQ92" s="126">
        <f t="shared" si="46"/>
        <v>1000000</v>
      </c>
      <c r="BR92" s="8"/>
      <c r="BV92" s="39"/>
      <c r="BW92" s="20">
        <f t="shared" si="104"/>
        <v>43769</v>
      </c>
      <c r="BX92" s="27">
        <v>-0.21597183170914452</v>
      </c>
      <c r="BY92" s="126">
        <f t="shared" si="157"/>
        <v>1357051.6262391934</v>
      </c>
      <c r="BZ92" s="8"/>
      <c r="CC92" s="79"/>
      <c r="CD92" s="20">
        <f t="shared" si="105"/>
        <v>43769</v>
      </c>
      <c r="CE92" s="78">
        <f t="shared" si="148"/>
        <v>0.211257067796041</v>
      </c>
      <c r="CF92" s="126">
        <f t="shared" si="158"/>
        <v>1408548.8930315215</v>
      </c>
      <c r="CG92" s="8"/>
      <c r="CI92" s="39"/>
    </row>
    <row r="93" spans="1:87" x14ac:dyDescent="0.25">
      <c r="A93" s="20">
        <v>43799</v>
      </c>
      <c r="B93" s="24">
        <f t="shared" si="87"/>
        <v>78</v>
      </c>
      <c r="C93" s="301">
        <f>'LC (Gross)'!X255</f>
        <v>4.548751552108049E-2</v>
      </c>
      <c r="D93" s="301">
        <v>0.30859999999999999</v>
      </c>
      <c r="E93" s="301">
        <f>'CRA (Gross)'!E93</f>
        <v>-5.1129196611742381E-2</v>
      </c>
      <c r="F93" s="301">
        <f>'CRA (Gross)'!F93</f>
        <v>0.12</v>
      </c>
      <c r="G93" s="39"/>
      <c r="H93" s="20">
        <f t="shared" si="146"/>
        <v>43799</v>
      </c>
      <c r="I93" s="27">
        <v>1.6868746141468876</v>
      </c>
      <c r="J93" s="126">
        <f t="shared" si="149"/>
        <v>1737738.4238290016</v>
      </c>
      <c r="K93" s="8"/>
      <c r="L93" s="49"/>
      <c r="M93" s="17"/>
      <c r="N93" s="79"/>
      <c r="O93" s="20">
        <f t="shared" si="92"/>
        <v>43799</v>
      </c>
      <c r="P93" s="78">
        <f t="shared" si="93"/>
        <v>0.10730813353659427</v>
      </c>
      <c r="Q93" s="126">
        <f t="shared" si="150"/>
        <v>1684035.3436930182</v>
      </c>
      <c r="R93" s="8"/>
      <c r="S93" s="5"/>
      <c r="T93" s="39"/>
      <c r="U93" s="20">
        <f t="shared" si="94"/>
        <v>43799</v>
      </c>
      <c r="V93" s="27">
        <v>1.5663221825620051</v>
      </c>
      <c r="W93" s="126">
        <f t="shared" si="151"/>
        <v>1623679.3585335377</v>
      </c>
      <c r="X93" s="6"/>
      <c r="Y93" s="5"/>
      <c r="Z93" s="5"/>
      <c r="AA93" s="79"/>
      <c r="AB93" s="20">
        <f t="shared" si="95"/>
        <v>43799</v>
      </c>
      <c r="AC93" s="78">
        <f t="shared" si="96"/>
        <v>7.9660002492724868E-2</v>
      </c>
      <c r="AD93" s="126">
        <f t="shared" si="152"/>
        <v>1568383.8264630353</v>
      </c>
      <c r="AE93" s="6"/>
      <c r="AG93" s="44"/>
      <c r="AH93" s="20">
        <f t="shared" si="97"/>
        <v>43799</v>
      </c>
      <c r="AI93" s="27">
        <v>1.3524725591500073</v>
      </c>
      <c r="AJ93" s="126">
        <f t="shared" si="153"/>
        <v>1490927.171873739</v>
      </c>
      <c r="AK93" s="6"/>
      <c r="AN93" s="79"/>
      <c r="AO93" s="20">
        <f t="shared" si="98"/>
        <v>43799</v>
      </c>
      <c r="AP93" s="78">
        <f t="shared" si="99"/>
        <v>5.2885411618268333E-2</v>
      </c>
      <c r="AQ93" s="126">
        <f t="shared" si="154"/>
        <v>1501087.133171116</v>
      </c>
      <c r="AR93" s="6"/>
      <c r="AT93" s="39"/>
      <c r="AU93" s="20">
        <f t="shared" si="100"/>
        <v>43799</v>
      </c>
      <c r="AV93" s="27">
        <v>0.68056448641276612</v>
      </c>
      <c r="AW93" s="126">
        <f t="shared" si="155"/>
        <v>1196265.4123981004</v>
      </c>
      <c r="AX93" s="6"/>
      <c r="AZ93" s="49"/>
      <c r="BA93" s="79"/>
      <c r="BB93" s="20">
        <f t="shared" si="101"/>
        <v>43799</v>
      </c>
      <c r="BC93" s="78">
        <f t="shared" si="147"/>
        <v>2.1883139238883832E-3</v>
      </c>
      <c r="BD93" s="126">
        <f t="shared" si="156"/>
        <v>1284584.3064419844</v>
      </c>
      <c r="BE93" s="6"/>
      <c r="BG93" s="39"/>
      <c r="BH93" s="20">
        <f t="shared" si="102"/>
        <v>43799</v>
      </c>
      <c r="BI93" s="27"/>
      <c r="BJ93" s="126">
        <f t="shared" si="84"/>
        <v>1000000</v>
      </c>
      <c r="BK93" s="6"/>
      <c r="BM93" s="49"/>
      <c r="BN93" s="79"/>
      <c r="BO93" s="20">
        <f t="shared" si="103"/>
        <v>43799</v>
      </c>
      <c r="BP93" s="78"/>
      <c r="BQ93" s="126">
        <f t="shared" si="46"/>
        <v>1000000</v>
      </c>
      <c r="BR93" s="6"/>
      <c r="BV93" s="39"/>
      <c r="BW93" s="20">
        <f t="shared" si="104"/>
        <v>43799</v>
      </c>
      <c r="BX93" s="27">
        <v>0.97682828474160865</v>
      </c>
      <c r="BY93" s="126">
        <f t="shared" si="157"/>
        <v>1370307.6903628437</v>
      </c>
      <c r="BZ93" s="6"/>
      <c r="CC93" s="79"/>
      <c r="CD93" s="20">
        <f t="shared" si="105"/>
        <v>43799</v>
      </c>
      <c r="CE93" s="78">
        <f t="shared" si="148"/>
        <v>2.5237280574398932E-2</v>
      </c>
      <c r="CF93" s="126">
        <f t="shared" si="158"/>
        <v>1408904.3724676834</v>
      </c>
      <c r="CG93" s="6"/>
      <c r="CI93" s="39"/>
    </row>
    <row r="94" spans="1:87" x14ac:dyDescent="0.25">
      <c r="A94" s="20">
        <v>43830</v>
      </c>
      <c r="B94" s="24">
        <f t="shared" si="87"/>
        <v>79</v>
      </c>
      <c r="C94" s="301">
        <f>'LC (Gross)'!X256</f>
        <v>1.7599526723614334</v>
      </c>
      <c r="D94" s="301">
        <v>1.5465</v>
      </c>
      <c r="E94" s="301">
        <f>'CRA (Gross)'!E94</f>
        <v>-6.9614430000000005E-2</v>
      </c>
      <c r="F94" s="301">
        <f>'CRA (Gross)'!F94</f>
        <v>0.14000000000000001</v>
      </c>
      <c r="G94" s="39"/>
      <c r="H94" s="20">
        <f t="shared" si="146"/>
        <v>43830</v>
      </c>
      <c r="I94" s="27">
        <v>1.846646890197835</v>
      </c>
      <c r="J94" s="126">
        <f t="shared" si="149"/>
        <v>1769828.3163924126</v>
      </c>
      <c r="K94" s="6">
        <f>(J94-J$82)/J$82*100</f>
        <v>22.98008314467938</v>
      </c>
      <c r="L94" s="49">
        <f>(J94/J91-1)*100</f>
        <v>3.3332025685019362</v>
      </c>
      <c r="M94" s="17"/>
      <c r="N94" s="79"/>
      <c r="O94" s="20">
        <f t="shared" si="92"/>
        <v>43830</v>
      </c>
      <c r="P94" s="78">
        <f t="shared" si="93"/>
        <v>1.2419489697987884</v>
      </c>
      <c r="Q94" s="126">
        <f t="shared" si="150"/>
        <v>1704950.2032950611</v>
      </c>
      <c r="R94" s="6">
        <f>(Q94-Q$82)/Q$82*100</f>
        <v>18.227492898913969</v>
      </c>
      <c r="S94" s="49">
        <f>(Q94/Q91-1)*100</f>
        <v>1.5660452363694288</v>
      </c>
      <c r="T94" s="39"/>
      <c r="U94" s="20">
        <f t="shared" si="94"/>
        <v>43830</v>
      </c>
      <c r="V94" s="27">
        <v>1.6758110176243464</v>
      </c>
      <c r="W94" s="126">
        <f t="shared" si="151"/>
        <v>1650889.1561147349</v>
      </c>
      <c r="X94" s="6">
        <f>(W94-W$82)/W$82*100</f>
        <v>21.559276699399131</v>
      </c>
      <c r="Y94" s="49">
        <f>(W94/W91-1)*100</f>
        <v>2.9447789571811045</v>
      </c>
      <c r="AA94" s="79"/>
      <c r="AB94" s="20">
        <f t="shared" si="95"/>
        <v>43830</v>
      </c>
      <c r="AC94" s="78">
        <f t="shared" si="96"/>
        <v>0.97818653806264499</v>
      </c>
      <c r="AD94" s="126">
        <f t="shared" si="152"/>
        <v>1583725.5459186486</v>
      </c>
      <c r="AE94" s="6">
        <f>(AD94-AD$82)/AD$82*100</f>
        <v>15.886765977499934</v>
      </c>
      <c r="AF94" s="49">
        <f>(AD94/AD91-1)*100</f>
        <v>1.2308195028873703</v>
      </c>
      <c r="AG94" s="44"/>
      <c r="AH94" s="20">
        <f t="shared" si="97"/>
        <v>43830</v>
      </c>
      <c r="AI94" s="27">
        <v>1.4390229100586232</v>
      </c>
      <c r="AJ94" s="126">
        <f t="shared" si="153"/>
        <v>1512381.9554492913</v>
      </c>
      <c r="AK94" s="6">
        <f>(AJ94-AJ$82)/AJ$82*100</f>
        <v>18.988485397677149</v>
      </c>
      <c r="AL94" s="49">
        <f>(AJ94/AJ91-1)*100</f>
        <v>2.4305917817153633</v>
      </c>
      <c r="AN94" s="79"/>
      <c r="AO94" s="20">
        <f t="shared" si="98"/>
        <v>43830</v>
      </c>
      <c r="AP94" s="78">
        <f t="shared" si="99"/>
        <v>0.77426838482650162</v>
      </c>
      <c r="AQ94" s="126">
        <f t="shared" si="154"/>
        <v>1512709.5762719584</v>
      </c>
      <c r="AR94" s="6">
        <f>(AQ94-AQ$82)/AQ$82*100</f>
        <v>14.694567915147319</v>
      </c>
      <c r="AS94" s="49">
        <f>(AQ94/AQ91-1)*100</f>
        <v>1.0831121420782797</v>
      </c>
      <c r="AT94" s="39"/>
      <c r="AU94" s="20">
        <f t="shared" si="100"/>
        <v>43830</v>
      </c>
      <c r="AV94" s="27">
        <v>0.8885797760975801</v>
      </c>
      <c r="AW94" s="126">
        <f t="shared" si="155"/>
        <v>1206895.1849211203</v>
      </c>
      <c r="AX94" s="6">
        <f>(AW94-AW$82)/AW$82*100</f>
        <v>12.30731067454143</v>
      </c>
      <c r="AY94" s="49">
        <f>(AW94/AW91-1)*100</f>
        <v>1.3456637110787817</v>
      </c>
      <c r="AZ94" s="49"/>
      <c r="BA94" s="79"/>
      <c r="BB94" s="20">
        <f t="shared" si="101"/>
        <v>43830</v>
      </c>
      <c r="BC94" s="78">
        <f t="shared" si="147"/>
        <v>0.22559016623614331</v>
      </c>
      <c r="BD94" s="126">
        <f t="shared" si="156"/>
        <v>1287482.2023143303</v>
      </c>
      <c r="BE94" s="6">
        <f>(BD94-BD$82)/BD$82*100</f>
        <v>9.9476827424856715</v>
      </c>
      <c r="BF94" s="49">
        <f>(BD94/BD91-1)*100</f>
        <v>0.54924165836096606</v>
      </c>
      <c r="BG94" s="39"/>
      <c r="BH94" s="20">
        <f t="shared" si="102"/>
        <v>43830</v>
      </c>
      <c r="BI94" s="27"/>
      <c r="BJ94" s="126">
        <f t="shared" si="84"/>
        <v>1000000</v>
      </c>
      <c r="BK94" s="6">
        <f>(BJ94-BJ$82)/BJ$82*100</f>
        <v>0</v>
      </c>
      <c r="BL94" s="49">
        <f>(BJ94/BJ91-1)*100</f>
        <v>0</v>
      </c>
      <c r="BM94" s="49"/>
      <c r="BN94" s="79"/>
      <c r="BO94" s="20">
        <f t="shared" si="103"/>
        <v>43830</v>
      </c>
      <c r="BP94" s="78"/>
      <c r="BQ94" s="126">
        <f t="shared" si="46"/>
        <v>1000000</v>
      </c>
      <c r="BR94" s="6">
        <f>(BQ94-BQ$82)/BQ$82*100</f>
        <v>0</v>
      </c>
      <c r="BS94" s="49">
        <f>(BQ94/BQ91-1)*100</f>
        <v>0</v>
      </c>
      <c r="BV94" s="39"/>
      <c r="BW94" s="20">
        <f t="shared" si="104"/>
        <v>43830</v>
      </c>
      <c r="BX94" s="27">
        <v>1.120660781111485</v>
      </c>
      <c r="BY94" s="126">
        <f t="shared" si="157"/>
        <v>1385664.1912292948</v>
      </c>
      <c r="BZ94" s="6">
        <f>(BY94-BY$82)/BY$82*100</f>
        <v>15.405695824091728</v>
      </c>
      <c r="CA94" s="49">
        <f>(BY94/BY91-1)*100</f>
        <v>1.8879105377859862</v>
      </c>
      <c r="CC94" s="79"/>
      <c r="CD94" s="20">
        <f t="shared" si="105"/>
        <v>43830</v>
      </c>
      <c r="CE94" s="78">
        <f t="shared" si="148"/>
        <v>0.51050595309035829</v>
      </c>
      <c r="CF94" s="126">
        <f t="shared" si="158"/>
        <v>1416096.9131624813</v>
      </c>
      <c r="CG94" s="6">
        <f>(CF94-CF$82)/CF$82*100</f>
        <v>12.396767009457706</v>
      </c>
      <c r="CH94" s="49">
        <f>(CF94/CF91-1)*100</f>
        <v>0.74826120690587583</v>
      </c>
      <c r="CI94" s="39"/>
    </row>
    <row r="95" spans="1:87" x14ac:dyDescent="0.25">
      <c r="A95" s="20">
        <v>43861</v>
      </c>
      <c r="B95" s="24">
        <f t="shared" si="87"/>
        <v>80</v>
      </c>
      <c r="C95" s="297">
        <f>'LC (Gross)'!X257</f>
        <v>3.069928399101904</v>
      </c>
      <c r="D95" s="297">
        <v>0.29330000000000001</v>
      </c>
      <c r="E95" s="297">
        <f>'CRA (Gross)'!E95</f>
        <v>1.9244939999999999</v>
      </c>
      <c r="F95" s="297">
        <f>'CRA (Gross)'!F95</f>
        <v>0</v>
      </c>
      <c r="G95" s="39"/>
      <c r="H95" s="20">
        <f t="shared" si="146"/>
        <v>43861</v>
      </c>
      <c r="I95" s="27">
        <v>-7.782717905944421E-2</v>
      </c>
      <c r="J95" s="126">
        <f t="shared" ref="J95:J113" si="159">J94*I95/100+J94</f>
        <v>1768450.9089395693</v>
      </c>
      <c r="K95" s="6"/>
      <c r="L95" s="49"/>
      <c r="M95" s="17"/>
      <c r="N95" s="79"/>
      <c r="O95" s="20">
        <f t="shared" si="92"/>
        <v>43861</v>
      </c>
      <c r="P95" s="300">
        <f>78.4%*$C95+19.6%*$D95+0%*$E95+2%*$F95</f>
        <v>2.4643106648958928</v>
      </c>
      <c r="Q95" s="126">
        <f t="shared" ref="Q95" si="160">Q94*P95/100+Q94</f>
        <v>1746965.4729860255</v>
      </c>
      <c r="S95" s="49"/>
      <c r="T95" s="39"/>
      <c r="U95" s="20">
        <f t="shared" si="94"/>
        <v>43861</v>
      </c>
      <c r="V95" s="27">
        <v>0.40192091752525078</v>
      </c>
      <c r="W95" s="126">
        <f t="shared" ref="W95:W112" si="161">W94*V95/100+W94</f>
        <v>1657524.4249583161</v>
      </c>
      <c r="X95" s="8"/>
      <c r="Y95" s="49"/>
      <c r="AA95" s="79"/>
      <c r="AB95" s="20">
        <f t="shared" si="95"/>
        <v>43861</v>
      </c>
      <c r="AC95" s="300">
        <f>64%*$C95+16%*$D95+18%*$E95+2%*$F95</f>
        <v>2.3580910954252188</v>
      </c>
      <c r="AD95" s="126">
        <f t="shared" ref="AD95:AD97" si="162">AD94*AC95/100+AD94</f>
        <v>1621071.2369929308</v>
      </c>
      <c r="AE95" s="8"/>
      <c r="AF95" s="49"/>
      <c r="AG95" s="44"/>
      <c r="AH95" s="20">
        <f t="shared" si="97"/>
        <v>43861</v>
      </c>
      <c r="AI95" s="27">
        <v>0.73276228170474422</v>
      </c>
      <c r="AJ95" s="126">
        <f t="shared" ref="AJ95:AJ112" si="163">AJ94*AI95/100+AJ94</f>
        <v>1523464.1199741324</v>
      </c>
      <c r="AK95" s="8"/>
      <c r="AL95" s="49"/>
      <c r="AN95" s="79"/>
      <c r="AO95" s="20">
        <f t="shared" si="98"/>
        <v>43861</v>
      </c>
      <c r="AP95" s="300">
        <f>48%*$C95+12%*$D95+38%*$E95+2%*$F95</f>
        <v>2.2400693515689136</v>
      </c>
      <c r="AQ95" s="126">
        <f t="shared" ref="AQ95:AQ97" si="164">AQ94*AP95/100+AQ94</f>
        <v>1546595.3198682745</v>
      </c>
      <c r="AR95" s="8"/>
      <c r="AS95" s="49"/>
      <c r="AT95" s="39"/>
      <c r="AU95" s="20">
        <f t="shared" si="100"/>
        <v>43861</v>
      </c>
      <c r="AV95" s="27">
        <v>0.56558404438038046</v>
      </c>
      <c r="AW95" s="126">
        <f t="shared" ref="AW95:AW102" si="165">AW94*AV95/100+AW94</f>
        <v>1213721.1915194292</v>
      </c>
      <c r="AX95" s="8"/>
      <c r="AY95" s="49"/>
      <c r="AZ95" s="49"/>
      <c r="BA95" s="79"/>
      <c r="BB95" s="20">
        <f t="shared" si="101"/>
        <v>43861</v>
      </c>
      <c r="BC95" s="300">
        <f>24%*$C95+6%*$D95+68%*$E95+2%*$F95</f>
        <v>2.0630367357844568</v>
      </c>
      <c r="BD95" s="126">
        <f t="shared" ref="BD95:BD97" si="166">BD94*BC95/100+BD94</f>
        <v>1314043.4331147617</v>
      </c>
      <c r="BE95" s="8"/>
      <c r="BF95" s="49"/>
      <c r="BG95" s="39"/>
      <c r="BH95" s="20">
        <f t="shared" si="102"/>
        <v>43861</v>
      </c>
      <c r="BI95" s="27"/>
      <c r="BJ95" s="126">
        <f t="shared" si="84"/>
        <v>1000000</v>
      </c>
      <c r="BL95" s="49"/>
      <c r="BM95" s="49"/>
      <c r="BN95" s="79"/>
      <c r="BO95" s="20">
        <f t="shared" si="103"/>
        <v>43861</v>
      </c>
      <c r="BP95" s="300"/>
      <c r="BQ95" s="126">
        <f t="shared" si="46"/>
        <v>1000000</v>
      </c>
      <c r="BR95" s="8"/>
      <c r="BS95" s="49"/>
      <c r="BV95" s="39"/>
      <c r="BW95" s="20">
        <f t="shared" si="104"/>
        <v>43861</v>
      </c>
      <c r="BX95" s="27">
        <v>0.57915147075901563</v>
      </c>
      <c r="BY95" s="126">
        <f t="shared" ref="BY95:BY102" si="167">BY94*BX95/100+BY94</f>
        <v>1393689.2857725802</v>
      </c>
      <c r="BZ95" s="8"/>
      <c r="CA95" s="49"/>
      <c r="CC95" s="79"/>
      <c r="CD95" s="20">
        <f t="shared" si="105"/>
        <v>43861</v>
      </c>
      <c r="CE95" s="300">
        <f>36%*$C95+9%*$D95+53%*$E95+2%*$F95</f>
        <v>2.1515530436766852</v>
      </c>
      <c r="CF95" s="126">
        <f t="shared" ref="CF95:CF100" si="168">CF94*CE95/100+CF94</f>
        <v>1446564.9893990401</v>
      </c>
      <c r="CG95" s="8"/>
      <c r="CH95" s="49"/>
      <c r="CI95" s="39"/>
    </row>
    <row r="96" spans="1:87" x14ac:dyDescent="0.25">
      <c r="A96" s="20">
        <v>43890</v>
      </c>
      <c r="B96" s="24">
        <f t="shared" si="87"/>
        <v>81</v>
      </c>
      <c r="C96" s="297">
        <f>'LC (Gross)'!X258</f>
        <v>-9.528476049723249</v>
      </c>
      <c r="D96" s="297">
        <v>-8.1151</v>
      </c>
      <c r="E96" s="297">
        <f>'CRA (Gross)'!E96</f>
        <v>1.799966</v>
      </c>
      <c r="F96" s="297">
        <f>'CRA (Gross)'!F96</f>
        <v>0</v>
      </c>
      <c r="G96" s="39"/>
      <c r="H96" s="20">
        <f t="shared" si="146"/>
        <v>43890</v>
      </c>
      <c r="I96" s="27">
        <v>-8.0388529464361067</v>
      </c>
      <c r="J96" s="126">
        <f t="shared" si="159"/>
        <v>1626287.7409400046</v>
      </c>
      <c r="K96" s="8"/>
      <c r="L96" s="49"/>
      <c r="M96" s="17"/>
      <c r="N96" s="79"/>
      <c r="O96" s="20">
        <f t="shared" si="92"/>
        <v>43890</v>
      </c>
      <c r="P96" s="300">
        <f t="shared" ref="P96:P161" si="169">78.4%*$C96+19.6%*$D96+0%*$E96+2%*$F96</f>
        <v>-9.0608848229830272</v>
      </c>
      <c r="Q96" s="126">
        <f t="shared" ref="Q96:Q97" si="170">Q95*P96/100+Q95</f>
        <v>1588674.943581481</v>
      </c>
      <c r="R96" s="8"/>
      <c r="S96" s="5"/>
      <c r="T96" s="39"/>
      <c r="U96" s="20">
        <f t="shared" si="94"/>
        <v>43890</v>
      </c>
      <c r="V96" s="27">
        <v>-6.9351054096348532</v>
      </c>
      <c r="W96" s="126">
        <f t="shared" si="161"/>
        <v>1542573.3588970129</v>
      </c>
      <c r="X96" s="6"/>
      <c r="Y96" s="5"/>
      <c r="Z96" s="5"/>
      <c r="AA96" s="79"/>
      <c r="AB96" s="20">
        <f t="shared" si="95"/>
        <v>43890</v>
      </c>
      <c r="AC96" s="300">
        <f t="shared" ref="AC96:AC161" si="171">64%*$C96+16%*$D96+18%*$E96+2%*$F96</f>
        <v>-7.0726467918228799</v>
      </c>
      <c r="AD96" s="126">
        <f t="shared" si="162"/>
        <v>1506418.5941565868</v>
      </c>
      <c r="AE96" s="6"/>
      <c r="AG96" s="44"/>
      <c r="AH96" s="20">
        <f t="shared" si="97"/>
        <v>43890</v>
      </c>
      <c r="AI96" s="27">
        <v>-5.6099437603025697</v>
      </c>
      <c r="AJ96" s="126">
        <f t="shared" si="163"/>
        <v>1437998.639635195</v>
      </c>
      <c r="AK96" s="6"/>
      <c r="AN96" s="79"/>
      <c r="AO96" s="20">
        <f t="shared" si="98"/>
        <v>43890</v>
      </c>
      <c r="AP96" s="300">
        <f t="shared" ref="AP96:AP161" si="172">48%*$C96+12%*$D96+38%*$E96+2%*$F96</f>
        <v>-4.8634934238671592</v>
      </c>
      <c r="AQ96" s="126">
        <f t="shared" si="164"/>
        <v>1471376.7581926438</v>
      </c>
      <c r="AR96" s="6"/>
      <c r="AT96" s="39"/>
      <c r="AU96" s="20">
        <f t="shared" si="100"/>
        <v>43890</v>
      </c>
      <c r="AV96" s="27">
        <v>-2.035339160990461</v>
      </c>
      <c r="AW96" s="126">
        <f t="shared" si="165"/>
        <v>1189017.8488031942</v>
      </c>
      <c r="AX96" s="6"/>
      <c r="AZ96" s="49"/>
      <c r="BA96" s="79"/>
      <c r="BB96" s="20">
        <f t="shared" si="101"/>
        <v>43890</v>
      </c>
      <c r="BC96" s="300">
        <f t="shared" ref="BC96:BC161" si="173">24%*$C96+6%*$D96+68%*$E96+2%*$F96</f>
        <v>-1.5497633719335793</v>
      </c>
      <c r="BD96" s="126">
        <f t="shared" si="166"/>
        <v>1293678.8692970506</v>
      </c>
      <c r="BE96" s="6"/>
      <c r="BG96" s="39"/>
      <c r="BH96" s="20">
        <f t="shared" si="102"/>
        <v>43890</v>
      </c>
      <c r="BI96" s="27"/>
      <c r="BJ96" s="126">
        <f t="shared" si="84"/>
        <v>1000000</v>
      </c>
      <c r="BK96" s="8"/>
      <c r="BM96" s="49"/>
      <c r="BN96" s="79"/>
      <c r="BO96" s="20">
        <f t="shared" si="103"/>
        <v>43890</v>
      </c>
      <c r="BP96" s="300"/>
      <c r="BQ96" s="126">
        <f t="shared" si="46"/>
        <v>1000000</v>
      </c>
      <c r="BR96" s="6"/>
      <c r="BV96" s="39"/>
      <c r="BW96" s="20">
        <f t="shared" si="104"/>
        <v>43890</v>
      </c>
      <c r="BX96" s="27">
        <v>-2.1456880001489043</v>
      </c>
      <c r="BY96" s="126">
        <f t="shared" si="167"/>
        <v>1363785.062008397</v>
      </c>
      <c r="BZ96" s="6"/>
      <c r="CC96" s="79"/>
      <c r="CD96" s="20">
        <f t="shared" si="105"/>
        <v>43890</v>
      </c>
      <c r="CE96" s="300">
        <f t="shared" ref="CE96:CE154" si="174">36%*$C96+9%*$D96+53%*$E96+2%*$F96</f>
        <v>-3.2066283979003689</v>
      </c>
      <c r="CF96" s="126">
        <f t="shared" si="168"/>
        <v>1400179.0256548862</v>
      </c>
      <c r="CG96" s="6"/>
      <c r="CI96" s="39"/>
    </row>
    <row r="97" spans="1:88" x14ac:dyDescent="0.25">
      <c r="A97" s="20">
        <v>43921</v>
      </c>
      <c r="B97" s="24">
        <f t="shared" si="87"/>
        <v>82</v>
      </c>
      <c r="C97" s="297">
        <f>'LC (Gross)'!X259</f>
        <v>-13.104456212566202</v>
      </c>
      <c r="D97" s="297">
        <v>-9.2467000000000006</v>
      </c>
      <c r="E97" s="297">
        <f>'CRA (Gross)'!E97</f>
        <v>-0.58865829999999997</v>
      </c>
      <c r="F97" s="297">
        <f>'CRA (Gross)'!F97</f>
        <v>0</v>
      </c>
      <c r="G97" s="39"/>
      <c r="H97" s="20">
        <f t="shared" si="146"/>
        <v>43921</v>
      </c>
      <c r="I97" s="27">
        <v>-14.31294771523911</v>
      </c>
      <c r="J97" s="126">
        <f t="shared" si="159"/>
        <v>1393518.0268799185</v>
      </c>
      <c r="K97" s="6"/>
      <c r="L97" s="49">
        <f>(J97/J94-1)*100</f>
        <v>-21.262530722729</v>
      </c>
      <c r="M97" s="17"/>
      <c r="N97" s="79"/>
      <c r="O97" s="20">
        <f t="shared" si="92"/>
        <v>43921</v>
      </c>
      <c r="P97" s="300">
        <f t="shared" si="169"/>
        <v>-12.086246870651904</v>
      </c>
      <c r="Q97" s="126">
        <f t="shared" si="170"/>
        <v>1396663.7679280334</v>
      </c>
      <c r="R97" s="6"/>
      <c r="S97" s="49">
        <f>(Q97/Q94-1)*100</f>
        <v>-18.081843960675215</v>
      </c>
      <c r="T97" s="39"/>
      <c r="U97" s="20">
        <f t="shared" si="94"/>
        <v>43921</v>
      </c>
      <c r="V97" s="27">
        <v>-12.150205829582585</v>
      </c>
      <c r="W97" s="126">
        <f t="shared" si="161"/>
        <v>1355147.52071872</v>
      </c>
      <c r="X97" s="8"/>
      <c r="Y97" s="49">
        <f>(W97/W94-1)*100</f>
        <v>-17.914081893421873</v>
      </c>
      <c r="AA97" s="79"/>
      <c r="AB97" s="20">
        <f t="shared" si="95"/>
        <v>43921</v>
      </c>
      <c r="AC97" s="300">
        <f t="shared" si="171"/>
        <v>-9.9722824700423676</v>
      </c>
      <c r="AD97" s="126">
        <f t="shared" si="162"/>
        <v>1356194.2767660508</v>
      </c>
      <c r="AE97" s="8"/>
      <c r="AF97" s="49">
        <f>(AD97/AD94-1)*100</f>
        <v>-14.366837091120921</v>
      </c>
      <c r="AG97" s="44"/>
      <c r="AH97" s="20">
        <f t="shared" si="97"/>
        <v>43921</v>
      </c>
      <c r="AI97" s="27">
        <v>-10.061263828433226</v>
      </c>
      <c r="AJ97" s="126">
        <f t="shared" si="163"/>
        <v>1293317.8026522172</v>
      </c>
      <c r="AK97" s="8"/>
      <c r="AL97" s="49">
        <f>(AJ97/AJ94-1)*100</f>
        <v>-14.484710823728086</v>
      </c>
      <c r="AN97" s="79"/>
      <c r="AO97" s="20">
        <f t="shared" si="98"/>
        <v>43921</v>
      </c>
      <c r="AP97" s="300">
        <f t="shared" si="172"/>
        <v>-7.6234331360317764</v>
      </c>
      <c r="AQ97" s="126">
        <f t="shared" si="164"/>
        <v>1359207.3348527155</v>
      </c>
      <c r="AR97" s="8"/>
      <c r="AS97" s="49">
        <f>(AQ97/AQ94-1)*100</f>
        <v>-10.147502456984903</v>
      </c>
      <c r="AT97" s="39"/>
      <c r="AU97" s="20">
        <f t="shared" si="100"/>
        <v>43921</v>
      </c>
      <c r="AV97" s="27">
        <v>-4.2891682813308112</v>
      </c>
      <c r="AW97" s="126">
        <f t="shared" si="165"/>
        <v>1138018.8723729658</v>
      </c>
      <c r="AX97" s="8"/>
      <c r="AY97" s="49">
        <f>(AW97/AW94-1)*100</f>
        <v>-5.706900931306313</v>
      </c>
      <c r="AZ97" s="49"/>
      <c r="BA97" s="79"/>
      <c r="BB97" s="20">
        <f t="shared" si="101"/>
        <v>43921</v>
      </c>
      <c r="BC97" s="300">
        <f t="shared" si="173"/>
        <v>-4.1001591350158879</v>
      </c>
      <c r="BD97" s="126">
        <f t="shared" si="166"/>
        <v>1240635.9769597973</v>
      </c>
      <c r="BE97" s="8"/>
      <c r="BF97" s="49">
        <f>(BD97/BD94-1)*100</f>
        <v>-3.6385920729874122</v>
      </c>
      <c r="BG97" s="39"/>
      <c r="BH97" s="20">
        <f t="shared" si="102"/>
        <v>43921</v>
      </c>
      <c r="BI97" s="27"/>
      <c r="BJ97" s="126">
        <f t="shared" si="84"/>
        <v>1000000</v>
      </c>
      <c r="BK97" s="6"/>
      <c r="BL97" s="49">
        <f>(BJ97/BJ94-1)*100</f>
        <v>0</v>
      </c>
      <c r="BM97" s="49"/>
      <c r="BN97" s="79"/>
      <c r="BO97" s="20">
        <f t="shared" si="103"/>
        <v>43921</v>
      </c>
      <c r="BP97" s="300"/>
      <c r="BQ97" s="126">
        <f t="shared" si="46"/>
        <v>1000000</v>
      </c>
      <c r="BR97" s="8"/>
      <c r="BS97" s="49">
        <f>(BQ97/BQ94-1)*100</f>
        <v>0</v>
      </c>
      <c r="BV97" s="39"/>
      <c r="BW97" s="20">
        <f t="shared" si="104"/>
        <v>43921</v>
      </c>
      <c r="BX97" s="27">
        <v>-5.3347446499380329</v>
      </c>
      <c r="BY97" s="126">
        <f t="shared" si="167"/>
        <v>1291030.6113762499</v>
      </c>
      <c r="BZ97" s="8"/>
      <c r="CA97" s="49">
        <f>(BY97/BY94-1)*100</f>
        <v>-6.8294743020739013</v>
      </c>
      <c r="CC97" s="79"/>
      <c r="CD97" s="20">
        <f t="shared" si="105"/>
        <v>43921</v>
      </c>
      <c r="CE97" s="300">
        <f t="shared" si="174"/>
        <v>-5.8617961355238322</v>
      </c>
      <c r="CF97" s="126">
        <f t="shared" si="168"/>
        <v>1318103.3856386328</v>
      </c>
      <c r="CG97" s="8"/>
      <c r="CH97" s="49">
        <f>(CF97/CF94-1)*100</f>
        <v>-6.9199732456873715</v>
      </c>
      <c r="CI97" s="39"/>
      <c r="CJ97" s="1"/>
    </row>
    <row r="98" spans="1:88" x14ac:dyDescent="0.25">
      <c r="A98" s="20">
        <v>43951</v>
      </c>
      <c r="B98" s="24">
        <f t="shared" ref="B98:B101" si="175">IF(A98&gt;A97,1+B97,"-")</f>
        <v>83</v>
      </c>
      <c r="C98" s="297">
        <f>'LC (Gross)'!X260</f>
        <v>6.7019478266053332</v>
      </c>
      <c r="D98" s="297">
        <v>4.2572000000000001</v>
      </c>
      <c r="E98" s="297">
        <f>'CRA (Gross)'!E98</f>
        <v>1.7777390470795722</v>
      </c>
      <c r="F98" s="297">
        <f>'CRA (Gross)'!F98</f>
        <v>0</v>
      </c>
      <c r="G98" s="39"/>
      <c r="H98" s="20">
        <f t="shared" si="146"/>
        <v>43951</v>
      </c>
      <c r="I98" s="27">
        <v>7.0742873282906089</v>
      </c>
      <c r="J98" s="126">
        <f t="shared" si="159"/>
        <v>1492099.4960729298</v>
      </c>
      <c r="K98" s="8"/>
      <c r="M98" s="17"/>
      <c r="N98" s="79"/>
      <c r="O98" s="20">
        <f t="shared" si="92"/>
        <v>43951</v>
      </c>
      <c r="P98" s="300">
        <f t="shared" si="169"/>
        <v>6.0887382960585814</v>
      </c>
      <c r="Q98" s="126">
        <f t="shared" ref="Q98:Q100" si="176">Q97*P98/100+Q97</f>
        <v>1481702.9696330423</v>
      </c>
      <c r="R98" s="8"/>
      <c r="T98" s="39"/>
      <c r="U98" s="20">
        <f t="shared" si="94"/>
        <v>43951</v>
      </c>
      <c r="V98" s="27">
        <v>6.541432920501232</v>
      </c>
      <c r="W98" s="126">
        <f t="shared" si="161"/>
        <v>1443793.5867603705</v>
      </c>
      <c r="X98" s="11"/>
      <c r="AA98" s="79"/>
      <c r="AB98" s="20">
        <f t="shared" si="95"/>
        <v>43951</v>
      </c>
      <c r="AC98" s="300">
        <f t="shared" si="171"/>
        <v>5.2903916375017364</v>
      </c>
      <c r="AD98" s="126">
        <f t="shared" ref="AD98:AD100" si="177">AD97*AC98/100+AD97</f>
        <v>1427942.2653723592</v>
      </c>
      <c r="AE98" s="11"/>
      <c r="AG98" s="44"/>
      <c r="AH98" s="20">
        <f t="shared" si="97"/>
        <v>43951</v>
      </c>
      <c r="AI98" s="27">
        <v>5.2505219229542579</v>
      </c>
      <c r="AJ98" s="126">
        <f t="shared" si="163"/>
        <v>1361223.7374139421</v>
      </c>
      <c r="AK98" s="11"/>
      <c r="AN98" s="79"/>
      <c r="AO98" s="20">
        <f t="shared" si="98"/>
        <v>43951</v>
      </c>
      <c r="AP98" s="300">
        <f t="shared" si="172"/>
        <v>4.4033397946607966</v>
      </c>
      <c r="AQ98" s="126">
        <f t="shared" ref="AQ98:AQ100" si="178">AQ97*AP98/100+AQ97</f>
        <v>1419057.8523202336</v>
      </c>
      <c r="AR98" s="11"/>
      <c r="AT98" s="39"/>
      <c r="AU98" s="20">
        <f t="shared" si="100"/>
        <v>43951</v>
      </c>
      <c r="AV98" s="27">
        <v>2.6499677117048037</v>
      </c>
      <c r="AW98" s="126">
        <f t="shared" si="165"/>
        <v>1168176.0050439565</v>
      </c>
      <c r="AX98" s="11"/>
      <c r="AZ98" s="49"/>
      <c r="BA98" s="79"/>
      <c r="BB98" s="20">
        <f t="shared" si="101"/>
        <v>43951</v>
      </c>
      <c r="BC98" s="300">
        <f t="shared" si="173"/>
        <v>3.0727620303993888</v>
      </c>
      <c r="BD98" s="126">
        <f t="shared" ref="BD98:BD101" si="179">BD97*BC98/100+BD97</f>
        <v>1278757.7681952924</v>
      </c>
      <c r="BE98" s="11"/>
      <c r="BG98" s="39"/>
      <c r="BH98" s="20">
        <f t="shared" si="102"/>
        <v>43951</v>
      </c>
      <c r="BI98" s="27">
        <v>1.6584185433296099</v>
      </c>
      <c r="BJ98" s="126">
        <f t="shared" si="84"/>
        <v>1016584.1854332961</v>
      </c>
      <c r="BK98" s="8"/>
      <c r="BM98" s="49"/>
      <c r="BN98" s="79"/>
      <c r="BO98" s="20">
        <f t="shared" si="103"/>
        <v>43951</v>
      </c>
      <c r="BP98" s="300">
        <f t="shared" ref="BP98:BP105" si="180">12%*$C98+3%*$D98+83%*$E98+2%*$F98</f>
        <v>2.4074731482686849</v>
      </c>
      <c r="BQ98" s="126">
        <f t="shared" si="46"/>
        <v>1024074.7314826868</v>
      </c>
      <c r="BR98" s="11"/>
      <c r="BV98" s="39"/>
      <c r="BW98" s="20">
        <f t="shared" si="104"/>
        <v>43951</v>
      </c>
      <c r="BX98" s="27">
        <v>3.3718339004885918</v>
      </c>
      <c r="BY98" s="126">
        <f t="shared" si="167"/>
        <v>1334562.0191963194</v>
      </c>
      <c r="BZ98" s="11"/>
      <c r="CC98" s="79"/>
      <c r="CD98" s="20">
        <f t="shared" si="105"/>
        <v>43951</v>
      </c>
      <c r="CE98" s="300">
        <f t="shared" si="174"/>
        <v>3.7380509125300931</v>
      </c>
      <c r="CF98" s="126">
        <f t="shared" si="168"/>
        <v>1367374.7612735878</v>
      </c>
      <c r="CG98" s="11"/>
      <c r="CI98" s="39"/>
      <c r="CJ98" s="1"/>
    </row>
    <row r="99" spans="1:88" x14ac:dyDescent="0.25">
      <c r="A99" s="20">
        <v>43982</v>
      </c>
      <c r="B99" s="24">
        <f t="shared" si="175"/>
        <v>84</v>
      </c>
      <c r="C99" s="297">
        <f>'LC (Gross)'!X261</f>
        <v>0.3919731794172584</v>
      </c>
      <c r="D99" s="297">
        <v>1.6854</v>
      </c>
      <c r="E99" s="297">
        <f>'CRA (Gross)'!E99</f>
        <v>0.46535522400838625</v>
      </c>
      <c r="F99" s="297">
        <f>'CRA (Gross)'!F99</f>
        <v>0</v>
      </c>
      <c r="G99" s="39"/>
      <c r="H99" s="20">
        <f t="shared" si="146"/>
        <v>43982</v>
      </c>
      <c r="I99" s="27">
        <v>5.2072055215057382</v>
      </c>
      <c r="J99" s="126">
        <f t="shared" si="159"/>
        <v>1569796.1834187987</v>
      </c>
      <c r="K99" s="11"/>
      <c r="L99" s="49"/>
      <c r="M99" s="17"/>
      <c r="N99" s="79"/>
      <c r="O99" s="20">
        <f t="shared" si="92"/>
        <v>43982</v>
      </c>
      <c r="P99" s="300">
        <f t="shared" si="169"/>
        <v>0.63764537266313059</v>
      </c>
      <c r="Q99" s="126">
        <f t="shared" si="176"/>
        <v>1491150.9800555196</v>
      </c>
      <c r="R99" s="11"/>
      <c r="S99" s="5"/>
      <c r="T99" s="39"/>
      <c r="U99" s="20">
        <f t="shared" si="94"/>
        <v>43982</v>
      </c>
      <c r="V99" s="27">
        <v>4.4018437741088983</v>
      </c>
      <c r="W99" s="126">
        <f t="shared" si="161"/>
        <v>1507347.1248701655</v>
      </c>
      <c r="X99" s="6"/>
      <c r="Y99" s="5"/>
      <c r="Z99" s="5"/>
      <c r="AA99" s="79"/>
      <c r="AB99" s="20">
        <f t="shared" si="95"/>
        <v>43982</v>
      </c>
      <c r="AC99" s="300">
        <f t="shared" si="171"/>
        <v>0.60429077514855489</v>
      </c>
      <c r="AD99" s="126">
        <f t="shared" si="177"/>
        <v>1436571.1887564517</v>
      </c>
      <c r="AE99" s="6"/>
      <c r="AG99" s="44"/>
      <c r="AH99" s="20">
        <f t="shared" si="97"/>
        <v>43982</v>
      </c>
      <c r="AI99" s="27">
        <v>3.7220741457527149</v>
      </c>
      <c r="AJ99" s="126">
        <f t="shared" si="163"/>
        <v>1411889.4942100754</v>
      </c>
      <c r="AK99" s="6"/>
      <c r="AN99" s="79"/>
      <c r="AO99" s="20">
        <f t="shared" si="98"/>
        <v>43982</v>
      </c>
      <c r="AP99" s="300">
        <f t="shared" si="172"/>
        <v>0.56723011124347078</v>
      </c>
      <c r="AQ99" s="126">
        <f t="shared" si="178"/>
        <v>1427107.1757545588</v>
      </c>
      <c r="AR99" s="6"/>
      <c r="AT99" s="39"/>
      <c r="AU99" s="20">
        <f t="shared" si="100"/>
        <v>43982</v>
      </c>
      <c r="AV99" s="27">
        <v>2.1108725213037087</v>
      </c>
      <c r="AW99" s="126">
        <f t="shared" si="165"/>
        <v>1192834.7113348928</v>
      </c>
      <c r="AX99" s="6"/>
      <c r="BA99" s="79"/>
      <c r="BB99" s="20">
        <f t="shared" si="101"/>
        <v>43982</v>
      </c>
      <c r="BC99" s="300">
        <f t="shared" si="173"/>
        <v>0.51163911538584461</v>
      </c>
      <c r="BD99" s="126">
        <f t="shared" si="179"/>
        <v>1285300.3931284146</v>
      </c>
      <c r="BE99" s="6"/>
      <c r="BG99" s="39"/>
      <c r="BH99" s="20">
        <f t="shared" si="102"/>
        <v>43982</v>
      </c>
      <c r="BI99" s="27">
        <v>1.2122702016561964</v>
      </c>
      <c r="BJ99" s="126">
        <f t="shared" si="84"/>
        <v>1028907.9325880534</v>
      </c>
      <c r="BK99" s="11"/>
      <c r="BN99" s="79"/>
      <c r="BO99" s="20">
        <f t="shared" si="103"/>
        <v>43982</v>
      </c>
      <c r="BP99" s="300">
        <f t="shared" si="180"/>
        <v>0.48384361745703158</v>
      </c>
      <c r="BQ99" s="126">
        <f t="shared" si="46"/>
        <v>1029029.651708956</v>
      </c>
      <c r="BR99" s="6"/>
      <c r="BV99" s="39"/>
      <c r="BW99" s="20">
        <f t="shared" si="104"/>
        <v>43982</v>
      </c>
      <c r="BX99" s="27">
        <v>2.4276389849520639</v>
      </c>
      <c r="BY99" s="126">
        <f t="shared" si="167"/>
        <v>1366960.3670526927</v>
      </c>
      <c r="BZ99" s="6"/>
      <c r="CC99" s="79"/>
      <c r="CD99" s="20">
        <f t="shared" si="105"/>
        <v>43982</v>
      </c>
      <c r="CE99" s="300">
        <f t="shared" si="174"/>
        <v>0.5394346133146577</v>
      </c>
      <c r="CF99" s="126">
        <f t="shared" si="168"/>
        <v>1374750.8540296261</v>
      </c>
      <c r="CG99" s="6"/>
      <c r="CI99" s="39"/>
      <c r="CJ99" s="1"/>
    </row>
    <row r="100" spans="1:88" x14ac:dyDescent="0.25">
      <c r="A100" s="20">
        <v>44012</v>
      </c>
      <c r="B100" s="24">
        <f t="shared" si="175"/>
        <v>85</v>
      </c>
      <c r="C100" s="297">
        <f>'LC (Gross)'!X262</f>
        <v>-0.38408277505518656</v>
      </c>
      <c r="D100" s="297">
        <v>1.1459999999999999</v>
      </c>
      <c r="E100" s="297">
        <f>'CRA (Gross)'!E100</f>
        <v>0.63024135815096904</v>
      </c>
      <c r="F100" s="297">
        <f>'CRA (Gross)'!F100</f>
        <v>0</v>
      </c>
      <c r="G100" s="39"/>
      <c r="H100" s="20">
        <f t="shared" si="146"/>
        <v>44012</v>
      </c>
      <c r="I100" s="27">
        <v>0.47635206130102903</v>
      </c>
      <c r="J100" s="126">
        <f t="shared" si="159"/>
        <v>1577273.9398967391</v>
      </c>
      <c r="K100" s="6"/>
      <c r="L100" s="49">
        <f>(J100/J97-1)*100</f>
        <v>13.186475486668026</v>
      </c>
      <c r="M100" s="17"/>
      <c r="N100" s="79"/>
      <c r="O100" s="20">
        <f t="shared" si="92"/>
        <v>44012</v>
      </c>
      <c r="P100" s="300">
        <f t="shared" si="169"/>
        <v>-7.6504895643266291E-2</v>
      </c>
      <c r="Q100" s="126">
        <f t="shared" si="176"/>
        <v>1490010.1765543446</v>
      </c>
      <c r="R100" s="6"/>
      <c r="S100" s="49">
        <f>(Q100/Q97-1)*100</f>
        <v>6.6835276155829293</v>
      </c>
      <c r="T100" s="39"/>
      <c r="U100" s="20">
        <f t="shared" si="94"/>
        <v>44012</v>
      </c>
      <c r="V100" s="27">
        <v>0.50944802463087135</v>
      </c>
      <c r="W100" s="126">
        <f t="shared" si="161"/>
        <v>1515026.2750221468</v>
      </c>
      <c r="X100" s="6"/>
      <c r="Y100" s="49">
        <f>(W100/W97-1)*100</f>
        <v>11.797885607216617</v>
      </c>
      <c r="AA100" s="79"/>
      <c r="AB100" s="20">
        <f t="shared" si="95"/>
        <v>44012</v>
      </c>
      <c r="AC100" s="300">
        <f t="shared" si="171"/>
        <v>5.0990468431855021E-2</v>
      </c>
      <c r="AD100" s="126">
        <f t="shared" si="177"/>
        <v>1437303.7031349556</v>
      </c>
      <c r="AE100" s="6"/>
      <c r="AF100" s="49">
        <f>(AD100/AD97-1)*100</f>
        <v>5.9806642572121982</v>
      </c>
      <c r="AG100" s="44"/>
      <c r="AH100" s="20">
        <f t="shared" si="97"/>
        <v>44012</v>
      </c>
      <c r="AI100" s="27">
        <v>0.50942258637514382</v>
      </c>
      <c r="AJ100" s="126">
        <f t="shared" si="163"/>
        <v>1419081.9781882393</v>
      </c>
      <c r="AK100" s="6"/>
      <c r="AL100" s="49">
        <f>(AJ100/AJ97-1)*100</f>
        <v>9.7241509610489061</v>
      </c>
      <c r="AN100" s="79"/>
      <c r="AO100" s="20">
        <f t="shared" si="98"/>
        <v>44012</v>
      </c>
      <c r="AP100" s="300">
        <f t="shared" si="172"/>
        <v>0.19265198407087869</v>
      </c>
      <c r="AQ100" s="126">
        <f t="shared" si="178"/>
        <v>1429856.5260434677</v>
      </c>
      <c r="AR100" s="6"/>
      <c r="AS100" s="49">
        <f>(AQ100/AQ97-1)*100</f>
        <v>5.1978229795535791</v>
      </c>
      <c r="AT100" s="39"/>
      <c r="AU100" s="20">
        <f t="shared" si="100"/>
        <v>44012</v>
      </c>
      <c r="AV100" s="27">
        <v>0.40290692834352732</v>
      </c>
      <c r="AW100" s="126">
        <f t="shared" si="165"/>
        <v>1197640.7250305475</v>
      </c>
      <c r="AX100" s="6"/>
      <c r="AY100" s="49">
        <f>(AW100/AW97-1)*100</f>
        <v>5.239091732570289</v>
      </c>
      <c r="BA100" s="79"/>
      <c r="BB100" s="20">
        <f t="shared" si="101"/>
        <v>44012</v>
      </c>
      <c r="BC100" s="300">
        <f t="shared" si="173"/>
        <v>0.40514425752941419</v>
      </c>
      <c r="BD100" s="126">
        <f t="shared" si="179"/>
        <v>1290507.7138631775</v>
      </c>
      <c r="BE100" s="6"/>
      <c r="BF100" s="49">
        <f>(BD100/BD97-1)*100</f>
        <v>4.0198525457557421</v>
      </c>
      <c r="BG100" s="39"/>
      <c r="BH100" s="20">
        <f t="shared" si="102"/>
        <v>44012</v>
      </c>
      <c r="BI100" s="27">
        <v>0.4943632137166098</v>
      </c>
      <c r="BJ100" s="126">
        <f t="shared" si="84"/>
        <v>1033994.4749097808</v>
      </c>
      <c r="BK100" s="6"/>
      <c r="BL100" s="49">
        <f>(BJ100/BJ97-1)*100</f>
        <v>3.3994474909780692</v>
      </c>
      <c r="BN100" s="79"/>
      <c r="BO100" s="20">
        <f t="shared" si="103"/>
        <v>44012</v>
      </c>
      <c r="BP100" s="300">
        <f t="shared" si="180"/>
        <v>0.51139039425868194</v>
      </c>
      <c r="BQ100" s="126">
        <f t="shared" si="46"/>
        <v>1034292.0105018691</v>
      </c>
      <c r="BR100" s="6"/>
      <c r="BS100" s="49">
        <f>(BQ100/BQ97-1)*100</f>
        <v>3.4292010501869141</v>
      </c>
      <c r="BV100" s="39"/>
      <c r="BW100" s="20">
        <f t="shared" si="104"/>
        <v>44012</v>
      </c>
      <c r="BX100" s="27">
        <v>0.46938474670862873</v>
      </c>
      <c r="BY100" s="126">
        <f t="shared" si="167"/>
        <v>1373376.6705091903</v>
      </c>
      <c r="BZ100" s="6"/>
      <c r="CA100" s="49">
        <f>(BY100/BY97-1)*100</f>
        <v>6.3783196469027859</v>
      </c>
      <c r="CC100" s="79"/>
      <c r="CD100" s="20">
        <f t="shared" si="105"/>
        <v>44012</v>
      </c>
      <c r="CE100" s="300">
        <f t="shared" si="174"/>
        <v>0.29889812080014644</v>
      </c>
      <c r="CF100" s="126">
        <f t="shared" si="168"/>
        <v>1378859.9584980046</v>
      </c>
      <c r="CG100" s="6"/>
      <c r="CH100" s="49">
        <f>(CF100/CF97-1)*100</f>
        <v>4.6093935818194431</v>
      </c>
      <c r="CI100" s="39"/>
      <c r="CJ100" s="1"/>
    </row>
    <row r="101" spans="1:88" x14ac:dyDescent="0.25">
      <c r="A101" s="20">
        <v>44043</v>
      </c>
      <c r="B101" s="24">
        <f t="shared" si="175"/>
        <v>86</v>
      </c>
      <c r="C101" s="297">
        <f>'LC (Gross)'!X263</f>
        <v>7.4400817614423431</v>
      </c>
      <c r="D101" s="297">
        <v>1.3186</v>
      </c>
      <c r="E101" s="297">
        <f>'CRA (Gross)'!E101</f>
        <v>1.4935359155794377</v>
      </c>
      <c r="F101" s="297">
        <f>'CRA (Gross)'!F101</f>
        <v>0</v>
      </c>
      <c r="G101" s="39"/>
      <c r="H101" s="20">
        <f t="shared" si="146"/>
        <v>44043</v>
      </c>
      <c r="I101" s="27">
        <v>5.3271555907184558</v>
      </c>
      <c r="J101" s="126">
        <f t="shared" si="159"/>
        <v>1661297.7767668935</v>
      </c>
      <c r="K101" s="6"/>
      <c r="M101" s="17"/>
      <c r="N101" s="79"/>
      <c r="O101" s="20">
        <f t="shared" si="92"/>
        <v>44043</v>
      </c>
      <c r="P101" s="300">
        <f t="shared" si="169"/>
        <v>6.091469700970797</v>
      </c>
      <c r="Q101" s="126">
        <f t="shared" ref="Q101" si="181">Q100*P101/100+Q100</f>
        <v>1580773.6950005339</v>
      </c>
      <c r="R101" s="6"/>
      <c r="T101" s="39"/>
      <c r="U101" s="20">
        <f t="shared" si="94"/>
        <v>44043</v>
      </c>
      <c r="V101" s="27">
        <v>4.625837448907764</v>
      </c>
      <c r="W101" s="126">
        <f t="shared" si="161"/>
        <v>1585108.9278129134</v>
      </c>
      <c r="X101" s="6"/>
      <c r="AA101" s="79"/>
      <c r="AB101" s="20">
        <f t="shared" si="95"/>
        <v>44043</v>
      </c>
      <c r="AC101" s="300">
        <f t="shared" si="171"/>
        <v>5.241464792127398</v>
      </c>
      <c r="AD101" s="126">
        <f t="shared" ref="AD101" si="182">AD100*AC101/100+AD100</f>
        <v>1512639.4706907177</v>
      </c>
      <c r="AE101" s="6"/>
      <c r="AG101" s="44"/>
      <c r="AH101" s="20">
        <f t="shared" si="97"/>
        <v>44043</v>
      </c>
      <c r="AI101" s="27">
        <v>3.9650491082039747</v>
      </c>
      <c r="AJ101" s="126">
        <f t="shared" si="163"/>
        <v>1475349.2755090753</v>
      </c>
      <c r="AK101" s="6"/>
      <c r="AN101" s="79"/>
      <c r="AO101" s="20">
        <f t="shared" si="98"/>
        <v>44043</v>
      </c>
      <c r="AP101" s="300">
        <f t="shared" si="172"/>
        <v>4.297014893412511</v>
      </c>
      <c r="AQ101" s="126">
        <f t="shared" ref="AQ101" si="183">AQ100*AP101/100+AQ100</f>
        <v>1491297.6739219863</v>
      </c>
      <c r="AR101" s="6"/>
      <c r="AT101" s="39"/>
      <c r="AU101" s="20">
        <f t="shared" si="100"/>
        <v>44043</v>
      </c>
      <c r="AV101" s="27">
        <v>2.0097218242463386</v>
      </c>
      <c r="AW101" s="126">
        <f t="shared" si="165"/>
        <v>1221709.9720575484</v>
      </c>
      <c r="AX101" s="6"/>
      <c r="BA101" s="79"/>
      <c r="BB101" s="20">
        <f t="shared" si="101"/>
        <v>44043</v>
      </c>
      <c r="BC101" s="300">
        <f t="shared" si="173"/>
        <v>2.88034004534018</v>
      </c>
      <c r="BD101" s="126">
        <f t="shared" si="179"/>
        <v>1327678.7243337827</v>
      </c>
      <c r="BE101" s="6"/>
      <c r="BG101" s="39"/>
      <c r="BH101" s="20">
        <f t="shared" si="102"/>
        <v>44043</v>
      </c>
      <c r="BI101" s="27">
        <v>1.7616514628412701</v>
      </c>
      <c r="BJ101" s="126">
        <f t="shared" si="84"/>
        <v>1052209.8537027268</v>
      </c>
      <c r="BK101" s="6"/>
      <c r="BN101" s="79"/>
      <c r="BO101" s="20">
        <f t="shared" si="103"/>
        <v>44043</v>
      </c>
      <c r="BP101" s="300">
        <f t="shared" si="180"/>
        <v>2.1720026213040144</v>
      </c>
      <c r="BQ101" s="126">
        <f t="shared" si="46"/>
        <v>1056756.8600819078</v>
      </c>
      <c r="BR101" s="6"/>
      <c r="BV101" s="39"/>
      <c r="BW101" s="20">
        <f t="shared" si="104"/>
        <v>44043</v>
      </c>
      <c r="BX101" s="27">
        <v>2.6116244901109238</v>
      </c>
      <c r="BY101" s="126">
        <f t="shared" si="167"/>
        <v>1409244.1119776783</v>
      </c>
      <c r="BZ101" s="6"/>
      <c r="CC101" s="79"/>
      <c r="CD101" s="20">
        <f t="shared" si="105"/>
        <v>44043</v>
      </c>
      <c r="CE101" s="300">
        <f t="shared" si="174"/>
        <v>3.5886774693763455</v>
      </c>
      <c r="CF101" s="126">
        <f t="shared" ref="CF101" si="184">CF100*CE101/100+CF100</f>
        <v>1428342.7951628745</v>
      </c>
      <c r="CG101" s="6"/>
      <c r="CI101" s="39"/>
      <c r="CJ101" s="1"/>
    </row>
    <row r="102" spans="1:88" x14ac:dyDescent="0.25">
      <c r="A102" s="20">
        <v>44074</v>
      </c>
      <c r="B102" s="24">
        <f t="shared" si="87"/>
        <v>87</v>
      </c>
      <c r="C102" s="297">
        <f>'LC (Gross)'!X264</f>
        <v>2.8808460459977199</v>
      </c>
      <c r="D102" s="297">
        <v>3.6036000000000001</v>
      </c>
      <c r="E102" s="297">
        <f>'CRA (Gross)'!E102</f>
        <v>-0.80733317200578947</v>
      </c>
      <c r="F102" s="297">
        <f>'CRA (Gross)'!F102</f>
        <v>0</v>
      </c>
      <c r="G102" s="39"/>
      <c r="H102" s="20">
        <f t="shared" si="146"/>
        <v>44074</v>
      </c>
      <c r="I102" s="27">
        <v>3.5754635585251964</v>
      </c>
      <c r="J102" s="126">
        <f t="shared" si="159"/>
        <v>1720696.873373783</v>
      </c>
      <c r="K102" s="6"/>
      <c r="L102" s="49"/>
      <c r="M102" s="17"/>
      <c r="N102" s="79"/>
      <c r="O102" s="20">
        <f t="shared" si="92"/>
        <v>44074</v>
      </c>
      <c r="P102" s="300">
        <f t="shared" si="169"/>
        <v>2.9648889000622125</v>
      </c>
      <c r="Q102" s="126">
        <f t="shared" ref="Q102" si="185">Q101*P102/100+Q101</f>
        <v>1627641.878818708</v>
      </c>
      <c r="R102" s="6"/>
      <c r="S102" s="5"/>
      <c r="T102" s="39"/>
      <c r="U102" s="20">
        <f t="shared" si="94"/>
        <v>44074</v>
      </c>
      <c r="V102" s="27">
        <v>3.1326818191138104</v>
      </c>
      <c r="W102" s="126">
        <f t="shared" si="161"/>
        <v>1634765.3470076583</v>
      </c>
      <c r="X102" s="6"/>
      <c r="Y102" s="5"/>
      <c r="Z102" s="5"/>
      <c r="AA102" s="79"/>
      <c r="AB102" s="20">
        <f t="shared" si="95"/>
        <v>44074</v>
      </c>
      <c r="AC102" s="300">
        <f t="shared" si="171"/>
        <v>2.2749974984774988</v>
      </c>
      <c r="AD102" s="126">
        <f t="shared" ref="AD102" si="186">AD101*AC102/100+AD101</f>
        <v>1547051.9808099149</v>
      </c>
      <c r="AE102" s="6"/>
      <c r="AG102" s="44"/>
      <c r="AH102" s="20">
        <f t="shared" si="97"/>
        <v>44074</v>
      </c>
      <c r="AI102" s="27">
        <v>2.5865892975649816</v>
      </c>
      <c r="AJ102" s="126">
        <f t="shared" si="163"/>
        <v>1513510.5019710956</v>
      </c>
      <c r="AK102" s="6"/>
      <c r="AN102" s="79"/>
      <c r="AO102" s="20">
        <f t="shared" si="98"/>
        <v>44074</v>
      </c>
      <c r="AP102" s="300">
        <f t="shared" si="172"/>
        <v>1.5084514967167055</v>
      </c>
      <c r="AQ102" s="126">
        <f t="shared" ref="AQ102" si="187">AQ101*AP102/100+AQ101</f>
        <v>1513793.1760047639</v>
      </c>
      <c r="AR102" s="6"/>
      <c r="AT102" s="39"/>
      <c r="AU102" s="20">
        <f t="shared" si="100"/>
        <v>44074</v>
      </c>
      <c r="AV102" s="27">
        <v>1.0819465321678421</v>
      </c>
      <c r="AW102" s="126">
        <f t="shared" si="165"/>
        <v>1234928.2207333737</v>
      </c>
      <c r="AX102" s="6"/>
      <c r="BA102" s="79"/>
      <c r="BB102" s="20">
        <f t="shared" si="101"/>
        <v>44074</v>
      </c>
      <c r="BC102" s="300">
        <f t="shared" si="173"/>
        <v>0.3586324940755159</v>
      </c>
      <c r="BD102" s="126">
        <f t="shared" ref="BD102" si="188">BD101*BC102/100+BD101</f>
        <v>1332440.2116561709</v>
      </c>
      <c r="BE102" s="6"/>
      <c r="BG102" s="39"/>
      <c r="BH102" s="20">
        <f t="shared" si="102"/>
        <v>44074</v>
      </c>
      <c r="BI102" s="27">
        <v>0.46779003535295749</v>
      </c>
      <c r="BJ102" s="126">
        <f t="shared" si="84"/>
        <v>1057131.98654935</v>
      </c>
      <c r="BK102" s="6"/>
      <c r="BN102" s="79"/>
      <c r="BO102" s="20">
        <f t="shared" si="103"/>
        <v>44074</v>
      </c>
      <c r="BP102" s="300">
        <f t="shared" si="180"/>
        <v>-0.21627700724507887</v>
      </c>
      <c r="BQ102" s="126">
        <f t="shared" si="46"/>
        <v>1054471.3379710657</v>
      </c>
      <c r="BR102" s="6"/>
      <c r="BV102" s="39"/>
      <c r="BW102" s="20">
        <f t="shared" si="104"/>
        <v>44074</v>
      </c>
      <c r="BX102" s="27">
        <v>1.3412929921795842</v>
      </c>
      <c r="BY102" s="126">
        <f t="shared" si="167"/>
        <v>1428146.2044943382</v>
      </c>
      <c r="BZ102" s="6"/>
      <c r="CC102" s="79"/>
      <c r="CD102" s="20">
        <f t="shared" si="105"/>
        <v>44074</v>
      </c>
      <c r="CE102" s="300">
        <f t="shared" si="174"/>
        <v>0.93354199539611071</v>
      </c>
      <c r="CF102" s="126">
        <f t="shared" ref="CF102" si="189">CF101*CE102/100+CF101</f>
        <v>1441676.9749939346</v>
      </c>
      <c r="CG102" s="6"/>
      <c r="CI102" s="39"/>
      <c r="CJ102" s="1"/>
    </row>
    <row r="103" spans="1:88" x14ac:dyDescent="0.25">
      <c r="A103" s="20">
        <v>44104</v>
      </c>
      <c r="B103" s="24">
        <f t="shared" si="87"/>
        <v>88</v>
      </c>
      <c r="C103" s="297">
        <f>'LC (Gross)'!X265</f>
        <v>-1.7453839537849405</v>
      </c>
      <c r="D103" s="297">
        <v>-1.4998</v>
      </c>
      <c r="E103" s="297">
        <f>'CRA (Gross)'!E103</f>
        <v>-5.4680890000000003E-2</v>
      </c>
      <c r="F103" s="297">
        <f>'CRA (Gross)'!F103</f>
        <v>0</v>
      </c>
      <c r="G103" s="39"/>
      <c r="H103" s="20">
        <f t="shared" si="146"/>
        <v>44104</v>
      </c>
      <c r="I103" s="27">
        <v>-2.8148154857068119</v>
      </c>
      <c r="J103" s="126">
        <f t="shared" si="159"/>
        <v>1672262.4313199848</v>
      </c>
      <c r="K103" s="6"/>
      <c r="L103" s="49">
        <f>(J103/J100-1)*100</f>
        <v>6.0223204746199244</v>
      </c>
      <c r="M103" s="17"/>
      <c r="N103" s="79"/>
      <c r="O103" s="20">
        <f t="shared" si="92"/>
        <v>44104</v>
      </c>
      <c r="P103" s="300">
        <f t="shared" si="169"/>
        <v>-1.6623418197673934</v>
      </c>
      <c r="Q103" s="126">
        <f t="shared" ref="Q103:Q112" si="190">Q102*P103/100+Q102</f>
        <v>1600584.907191057</v>
      </c>
      <c r="R103" s="6"/>
      <c r="S103" s="49">
        <f>(Q103/Q100-1)*100</f>
        <v>7.421072176326815</v>
      </c>
      <c r="T103" s="39"/>
      <c r="U103" s="20">
        <f t="shared" si="94"/>
        <v>44104</v>
      </c>
      <c r="V103" s="27">
        <v>-2.4199317326540424</v>
      </c>
      <c r="W103" s="126">
        <f t="shared" si="161"/>
        <v>1595205.141620988</v>
      </c>
      <c r="X103" s="8"/>
      <c r="Y103" s="49">
        <f>(W103/W100-1)*100</f>
        <v>5.2922426442847836</v>
      </c>
      <c r="AA103" s="79"/>
      <c r="AB103" s="20">
        <f t="shared" si="95"/>
        <v>44104</v>
      </c>
      <c r="AC103" s="300">
        <f t="shared" si="171"/>
        <v>-1.366856290622362</v>
      </c>
      <c r="AD103" s="126">
        <f t="shared" ref="AD103:AD112" si="191">AD102*AC103/100+AD102</f>
        <v>1525906.0034910168</v>
      </c>
      <c r="AE103" s="8"/>
      <c r="AF103" s="49">
        <f>(AD103/AD100-1)*100</f>
        <v>6.1644800721522897</v>
      </c>
      <c r="AG103" s="44"/>
      <c r="AH103" s="20">
        <f t="shared" si="97"/>
        <v>44104</v>
      </c>
      <c r="AI103" s="27">
        <v>-1.9667787485763755</v>
      </c>
      <c r="AJ103" s="126">
        <f t="shared" si="163"/>
        <v>1483743.0990608565</v>
      </c>
      <c r="AK103" s="8"/>
      <c r="AL103" s="49">
        <f>(AJ103/AJ100-1)*100</f>
        <v>4.5565458420641081</v>
      </c>
      <c r="AN103" s="79"/>
      <c r="AO103" s="20">
        <f t="shared" si="98"/>
        <v>44104</v>
      </c>
      <c r="AP103" s="300">
        <f t="shared" si="172"/>
        <v>-1.0385390360167714</v>
      </c>
      <c r="AQ103" s="126">
        <f t="shared" ref="AQ103:AQ106" si="192">AQ102*AP103/100+AQ102</f>
        <v>1498071.8429473964</v>
      </c>
      <c r="AR103" s="8"/>
      <c r="AS103" s="49">
        <f>(AQ103/AQ100-1)*100</f>
        <v>4.7707805406662862</v>
      </c>
      <c r="AT103" s="39"/>
      <c r="AU103" s="20">
        <f t="shared" si="100"/>
        <v>44104</v>
      </c>
      <c r="AV103" s="27">
        <v>-0.99160838614984825</v>
      </c>
      <c r="AW103" s="126">
        <f t="shared" ref="AW103:AW112" si="193">AW102*AV103/100+AW102</f>
        <v>1222682.5689336504</v>
      </c>
      <c r="AX103" s="8"/>
      <c r="AY103" s="49">
        <f>(AW103/AW100-1)*100</f>
        <v>2.0909312266802038</v>
      </c>
      <c r="BA103" s="79"/>
      <c r="BB103" s="20">
        <f t="shared" si="101"/>
        <v>44104</v>
      </c>
      <c r="BC103" s="300">
        <f t="shared" si="173"/>
        <v>-0.5460631541083858</v>
      </c>
      <c r="BD103" s="126">
        <f t="shared" ref="BD103:BD106" si="194">BD102*BC103/100+BD102</f>
        <v>1325164.2466097928</v>
      </c>
      <c r="BE103" s="8"/>
      <c r="BF103" s="49">
        <f>(BD103/BD100-1)*100</f>
        <v>2.6854959776156484</v>
      </c>
      <c r="BG103" s="39"/>
      <c r="BH103" s="20">
        <f t="shared" si="102"/>
        <v>44104</v>
      </c>
      <c r="BI103" s="27">
        <v>-0.87455723782745354</v>
      </c>
      <c r="BJ103" s="126">
        <f t="shared" si="84"/>
        <v>1047886.7622475935</v>
      </c>
      <c r="BK103" s="6"/>
      <c r="BL103" s="49">
        <f>(BJ103/BJ100-1)*100</f>
        <v>1.3435552776067672</v>
      </c>
      <c r="BN103" s="79"/>
      <c r="BO103" s="20">
        <f t="shared" si="103"/>
        <v>44104</v>
      </c>
      <c r="BP103" s="300">
        <f t="shared" si="180"/>
        <v>-0.29982521315419286</v>
      </c>
      <c r="BQ103" s="126">
        <f t="shared" si="46"/>
        <v>1051309.7670343441</v>
      </c>
      <c r="BR103" s="8"/>
      <c r="BS103" s="49">
        <f>(BQ103/BQ100-1)*100</f>
        <v>1.6453531845631808</v>
      </c>
      <c r="BV103" s="39"/>
      <c r="BW103" s="20">
        <f t="shared" si="104"/>
        <v>44104</v>
      </c>
      <c r="BX103" s="27">
        <v>-1.310940954547148</v>
      </c>
      <c r="BY103" s="126">
        <f t="shared" ref="BY103:BY112" si="195">BY102*BX103/100+BY102</f>
        <v>1409424.0510088112</v>
      </c>
      <c r="BZ103" s="8"/>
      <c r="CA103" s="49">
        <f>(BY103/BY100-1)*100</f>
        <v>2.6247264332993181</v>
      </c>
      <c r="CC103" s="79"/>
      <c r="CD103" s="20">
        <f t="shared" si="105"/>
        <v>44104</v>
      </c>
      <c r="CE103" s="300">
        <f t="shared" si="174"/>
        <v>-0.79230109506257862</v>
      </c>
      <c r="CF103" s="126">
        <f t="shared" ref="CF103:CF106" si="196">CF102*CE103/100+CF102</f>
        <v>1430254.5525337926</v>
      </c>
      <c r="CG103" s="8"/>
      <c r="CH103" s="49">
        <f>(CF103/CF100-1)*100</f>
        <v>3.7273251514078565</v>
      </c>
      <c r="CI103" s="39"/>
      <c r="CJ103" s="1"/>
    </row>
    <row r="104" spans="1:88" x14ac:dyDescent="0.25">
      <c r="A104" s="20">
        <v>44135</v>
      </c>
      <c r="B104" s="24">
        <f t="shared" si="87"/>
        <v>89</v>
      </c>
      <c r="C104" s="297">
        <f>'LC (Gross)'!X266</f>
        <v>-2.8737091800063892</v>
      </c>
      <c r="D104" s="297">
        <v>-3.9990000000000001</v>
      </c>
      <c r="E104" s="297">
        <f>'CRA (Gross)'!E104</f>
        <v>-0.44652439999999999</v>
      </c>
      <c r="F104" s="297">
        <f>'CRA (Gross)'!F104</f>
        <v>0</v>
      </c>
      <c r="G104" s="39"/>
      <c r="H104" s="20">
        <f t="shared" si="146"/>
        <v>44135</v>
      </c>
      <c r="I104" s="27">
        <v>-1.6280242104888611</v>
      </c>
      <c r="J104" s="126">
        <f t="shared" si="159"/>
        <v>1645037.5940751857</v>
      </c>
      <c r="K104" s="8"/>
      <c r="M104" s="17"/>
      <c r="N104" s="79"/>
      <c r="O104" s="20">
        <f t="shared" si="92"/>
        <v>44135</v>
      </c>
      <c r="P104" s="300">
        <f t="shared" si="169"/>
        <v>-3.0367919971250092</v>
      </c>
      <c r="Q104" s="126">
        <f t="shared" si="190"/>
        <v>1551978.4728222883</v>
      </c>
      <c r="R104" s="8"/>
      <c r="T104" s="39"/>
      <c r="U104" s="20">
        <f t="shared" si="94"/>
        <v>44135</v>
      </c>
      <c r="V104" s="27">
        <v>-1.6732299243711466</v>
      </c>
      <c r="W104" s="126">
        <f t="shared" si="161"/>
        <v>1568513.6918362784</v>
      </c>
      <c r="X104" s="8"/>
      <c r="AA104" s="79"/>
      <c r="AB104" s="20">
        <f t="shared" si="95"/>
        <v>44135</v>
      </c>
      <c r="AC104" s="300">
        <f>64%*$C104+16%*$D104+18%*$E104+2%*$F104</f>
        <v>-2.5593882672040893</v>
      </c>
      <c r="AD104" s="126">
        <f t="shared" si="191"/>
        <v>1486852.1442691048</v>
      </c>
      <c r="AE104" s="8"/>
      <c r="AG104" s="44"/>
      <c r="AH104" s="20">
        <f t="shared" si="97"/>
        <v>44135</v>
      </c>
      <c r="AI104" s="27">
        <v>-1.5508854654669713</v>
      </c>
      <c r="AJ104" s="126">
        <f t="shared" si="163"/>
        <v>1460731.9429926525</v>
      </c>
      <c r="AK104" s="8"/>
      <c r="AN104" s="79"/>
      <c r="AO104" s="20">
        <f t="shared" si="98"/>
        <v>44135</v>
      </c>
      <c r="AP104" s="300">
        <f>48%*$C104+12%*$D104+38%*$E104+2%*$F104</f>
        <v>-2.0289396784030664</v>
      </c>
      <c r="AQ104" s="126">
        <f t="shared" si="192"/>
        <v>1467676.8689148526</v>
      </c>
      <c r="AR104" s="8"/>
      <c r="AT104" s="39"/>
      <c r="AU104" s="20">
        <f t="shared" si="100"/>
        <v>44135</v>
      </c>
      <c r="AV104" s="27">
        <v>-1.0583570600823327</v>
      </c>
      <c r="AW104" s="126">
        <f t="shared" si="193"/>
        <v>1209742.221642945</v>
      </c>
      <c r="AX104" s="8"/>
      <c r="BA104" s="79"/>
      <c r="BB104" s="20">
        <f t="shared" si="101"/>
        <v>44135</v>
      </c>
      <c r="BC104" s="300">
        <f>24%*$C104+6%*$D104+68%*$E104+2%*$F104</f>
        <v>-1.2332667952015335</v>
      </c>
      <c r="BD104" s="126">
        <f t="shared" si="194"/>
        <v>1308821.4359744717</v>
      </c>
      <c r="BE104" s="8"/>
      <c r="BG104" s="39"/>
      <c r="BH104" s="20">
        <f t="shared" si="102"/>
        <v>44135</v>
      </c>
      <c r="BI104" s="27">
        <v>-1.0367032608769637</v>
      </c>
      <c r="BJ104" s="126">
        <f t="shared" si="84"/>
        <v>1037023.2860130747</v>
      </c>
      <c r="BK104" s="8"/>
      <c r="BN104" s="79"/>
      <c r="BO104" s="20">
        <f t="shared" si="103"/>
        <v>44135</v>
      </c>
      <c r="BP104" s="300">
        <f t="shared" si="180"/>
        <v>-0.83543035360076656</v>
      </c>
      <c r="BQ104" s="126">
        <f t="shared" si="46"/>
        <v>1042526.8061301698</v>
      </c>
      <c r="BR104" s="8"/>
      <c r="BV104" s="39"/>
      <c r="BW104" s="20">
        <f t="shared" si="104"/>
        <v>44135</v>
      </c>
      <c r="BX104" s="27">
        <v>-1.0781082996307387</v>
      </c>
      <c r="BY104" s="126">
        <f t="shared" si="195"/>
        <v>1394228.9333378933</v>
      </c>
      <c r="BZ104" s="8"/>
      <c r="CC104" s="79"/>
      <c r="CD104" s="20">
        <f t="shared" si="105"/>
        <v>44135</v>
      </c>
      <c r="CE104" s="300">
        <f>36%*$C104+9%*$D104+53%*$E104+2%*$F104</f>
        <v>-1.6311032368023</v>
      </c>
      <c r="CF104" s="126">
        <f t="shared" si="196"/>
        <v>1406925.6242329017</v>
      </c>
      <c r="CG104" s="8"/>
      <c r="CI104" s="39"/>
      <c r="CJ104" s="1"/>
    </row>
    <row r="105" spans="1:88" x14ac:dyDescent="0.25">
      <c r="A105" s="20">
        <v>44165</v>
      </c>
      <c r="B105" s="24">
        <f t="shared" ref="B105:B108" si="197">IF(A105&gt;A104,1+B104,"-")</f>
        <v>90</v>
      </c>
      <c r="C105" s="297">
        <f>'LC (Gross)'!X267</f>
        <v>6.1642038128013503</v>
      </c>
      <c r="D105" s="297">
        <v>9.7152999999999992</v>
      </c>
      <c r="E105" s="297">
        <f>'CRA (Gross)'!E105</f>
        <v>0.98117960000000004</v>
      </c>
      <c r="F105" s="297">
        <f>'CRA (Gross)'!F105</f>
        <v>0</v>
      </c>
      <c r="G105" s="39"/>
      <c r="H105" s="20">
        <f t="shared" si="146"/>
        <v>44165</v>
      </c>
      <c r="I105" s="27">
        <v>6.1512920550431067</v>
      </c>
      <c r="J105" s="126">
        <f t="shared" si="159"/>
        <v>1746228.6609020049</v>
      </c>
      <c r="K105" s="8"/>
      <c r="L105" s="49"/>
      <c r="M105" s="17"/>
      <c r="N105" s="79"/>
      <c r="O105" s="20">
        <f t="shared" si="92"/>
        <v>44165</v>
      </c>
      <c r="P105" s="300">
        <f t="shared" si="169"/>
        <v>6.7369345892362587</v>
      </c>
      <c r="Q105" s="126">
        <f t="shared" si="190"/>
        <v>1656534.2473753537</v>
      </c>
      <c r="R105" s="8"/>
      <c r="S105" s="5"/>
      <c r="T105" s="39"/>
      <c r="U105" s="20">
        <f t="shared" si="94"/>
        <v>44165</v>
      </c>
      <c r="V105" s="27">
        <v>5.4271919479631903</v>
      </c>
      <c r="W105" s="126">
        <f t="shared" si="161"/>
        <v>1653639.9406223171</v>
      </c>
      <c r="X105" s="6"/>
      <c r="Y105" s="5"/>
      <c r="Z105" s="5"/>
      <c r="AA105" s="79"/>
      <c r="AB105" s="20">
        <f t="shared" si="95"/>
        <v>44165</v>
      </c>
      <c r="AC105" s="300">
        <f t="shared" si="171"/>
        <v>5.6761507681928647</v>
      </c>
      <c r="AD105" s="126">
        <f t="shared" si="191"/>
        <v>1571248.1136779278</v>
      </c>
      <c r="AE105" s="6"/>
      <c r="AG105" s="44"/>
      <c r="AH105" s="20">
        <f t="shared" si="97"/>
        <v>44165</v>
      </c>
      <c r="AI105" s="27">
        <v>4.8919051311126216</v>
      </c>
      <c r="AJ105" s="126">
        <f t="shared" si="163"/>
        <v>1532189.5638637112</v>
      </c>
      <c r="AK105" s="6"/>
      <c r="AN105" s="79"/>
      <c r="AO105" s="20">
        <f t="shared" si="98"/>
        <v>44165</v>
      </c>
      <c r="AP105" s="300">
        <f t="shared" si="172"/>
        <v>4.497502078144648</v>
      </c>
      <c r="AQ105" s="126">
        <f t="shared" si="192"/>
        <v>1533685.6665947465</v>
      </c>
      <c r="AR105" s="6"/>
      <c r="AT105" s="39"/>
      <c r="AU105" s="20">
        <f t="shared" si="100"/>
        <v>44165</v>
      </c>
      <c r="AV105" s="27">
        <v>2.7340926647069708</v>
      </c>
      <c r="AW105" s="126">
        <f t="shared" si="193"/>
        <v>1242817.6949867478</v>
      </c>
      <c r="AX105" s="6"/>
      <c r="BA105" s="79"/>
      <c r="BB105" s="20">
        <f t="shared" si="101"/>
        <v>44165</v>
      </c>
      <c r="BC105" s="300">
        <f t="shared" si="173"/>
        <v>2.7295290430723238</v>
      </c>
      <c r="BD105" s="126">
        <f t="shared" si="194"/>
        <v>1344546.0971913512</v>
      </c>
      <c r="BE105" s="6"/>
      <c r="BG105" s="39"/>
      <c r="BH105" s="20">
        <f t="shared" si="102"/>
        <v>44165</v>
      </c>
      <c r="BI105" s="27">
        <v>2.6331269045119177</v>
      </c>
      <c r="BJ105" s="126">
        <f t="shared" si="84"/>
        <v>1064329.4251631384</v>
      </c>
      <c r="BK105" s="8"/>
      <c r="BN105" s="79"/>
      <c r="BO105" s="20">
        <f t="shared" si="103"/>
        <v>44165</v>
      </c>
      <c r="BP105" s="300">
        <f t="shared" si="180"/>
        <v>1.8455425255361619</v>
      </c>
      <c r="BQ105" s="126">
        <f t="shared" si="46"/>
        <v>1061767.0816774161</v>
      </c>
      <c r="BR105" s="6"/>
      <c r="BV105" s="39"/>
      <c r="BW105" s="20">
        <f t="shared" si="104"/>
        <v>44165</v>
      </c>
      <c r="BX105" s="27">
        <v>3.5286446796088056</v>
      </c>
      <c r="BY105" s="126">
        <f t="shared" si="195"/>
        <v>1443426.3184156874</v>
      </c>
      <c r="BZ105" s="6"/>
      <c r="CC105" s="79"/>
      <c r="CD105" s="20">
        <f t="shared" si="105"/>
        <v>44165</v>
      </c>
      <c r="CE105" s="300">
        <f t="shared" si="174"/>
        <v>3.6135155606084859</v>
      </c>
      <c r="CF105" s="126">
        <f t="shared" si="196"/>
        <v>1457765.1005907457</v>
      </c>
      <c r="CG105" s="6"/>
      <c r="CI105" s="39"/>
      <c r="CJ105" s="1"/>
    </row>
    <row r="106" spans="1:88" x14ac:dyDescent="0.25">
      <c r="A106" s="20">
        <v>44196</v>
      </c>
      <c r="B106" s="24">
        <f t="shared" si="197"/>
        <v>91</v>
      </c>
      <c r="C106" s="297">
        <f>'LC (Gross)'!X268</f>
        <v>2.1268625970688406</v>
      </c>
      <c r="D106" s="297">
        <v>2.5156000000000001</v>
      </c>
      <c r="E106" s="297">
        <f>'CRA (Gross)'!E106</f>
        <v>0.13773009999999999</v>
      </c>
      <c r="F106" s="297">
        <f>'CRA (Gross)'!F106</f>
        <v>0</v>
      </c>
      <c r="G106" s="39"/>
      <c r="H106" s="20">
        <f t="shared" si="146"/>
        <v>44196</v>
      </c>
      <c r="I106" s="27">
        <v>4.030343394676744</v>
      </c>
      <c r="J106" s="126">
        <f t="shared" si="159"/>
        <v>1816607.6723926209</v>
      </c>
      <c r="K106" s="6">
        <f>(J106-J$94)/J$94*100</f>
        <v>2.6431578457035041</v>
      </c>
      <c r="L106" s="49">
        <f>(J106/J103-1)*100</f>
        <v>8.6317337739088238</v>
      </c>
      <c r="M106" s="17"/>
      <c r="N106" s="79"/>
      <c r="O106" s="20">
        <f t="shared" si="92"/>
        <v>44196</v>
      </c>
      <c r="P106" s="300">
        <f t="shared" si="169"/>
        <v>2.160517876101971</v>
      </c>
      <c r="Q106" s="126">
        <f t="shared" si="190"/>
        <v>1692323.9659136494</v>
      </c>
      <c r="R106" s="6">
        <f>(Q106-Q$94)/Q$94*100</f>
        <v>-0.74056341100225098</v>
      </c>
      <c r="S106" s="49">
        <f>(Q106/Q103-1)*100</f>
        <v>5.7315958878801254</v>
      </c>
      <c r="T106" s="39"/>
      <c r="U106" s="20">
        <f t="shared" si="94"/>
        <v>44196</v>
      </c>
      <c r="V106" s="27">
        <v>3.4281217389367993</v>
      </c>
      <c r="W106" s="126">
        <f t="shared" si="161"/>
        <v>1710328.7309105324</v>
      </c>
      <c r="X106" s="6">
        <f>(W106-W$94)/W$94*100</f>
        <v>3.6004582485528474</v>
      </c>
      <c r="Y106" s="49">
        <f>(W106/W103-1)*100</f>
        <v>7.2168516942316296</v>
      </c>
      <c r="AA106" s="79"/>
      <c r="AB106" s="20">
        <f t="shared" si="95"/>
        <v>44196</v>
      </c>
      <c r="AC106" s="300">
        <f t="shared" si="171"/>
        <v>1.788479480124058</v>
      </c>
      <c r="AD106" s="126">
        <f t="shared" si="191"/>
        <v>1599349.5637728937</v>
      </c>
      <c r="AE106" s="6">
        <f>(AD106-AD$94)/AD$94*100</f>
        <v>0.98653569707889943</v>
      </c>
      <c r="AF106" s="49">
        <f>(AD106/AD103-1)*100</f>
        <v>4.8131116932399687</v>
      </c>
      <c r="AG106" s="44"/>
      <c r="AH106" s="20">
        <f t="shared" si="97"/>
        <v>44196</v>
      </c>
      <c r="AI106" s="27">
        <v>2.5997661081645167</v>
      </c>
      <c r="AJ106" s="126">
        <f t="shared" si="163"/>
        <v>1572022.9088578736</v>
      </c>
      <c r="AK106" s="6">
        <f>(AJ106-AJ$94)/AJ$94*100</f>
        <v>3.9435113063660245</v>
      </c>
      <c r="AL106" s="49">
        <f>(AJ106/AJ103-1)*100</f>
        <v>5.9498042385433436</v>
      </c>
      <c r="AN106" s="79"/>
      <c r="AO106" s="20">
        <f t="shared" si="98"/>
        <v>44196</v>
      </c>
      <c r="AP106" s="300">
        <f t="shared" si="172"/>
        <v>1.3751034845930432</v>
      </c>
      <c r="AQ106" s="126">
        <f t="shared" si="192"/>
        <v>1554775.431638795</v>
      </c>
      <c r="AR106" s="6">
        <f>(AQ106-AQ$94)/AQ$94*100</f>
        <v>2.7808282585548882</v>
      </c>
      <c r="AS106" s="49">
        <f>(AQ106/AQ103-1)*100</f>
        <v>3.785104763723246</v>
      </c>
      <c r="AT106" s="39"/>
      <c r="AU106" s="20">
        <f t="shared" si="100"/>
        <v>44196</v>
      </c>
      <c r="AV106" s="27">
        <v>1.5209003656782052</v>
      </c>
      <c r="AW106" s="126">
        <f t="shared" si="193"/>
        <v>1261719.7138545148</v>
      </c>
      <c r="AX106" s="6">
        <f>(AW106-AW$94)/AW$94*100</f>
        <v>4.5426089703869081</v>
      </c>
      <c r="AY106" s="49">
        <f>(AW106/AW103-1)*100</f>
        <v>3.1927456817275379</v>
      </c>
      <c r="BA106" s="79"/>
      <c r="BB106" s="20">
        <f t="shared" si="101"/>
        <v>44196</v>
      </c>
      <c r="BC106" s="300">
        <f t="shared" si="173"/>
        <v>0.7550394912965217</v>
      </c>
      <c r="BD106" s="126">
        <f t="shared" si="194"/>
        <v>1354697.9512038319</v>
      </c>
      <c r="BE106" s="6">
        <f>(BD106-BD$94)/BD$94*100</f>
        <v>5.2207128586847364</v>
      </c>
      <c r="BF106" s="49">
        <f>(BD106/BD103-1)*100</f>
        <v>2.2286825704508795</v>
      </c>
      <c r="BG106" s="39"/>
      <c r="BH106" s="20">
        <f t="shared" si="102"/>
        <v>44196</v>
      </c>
      <c r="BI106" s="27">
        <v>0.87092402460413243</v>
      </c>
      <c r="BJ106" s="126">
        <f t="shared" si="84"/>
        <v>1073598.9258278152</v>
      </c>
      <c r="BK106" s="6">
        <f>(BJ106-BJ$97)/BJ$97*100</f>
        <v>7.3598925827815203</v>
      </c>
      <c r="BL106" s="49">
        <f>(BJ106/BJ103-1)*100</f>
        <v>2.4537158504676748</v>
      </c>
      <c r="BN106" s="79"/>
      <c r="BO106" s="20">
        <f t="shared" si="103"/>
        <v>44196</v>
      </c>
      <c r="BP106" s="300">
        <f>12%*$C106+3%*$D106+83%*$E106+2%*$F106</f>
        <v>0.44500749464826084</v>
      </c>
      <c r="BQ106" s="126">
        <f t="shared" si="46"/>
        <v>1066492.0247665888</v>
      </c>
      <c r="BR106" s="6">
        <f>(BQ106-BQ$97)/BQ$97*100</f>
        <v>6.649202476658882</v>
      </c>
      <c r="BS106" s="49">
        <f>(BQ106/BQ103-1)*100</f>
        <v>1.4441279067607837</v>
      </c>
      <c r="BV106" s="39"/>
      <c r="BW106" s="20">
        <f t="shared" si="104"/>
        <v>44196</v>
      </c>
      <c r="BX106" s="27">
        <v>2.0300466785195437</v>
      </c>
      <c r="BY106" s="126">
        <f t="shared" si="195"/>
        <v>1472728.5464495621</v>
      </c>
      <c r="BZ106" s="6">
        <f>(BY106-BY$94)/BY$94*100</f>
        <v>6.2832218492294301</v>
      </c>
      <c r="CA106" s="49">
        <f>(BY106/BY103-1)*100</f>
        <v>4.4915151969657341</v>
      </c>
      <c r="CC106" s="79"/>
      <c r="CD106" s="20">
        <f t="shared" si="105"/>
        <v>44196</v>
      </c>
      <c r="CE106" s="300">
        <f t="shared" si="174"/>
        <v>1.0650714879447827</v>
      </c>
      <c r="CF106" s="126">
        <f t="shared" si="196"/>
        <v>1473291.3410383472</v>
      </c>
      <c r="CG106" s="6">
        <f>(CF106-CF$94)/CF$94*100</f>
        <v>4.0388780841374183</v>
      </c>
      <c r="CH106" s="49">
        <f>(CF106/CF103-1)*100</f>
        <v>3.0090299959760314</v>
      </c>
      <c r="CI106" s="39"/>
      <c r="CJ106" s="1"/>
    </row>
    <row r="107" spans="1:88" x14ac:dyDescent="0.25">
      <c r="A107" s="20">
        <v>44227</v>
      </c>
      <c r="B107" s="24">
        <f t="shared" si="197"/>
        <v>92</v>
      </c>
      <c r="C107" s="297">
        <f>'LC (Gross)'!X269</f>
        <v>-1.7796389521386662</v>
      </c>
      <c r="D107" s="297">
        <v>-1.0557000000000001</v>
      </c>
      <c r="E107" s="297">
        <f>'CRA (Gross)'!E107</f>
        <v>-0.71696720000000003</v>
      </c>
      <c r="F107" s="297">
        <f>'CRA (Gross)'!F107</f>
        <v>0</v>
      </c>
      <c r="G107" s="39"/>
      <c r="H107" s="20">
        <f t="shared" si="146"/>
        <v>44227</v>
      </c>
      <c r="I107" s="27">
        <v>-1.1636340630208173</v>
      </c>
      <c r="J107" s="126">
        <f t="shared" si="159"/>
        <v>1795469.0067252107</v>
      </c>
      <c r="K107" s="6"/>
      <c r="M107" s="17"/>
      <c r="N107" s="79"/>
      <c r="O107" s="20">
        <f t="shared" si="92"/>
        <v>44227</v>
      </c>
      <c r="P107" s="300">
        <f t="shared" si="169"/>
        <v>-1.6021541384767142</v>
      </c>
      <c r="Q107" s="126">
        <f t="shared" si="190"/>
        <v>1665210.3274573307</v>
      </c>
      <c r="R107" s="6"/>
      <c r="T107" s="39"/>
      <c r="U107" s="20">
        <f t="shared" si="94"/>
        <v>44227</v>
      </c>
      <c r="V107" s="27">
        <v>-1.4314009523605957</v>
      </c>
      <c r="W107" s="126">
        <f t="shared" si="161"/>
        <v>1685847.0691677821</v>
      </c>
      <c r="AA107" s="79"/>
      <c r="AB107" s="20">
        <f t="shared" si="95"/>
        <v>44227</v>
      </c>
      <c r="AC107" s="300">
        <f t="shared" si="171"/>
        <v>-1.4369350253687463</v>
      </c>
      <c r="AD107" s="126">
        <f t="shared" si="191"/>
        <v>1576367.9497129589</v>
      </c>
      <c r="AG107" s="44"/>
      <c r="AH107" s="20">
        <f t="shared" si="97"/>
        <v>44227</v>
      </c>
      <c r="AI107" s="27">
        <v>-1.3184134215026757</v>
      </c>
      <c r="AJ107" s="126">
        <f t="shared" si="163"/>
        <v>1551297.1478383946</v>
      </c>
      <c r="AN107" s="79"/>
      <c r="AO107" s="20">
        <f t="shared" si="98"/>
        <v>44227</v>
      </c>
      <c r="AP107" s="300">
        <f t="shared" si="172"/>
        <v>-1.2533582330265598</v>
      </c>
      <c r="AQ107" s="126">
        <f t="shared" ref="AQ107:AQ110" si="198">AQ106*AP107/100+AQ106</f>
        <v>1535288.5257612758</v>
      </c>
      <c r="AT107" s="39"/>
      <c r="AU107" s="20">
        <f t="shared" si="100"/>
        <v>44227</v>
      </c>
      <c r="AV107" s="27">
        <v>-1.1999522390170223</v>
      </c>
      <c r="AW107" s="126">
        <f t="shared" si="193"/>
        <v>1246579.6798979985</v>
      </c>
      <c r="BA107" s="79"/>
      <c r="BB107" s="20">
        <f t="shared" si="101"/>
        <v>44227</v>
      </c>
      <c r="BC107" s="300">
        <f t="shared" si="173"/>
        <v>-0.97799304451327995</v>
      </c>
      <c r="BD107" s="126">
        <f t="shared" ref="BD107:BD112" si="199">BD106*BC107/100+BD106</f>
        <v>1341449.0994668945</v>
      </c>
      <c r="BG107" s="39"/>
      <c r="BH107" s="20">
        <f t="shared" si="102"/>
        <v>44227</v>
      </c>
      <c r="BI107" s="27">
        <v>-1.0158437137519918</v>
      </c>
      <c r="BJ107" s="126">
        <f t="shared" si="84"/>
        <v>1062692.8386288844</v>
      </c>
      <c r="BN107" s="79"/>
      <c r="BO107" s="20">
        <f t="shared" si="103"/>
        <v>44227</v>
      </c>
      <c r="BP107" s="300">
        <f t="shared" ref="BP107:BP166" si="200">12%*$C107+3%*$D107+83%*$E107+2%*$F107</f>
        <v>-0.84031045025663997</v>
      </c>
      <c r="BQ107" s="126">
        <f t="shared" si="46"/>
        <v>1057530.1808313215</v>
      </c>
      <c r="BV107" s="39"/>
      <c r="BW107" s="20">
        <f t="shared" si="104"/>
        <v>44227</v>
      </c>
      <c r="BX107" s="27">
        <v>-1.235788991237913</v>
      </c>
      <c r="BY107" s="126">
        <f t="shared" si="195"/>
        <v>1454528.7292017203</v>
      </c>
      <c r="CC107" s="79"/>
      <c r="CD107" s="20">
        <f t="shared" si="105"/>
        <v>44227</v>
      </c>
      <c r="CE107" s="300">
        <f t="shared" si="174"/>
        <v>-1.1156756387699198</v>
      </c>
      <c r="CF107" s="126">
        <f t="shared" ref="CF107:CF110" si="201">CF106*CE107/100+CF106</f>
        <v>1456854.1884582757</v>
      </c>
      <c r="CI107" s="39"/>
      <c r="CJ107" s="1"/>
    </row>
    <row r="108" spans="1:88" x14ac:dyDescent="0.25">
      <c r="A108" s="20">
        <v>44255</v>
      </c>
      <c r="B108" s="24">
        <f t="shared" si="197"/>
        <v>93</v>
      </c>
      <c r="C108" s="297">
        <f>'LC (Gross)'!X270</f>
        <v>-1.102733</v>
      </c>
      <c r="D108" s="297">
        <v>-1.8077000000000001</v>
      </c>
      <c r="E108" s="297">
        <f>'CRA (Gross)'!E108</f>
        <v>-1.4438690000000001</v>
      </c>
      <c r="F108" s="297">
        <f>'CRA (Gross)'!F108</f>
        <v>0</v>
      </c>
      <c r="G108" s="39"/>
      <c r="H108" s="20">
        <f t="shared" si="146"/>
        <v>44255</v>
      </c>
      <c r="I108" s="27">
        <v>0.32181611687801776</v>
      </c>
      <c r="J108" s="126">
        <f t="shared" si="159"/>
        <v>1801247.1153624021</v>
      </c>
      <c r="K108" s="8"/>
      <c r="L108" s="49"/>
      <c r="M108" s="17"/>
      <c r="N108" s="79"/>
      <c r="O108" s="20">
        <f t="shared" si="92"/>
        <v>44255</v>
      </c>
      <c r="P108" s="300">
        <f t="shared" si="169"/>
        <v>-1.2188518720000001</v>
      </c>
      <c r="Q108" s="126">
        <f t="shared" si="190"/>
        <v>1644913.8802083796</v>
      </c>
      <c r="R108" s="8"/>
      <c r="S108" s="5"/>
      <c r="T108" s="39"/>
      <c r="U108" s="20">
        <f t="shared" si="94"/>
        <v>44255</v>
      </c>
      <c r="V108" s="27">
        <v>-0.26894706762308518</v>
      </c>
      <c r="W108" s="126">
        <f t="shared" si="161"/>
        <v>1681313.0329106457</v>
      </c>
      <c r="X108" s="8"/>
      <c r="Y108" s="5"/>
      <c r="Z108" s="5"/>
      <c r="AA108" s="79"/>
      <c r="AB108" s="20">
        <f t="shared" si="95"/>
        <v>44255</v>
      </c>
      <c r="AC108" s="300">
        <f t="shared" si="171"/>
        <v>-1.2548775400000001</v>
      </c>
      <c r="AD108" s="126">
        <f t="shared" si="191"/>
        <v>1556586.4623642524</v>
      </c>
      <c r="AE108" s="8"/>
      <c r="AG108" s="44"/>
      <c r="AH108" s="20">
        <f t="shared" si="97"/>
        <v>44255</v>
      </c>
      <c r="AI108" s="27">
        <v>-0.43604033733514391</v>
      </c>
      <c r="AJ108" s="126">
        <f t="shared" si="163"/>
        <v>1544532.8665218896</v>
      </c>
      <c r="AK108" s="8"/>
      <c r="AN108" s="79"/>
      <c r="AO108" s="20">
        <f t="shared" si="98"/>
        <v>44255</v>
      </c>
      <c r="AP108" s="300">
        <f t="shared" si="172"/>
        <v>-1.29490606</v>
      </c>
      <c r="AQ108" s="126">
        <f t="shared" si="198"/>
        <v>1515407.9816027083</v>
      </c>
      <c r="AR108" s="8"/>
      <c r="AT108" s="39"/>
      <c r="AU108" s="20">
        <f t="shared" si="100"/>
        <v>44255</v>
      </c>
      <c r="AV108" s="27">
        <v>-0.60173555825114322</v>
      </c>
      <c r="AW108" s="126">
        <f t="shared" si="193"/>
        <v>1239078.5667021188</v>
      </c>
      <c r="AX108" s="8"/>
      <c r="BA108" s="79"/>
      <c r="BB108" s="20">
        <f t="shared" si="101"/>
        <v>44255</v>
      </c>
      <c r="BC108" s="300">
        <f t="shared" si="173"/>
        <v>-1.35494884</v>
      </c>
      <c r="BD108" s="126">
        <f t="shared" si="199"/>
        <v>1323273.1504544774</v>
      </c>
      <c r="BE108" s="8"/>
      <c r="BG108" s="39"/>
      <c r="BH108" s="20">
        <f t="shared" si="102"/>
        <v>44255</v>
      </c>
      <c r="BI108" s="27">
        <v>-1.0093877157934952</v>
      </c>
      <c r="BJ108" s="126">
        <f t="shared" si="84"/>
        <v>1051966.1476591472</v>
      </c>
      <c r="BK108" s="8"/>
      <c r="BN108" s="79"/>
      <c r="BO108" s="20">
        <f t="shared" si="103"/>
        <v>44255</v>
      </c>
      <c r="BP108" s="300">
        <f t="shared" si="200"/>
        <v>-1.38497023</v>
      </c>
      <c r="BQ108" s="126">
        <f t="shared" si="46"/>
        <v>1042883.7026535425</v>
      </c>
      <c r="BR108" s="8"/>
      <c r="BV108" s="39"/>
      <c r="BW108" s="20">
        <f t="shared" si="104"/>
        <v>44255</v>
      </c>
      <c r="BX108" s="27">
        <v>-0.6055722852554225</v>
      </c>
      <c r="BY108" s="126">
        <f t="shared" si="195"/>
        <v>1445720.5063365968</v>
      </c>
      <c r="BZ108" s="8"/>
      <c r="CC108" s="79"/>
      <c r="CD108" s="20">
        <f t="shared" si="105"/>
        <v>44255</v>
      </c>
      <c r="CE108" s="300">
        <f t="shared" si="174"/>
        <v>-1.3249274500000001</v>
      </c>
      <c r="CF108" s="126">
        <f t="shared" si="201"/>
        <v>1437551.9274089173</v>
      </c>
      <c r="CG108" s="8"/>
      <c r="CI108" s="39"/>
      <c r="CJ108" s="1"/>
    </row>
    <row r="109" spans="1:88" x14ac:dyDescent="0.25">
      <c r="A109" s="20">
        <v>44286</v>
      </c>
      <c r="B109" s="24">
        <f t="shared" ref="B109" si="202">IF(A109&gt;A108,1+B108,"-")</f>
        <v>94</v>
      </c>
      <c r="C109" s="297">
        <f>'LC (Gross)'!X271</f>
        <v>6.8093779999999997</v>
      </c>
      <c r="D109" s="297">
        <v>2.2513000000000001</v>
      </c>
      <c r="E109" s="297">
        <f>'CRA (Gross)'!E109</f>
        <v>-1.2488360000000001</v>
      </c>
      <c r="F109" s="297">
        <f>'CRA (Gross)'!F109</f>
        <v>0</v>
      </c>
      <c r="G109" s="39"/>
      <c r="H109" s="20">
        <f t="shared" si="146"/>
        <v>44286</v>
      </c>
      <c r="I109" s="27">
        <v>2.1830671366230789</v>
      </c>
      <c r="J109" s="126">
        <f t="shared" si="159"/>
        <v>1840569.5491872497</v>
      </c>
      <c r="K109" s="6"/>
      <c r="L109" s="49">
        <f>(J109/J106-1)*100</f>
        <v>1.3190452269239206</v>
      </c>
      <c r="M109" s="17"/>
      <c r="N109" s="79"/>
      <c r="O109" s="20">
        <f t="shared" si="92"/>
        <v>44286</v>
      </c>
      <c r="P109" s="300">
        <f t="shared" si="169"/>
        <v>5.7798071520000001</v>
      </c>
      <c r="Q109" s="126">
        <f t="shared" si="190"/>
        <v>1739986.7303009043</v>
      </c>
      <c r="R109" s="6"/>
      <c r="S109" s="49">
        <f>(Q109/Q106-1)*100</f>
        <v>2.8164089942154025</v>
      </c>
      <c r="T109" s="39"/>
      <c r="U109" s="20">
        <f t="shared" si="94"/>
        <v>44286</v>
      </c>
      <c r="V109" s="27">
        <v>2.1465702776394378</v>
      </c>
      <c r="W109" s="126">
        <f t="shared" si="161"/>
        <v>1717403.5987491838</v>
      </c>
      <c r="X109" s="6"/>
      <c r="Y109" s="49">
        <f>(W109/W106-1)*100</f>
        <v>0.4136554400793413</v>
      </c>
      <c r="AA109" s="79"/>
      <c r="AB109" s="20">
        <f t="shared" si="95"/>
        <v>44286</v>
      </c>
      <c r="AC109" s="300">
        <f t="shared" si="171"/>
        <v>4.4934194399999994</v>
      </c>
      <c r="AD109" s="126">
        <f t="shared" si="191"/>
        <v>1626530.4210645361</v>
      </c>
      <c r="AE109" s="6"/>
      <c r="AF109" s="49">
        <f>(AD109/AD106-1)*100</f>
        <v>1.6994944637070075</v>
      </c>
      <c r="AG109" s="44"/>
      <c r="AH109" s="20">
        <f t="shared" si="97"/>
        <v>44286</v>
      </c>
      <c r="AI109" s="27">
        <v>1.5002801254091072</v>
      </c>
      <c r="AJ109" s="126">
        <f t="shared" si="163"/>
        <v>1567705.1861487292</v>
      </c>
      <c r="AK109" s="6"/>
      <c r="AL109" s="49">
        <f>(AJ109/AJ106-1)*100</f>
        <v>-0.27466029183260687</v>
      </c>
      <c r="AN109" s="79"/>
      <c r="AO109" s="20">
        <f t="shared" si="98"/>
        <v>44286</v>
      </c>
      <c r="AP109" s="300">
        <f t="shared" si="172"/>
        <v>3.0640997599999995</v>
      </c>
      <c r="AQ109" s="126">
        <f t="shared" si="198"/>
        <v>1561841.5939300177</v>
      </c>
      <c r="AR109" s="6"/>
      <c r="AS109" s="49">
        <f>(AQ109/AQ106-1)*100</f>
        <v>0.45448121622135851</v>
      </c>
      <c r="AT109" s="39"/>
      <c r="AU109" s="20">
        <f t="shared" si="100"/>
        <v>44286</v>
      </c>
      <c r="AV109" s="27">
        <v>0.53799815395068618</v>
      </c>
      <c r="AW109" s="126">
        <f t="shared" si="193"/>
        <v>1245744.7865169749</v>
      </c>
      <c r="AX109" s="6"/>
      <c r="AY109" s="49">
        <f>(AW109/AW106-1)*100</f>
        <v>-1.2661233047343678</v>
      </c>
      <c r="BA109" s="79"/>
      <c r="BB109" s="20">
        <f t="shared" si="101"/>
        <v>44286</v>
      </c>
      <c r="BC109" s="300">
        <f t="shared" si="173"/>
        <v>0.9201202399999997</v>
      </c>
      <c r="BD109" s="126">
        <f t="shared" si="199"/>
        <v>1335448.8545422947</v>
      </c>
      <c r="BE109" s="6"/>
      <c r="BF109" s="49">
        <f>(BD109/BD106-1)*100</f>
        <v>-1.420914281625052</v>
      </c>
      <c r="BG109" s="39"/>
      <c r="BH109" s="20">
        <f t="shared" si="102"/>
        <v>44286</v>
      </c>
      <c r="BI109" s="27">
        <v>0.15996732928027863</v>
      </c>
      <c r="BJ109" s="126">
        <f t="shared" si="84"/>
        <v>1053648.94981049</v>
      </c>
      <c r="BK109" s="6"/>
      <c r="BL109" s="49">
        <f>(BJ109/BJ106-1)*100</f>
        <v>-1.8582336045038783</v>
      </c>
      <c r="BN109" s="79"/>
      <c r="BO109" s="20">
        <f t="shared" si="103"/>
        <v>44286</v>
      </c>
      <c r="BP109" s="300">
        <f t="shared" si="200"/>
        <v>-0.15186951999999998</v>
      </c>
      <c r="BQ109" s="126">
        <f t="shared" si="46"/>
        <v>1041299.8801801644</v>
      </c>
      <c r="BR109" s="6"/>
      <c r="BS109" s="49">
        <f>(BQ109/BQ106-1)*100</f>
        <v>-2.3621503022432822</v>
      </c>
      <c r="BV109" s="39"/>
      <c r="BW109" s="20">
        <f t="shared" si="104"/>
        <v>44286</v>
      </c>
      <c r="BX109" s="27">
        <v>0.99030830361038802</v>
      </c>
      <c r="BY109" s="126">
        <f t="shared" si="195"/>
        <v>1460037.5965578463</v>
      </c>
      <c r="BZ109" s="6"/>
      <c r="CA109" s="49">
        <f>(BY109/BY106-1)*100</f>
        <v>-0.86173042019935808</v>
      </c>
      <c r="CC109" s="79"/>
      <c r="CD109" s="20">
        <f t="shared" si="105"/>
        <v>44286</v>
      </c>
      <c r="CE109" s="300">
        <f t="shared" si="174"/>
        <v>1.9921099999999998</v>
      </c>
      <c r="CF109" s="126">
        <f t="shared" si="201"/>
        <v>1466189.543110023</v>
      </c>
      <c r="CG109" s="6"/>
      <c r="CH109" s="49">
        <f>(CF109/CF106-1)*100</f>
        <v>-0.48203622260610812</v>
      </c>
      <c r="CI109" s="39"/>
      <c r="CJ109" s="1"/>
    </row>
    <row r="110" spans="1:88" x14ac:dyDescent="0.25">
      <c r="A110" s="20">
        <v>44316</v>
      </c>
      <c r="B110" s="24">
        <f t="shared" si="87"/>
        <v>95</v>
      </c>
      <c r="C110" s="297">
        <f>'LC (Gross)'!X272</f>
        <v>4.1895179999999996</v>
      </c>
      <c r="D110" s="297">
        <v>1.5544</v>
      </c>
      <c r="E110" s="297">
        <f>'CRA (Gross)'!E110</f>
        <v>0.79001449999999995</v>
      </c>
      <c r="F110" s="297">
        <f>'CRA (Gross)'!F110</f>
        <v>0</v>
      </c>
      <c r="G110" s="39"/>
      <c r="H110" s="20">
        <f t="shared" si="146"/>
        <v>44316</v>
      </c>
      <c r="I110" s="27">
        <v>3.2622955634646775</v>
      </c>
      <c r="J110" s="126">
        <f t="shared" si="159"/>
        <v>1900614.3679328673</v>
      </c>
      <c r="K110" s="8"/>
      <c r="M110" s="17"/>
      <c r="N110" s="79"/>
      <c r="O110" s="20">
        <f t="shared" si="92"/>
        <v>44316</v>
      </c>
      <c r="P110" s="300">
        <f t="shared" si="169"/>
        <v>3.5892445119999996</v>
      </c>
      <c r="Q110" s="126">
        <f t="shared" si="190"/>
        <v>1802439.1085277577</v>
      </c>
      <c r="R110" s="8"/>
      <c r="T110" s="39"/>
      <c r="U110" s="20">
        <f t="shared" si="94"/>
        <v>44316</v>
      </c>
      <c r="V110" s="27">
        <v>3.2541172863130545</v>
      </c>
      <c r="W110" s="126">
        <f t="shared" si="161"/>
        <v>1773289.9261318436</v>
      </c>
      <c r="X110" s="8"/>
      <c r="AA110" s="79"/>
      <c r="AB110" s="20">
        <f t="shared" si="95"/>
        <v>44316</v>
      </c>
      <c r="AC110" s="300">
        <f t="shared" si="171"/>
        <v>3.0721981299999999</v>
      </c>
      <c r="AD110" s="126">
        <f t="shared" si="191"/>
        <v>1676500.6582443619</v>
      </c>
      <c r="AE110" s="8"/>
      <c r="AG110" s="44"/>
      <c r="AH110" s="20">
        <f t="shared" si="97"/>
        <v>44316</v>
      </c>
      <c r="AI110" s="27">
        <v>2.7232994465195812</v>
      </c>
      <c r="AJ110" s="126">
        <f t="shared" si="163"/>
        <v>1610398.4928061762</v>
      </c>
      <c r="AK110" s="8"/>
      <c r="AN110" s="79"/>
      <c r="AO110" s="20">
        <f t="shared" si="98"/>
        <v>44316</v>
      </c>
      <c r="AP110" s="300">
        <f t="shared" si="172"/>
        <v>2.4977021499999998</v>
      </c>
      <c r="AQ110" s="126">
        <f t="shared" si="198"/>
        <v>1600851.745001202</v>
      </c>
      <c r="AR110" s="8"/>
      <c r="AT110" s="39"/>
      <c r="AU110" s="20">
        <f t="shared" si="100"/>
        <v>44316</v>
      </c>
      <c r="AV110" s="27">
        <v>1.796114041001361</v>
      </c>
      <c r="AW110" s="126">
        <f t="shared" si="193"/>
        <v>1268119.7835426487</v>
      </c>
      <c r="AX110" s="8"/>
      <c r="BA110" s="79"/>
      <c r="BB110" s="20">
        <f t="shared" si="101"/>
        <v>44316</v>
      </c>
      <c r="BC110" s="300">
        <f t="shared" si="173"/>
        <v>1.6359581799999998</v>
      </c>
      <c r="BD110" s="126">
        <f t="shared" si="199"/>
        <v>1357296.2393178956</v>
      </c>
      <c r="BE110" s="8"/>
      <c r="BG110" s="39"/>
      <c r="BH110" s="20">
        <f t="shared" si="102"/>
        <v>44316</v>
      </c>
      <c r="BI110" s="27">
        <v>1.5171796115412715</v>
      </c>
      <c r="BJ110" s="126">
        <f t="shared" si="84"/>
        <v>1069634.6968542335</v>
      </c>
      <c r="BK110" s="8"/>
      <c r="BN110" s="79"/>
      <c r="BO110" s="20">
        <f t="shared" si="103"/>
        <v>44316</v>
      </c>
      <c r="BP110" s="300">
        <f t="shared" si="200"/>
        <v>1.2050861949999998</v>
      </c>
      <c r="BQ110" s="126">
        <f t="shared" si="46"/>
        <v>1053848.4412847671</v>
      </c>
      <c r="BR110" s="8"/>
      <c r="BV110" s="39"/>
      <c r="BW110" s="20">
        <f t="shared" si="104"/>
        <v>44316</v>
      </c>
      <c r="BX110" s="27">
        <v>2.2895206754847446</v>
      </c>
      <c r="BY110" s="126">
        <f t="shared" si="195"/>
        <v>1493465.4592008886</v>
      </c>
      <c r="BZ110" s="8"/>
      <c r="CC110" s="79"/>
      <c r="CD110" s="20">
        <f t="shared" si="105"/>
        <v>44316</v>
      </c>
      <c r="CE110" s="300">
        <f t="shared" si="174"/>
        <v>2.0668301649999998</v>
      </c>
      <c r="CF110" s="126">
        <f t="shared" si="201"/>
        <v>1496493.1908630966</v>
      </c>
      <c r="CG110" s="8"/>
      <c r="CI110" s="39"/>
      <c r="CJ110" s="1"/>
    </row>
    <row r="111" spans="1:88" x14ac:dyDescent="0.25">
      <c r="A111" s="20">
        <v>44347</v>
      </c>
      <c r="B111" s="24">
        <f t="shared" si="87"/>
        <v>96</v>
      </c>
      <c r="C111" s="297">
        <f>'LC (Gross)'!X273</f>
        <v>1.1587460000000001</v>
      </c>
      <c r="D111" s="297">
        <v>2.7236000000000002</v>
      </c>
      <c r="E111" s="297">
        <f>'CRA (Gross)'!E111</f>
        <v>0.32666410000000001</v>
      </c>
      <c r="F111" s="297">
        <f>'CRA (Gross)'!F111</f>
        <v>0</v>
      </c>
      <c r="G111" s="39"/>
      <c r="H111" s="20">
        <f t="shared" si="146"/>
        <v>44347</v>
      </c>
      <c r="I111" s="27">
        <v>0.54492662230591271</v>
      </c>
      <c r="J111" s="126">
        <f t="shared" si="159"/>
        <v>1910971.3216111048</v>
      </c>
      <c r="K111" s="37"/>
      <c r="L111" s="49"/>
      <c r="M111" s="17"/>
      <c r="N111" s="79"/>
      <c r="O111" s="20">
        <f t="shared" si="92"/>
        <v>44347</v>
      </c>
      <c r="P111" s="300">
        <f t="shared" si="169"/>
        <v>1.4422824640000003</v>
      </c>
      <c r="Q111" s="126">
        <f t="shared" si="190"/>
        <v>1828435.3717143314</v>
      </c>
      <c r="R111" s="37"/>
      <c r="S111" s="5"/>
      <c r="T111" s="39"/>
      <c r="U111" s="20">
        <f t="shared" si="94"/>
        <v>44347</v>
      </c>
      <c r="V111" s="27">
        <v>0.39367988274091431</v>
      </c>
      <c r="W111" s="126">
        <f t="shared" si="161"/>
        <v>1780271.0118336959</v>
      </c>
      <c r="X111" s="37"/>
      <c r="Y111" s="5"/>
      <c r="Z111" s="5"/>
      <c r="AA111" s="79"/>
      <c r="AB111" s="20">
        <f t="shared" si="95"/>
        <v>44347</v>
      </c>
      <c r="AC111" s="300">
        <f t="shared" si="171"/>
        <v>1.2361729780000001</v>
      </c>
      <c r="AD111" s="126">
        <f t="shared" si="191"/>
        <v>1697225.1063575707</v>
      </c>
      <c r="AE111" s="37"/>
      <c r="AG111" s="44"/>
      <c r="AH111" s="20">
        <f t="shared" si="97"/>
        <v>44347</v>
      </c>
      <c r="AI111" s="27">
        <v>0.31998608675066509</v>
      </c>
      <c r="AJ111" s="126">
        <f t="shared" si="163"/>
        <v>1615551.5439243983</v>
      </c>
      <c r="AK111" s="37"/>
      <c r="AN111" s="79"/>
      <c r="AO111" s="20">
        <f t="shared" si="98"/>
        <v>44347</v>
      </c>
      <c r="AP111" s="300">
        <f t="shared" si="172"/>
        <v>1.0071624380000002</v>
      </c>
      <c r="AQ111" s="126">
        <f t="shared" ref="AQ111:AQ112" si="203">AQ110*AP111/100+AQ110</f>
        <v>1616974.9224649216</v>
      </c>
      <c r="AR111" s="37"/>
      <c r="AT111" s="39"/>
      <c r="AU111" s="20">
        <f t="shared" si="100"/>
        <v>44347</v>
      </c>
      <c r="AV111" s="27">
        <v>0.17535280346843862</v>
      </c>
      <c r="AW111" s="126">
        <f t="shared" si="193"/>
        <v>1270343.4671344287</v>
      </c>
      <c r="AX111" s="37"/>
      <c r="BA111" s="79"/>
      <c r="BB111" s="20">
        <f t="shared" si="101"/>
        <v>44347</v>
      </c>
      <c r="BC111" s="300">
        <f t="shared" si="173"/>
        <v>0.66364662800000007</v>
      </c>
      <c r="BD111" s="126">
        <f t="shared" si="199"/>
        <v>1366303.8900420996</v>
      </c>
      <c r="BE111" s="37"/>
      <c r="BG111" s="39"/>
      <c r="BH111" s="20">
        <f t="shared" si="102"/>
        <v>44347</v>
      </c>
      <c r="BI111" s="27">
        <v>0.13802231969900702</v>
      </c>
      <c r="BJ111" s="126">
        <f t="shared" si="84"/>
        <v>1071111.0314751372</v>
      </c>
      <c r="BK111" s="37"/>
      <c r="BN111" s="79"/>
      <c r="BO111" s="20">
        <f t="shared" si="103"/>
        <v>44347</v>
      </c>
      <c r="BP111" s="300">
        <f t="shared" si="200"/>
        <v>0.49188872299999997</v>
      </c>
      <c r="BQ111" s="126">
        <f t="shared" si="46"/>
        <v>1059032.2029249582</v>
      </c>
      <c r="BR111" s="37"/>
      <c r="BV111" s="39"/>
      <c r="BW111" s="20">
        <f t="shared" si="104"/>
        <v>44347</v>
      </c>
      <c r="BX111" s="27">
        <v>0.23636791031046736</v>
      </c>
      <c r="BY111" s="126">
        <f t="shared" si="195"/>
        <v>1496995.5322980103</v>
      </c>
      <c r="BZ111" s="37"/>
      <c r="CC111" s="79"/>
      <c r="CD111" s="20">
        <f t="shared" si="105"/>
        <v>44347</v>
      </c>
      <c r="CE111" s="300">
        <f t="shared" si="174"/>
        <v>0.83540453300000006</v>
      </c>
      <c r="CF111" s="126">
        <f t="shared" ref="CF111:CF112" si="204">CF110*CE111/100+CF110</f>
        <v>1508994.9628156032</v>
      </c>
      <c r="CG111" s="37"/>
      <c r="CI111" s="39"/>
      <c r="CJ111" s="1"/>
    </row>
    <row r="112" spans="1:88" x14ac:dyDescent="0.25">
      <c r="A112" s="20">
        <v>44377</v>
      </c>
      <c r="B112" s="24">
        <f t="shared" si="87"/>
        <v>97</v>
      </c>
      <c r="C112" s="297">
        <f>'LC (Gross)'!X274</f>
        <v>2.8556060000000001E-2</v>
      </c>
      <c r="D112" s="297">
        <v>0.69010000000000005</v>
      </c>
      <c r="E112" s="297">
        <f>'CRA (Gross)'!E112</f>
        <v>0.70254399999999995</v>
      </c>
      <c r="F112" s="297">
        <f>'CRA (Gross)'!F112</f>
        <v>0</v>
      </c>
      <c r="G112" s="39"/>
      <c r="H112" s="20">
        <f t="shared" si="146"/>
        <v>44377</v>
      </c>
      <c r="I112" s="27">
        <v>1.7827503325515304</v>
      </c>
      <c r="J112" s="126">
        <f t="shared" si="159"/>
        <v>1945039.1692020912</v>
      </c>
      <c r="K112" s="6"/>
      <c r="L112" s="49">
        <f>(J112/J109-1)*100</f>
        <v>5.6759398231364111</v>
      </c>
      <c r="M112" s="17"/>
      <c r="N112" s="79"/>
      <c r="O112" s="20">
        <f t="shared" si="92"/>
        <v>44377</v>
      </c>
      <c r="P112" s="300">
        <f t="shared" si="169"/>
        <v>0.15764755104</v>
      </c>
      <c r="Q112" s="126">
        <f t="shared" si="190"/>
        <v>1831317.8553001883</v>
      </c>
      <c r="R112" s="6"/>
      <c r="S112" s="49">
        <f>(Q112/Q109-1)*100</f>
        <v>5.2489552597616562</v>
      </c>
      <c r="T112" s="39"/>
      <c r="U112" s="20">
        <f t="shared" si="94"/>
        <v>44377</v>
      </c>
      <c r="V112" s="27">
        <v>1.7132483355339192</v>
      </c>
      <c r="W112" s="126">
        <f t="shared" si="161"/>
        <v>1810771.4753119296</v>
      </c>
      <c r="X112" s="6"/>
      <c r="Y112" s="49">
        <f>(W112/W109-1)*100</f>
        <v>5.4365716148928156</v>
      </c>
      <c r="AA112" s="79"/>
      <c r="AB112" s="20">
        <f t="shared" si="95"/>
        <v>44377</v>
      </c>
      <c r="AC112" s="300">
        <f t="shared" si="171"/>
        <v>0.25514979839999996</v>
      </c>
      <c r="AD112" s="126">
        <f t="shared" si="191"/>
        <v>1701555.5727948362</v>
      </c>
      <c r="AE112" s="6"/>
      <c r="AF112" s="49">
        <f>(AD112/AD109-1)*100</f>
        <v>4.6125882896919546</v>
      </c>
      <c r="AG112" s="44"/>
      <c r="AH112" s="20">
        <f t="shared" si="97"/>
        <v>44377</v>
      </c>
      <c r="AI112" s="27">
        <v>1.5725141656868076</v>
      </c>
      <c r="AJ112" s="126">
        <f t="shared" si="163"/>
        <v>1640956.3208065813</v>
      </c>
      <c r="AK112" s="6"/>
      <c r="AL112" s="49">
        <f>(AJ112/AJ109-1)*100</f>
        <v>4.6725070061037988</v>
      </c>
      <c r="AN112" s="79"/>
      <c r="AO112" s="20">
        <f t="shared" si="98"/>
        <v>44377</v>
      </c>
      <c r="AP112" s="300">
        <f t="shared" si="172"/>
        <v>0.36348562880000002</v>
      </c>
      <c r="AQ112" s="126">
        <f t="shared" si="203"/>
        <v>1622852.3939293816</v>
      </c>
      <c r="AR112" s="6"/>
      <c r="AS112" s="49">
        <f>(AQ112/AQ109-1)*100</f>
        <v>3.906337251900438</v>
      </c>
      <c r="AT112" s="39"/>
      <c r="AU112" s="20">
        <f t="shared" si="100"/>
        <v>44377</v>
      </c>
      <c r="AV112" s="27">
        <v>1.3513124154174014</v>
      </c>
      <c r="AW112" s="126">
        <f t="shared" si="193"/>
        <v>1287509.7761242602</v>
      </c>
      <c r="AX112" s="6"/>
      <c r="AY112" s="49">
        <f>(AW112/AW109-1)*100</f>
        <v>3.3526120325221287</v>
      </c>
      <c r="BA112" s="79"/>
      <c r="BB112" s="20">
        <f t="shared" si="101"/>
        <v>44377</v>
      </c>
      <c r="BC112" s="300">
        <f t="shared" si="173"/>
        <v>0.52598937439999993</v>
      </c>
      <c r="BD112" s="126">
        <f t="shared" si="199"/>
        <v>1373490.503325735</v>
      </c>
      <c r="BE112" s="6"/>
      <c r="BF112" s="49">
        <f>(BD112/BD109-1)*100</f>
        <v>2.8486039472083391</v>
      </c>
      <c r="BG112" s="39"/>
      <c r="BH112" s="20">
        <f t="shared" si="102"/>
        <v>44377</v>
      </c>
      <c r="BI112" s="27">
        <v>1.1738236740302137</v>
      </c>
      <c r="BJ112" s="126">
        <f t="shared" si="84"/>
        <v>1083683.9863377416</v>
      </c>
      <c r="BK112" s="6"/>
      <c r="BL112" s="49">
        <f>(BJ112/BJ109-1)*100</f>
        <v>2.8505733842997483</v>
      </c>
      <c r="BN112" s="79"/>
      <c r="BO112" s="20">
        <f t="shared" si="103"/>
        <v>44377</v>
      </c>
      <c r="BP112" s="300">
        <f t="shared" si="200"/>
        <v>0.60724124719999983</v>
      </c>
      <c r="BQ112" s="126">
        <f t="shared" si="46"/>
        <v>1065463.0832822493</v>
      </c>
      <c r="BR112" s="6"/>
      <c r="BS112" s="49">
        <f>(BQ112/BQ109-1)*100</f>
        <v>2.3204845752891279</v>
      </c>
      <c r="BV112" s="39"/>
      <c r="BW112" s="20">
        <f t="shared" si="104"/>
        <v>44377</v>
      </c>
      <c r="BX112" s="27">
        <v>1.5296102634372932</v>
      </c>
      <c r="BY112" s="126">
        <f t="shared" si="195"/>
        <v>1519893.7296032384</v>
      </c>
      <c r="BZ112" s="6"/>
      <c r="CA112" s="49">
        <f>(BY112/BY109-1)*100</f>
        <v>4.0996295702595331</v>
      </c>
      <c r="CC112" s="79"/>
      <c r="CD112" s="20">
        <f t="shared" si="105"/>
        <v>44377</v>
      </c>
      <c r="CE112" s="300">
        <f t="shared" si="174"/>
        <v>0.44473750160000003</v>
      </c>
      <c r="CF112" s="126">
        <f t="shared" si="204"/>
        <v>1515706.0293124991</v>
      </c>
      <c r="CG112" s="6"/>
      <c r="CH112" s="49">
        <f>(CF112/CF109-1)*100</f>
        <v>3.3772227086986017</v>
      </c>
      <c r="CI112" s="39"/>
      <c r="CJ112" s="1"/>
    </row>
    <row r="113" spans="1:88" x14ac:dyDescent="0.25">
      <c r="A113" s="20">
        <v>44408</v>
      </c>
      <c r="B113" s="24">
        <f t="shared" si="87"/>
        <v>98</v>
      </c>
      <c r="C113" s="297">
        <f>'LC (Gross)'!X275</f>
        <v>3.7171284999999998</v>
      </c>
      <c r="D113" s="297">
        <v>2.1987000000000001</v>
      </c>
      <c r="E113" s="297">
        <f>'CRA (Gross)'!E113</f>
        <v>1.1182678744412979</v>
      </c>
      <c r="F113" s="297">
        <f>'CRA (Gross)'!F113</f>
        <v>0</v>
      </c>
      <c r="G113" s="39"/>
      <c r="H113" s="20">
        <f t="shared" si="146"/>
        <v>44408</v>
      </c>
      <c r="I113" s="27">
        <v>0.35286705122753825</v>
      </c>
      <c r="J113" s="126">
        <f t="shared" si="159"/>
        <v>1951902.5715636753</v>
      </c>
      <c r="K113" s="6"/>
      <c r="M113" s="17"/>
      <c r="N113" s="79"/>
      <c r="O113" s="20">
        <f t="shared" si="92"/>
        <v>44408</v>
      </c>
      <c r="P113" s="300">
        <f t="shared" si="169"/>
        <v>3.3451739439999999</v>
      </c>
      <c r="Q113" s="126">
        <f t="shared" ref="Q113" si="205">Q112*P113/100+Q112</f>
        <v>1892578.6230275098</v>
      </c>
      <c r="R113" s="6"/>
      <c r="T113" s="39"/>
      <c r="U113" s="20">
        <f t="shared" si="94"/>
        <v>44408</v>
      </c>
      <c r="V113" s="27">
        <v>0.58489380439755634</v>
      </c>
      <c r="W113" s="126">
        <f t="shared" ref="W113" si="206">W112*V113/100+W112</f>
        <v>1821362.5654828274</v>
      </c>
      <c r="X113" s="6"/>
      <c r="AA113" s="79"/>
      <c r="AB113" s="20">
        <f t="shared" si="95"/>
        <v>44408</v>
      </c>
      <c r="AC113" s="300">
        <f t="shared" si="171"/>
        <v>2.9320424573994335</v>
      </c>
      <c r="AD113" s="126">
        <f t="shared" ref="AD113" si="207">AD112*AC113/100+AD112</f>
        <v>1751445.904625427</v>
      </c>
      <c r="AE113" s="6"/>
      <c r="AG113" s="44"/>
      <c r="AH113" s="20">
        <f t="shared" si="97"/>
        <v>44408</v>
      </c>
      <c r="AI113" s="27">
        <v>0.75916396981002698</v>
      </c>
      <c r="AJ113" s="126">
        <f t="shared" ref="AJ113" si="208">AJ112*AI113/100+AJ112</f>
        <v>1653413.8699544652</v>
      </c>
      <c r="AK113" s="6"/>
      <c r="AN113" s="79"/>
      <c r="AO113" s="20">
        <f t="shared" si="98"/>
        <v>44408</v>
      </c>
      <c r="AP113" s="300">
        <f t="shared" si="172"/>
        <v>2.4730074722876934</v>
      </c>
      <c r="AQ113" s="126">
        <f t="shared" ref="AQ113" si="209">AQ112*AP113/100+AQ112</f>
        <v>1662985.6548954549</v>
      </c>
      <c r="AR113" s="6"/>
      <c r="AT113" s="39"/>
      <c r="AU113" s="20">
        <f t="shared" si="100"/>
        <v>44408</v>
      </c>
      <c r="AV113" s="27">
        <v>0.76901543165740638</v>
      </c>
      <c r="AW113" s="126">
        <f t="shared" ref="AW113" si="210">AW112*AV113/100+AW112</f>
        <v>1297410.9249867534</v>
      </c>
      <c r="AX113" s="6"/>
      <c r="BA113" s="79"/>
      <c r="BB113" s="20">
        <f t="shared" si="101"/>
        <v>44408</v>
      </c>
      <c r="BC113" s="300">
        <f t="shared" si="173"/>
        <v>1.7844549946200827</v>
      </c>
      <c r="BD113" s="126">
        <f t="shared" ref="BD113" si="211">BD112*BC113/100+BD112</f>
        <v>1397999.8232129635</v>
      </c>
      <c r="BE113" s="6"/>
      <c r="BG113" s="39"/>
      <c r="BH113" s="20">
        <f t="shared" si="102"/>
        <v>44408</v>
      </c>
      <c r="BI113" s="27">
        <v>0.74867075065386479</v>
      </c>
      <c r="BJ113" s="126">
        <f t="shared" ref="BJ113" si="212">BJ112*BI113/100+BJ112</f>
        <v>1091797.211372972</v>
      </c>
      <c r="BK113" s="6"/>
      <c r="BN113" s="79"/>
      <c r="BO113" s="20">
        <f t="shared" si="103"/>
        <v>44408</v>
      </c>
      <c r="BP113" s="300">
        <f t="shared" si="200"/>
        <v>1.4401787557862773</v>
      </c>
      <c r="BQ113" s="126">
        <f t="shared" ref="BQ113" si="213">BQ112*BP113/100+BQ112</f>
        <v>1080807.6562584257</v>
      </c>
      <c r="BR113" s="6"/>
      <c r="BV113" s="39"/>
      <c r="BW113" s="20">
        <f t="shared" si="104"/>
        <v>44408</v>
      </c>
      <c r="BX113" s="27">
        <v>0.89628779890635513</v>
      </c>
      <c r="BY113" s="126">
        <f t="shared" ref="BY113" si="214">BY112*BX113/100+BY112</f>
        <v>1533516.351658015</v>
      </c>
      <c r="BZ113" s="6"/>
      <c r="CC113" s="79"/>
      <c r="CD113" s="20">
        <f t="shared" si="105"/>
        <v>44408</v>
      </c>
      <c r="CE113" s="300">
        <f t="shared" si="174"/>
        <v>2.1287312334538879</v>
      </c>
      <c r="CF113" s="126">
        <f t="shared" ref="CF113" si="215">CF112*CE113/100+CF112</f>
        <v>1547971.336965818</v>
      </c>
      <c r="CG113" s="6"/>
      <c r="CI113" s="39"/>
      <c r="CJ113" s="1"/>
    </row>
    <row r="114" spans="1:88" x14ac:dyDescent="0.25">
      <c r="A114" s="20">
        <v>44439</v>
      </c>
      <c r="B114" s="24">
        <f t="shared" si="87"/>
        <v>99</v>
      </c>
      <c r="C114" s="297">
        <f>'LC (Gross)'!X276</f>
        <v>1.7447090000000001</v>
      </c>
      <c r="D114" s="297">
        <v>1.861</v>
      </c>
      <c r="E114" s="297">
        <f>'CRA (Gross)'!E114</f>
        <v>-0.19033929999999999</v>
      </c>
      <c r="F114" s="297">
        <f>'CRA (Gross)'!F114</f>
        <v>0</v>
      </c>
      <c r="G114" s="39"/>
      <c r="H114" s="20">
        <f t="shared" si="146"/>
        <v>44439</v>
      </c>
      <c r="I114" s="27">
        <v>1.5202141186935612</v>
      </c>
      <c r="J114" s="126">
        <f t="shared" ref="J114:J118" si="216">J113*I114/100+J113</f>
        <v>1981575.670039729</v>
      </c>
      <c r="K114" s="6"/>
      <c r="M114" s="17"/>
      <c r="N114" s="79"/>
      <c r="O114" s="20">
        <f t="shared" si="92"/>
        <v>44439</v>
      </c>
      <c r="P114" s="300">
        <f t="shared" si="169"/>
        <v>1.7326078560000002</v>
      </c>
      <c r="Q114" s="126">
        <f t="shared" ref="Q114:Q118" si="217">Q113*P114/100+Q113</f>
        <v>1925369.5889310611</v>
      </c>
      <c r="R114" s="6"/>
      <c r="T114" s="39"/>
      <c r="U114" s="20">
        <f t="shared" si="94"/>
        <v>44439</v>
      </c>
      <c r="V114" s="27">
        <v>1.4838080309271087</v>
      </c>
      <c r="W114" s="126">
        <f t="shared" ref="W114:W118" si="218">W113*V114/100+W113</f>
        <v>1848388.0895017616</v>
      </c>
      <c r="X114" s="6"/>
      <c r="AA114" s="79"/>
      <c r="AB114" s="20">
        <f t="shared" si="95"/>
        <v>44439</v>
      </c>
      <c r="AC114" s="300">
        <f t="shared" si="171"/>
        <v>1.3801126860000001</v>
      </c>
      <c r="AD114" s="126">
        <f t="shared" ref="AD114:AD115" si="219">AD113*AC114/100+AD113</f>
        <v>1775617.8317435901</v>
      </c>
      <c r="AE114" s="6"/>
      <c r="AG114" s="44"/>
      <c r="AH114" s="20">
        <f t="shared" si="97"/>
        <v>44439</v>
      </c>
      <c r="AI114" s="27">
        <v>1.1813057847242017</v>
      </c>
      <c r="AJ114" s="126">
        <f t="shared" ref="AJ114:AJ115" si="220">AJ113*AI114/100+AJ113</f>
        <v>1672945.7436456697</v>
      </c>
      <c r="AK114" s="6"/>
      <c r="AN114" s="79"/>
      <c r="AO114" s="20">
        <f t="shared" si="98"/>
        <v>44439</v>
      </c>
      <c r="AP114" s="300">
        <f t="shared" si="172"/>
        <v>0.98845138600000015</v>
      </c>
      <c r="AQ114" s="126">
        <f t="shared" ref="AQ114:AQ115" si="221">AQ113*AP114/100+AQ113</f>
        <v>1679423.4596502502</v>
      </c>
      <c r="AR114" s="6"/>
      <c r="AT114" s="39"/>
      <c r="AU114" s="20">
        <f t="shared" si="100"/>
        <v>44439</v>
      </c>
      <c r="AV114" s="27">
        <v>0.68726694505459385</v>
      </c>
      <c r="AW114" s="126">
        <f t="shared" ref="AW114:AW118" si="222">AW113*AV114/100+AW113</f>
        <v>1306327.6014157145</v>
      </c>
      <c r="AX114" s="6"/>
      <c r="BA114" s="79"/>
      <c r="BB114" s="20">
        <f t="shared" si="101"/>
        <v>44439</v>
      </c>
      <c r="BC114" s="300">
        <f t="shared" si="173"/>
        <v>0.40095943600000006</v>
      </c>
      <c r="BD114" s="126">
        <f t="shared" ref="BD114:BD118" si="223">BD113*BC114/100+BD113</f>
        <v>1403605.2354193993</v>
      </c>
      <c r="BE114" s="6"/>
      <c r="BG114" s="39"/>
      <c r="BH114" s="20">
        <f t="shared" si="102"/>
        <v>44439</v>
      </c>
      <c r="BI114" s="27">
        <v>0.34756149768478933</v>
      </c>
      <c r="BJ114" s="126">
        <f t="shared" ref="BJ114:BJ118" si="224">BJ113*BI114/100+BJ113</f>
        <v>1095591.8781125008</v>
      </c>
      <c r="BK114" s="6"/>
      <c r="BN114" s="79"/>
      <c r="BO114" s="20">
        <f t="shared" si="103"/>
        <v>44439</v>
      </c>
      <c r="BP114" s="300">
        <f t="shared" si="200"/>
        <v>0.10721346100000004</v>
      </c>
      <c r="BQ114" s="126">
        <f t="shared" ref="BQ114:BQ118" si="225">BQ113*BP114/100+BQ113</f>
        <v>1081966.4275534532</v>
      </c>
      <c r="BR114" s="6"/>
      <c r="BV114" s="39"/>
      <c r="BW114" s="20">
        <f t="shared" si="104"/>
        <v>44439</v>
      </c>
      <c r="BX114" s="27">
        <v>0.95077264487751934</v>
      </c>
      <c r="BY114" s="126">
        <f t="shared" ref="BY114:BY118" si="226">BY113*BX114/100+BY113</f>
        <v>1548096.6056343033</v>
      </c>
      <c r="BZ114" s="6"/>
      <c r="CC114" s="79"/>
      <c r="CD114" s="20">
        <f t="shared" si="105"/>
        <v>44439</v>
      </c>
      <c r="CE114" s="300">
        <f t="shared" si="174"/>
        <v>0.69470541100000005</v>
      </c>
      <c r="CF114" s="126">
        <f t="shared" ref="CF114:CF118" si="227">CF113*CE114/100+CF113</f>
        <v>1558725.1776044485</v>
      </c>
      <c r="CG114" s="6"/>
      <c r="CI114" s="39"/>
      <c r="CJ114" s="1"/>
    </row>
    <row r="115" spans="1:88" x14ac:dyDescent="0.25">
      <c r="A115" s="20">
        <v>44469</v>
      </c>
      <c r="B115" s="24">
        <f t="shared" ref="B115:B122" si="228">IF(A115&gt;A114,1+B114,"-")</f>
        <v>100</v>
      </c>
      <c r="C115" s="297">
        <f>'LC (Gross)'!X277</f>
        <v>-4.876906</v>
      </c>
      <c r="D115" s="297">
        <v>-3.7383999999999999</v>
      </c>
      <c r="E115" s="297">
        <f>'CRA (Gross)'!E115</f>
        <v>-0.86594850000000001</v>
      </c>
      <c r="F115" s="297">
        <f>'CRA (Gross)'!F115</f>
        <v>0</v>
      </c>
      <c r="G115" s="39"/>
      <c r="H115" s="20">
        <f t="shared" si="146"/>
        <v>44469</v>
      </c>
      <c r="I115" s="27">
        <v>-3.957190698864621</v>
      </c>
      <c r="J115" s="126">
        <f t="shared" si="216"/>
        <v>1903160.9419339525</v>
      </c>
      <c r="K115" s="6"/>
      <c r="L115" s="49">
        <f>(J115/J112-1)*100</f>
        <v>-2.1530788650039545</v>
      </c>
      <c r="M115" s="17"/>
      <c r="N115" s="79"/>
      <c r="O115" s="20">
        <f t="shared" si="92"/>
        <v>44469</v>
      </c>
      <c r="P115" s="300">
        <f t="shared" si="169"/>
        <v>-4.5562207040000002</v>
      </c>
      <c r="Q115" s="126">
        <f t="shared" si="217"/>
        <v>1837645.5010916644</v>
      </c>
      <c r="R115" s="6"/>
      <c r="S115" s="49">
        <f>(Q115/Q112-1)*100</f>
        <v>0.34552416846493905</v>
      </c>
      <c r="T115" s="39"/>
      <c r="U115" s="20">
        <f t="shared" si="94"/>
        <v>44469</v>
      </c>
      <c r="V115" s="27">
        <v>-3.6440134416371888</v>
      </c>
      <c r="W115" s="126">
        <f t="shared" si="218"/>
        <v>1781032.5790666966</v>
      </c>
      <c r="X115" s="6"/>
      <c r="Y115" s="49">
        <f>(W115/W112-1)*100</f>
        <v>-1.6423329310569224</v>
      </c>
      <c r="AA115" s="79"/>
      <c r="AB115" s="20">
        <f t="shared" si="95"/>
        <v>44469</v>
      </c>
      <c r="AC115" s="300">
        <f t="shared" si="171"/>
        <v>-3.8752345700000004</v>
      </c>
      <c r="AD115" s="126">
        <f t="shared" si="219"/>
        <v>1706808.4756967779</v>
      </c>
      <c r="AE115" s="6"/>
      <c r="AF115" s="49">
        <f>(AD115/AD112-1)*100</f>
        <v>0.30871180382980867</v>
      </c>
      <c r="AG115" s="44"/>
      <c r="AH115" s="20">
        <f t="shared" si="97"/>
        <v>44469</v>
      </c>
      <c r="AI115" s="27">
        <v>-3.0981436247430576</v>
      </c>
      <c r="AJ115" s="126">
        <f t="shared" si="220"/>
        <v>1621115.481743501</v>
      </c>
      <c r="AK115" s="6"/>
      <c r="AL115" s="49">
        <f>(AJ115/AJ112-1)*100</f>
        <v>-1.2091022053120737</v>
      </c>
      <c r="AN115" s="79"/>
      <c r="AO115" s="20">
        <f t="shared" si="98"/>
        <v>44469</v>
      </c>
      <c r="AP115" s="300">
        <f t="shared" si="172"/>
        <v>-3.11858331</v>
      </c>
      <c r="AQ115" s="126">
        <f t="shared" si="221"/>
        <v>1627049.2399333729</v>
      </c>
      <c r="AR115" s="6"/>
      <c r="AS115" s="49">
        <f>(AQ115/AQ112-1)*100</f>
        <v>0.25860922531775188</v>
      </c>
      <c r="AT115" s="39"/>
      <c r="AU115" s="20">
        <f t="shared" si="100"/>
        <v>44469</v>
      </c>
      <c r="AV115" s="27">
        <v>-2.176966419481817</v>
      </c>
      <c r="AW115" s="126">
        <f t="shared" si="222"/>
        <v>1277889.288204472</v>
      </c>
      <c r="AX115" s="6"/>
      <c r="AY115" s="49">
        <f>(AW115/AW112-1)*100</f>
        <v>-0.74721668900630256</v>
      </c>
      <c r="BA115" s="79"/>
      <c r="BB115" s="20">
        <f t="shared" si="101"/>
        <v>44469</v>
      </c>
      <c r="BC115" s="300">
        <f t="shared" si="173"/>
        <v>-1.9836064200000001</v>
      </c>
      <c r="BD115" s="126">
        <f t="shared" si="223"/>
        <v>1375763.2318581641</v>
      </c>
      <c r="BE115" s="6"/>
      <c r="BF115" s="49">
        <f>(BD115/BD112-1)*100</f>
        <v>0.165471004490092</v>
      </c>
      <c r="BG115" s="39"/>
      <c r="BH115" s="20">
        <f t="shared" si="102"/>
        <v>44469</v>
      </c>
      <c r="BI115" s="27">
        <v>-1.7529337938471101</v>
      </c>
      <c r="BJ115" s="126">
        <f t="shared" si="224"/>
        <v>1076386.8778384225</v>
      </c>
      <c r="BK115" s="6"/>
      <c r="BL115" s="49">
        <f>(BJ115/BJ112-1)*100</f>
        <v>-0.67336129271221568</v>
      </c>
      <c r="BN115" s="79"/>
      <c r="BO115" s="20">
        <f t="shared" si="103"/>
        <v>44469</v>
      </c>
      <c r="BP115" s="300">
        <f t="shared" si="200"/>
        <v>-1.4161179749999999</v>
      </c>
      <c r="BQ115" s="126">
        <f t="shared" si="225"/>
        <v>1066644.5064894035</v>
      </c>
      <c r="BR115" s="6"/>
      <c r="BS115" s="49">
        <f>(BQ115/BQ112-1)*100</f>
        <v>0.11088354216035601</v>
      </c>
      <c r="BV115" s="39"/>
      <c r="BW115" s="20">
        <f t="shared" si="104"/>
        <v>44469</v>
      </c>
      <c r="BX115" s="27">
        <v>-2.7135298541999906</v>
      </c>
      <c r="BY115" s="126">
        <f t="shared" si="226"/>
        <v>1506088.5420685597</v>
      </c>
      <c r="BZ115" s="6"/>
      <c r="CA115" s="49">
        <f>(BY115/BY112-1)*100</f>
        <v>-0.90829952553870275</v>
      </c>
      <c r="CC115" s="79"/>
      <c r="CD115" s="20">
        <f t="shared" si="105"/>
        <v>44469</v>
      </c>
      <c r="CE115" s="300">
        <f t="shared" si="174"/>
        <v>-2.551094865</v>
      </c>
      <c r="CF115" s="126">
        <f t="shared" si="227"/>
        <v>1518960.6196391194</v>
      </c>
      <c r="CG115" s="6"/>
      <c r="CH115" s="49">
        <f>(CF115/CF112-1)*100</f>
        <v>0.21472437686986812</v>
      </c>
      <c r="CI115" s="39"/>
      <c r="CJ115" s="1"/>
    </row>
    <row r="116" spans="1:88" x14ac:dyDescent="0.25">
      <c r="A116" s="20">
        <v>44500</v>
      </c>
      <c r="B116" s="24">
        <f t="shared" si="228"/>
        <v>101</v>
      </c>
      <c r="C116" s="297">
        <f>'LC (Gross)'!X278</f>
        <v>4.722391</v>
      </c>
      <c r="D116" s="297">
        <v>1.1234919999999999</v>
      </c>
      <c r="E116" s="297">
        <f>'CRA (Gross)'!E116</f>
        <v>-2.760249E-2</v>
      </c>
      <c r="F116" s="297">
        <f>'CRA (Gross)'!F116</f>
        <v>0</v>
      </c>
      <c r="G116" s="39"/>
      <c r="H116" s="20">
        <f t="shared" si="146"/>
        <v>44500</v>
      </c>
      <c r="I116" s="27">
        <v>5.2450855368640958</v>
      </c>
      <c r="J116" s="126">
        <f t="shared" si="216"/>
        <v>2002983.3612425767</v>
      </c>
      <c r="K116" s="54"/>
      <c r="M116" s="17"/>
      <c r="N116" s="79"/>
      <c r="O116" s="20">
        <f t="shared" si="92"/>
        <v>44500</v>
      </c>
      <c r="P116" s="300">
        <f t="shared" si="169"/>
        <v>3.9225589760000004</v>
      </c>
      <c r="Q116" s="126">
        <f t="shared" si="217"/>
        <v>1909728.2296417956</v>
      </c>
      <c r="R116" s="8"/>
      <c r="T116" s="39"/>
      <c r="U116" s="20">
        <f t="shared" si="94"/>
        <v>44500</v>
      </c>
      <c r="V116" s="27">
        <v>4.7832324826088417</v>
      </c>
      <c r="W116" s="126">
        <f t="shared" si="218"/>
        <v>1866223.5079144607</v>
      </c>
      <c r="X116" s="8"/>
      <c r="AA116" s="79"/>
      <c r="AB116" s="20">
        <f t="shared" si="95"/>
        <v>44500</v>
      </c>
      <c r="AC116" s="300">
        <f t="shared" si="171"/>
        <v>3.1971205118000001</v>
      </c>
      <c r="AD116" s="126">
        <f t="shared" ref="AD116:AD118" si="229">AD115*AC116/100+AD115</f>
        <v>1761377.1995704204</v>
      </c>
      <c r="AE116" s="6"/>
      <c r="AF116" s="49"/>
      <c r="AG116" s="44"/>
      <c r="AH116" s="20">
        <f t="shared" si="97"/>
        <v>44500</v>
      </c>
      <c r="AI116" s="27">
        <v>3.7992106091615776</v>
      </c>
      <c r="AJ116" s="126">
        <f t="shared" ref="AJ116:AJ118" si="230">AJ115*AI116/100+AJ115</f>
        <v>1682705.073112661</v>
      </c>
      <c r="AK116" s="6"/>
      <c r="AL116" s="49"/>
      <c r="AN116" s="79"/>
      <c r="AO116" s="20">
        <f t="shared" si="98"/>
        <v>44500</v>
      </c>
      <c r="AP116" s="300">
        <f t="shared" si="172"/>
        <v>2.3910777737999998</v>
      </c>
      <c r="AQ116" s="126">
        <f t="shared" ref="AQ116:AQ118" si="231">AQ115*AP116/100+AQ115</f>
        <v>1665953.2526782015</v>
      </c>
      <c r="AR116" s="6"/>
      <c r="AS116" s="49"/>
      <c r="AT116" s="39"/>
      <c r="AU116" s="20">
        <f t="shared" si="100"/>
        <v>44500</v>
      </c>
      <c r="AV116" s="27">
        <v>2.1409509801538023</v>
      </c>
      <c r="AW116" s="126">
        <f t="shared" si="222"/>
        <v>1305248.2714455661</v>
      </c>
      <c r="BA116" s="79"/>
      <c r="BB116" s="20">
        <f t="shared" si="101"/>
        <v>44500</v>
      </c>
      <c r="BC116" s="300">
        <f t="shared" si="173"/>
        <v>1.1820136667999999</v>
      </c>
      <c r="BD116" s="126">
        <f t="shared" si="223"/>
        <v>1392024.9412815368</v>
      </c>
      <c r="BG116" s="39"/>
      <c r="BH116" s="20">
        <f t="shared" si="102"/>
        <v>44500</v>
      </c>
      <c r="BI116" s="27">
        <v>1.376398689048673</v>
      </c>
      <c r="BJ116" s="126">
        <f t="shared" si="224"/>
        <v>1091202.2527140826</v>
      </c>
      <c r="BN116" s="79"/>
      <c r="BO116" s="20">
        <f t="shared" si="103"/>
        <v>44500</v>
      </c>
      <c r="BP116" s="300">
        <f t="shared" si="200"/>
        <v>0.57748161330000003</v>
      </c>
      <c r="BQ116" s="126">
        <f t="shared" si="225"/>
        <v>1072804.1823936545</v>
      </c>
      <c r="BV116" s="39"/>
      <c r="BW116" s="20">
        <f t="shared" si="104"/>
        <v>44500</v>
      </c>
      <c r="BX116" s="27">
        <v>3.1065983606312781</v>
      </c>
      <c r="BY116" s="126">
        <f t="shared" si="226"/>
        <v>1552876.6640261172</v>
      </c>
      <c r="CC116" s="79"/>
      <c r="CD116" s="20">
        <f t="shared" si="105"/>
        <v>44500</v>
      </c>
      <c r="CE116" s="300">
        <f t="shared" si="174"/>
        <v>1.7865457202999999</v>
      </c>
      <c r="CF116" s="126">
        <f t="shared" si="227"/>
        <v>1546097.5455823245</v>
      </c>
      <c r="CI116" s="39"/>
      <c r="CJ116" s="1"/>
    </row>
    <row r="117" spans="1:88" x14ac:dyDescent="0.25">
      <c r="A117" s="20">
        <v>44530</v>
      </c>
      <c r="B117" s="24">
        <f t="shared" si="228"/>
        <v>102</v>
      </c>
      <c r="C117" s="297">
        <f>'LC (Gross)'!X279</f>
        <v>-1.3369279999999999</v>
      </c>
      <c r="D117" s="297">
        <v>-2.6071949999999999</v>
      </c>
      <c r="E117" s="297">
        <f>'CRA (Gross)'!E117</f>
        <v>0.29606529999999998</v>
      </c>
      <c r="F117" s="297">
        <f>'CRA (Gross)'!F117</f>
        <v>0</v>
      </c>
      <c r="G117" s="39"/>
      <c r="H117" s="20">
        <f t="shared" si="146"/>
        <v>44530</v>
      </c>
      <c r="I117" s="27">
        <v>-2.6199348684615469</v>
      </c>
      <c r="J117" s="126">
        <f t="shared" si="216"/>
        <v>1950506.5017518993</v>
      </c>
      <c r="K117" s="54"/>
      <c r="L117" s="49"/>
      <c r="M117" s="17"/>
      <c r="N117" s="79"/>
      <c r="O117" s="20">
        <f t="shared" si="92"/>
        <v>44530</v>
      </c>
      <c r="P117" s="300">
        <f t="shared" si="169"/>
        <v>-1.5591617719999999</v>
      </c>
      <c r="Q117" s="126">
        <f t="shared" si="217"/>
        <v>1879952.4771361283</v>
      </c>
      <c r="R117" s="8"/>
      <c r="S117" s="5"/>
      <c r="T117" s="39"/>
      <c r="U117" s="20">
        <f t="shared" si="94"/>
        <v>44530</v>
      </c>
      <c r="V117" s="27">
        <v>-2.2421040558771446</v>
      </c>
      <c r="W117" s="126">
        <f t="shared" si="218"/>
        <v>1824380.8349517779</v>
      </c>
      <c r="X117" s="8"/>
      <c r="Y117" s="5"/>
      <c r="Z117" s="5"/>
      <c r="AA117" s="79"/>
      <c r="AB117" s="20">
        <f t="shared" si="95"/>
        <v>44530</v>
      </c>
      <c r="AC117" s="300">
        <f t="shared" si="171"/>
        <v>-1.219493366</v>
      </c>
      <c r="AD117" s="126">
        <f t="shared" si="229"/>
        <v>1739897.3214714227</v>
      </c>
      <c r="AE117" s="6"/>
      <c r="AF117" s="49"/>
      <c r="AG117" s="44"/>
      <c r="AH117" s="20">
        <f t="shared" si="97"/>
        <v>44530</v>
      </c>
      <c r="AI117" s="27">
        <v>-1.6891852702980537</v>
      </c>
      <c r="AJ117" s="126">
        <f t="shared" si="230"/>
        <v>1654281.0668750838</v>
      </c>
      <c r="AK117" s="6"/>
      <c r="AL117" s="49"/>
      <c r="AN117" s="79"/>
      <c r="AO117" s="20">
        <f t="shared" si="98"/>
        <v>44530</v>
      </c>
      <c r="AP117" s="300">
        <f t="shared" si="172"/>
        <v>-0.84208402599999999</v>
      </c>
      <c r="AQ117" s="126">
        <f t="shared" si="231"/>
        <v>1651924.526456771</v>
      </c>
      <c r="AR117" s="6"/>
      <c r="AS117" s="49"/>
      <c r="AT117" s="39"/>
      <c r="AU117" s="20">
        <f t="shared" si="100"/>
        <v>44530</v>
      </c>
      <c r="AV117" s="27">
        <v>-0.88655457706413832</v>
      </c>
      <c r="AW117" s="126">
        <f t="shared" si="222"/>
        <v>1293676.533153015</v>
      </c>
      <c r="BA117" s="79"/>
      <c r="BB117" s="20">
        <f t="shared" si="101"/>
        <v>44530</v>
      </c>
      <c r="BC117" s="300">
        <f t="shared" si="173"/>
        <v>-0.27597001600000004</v>
      </c>
      <c r="BD117" s="126">
        <f t="shared" si="223"/>
        <v>1388183.3698283583</v>
      </c>
      <c r="BG117" s="39"/>
      <c r="BH117" s="20">
        <f t="shared" si="102"/>
        <v>44530</v>
      </c>
      <c r="BI117" s="27">
        <v>-0.53521894669817105</v>
      </c>
      <c r="BJ117" s="126">
        <f t="shared" si="224"/>
        <v>1085361.9315107595</v>
      </c>
      <c r="BN117" s="79"/>
      <c r="BO117" s="20">
        <f t="shared" si="103"/>
        <v>44530</v>
      </c>
      <c r="BP117" s="300">
        <f t="shared" si="200"/>
        <v>7.0869889999999602E-3</v>
      </c>
      <c r="BQ117" s="126">
        <f t="shared" si="225"/>
        <v>1072880.2119080522</v>
      </c>
      <c r="BV117" s="39"/>
      <c r="BW117" s="20">
        <f t="shared" si="104"/>
        <v>44530</v>
      </c>
      <c r="BX117" s="27">
        <v>-1.3117753941536783</v>
      </c>
      <c r="BY117" s="126">
        <f t="shared" si="226"/>
        <v>1532506.410045868</v>
      </c>
      <c r="CC117" s="79"/>
      <c r="CD117" s="20">
        <f t="shared" si="105"/>
        <v>44530</v>
      </c>
      <c r="CE117" s="300">
        <f t="shared" si="174"/>
        <v>-0.5590270209999999</v>
      </c>
      <c r="CF117" s="126">
        <f t="shared" si="227"/>
        <v>1537454.4425315014</v>
      </c>
      <c r="CI117" s="39"/>
      <c r="CJ117" s="1"/>
    </row>
    <row r="118" spans="1:88" x14ac:dyDescent="0.25">
      <c r="A118" s="20">
        <v>44561</v>
      </c>
      <c r="B118" s="24">
        <f t="shared" si="228"/>
        <v>103</v>
      </c>
      <c r="C118" s="297">
        <f>'LC (Gross)'!X280</f>
        <v>9.6724069999999998</v>
      </c>
      <c r="D118" s="297">
        <v>4.0341389999999997</v>
      </c>
      <c r="E118" s="297">
        <f>'CRA (Gross)'!E118</f>
        <v>-0.25580429999999998</v>
      </c>
      <c r="F118" s="297">
        <f>'CRA (Gross)'!F118</f>
        <v>0</v>
      </c>
      <c r="G118" s="39"/>
      <c r="H118" s="20">
        <f t="shared" si="146"/>
        <v>44561</v>
      </c>
      <c r="I118" s="27">
        <v>3.9034704339699839</v>
      </c>
      <c r="J118" s="126">
        <f t="shared" si="216"/>
        <v>2026643.946360447</v>
      </c>
      <c r="K118" s="6">
        <f>(J118-J$106)/J$106*100</f>
        <v>11.562005223240694</v>
      </c>
      <c r="L118" s="49">
        <f>(J118/J115-1)*100</f>
        <v>6.4883111935354121</v>
      </c>
      <c r="M118" s="17"/>
      <c r="N118" s="79"/>
      <c r="O118" s="20">
        <f t="shared" si="92"/>
        <v>44561</v>
      </c>
      <c r="P118" s="300">
        <f t="shared" si="169"/>
        <v>8.3738583319999993</v>
      </c>
      <c r="Q118" s="126">
        <f t="shared" si="217"/>
        <v>2037377.0342804324</v>
      </c>
      <c r="R118" s="6">
        <f>(Q118-Q$106)/Q$106*100</f>
        <v>20.389303426338717</v>
      </c>
      <c r="S118" s="49">
        <f>(Q118/Q115-1)*100</f>
        <v>10.868882658277457</v>
      </c>
      <c r="T118" s="39"/>
      <c r="U118" s="20">
        <f t="shared" si="94"/>
        <v>44561</v>
      </c>
      <c r="V118" s="27">
        <v>3.3870087135606979</v>
      </c>
      <c r="W118" s="126">
        <f t="shared" si="218"/>
        <v>1886172.7728001261</v>
      </c>
      <c r="X118" s="6">
        <f>(W118-W$106)/W$106*100</f>
        <v>10.281300823145216</v>
      </c>
      <c r="Y118" s="49">
        <f>(W118/W115-1)*100</f>
        <v>5.9033279328627231</v>
      </c>
      <c r="AA118" s="79"/>
      <c r="AB118" s="20">
        <f t="shared" si="95"/>
        <v>44561</v>
      </c>
      <c r="AC118" s="300">
        <f t="shared" si="171"/>
        <v>6.789757945999999</v>
      </c>
      <c r="AD118" s="126">
        <f t="shared" si="229"/>
        <v>1858032.1381082698</v>
      </c>
      <c r="AE118" s="6">
        <f>(AD118-AD$106)/AD$106*100</f>
        <v>16.174236089147346</v>
      </c>
      <c r="AF118" s="49">
        <f t="shared" ref="AF118" si="232">(AD118/AD115-1)*100</f>
        <v>8.8600252790376643</v>
      </c>
      <c r="AG118" s="44"/>
      <c r="AH118" s="20">
        <f t="shared" si="97"/>
        <v>44561</v>
      </c>
      <c r="AI118" s="27">
        <v>2.5403424442385121</v>
      </c>
      <c r="AJ118" s="126">
        <f t="shared" si="230"/>
        <v>1696305.4709639132</v>
      </c>
      <c r="AK118" s="6">
        <f>(AJ118-AJ$106)/AJ$106*100</f>
        <v>7.9059001879517758</v>
      </c>
      <c r="AL118" s="49">
        <f t="shared" ref="AL118" si="233">(AJ118/AJ115-1)*100</f>
        <v>4.6381636636734669</v>
      </c>
      <c r="AN118" s="79"/>
      <c r="AO118" s="20">
        <f t="shared" si="98"/>
        <v>44561</v>
      </c>
      <c r="AP118" s="300">
        <f t="shared" si="172"/>
        <v>5.0296464059999995</v>
      </c>
      <c r="AQ118" s="126">
        <f t="shared" si="231"/>
        <v>1735010.4890315365</v>
      </c>
      <c r="AR118" s="6">
        <f>(AQ118-AQ$106)/AQ$106*100</f>
        <v>11.592353064311459</v>
      </c>
      <c r="AS118" s="49">
        <f t="shared" ref="AS118" si="234">(AQ118/AQ115-1)*100</f>
        <v>6.6354014647143966</v>
      </c>
      <c r="AT118" s="39"/>
      <c r="AU118" s="20">
        <f t="shared" si="100"/>
        <v>44561</v>
      </c>
      <c r="AV118" s="27">
        <v>1.0583073828296119</v>
      </c>
      <c r="AW118" s="126">
        <f t="shared" si="222"/>
        <v>1307367.6074133075</v>
      </c>
      <c r="AX118" s="6">
        <f>(AW118-AW$106)/AW$106*100</f>
        <v>3.6179107814159348</v>
      </c>
      <c r="AY118" s="49">
        <f>(AW118/AW115-1)*100</f>
        <v>2.3067975826180254</v>
      </c>
      <c r="BA118" s="79"/>
      <c r="BB118" s="20">
        <f t="shared" si="101"/>
        <v>44561</v>
      </c>
      <c r="BC118" s="300">
        <f t="shared" si="173"/>
        <v>2.3894790959999996</v>
      </c>
      <c r="BD118" s="126">
        <f t="shared" si="223"/>
        <v>1421353.7212645554</v>
      </c>
      <c r="BE118" s="6">
        <f>(BD118-BD$106)/BD$106*100</f>
        <v>4.920341837196311</v>
      </c>
      <c r="BF118" s="49">
        <f>(BD118/BD115-1)*100</f>
        <v>3.3138325222440201</v>
      </c>
      <c r="BG118" s="39"/>
      <c r="BH118" s="20">
        <f t="shared" si="102"/>
        <v>44561</v>
      </c>
      <c r="BI118" s="27">
        <v>0.50242806493454217</v>
      </c>
      <c r="BJ118" s="126">
        <f t="shared" si="224"/>
        <v>1090815.0944607852</v>
      </c>
      <c r="BK118" s="6">
        <f>(BJ118-BJ$106)/BJ$106*100</f>
        <v>1.603594062810296</v>
      </c>
      <c r="BL118" s="49">
        <f>(BJ118/BJ115-1)*100</f>
        <v>1.340430371219048</v>
      </c>
      <c r="BN118" s="79"/>
      <c r="BO118" s="20">
        <f t="shared" si="103"/>
        <v>44561</v>
      </c>
      <c r="BP118" s="300">
        <f t="shared" si="200"/>
        <v>1.0693954409999997</v>
      </c>
      <c r="BQ118" s="126">
        <f t="shared" si="225"/>
        <v>1084353.543981588</v>
      </c>
      <c r="BR118" s="6">
        <f>(BQ118-BQ$106)/BQ$106*100</f>
        <v>1.6747916346498994</v>
      </c>
      <c r="BS118" s="49">
        <f>(BQ118/BQ115-1)*100</f>
        <v>1.6602567570023208</v>
      </c>
      <c r="BV118" s="39"/>
      <c r="BW118" s="20">
        <f t="shared" si="104"/>
        <v>44561</v>
      </c>
      <c r="BX118" s="27">
        <v>1.8814363290217899</v>
      </c>
      <c r="BY118" s="126">
        <f t="shared" si="226"/>
        <v>1561339.5423890585</v>
      </c>
      <c r="BZ118" s="6">
        <f>(BY118-BY$106)/BY$106*100</f>
        <v>6.0167908168222084</v>
      </c>
      <c r="CA118" s="49">
        <f>(BY118/BY115-1)*100</f>
        <v>3.6685094386690986</v>
      </c>
      <c r="CC118" s="79"/>
      <c r="CD118" s="20">
        <f t="shared" si="105"/>
        <v>44561</v>
      </c>
      <c r="CE118" s="300">
        <f t="shared" si="174"/>
        <v>3.7095627509999995</v>
      </c>
      <c r="CF118" s="126">
        <f t="shared" si="227"/>
        <v>1594487.2798452447</v>
      </c>
      <c r="CG118" s="6">
        <f>(CF118-CF$106)/CF$106*100</f>
        <v>8.2262031569045231</v>
      </c>
      <c r="CH118" s="49">
        <f>(CF118/CF115-1)*100</f>
        <v>4.9722592692409195</v>
      </c>
      <c r="CI118" s="39"/>
      <c r="CJ118" s="1"/>
    </row>
    <row r="119" spans="1:88" x14ac:dyDescent="0.25">
      <c r="A119" s="20">
        <v>44592</v>
      </c>
      <c r="B119" s="24">
        <f t="shared" si="228"/>
        <v>104</v>
      </c>
      <c r="C119" s="297">
        <f>'LC (Gross)'!X281</f>
        <v>-4.5388330000000003</v>
      </c>
      <c r="D119" s="297">
        <v>-5.8125249999999999</v>
      </c>
      <c r="E119" s="297">
        <f>'CRA (Gross)'!E119</f>
        <v>-2.1544370000000002</v>
      </c>
      <c r="F119" s="297">
        <f>'CRA (Gross)'!F119</f>
        <v>0</v>
      </c>
      <c r="G119" s="39"/>
      <c r="H119" s="20">
        <f t="shared" si="146"/>
        <v>44592</v>
      </c>
      <c r="I119" s="27">
        <v>-5.3644741425274072</v>
      </c>
      <c r="J119" s="126">
        <f t="shared" ref="J119:J120" si="235">J118*I119/100+J118</f>
        <v>1917925.1558968439</v>
      </c>
      <c r="K119" s="6"/>
      <c r="L119" s="49"/>
      <c r="M119" s="17"/>
      <c r="N119" s="79"/>
      <c r="O119" s="20">
        <f t="shared" si="92"/>
        <v>44592</v>
      </c>
      <c r="P119" s="300">
        <f t="shared" si="169"/>
        <v>-4.6976999720000006</v>
      </c>
      <c r="Q119" s="126">
        <f t="shared" ref="Q119" si="236">Q118*P119/100+Q118</f>
        <v>1941667.1739115061</v>
      </c>
      <c r="R119" s="6"/>
      <c r="S119" s="49"/>
      <c r="T119" s="39"/>
      <c r="U119" s="20">
        <f t="shared" si="94"/>
        <v>44592</v>
      </c>
      <c r="V119" s="27">
        <v>-4.686516795275951</v>
      </c>
      <c r="W119" s="126">
        <f t="shared" ref="W119" si="237">W118*V119/100+W118</f>
        <v>1797776.9690149261</v>
      </c>
      <c r="X119" s="6"/>
      <c r="Y119" s="49"/>
      <c r="AA119" s="79"/>
      <c r="AB119" s="20">
        <f t="shared" si="95"/>
        <v>44592</v>
      </c>
      <c r="AC119" s="300">
        <f t="shared" si="171"/>
        <v>-4.2226557800000002</v>
      </c>
      <c r="AD119" s="126">
        <f t="shared" ref="AD119" si="238">AD118*AC119/100+AD118</f>
        <v>1779573.8366341833</v>
      </c>
      <c r="AE119" s="6"/>
      <c r="AF119" s="49"/>
      <c r="AG119" s="44"/>
      <c r="AH119" s="20">
        <f t="shared" si="97"/>
        <v>44592</v>
      </c>
      <c r="AI119" s="27">
        <v>-4.2059466964253733</v>
      </c>
      <c r="AJ119" s="126">
        <f t="shared" ref="AJ119" si="239">AJ118*AI119/100+AJ118</f>
        <v>1624959.7670466236</v>
      </c>
      <c r="AK119" s="6"/>
      <c r="AL119" s="49"/>
      <c r="AN119" s="79"/>
      <c r="AO119" s="20">
        <f t="shared" si="98"/>
        <v>44592</v>
      </c>
      <c r="AP119" s="300">
        <f t="shared" si="172"/>
        <v>-3.6948289000000001</v>
      </c>
      <c r="AQ119" s="126">
        <f t="shared" ref="AQ119" si="240">AQ118*AP119/100+AQ118</f>
        <v>1670904.820064768</v>
      </c>
      <c r="AR119" s="6"/>
      <c r="AS119" s="49"/>
      <c r="AT119" s="39"/>
      <c r="AU119" s="20">
        <f t="shared" si="100"/>
        <v>44592</v>
      </c>
      <c r="AV119" s="27">
        <v>-3.3018731255752214</v>
      </c>
      <c r="AW119" s="126">
        <f t="shared" ref="AW119" si="241">AW118*AV119/100+AW118</f>
        <v>1264199.9877316519</v>
      </c>
      <c r="AX119" s="6"/>
      <c r="AY119" s="49"/>
      <c r="BA119" s="79"/>
      <c r="BB119" s="20">
        <f t="shared" si="101"/>
        <v>44592</v>
      </c>
      <c r="BC119" s="300">
        <f t="shared" si="173"/>
        <v>-2.9030885800000004</v>
      </c>
      <c r="BD119" s="126">
        <f t="shared" ref="BD119" si="242">BD118*BC119/100+BD118</f>
        <v>1380090.563701119</v>
      </c>
      <c r="BE119" s="6"/>
      <c r="BF119" s="49"/>
      <c r="BG119" s="39"/>
      <c r="BH119" s="20">
        <f t="shared" si="102"/>
        <v>44592</v>
      </c>
      <c r="BI119" s="27">
        <v>-2.9462023113567102</v>
      </c>
      <c r="BJ119" s="126">
        <f t="shared" ref="BJ119" si="243">BJ118*BI119/100+BJ118</f>
        <v>1058677.4749351537</v>
      </c>
      <c r="BK119" s="6"/>
      <c r="BL119" s="49"/>
      <c r="BN119" s="79"/>
      <c r="BO119" s="20">
        <f t="shared" si="103"/>
        <v>44592</v>
      </c>
      <c r="BP119" s="300">
        <f t="shared" si="200"/>
        <v>-2.5072184200000001</v>
      </c>
      <c r="BQ119" s="126">
        <f t="shared" ref="BQ119" si="244">BQ118*BP119/100+BQ118</f>
        <v>1057166.4321889589</v>
      </c>
      <c r="BR119" s="6"/>
      <c r="BS119" s="49"/>
      <c r="BV119" s="39"/>
      <c r="BW119" s="20">
        <f t="shared" si="104"/>
        <v>44592</v>
      </c>
      <c r="BX119" s="27">
        <v>-3.9325343779989814</v>
      </c>
      <c r="BY119" s="126">
        <f t="shared" ref="BY119" si="245">BY118*BX119/100+BY118</f>
        <v>1499939.3281273169</v>
      </c>
      <c r="BZ119" s="6"/>
      <c r="CA119" s="49"/>
      <c r="CC119" s="79"/>
      <c r="CD119" s="20">
        <f t="shared" si="105"/>
        <v>44592</v>
      </c>
      <c r="CE119" s="300">
        <f t="shared" si="174"/>
        <v>-3.2989587400000002</v>
      </c>
      <c r="CF119" s="126">
        <f t="shared" ref="CF119" si="246">CF118*CE119/100+CF118</f>
        <v>1541885.8023686018</v>
      </c>
      <c r="CG119" s="6"/>
      <c r="CH119" s="49"/>
      <c r="CI119" s="39"/>
      <c r="CJ119" s="1"/>
    </row>
    <row r="120" spans="1:88" x14ac:dyDescent="0.25">
      <c r="A120" s="20">
        <v>44620</v>
      </c>
      <c r="B120" s="24">
        <f t="shared" si="228"/>
        <v>105</v>
      </c>
      <c r="C120" s="297">
        <f>'LC (Gross)'!X282</f>
        <v>-2.3047249999999999</v>
      </c>
      <c r="D120" s="297">
        <v>-0.34268739999999998</v>
      </c>
      <c r="E120" s="297">
        <f>'CRA (Gross)'!E120</f>
        <v>-1.1156919999999999</v>
      </c>
      <c r="F120" s="297">
        <f>'CRA (Gross)'!F120</f>
        <v>0</v>
      </c>
      <c r="G120" s="39"/>
      <c r="H120" s="20">
        <f t="shared" si="146"/>
        <v>44620</v>
      </c>
      <c r="I120" s="27">
        <v>-2.0141136478404404</v>
      </c>
      <c r="J120" s="126">
        <f t="shared" si="235"/>
        <v>1879295.9635765606</v>
      </c>
      <c r="K120" s="6"/>
      <c r="L120" s="49"/>
      <c r="M120" s="17"/>
      <c r="N120" s="79"/>
      <c r="O120" s="20">
        <f t="shared" si="92"/>
        <v>44620</v>
      </c>
      <c r="P120" s="300">
        <f t="shared" si="169"/>
        <v>-1.8740711304000002</v>
      </c>
      <c r="Q120" s="126">
        <f t="shared" ref="Q120" si="247">Q119*P120/100+Q119</f>
        <v>1905278.949956777</v>
      </c>
      <c r="R120" s="6"/>
      <c r="S120" s="5"/>
      <c r="T120" s="39"/>
      <c r="U120" s="20">
        <f t="shared" si="94"/>
        <v>44620</v>
      </c>
      <c r="V120" s="27">
        <v>-1.9811909753201302</v>
      </c>
      <c r="W120" s="126">
        <f t="shared" ref="W120" si="248">W119*V120/100+W119</f>
        <v>1762159.5739484187</v>
      </c>
      <c r="X120" s="6"/>
      <c r="Y120" s="5"/>
      <c r="Z120" s="5"/>
      <c r="AA120" s="79"/>
      <c r="AB120" s="20">
        <f t="shared" si="95"/>
        <v>44620</v>
      </c>
      <c r="AC120" s="300">
        <f t="shared" si="171"/>
        <v>-1.7306785439999999</v>
      </c>
      <c r="AD120" s="126">
        <f t="shared" ref="AD120" si="249">AD119*AC120/100+AD119</f>
        <v>1748775.1340689179</v>
      </c>
      <c r="AE120" s="6"/>
      <c r="AG120" s="44"/>
      <c r="AH120" s="20">
        <f t="shared" si="97"/>
        <v>44620</v>
      </c>
      <c r="AI120" s="27">
        <v>-1.7600657585431265</v>
      </c>
      <c r="AJ120" s="126">
        <f t="shared" ref="AJ120" si="250">AJ119*AI120/100+AJ119</f>
        <v>1596359.406596734</v>
      </c>
      <c r="AK120" s="6"/>
      <c r="AL120" s="49"/>
      <c r="AN120" s="79"/>
      <c r="AO120" s="20">
        <f t="shared" si="98"/>
        <v>44620</v>
      </c>
      <c r="AP120" s="300">
        <f t="shared" si="172"/>
        <v>-1.5713534479999998</v>
      </c>
      <c r="AQ120" s="126">
        <f t="shared" ref="AQ120" si="251">AQ119*AP120/100+AQ119</f>
        <v>1644648.9995618821</v>
      </c>
      <c r="AR120" s="6"/>
      <c r="AS120" s="49"/>
      <c r="AT120" s="39"/>
      <c r="AU120" s="20">
        <f t="shared" si="100"/>
        <v>44620</v>
      </c>
      <c r="AV120" s="27">
        <v>-1.4184910863467624</v>
      </c>
      <c r="AW120" s="126">
        <f t="shared" ref="AW120" si="252">AW119*AV120/100+AW119</f>
        <v>1246267.4235920815</v>
      </c>
      <c r="AX120" s="6"/>
      <c r="BA120" s="79"/>
      <c r="BB120" s="20">
        <f t="shared" si="101"/>
        <v>44620</v>
      </c>
      <c r="BC120" s="300">
        <f t="shared" si="173"/>
        <v>-1.3323658039999999</v>
      </c>
      <c r="BD120" s="126">
        <f t="shared" ref="BD120" si="253">BD119*BC120/100+BD119</f>
        <v>1361702.7089661346</v>
      </c>
      <c r="BE120" s="6"/>
      <c r="BF120" s="49"/>
      <c r="BG120" s="39"/>
      <c r="BH120" s="20">
        <f t="shared" si="102"/>
        <v>44620</v>
      </c>
      <c r="BI120" s="27">
        <v>-1.2275372773529425</v>
      </c>
      <c r="BJ120" s="126">
        <f t="shared" ref="BJ120" si="254">BJ119*BI120/100+BJ119</f>
        <v>1045681.8142833859</v>
      </c>
      <c r="BK120" s="6"/>
      <c r="BL120" s="49"/>
      <c r="BN120" s="79"/>
      <c r="BO120" s="20">
        <f t="shared" si="103"/>
        <v>44620</v>
      </c>
      <c r="BP120" s="300">
        <f t="shared" si="200"/>
        <v>-1.2128719819999998</v>
      </c>
      <c r="BQ120" s="126">
        <f t="shared" ref="BQ120" si="255">BQ119*BP120/100+BQ119</f>
        <v>1044344.3567298299</v>
      </c>
      <c r="BR120" s="6"/>
      <c r="BV120" s="39"/>
      <c r="BW120" s="20">
        <f t="shared" si="104"/>
        <v>44620</v>
      </c>
      <c r="BX120" s="27">
        <v>-1.5968277505496242</v>
      </c>
      <c r="BY120" s="126">
        <f t="shared" ref="BY120" si="256">BY119*BX120/100+BY119</f>
        <v>1475987.8806943723</v>
      </c>
      <c r="BZ120" s="6"/>
      <c r="CA120" s="49"/>
      <c r="CC120" s="79"/>
      <c r="CD120" s="20">
        <f t="shared" si="105"/>
        <v>44620</v>
      </c>
      <c r="CE120" s="300">
        <f t="shared" si="174"/>
        <v>-1.4518596259999998</v>
      </c>
      <c r="CF120" s="126">
        <f t="shared" ref="CF120" si="257">CF119*CE120/100+CF119</f>
        <v>1519499.7849249858</v>
      </c>
      <c r="CG120" s="6"/>
      <c r="CH120" s="49"/>
      <c r="CI120" s="39"/>
      <c r="CJ120" s="1"/>
    </row>
    <row r="121" spans="1:88" x14ac:dyDescent="0.25">
      <c r="A121" s="20">
        <v>44651</v>
      </c>
      <c r="B121" s="24">
        <f t="shared" si="228"/>
        <v>106</v>
      </c>
      <c r="C121" s="297">
        <f>'LC (Gross)'!X283</f>
        <v>5.3825909999999997</v>
      </c>
      <c r="D121" s="297">
        <v>0.72450619999999999</v>
      </c>
      <c r="E121" s="297">
        <f>'CRA (Gross)'!E121</f>
        <v>-2.7783509999999998</v>
      </c>
      <c r="F121" s="297">
        <f>'CRA (Gross)'!F121</f>
        <v>0</v>
      </c>
      <c r="G121" s="39"/>
      <c r="H121" s="20">
        <f t="shared" si="146"/>
        <v>44651</v>
      </c>
      <c r="I121" s="27">
        <v>1.733898145130127</v>
      </c>
      <c r="J121" s="126">
        <f t="shared" ref="J121" si="258">J120*I121/100+J120</f>
        <v>1911881.0414305199</v>
      </c>
      <c r="K121" s="6"/>
      <c r="L121" s="49">
        <f>(J121/J118-1)*100</f>
        <v>-5.6627068181376528</v>
      </c>
      <c r="M121" s="17"/>
      <c r="N121" s="79"/>
      <c r="O121" s="20">
        <f t="shared" si="92"/>
        <v>44651</v>
      </c>
      <c r="P121" s="300">
        <f t="shared" si="169"/>
        <v>4.3619545592</v>
      </c>
      <c r="Q121" s="126">
        <f t="shared" ref="Q121" si="259">Q120*P121/100+Q120</f>
        <v>1988386.3519798946</v>
      </c>
      <c r="R121" s="6"/>
      <c r="S121" s="49">
        <f>(Q121/Q118-1)*100</f>
        <v>-2.4045957854747502</v>
      </c>
      <c r="T121" s="39"/>
      <c r="U121" s="20">
        <f t="shared" si="94"/>
        <v>44651</v>
      </c>
      <c r="V121" s="27">
        <v>1.3573610367561411</v>
      </c>
      <c r="W121" s="126">
        <f t="shared" ref="W121" si="260">W120*V121/100+W120</f>
        <v>1786078.4414106626</v>
      </c>
      <c r="X121" s="6"/>
      <c r="Y121" s="49">
        <f>(W121/W118-1)*100</f>
        <v>-5.3067424592747159</v>
      </c>
      <c r="Z121" s="5"/>
      <c r="AA121" s="79"/>
      <c r="AB121" s="20">
        <f t="shared" si="95"/>
        <v>44651</v>
      </c>
      <c r="AC121" s="300">
        <f t="shared" si="171"/>
        <v>3.0606760519999998</v>
      </c>
      <c r="AD121" s="126">
        <f t="shared" ref="AD121" si="261">AD120*AC121/100+AD120</f>
        <v>1802299.4758006963</v>
      </c>
      <c r="AE121" s="6"/>
      <c r="AF121" s="49">
        <f t="shared" ref="AF121" si="262">(AD121/AD118-1)*100</f>
        <v>-2.999553192030191</v>
      </c>
      <c r="AG121" s="44"/>
      <c r="AH121" s="20">
        <f t="shared" si="97"/>
        <v>44651</v>
      </c>
      <c r="AI121" s="27">
        <v>0.53826104756881943</v>
      </c>
      <c r="AJ121" s="126">
        <f t="shared" ref="AJ121" si="263">AJ120*AI121/100+AJ120</f>
        <v>1604951.9874616449</v>
      </c>
      <c r="AK121" s="6"/>
      <c r="AL121" s="49">
        <f t="shared" ref="AL121" si="264">(AJ121/AJ118-1)*100</f>
        <v>-5.3854382401040901</v>
      </c>
      <c r="AN121" s="79"/>
      <c r="AO121" s="20">
        <f t="shared" si="98"/>
        <v>44651</v>
      </c>
      <c r="AP121" s="300">
        <f t="shared" si="172"/>
        <v>1.6148110439999999</v>
      </c>
      <c r="AQ121" s="126">
        <f t="shared" ref="AQ121" si="265">AQ120*AP121/100+AQ120</f>
        <v>1671206.9732418428</v>
      </c>
      <c r="AR121" s="6"/>
      <c r="AS121" s="49">
        <f t="shared" ref="AS121" si="266">(AQ121/AQ118-1)*100</f>
        <v>-3.677413836576171</v>
      </c>
      <c r="AT121" s="39"/>
      <c r="AU121" s="20">
        <f t="shared" si="100"/>
        <v>44651</v>
      </c>
      <c r="AV121" s="27">
        <v>-0.94247179659347269</v>
      </c>
      <c r="AW121" s="126">
        <f t="shared" ref="AW121" si="267">AW120*AV121/100+AW120</f>
        <v>1234521.7046145941</v>
      </c>
      <c r="AX121" s="6"/>
      <c r="AY121" s="49">
        <f>(AW121/AW118-1)*100</f>
        <v>-5.5719525545567583</v>
      </c>
      <c r="BA121" s="79"/>
      <c r="BB121" s="20">
        <f t="shared" si="101"/>
        <v>44651</v>
      </c>
      <c r="BC121" s="300">
        <f t="shared" si="173"/>
        <v>-0.55398646800000018</v>
      </c>
      <c r="BD121" s="126">
        <f t="shared" ref="BD121" si="268">BD120*BC121/100+BD120</f>
        <v>1354159.0602240728</v>
      </c>
      <c r="BE121" s="6"/>
      <c r="BF121" s="49">
        <f>(BD121/BD118-1)*100</f>
        <v>-4.7275115289880487</v>
      </c>
      <c r="BG121" s="39"/>
      <c r="BH121" s="20">
        <f t="shared" si="102"/>
        <v>44651</v>
      </c>
      <c r="BI121" s="27">
        <v>-1.5746546424603127</v>
      </c>
      <c r="BJ121" s="126">
        <f t="shared" ref="BJ121" si="269">BJ120*BI121/100+BJ120</f>
        <v>1029215.9370494093</v>
      </c>
      <c r="BK121" s="6"/>
      <c r="BL121" s="49">
        <f>(BJ121/BJ118-1)*100</f>
        <v>-5.6470760007062193</v>
      </c>
      <c r="BN121" s="79"/>
      <c r="BO121" s="20">
        <f t="shared" si="103"/>
        <v>44651</v>
      </c>
      <c r="BP121" s="300">
        <f t="shared" si="200"/>
        <v>-1.6383852239999999</v>
      </c>
      <c r="BQ121" s="126">
        <f t="shared" ref="BQ121" si="270">BQ120*BP121/100+BQ120</f>
        <v>1027233.9731014905</v>
      </c>
      <c r="BR121" s="6"/>
      <c r="BS121" s="49">
        <f>(BQ121/BQ118-1)*100</f>
        <v>-5.2676150870833771</v>
      </c>
      <c r="BV121" s="39"/>
      <c r="BW121" s="20">
        <f t="shared" si="104"/>
        <v>44651</v>
      </c>
      <c r="BX121" s="27">
        <v>-9.4737659109866673E-2</v>
      </c>
      <c r="BY121" s="126">
        <f t="shared" ref="BY121" si="271">BY120*BX121/100+BY120</f>
        <v>1474589.5643274572</v>
      </c>
      <c r="BZ121" s="6"/>
      <c r="CA121" s="49">
        <f>(BY121/BY118-1)*100</f>
        <v>-5.556125090437547</v>
      </c>
      <c r="CC121" s="79"/>
      <c r="CD121" s="20">
        <f t="shared" si="105"/>
        <v>44651</v>
      </c>
      <c r="CE121" s="300">
        <f t="shared" si="174"/>
        <v>0.53041228799999995</v>
      </c>
      <c r="CF121" s="126">
        <f t="shared" ref="CF121" si="272">CF120*CE121/100+CF120</f>
        <v>1527559.3985003615</v>
      </c>
      <c r="CG121" s="6"/>
      <c r="CH121" s="49">
        <f>(CF121/CF118-1)*100</f>
        <v>-4.1974547047737509</v>
      </c>
      <c r="CI121" s="39"/>
      <c r="CJ121" s="1"/>
    </row>
    <row r="122" spans="1:88" x14ac:dyDescent="0.25">
      <c r="A122" s="20">
        <v>44681</v>
      </c>
      <c r="B122" s="24">
        <f t="shared" si="228"/>
        <v>107</v>
      </c>
      <c r="C122" s="297">
        <f>'LC (Gross)'!X284</f>
        <v>-2.303798</v>
      </c>
      <c r="D122" s="297">
        <v>-5.0326930000000001</v>
      </c>
      <c r="E122" s="297">
        <f>'CRA (Gross)'!E122</f>
        <v>-3.7948339999999998</v>
      </c>
      <c r="F122" s="297">
        <f>'CRA (Gross)'!F122</f>
        <v>0</v>
      </c>
      <c r="G122" s="39"/>
      <c r="H122" s="20">
        <f t="shared" si="146"/>
        <v>44681</v>
      </c>
      <c r="I122" s="27">
        <v>-5.3841725030976351</v>
      </c>
      <c r="J122" s="126">
        <f t="shared" ref="J122:J124" si="273">J121*I122/100+J121</f>
        <v>1808942.0681058811</v>
      </c>
      <c r="K122" s="6"/>
      <c r="M122" s="17"/>
      <c r="N122" s="79"/>
      <c r="O122" s="20">
        <f t="shared" si="92"/>
        <v>44681</v>
      </c>
      <c r="P122" s="300">
        <f t="shared" si="169"/>
        <v>-2.7925854600000002</v>
      </c>
      <c r="Q122" s="126">
        <f t="shared" ref="Q122:Q124" si="274">Q121*P122/100+Q121</f>
        <v>1932858.9638258796</v>
      </c>
      <c r="R122" s="6"/>
      <c r="T122" s="39"/>
      <c r="U122" s="20">
        <f t="shared" si="94"/>
        <v>44681</v>
      </c>
      <c r="V122" s="27">
        <v>-5.167176929285163</v>
      </c>
      <c r="W122" s="126">
        <f t="shared" ref="W122:W124" si="275">W121*V122/100+W121</f>
        <v>1693788.6082471549</v>
      </c>
      <c r="X122" s="6"/>
      <c r="AA122" s="79"/>
      <c r="AB122" s="20">
        <f t="shared" si="95"/>
        <v>44681</v>
      </c>
      <c r="AC122" s="300">
        <f t="shared" si="171"/>
        <v>-2.9627317199999998</v>
      </c>
      <c r="AD122" s="126">
        <f t="shared" ref="AD122:AD124" si="276">AD121*AC122/100+AD121</f>
        <v>1748902.1775417554</v>
      </c>
      <c r="AE122" s="6"/>
      <c r="AF122" s="49"/>
      <c r="AG122" s="44"/>
      <c r="AH122" s="20">
        <f t="shared" si="97"/>
        <v>44681</v>
      </c>
      <c r="AI122" s="27">
        <v>-4.6379760811518285</v>
      </c>
      <c r="AJ122" s="126">
        <f t="shared" ref="AJ122:AJ124" si="277">AJ121*AI122/100+AJ121</f>
        <v>1530514.698169203</v>
      </c>
      <c r="AK122" s="6"/>
      <c r="AL122" s="49"/>
      <c r="AN122" s="79"/>
      <c r="AO122" s="20">
        <f t="shared" si="98"/>
        <v>44681</v>
      </c>
      <c r="AP122" s="300">
        <f t="shared" si="172"/>
        <v>-3.1517831200000002</v>
      </c>
      <c r="AQ122" s="126">
        <f t="shared" ref="AQ122:AQ124" si="278">AQ121*AP122/100+AQ121</f>
        <v>1618534.1539589434</v>
      </c>
      <c r="AR122" s="6"/>
      <c r="AS122" s="49"/>
      <c r="AT122" s="39"/>
      <c r="AU122" s="20">
        <f t="shared" si="100"/>
        <v>44681</v>
      </c>
      <c r="AV122" s="27">
        <v>-3.8362429707162109</v>
      </c>
      <c r="AW122" s="126">
        <f t="shared" ref="AW122:AW124" si="279">AW121*AV122/100+AW121</f>
        <v>1187162.4524993508</v>
      </c>
      <c r="AX122" s="6"/>
      <c r="AY122" s="49"/>
      <c r="BA122" s="79"/>
      <c r="BB122" s="20">
        <f t="shared" si="101"/>
        <v>44681</v>
      </c>
      <c r="BC122" s="300">
        <f t="shared" si="173"/>
        <v>-3.4353602199999997</v>
      </c>
      <c r="BD122" s="126">
        <f t="shared" ref="BD122:BD124" si="280">BD121*BC122/100+BD121</f>
        <v>1307638.8185536091</v>
      </c>
      <c r="BE122" s="6"/>
      <c r="BF122" s="49"/>
      <c r="BG122" s="39"/>
      <c r="BH122" s="20">
        <f t="shared" si="102"/>
        <v>44681</v>
      </c>
      <c r="BI122" s="27">
        <v>-3.5953909432897073</v>
      </c>
      <c r="BJ122" s="126">
        <f t="shared" ref="BJ122:BJ124" si="281">BJ121*BI122/100+BJ121</f>
        <v>992211.60046184051</v>
      </c>
      <c r="BK122" s="6"/>
      <c r="BL122" s="49"/>
      <c r="BN122" s="79"/>
      <c r="BO122" s="20">
        <f t="shared" si="103"/>
        <v>44681</v>
      </c>
      <c r="BP122" s="300">
        <f t="shared" si="200"/>
        <v>-3.5771487699999995</v>
      </c>
      <c r="BQ122" s="126">
        <f t="shared" ref="BQ122:BQ124" si="282">BQ121*BP122/100+BQ121</f>
        <v>990488.28566766845</v>
      </c>
      <c r="BR122" s="6"/>
      <c r="BS122" s="49"/>
      <c r="BV122" s="39"/>
      <c r="BW122" s="20">
        <f t="shared" si="104"/>
        <v>44681</v>
      </c>
      <c r="BX122" s="27">
        <v>-4.2395631179891211</v>
      </c>
      <c r="BY122" s="126">
        <f t="shared" ref="BY122:BY124" si="283">BY121*BX122/100+BY121</f>
        <v>1412073.409016514</v>
      </c>
      <c r="BZ122" s="6"/>
      <c r="CA122" s="49"/>
      <c r="CC122" s="79"/>
      <c r="CD122" s="20">
        <f t="shared" si="105"/>
        <v>44681</v>
      </c>
      <c r="CE122" s="300">
        <f t="shared" si="174"/>
        <v>-3.2935716700000004</v>
      </c>
      <c r="CF122" s="126">
        <f t="shared" ref="CF122:CF124" si="284">CF121*CE122/100+CF121</f>
        <v>1477248.1349089311</v>
      </c>
      <c r="CG122" s="6"/>
      <c r="CH122" s="49"/>
      <c r="CI122" s="39"/>
      <c r="CJ122" s="1"/>
    </row>
    <row r="123" spans="1:88" x14ac:dyDescent="0.25">
      <c r="A123" s="20">
        <v>44712</v>
      </c>
      <c r="B123" s="24">
        <f t="shared" ref="B123:B129" si="285">IF(A123&gt;A122,1+B122,"-")</f>
        <v>108</v>
      </c>
      <c r="C123" s="297">
        <f>'LC (Gross)'!X285</f>
        <v>-0.54373320000000003</v>
      </c>
      <c r="D123" s="297">
        <v>-1.687578</v>
      </c>
      <c r="E123" s="297">
        <f>'CRA (Gross)'!E123</f>
        <v>0.64467390000000002</v>
      </c>
      <c r="F123" s="297">
        <f>'CRA (Gross)'!F123</f>
        <v>0</v>
      </c>
      <c r="G123" s="39"/>
      <c r="H123" s="20">
        <f t="shared" si="146"/>
        <v>44712</v>
      </c>
      <c r="I123" s="27">
        <v>1.3632169855163945</v>
      </c>
      <c r="J123" s="126">
        <f t="shared" si="273"/>
        <v>1833601.873636452</v>
      </c>
      <c r="K123" s="37"/>
      <c r="L123" s="49"/>
      <c r="M123" s="17"/>
      <c r="N123" s="79"/>
      <c r="O123" s="20">
        <f t="shared" si="92"/>
        <v>44712</v>
      </c>
      <c r="P123" s="300">
        <f t="shared" si="169"/>
        <v>-0.75705211679999995</v>
      </c>
      <c r="Q123" s="126">
        <f t="shared" si="274"/>
        <v>1918226.2141254772</v>
      </c>
      <c r="R123" s="11"/>
      <c r="S123" s="5"/>
      <c r="T123" s="39"/>
      <c r="U123" s="20">
        <f t="shared" si="94"/>
        <v>44712</v>
      </c>
      <c r="V123" s="27">
        <v>1.2448690828309201</v>
      </c>
      <c r="W123" s="126">
        <f t="shared" si="275"/>
        <v>1714874.0589597358</v>
      </c>
      <c r="X123" s="11"/>
      <c r="Y123" s="5"/>
      <c r="Z123" s="5"/>
      <c r="AA123" s="79"/>
      <c r="AB123" s="20">
        <f t="shared" si="95"/>
        <v>44712</v>
      </c>
      <c r="AC123" s="300">
        <f t="shared" si="171"/>
        <v>-0.50196042600000013</v>
      </c>
      <c r="AD123" s="126">
        <f t="shared" si="276"/>
        <v>1740123.3807210436</v>
      </c>
      <c r="AG123" s="44"/>
      <c r="AH123" s="20">
        <f t="shared" si="97"/>
        <v>44712</v>
      </c>
      <c r="AI123" s="27">
        <v>1.158497848496538</v>
      </c>
      <c r="AJ123" s="126">
        <f t="shared" si="277"/>
        <v>1548245.6780184165</v>
      </c>
      <c r="AN123" s="79"/>
      <c r="AO123" s="20">
        <f t="shared" si="98"/>
        <v>44712</v>
      </c>
      <c r="AP123" s="300">
        <f t="shared" si="172"/>
        <v>-0.218525214</v>
      </c>
      <c r="AQ123" s="126">
        <f t="shared" si="278"/>
        <v>1614997.2487353415</v>
      </c>
      <c r="AT123" s="39"/>
      <c r="AU123" s="20">
        <f t="shared" si="100"/>
        <v>44712</v>
      </c>
      <c r="AV123" s="27">
        <v>1.0038508034771951</v>
      </c>
      <c r="AW123" s="126">
        <f t="shared" si="279"/>
        <v>1199079.792317345</v>
      </c>
      <c r="BA123" s="79"/>
      <c r="BB123" s="20">
        <f t="shared" si="101"/>
        <v>44712</v>
      </c>
      <c r="BC123" s="300">
        <f t="shared" si="173"/>
        <v>0.20662760400000002</v>
      </c>
      <c r="BD123" s="126">
        <f t="shared" si="280"/>
        <v>1310340.7613133604</v>
      </c>
      <c r="BG123" s="39"/>
      <c r="BH123" s="20">
        <f t="shared" si="102"/>
        <v>44712</v>
      </c>
      <c r="BI123" s="27">
        <v>0.87342675655029889</v>
      </c>
      <c r="BJ123" s="126">
        <f t="shared" si="281"/>
        <v>1000877.8420618701</v>
      </c>
      <c r="BN123" s="79"/>
      <c r="BO123" s="20">
        <f t="shared" si="103"/>
        <v>44712</v>
      </c>
      <c r="BP123" s="300">
        <f t="shared" si="200"/>
        <v>0.41920401299999999</v>
      </c>
      <c r="BQ123" s="126">
        <f t="shared" si="282"/>
        <v>994640.45230948227</v>
      </c>
      <c r="BV123" s="39"/>
      <c r="BW123" s="20">
        <f t="shared" si="104"/>
        <v>44712</v>
      </c>
      <c r="BX123" s="27">
        <v>1.1256504594044698</v>
      </c>
      <c r="BY123" s="126">
        <f t="shared" si="283"/>
        <v>1427968.4198322366</v>
      </c>
      <c r="CC123" s="79"/>
      <c r="CD123" s="20">
        <f t="shared" si="105"/>
        <v>44712</v>
      </c>
      <c r="CE123" s="300">
        <f t="shared" si="174"/>
        <v>-5.9488050000000015E-3</v>
      </c>
      <c r="CF123" s="126">
        <f t="shared" si="284"/>
        <v>1477160.2562980193</v>
      </c>
      <c r="CI123" s="39"/>
      <c r="CJ123" s="1"/>
    </row>
    <row r="124" spans="1:88" x14ac:dyDescent="0.25">
      <c r="A124" s="20">
        <v>44742</v>
      </c>
      <c r="B124" s="24">
        <f t="shared" si="285"/>
        <v>109</v>
      </c>
      <c r="C124" s="297">
        <f>'LC (Gross)'!X286</f>
        <v>-4.2718959999999999</v>
      </c>
      <c r="D124" s="297">
        <v>-5.4726340000000002</v>
      </c>
      <c r="E124" s="297">
        <f>'CRA (Gross)'!E124</f>
        <v>-1.5687279999999999</v>
      </c>
      <c r="F124" s="297">
        <f>'CRA (Gross)'!F124</f>
        <v>0</v>
      </c>
      <c r="G124" s="39"/>
      <c r="H124" s="20">
        <f t="shared" si="146"/>
        <v>44742</v>
      </c>
      <c r="I124" s="27">
        <v>-6.4722183644943936</v>
      </c>
      <c r="J124" s="126">
        <f t="shared" si="273"/>
        <v>1714927.1564392403</v>
      </c>
      <c r="K124" s="6"/>
      <c r="L124" s="49">
        <f>(J124/J121-1)*100</f>
        <v>-10.301576338866436</v>
      </c>
      <c r="M124" s="17"/>
      <c r="N124" s="79"/>
      <c r="O124" s="20">
        <f t="shared" si="92"/>
        <v>44742</v>
      </c>
      <c r="P124" s="300">
        <f t="shared" si="169"/>
        <v>-4.4218027280000003</v>
      </c>
      <c r="Q124" s="126">
        <f t="shared" si="274"/>
        <v>1833406.0350600658</v>
      </c>
      <c r="R124" s="6"/>
      <c r="S124" s="49">
        <f>(Q124/Q121-1)*100</f>
        <v>-7.7942758340455498</v>
      </c>
      <c r="T124" s="39"/>
      <c r="U124" s="20">
        <f t="shared" si="94"/>
        <v>44742</v>
      </c>
      <c r="V124" s="27">
        <v>-6.2658845241802776</v>
      </c>
      <c r="W124" s="126">
        <f t="shared" si="275"/>
        <v>1607422.0306901955</v>
      </c>
      <c r="X124" s="6"/>
      <c r="Y124" s="49">
        <f>(W124/W121-1)*100</f>
        <v>-10.002719173932951</v>
      </c>
      <c r="AA124" s="79"/>
      <c r="AB124" s="20">
        <f t="shared" si="95"/>
        <v>44742</v>
      </c>
      <c r="AC124" s="300">
        <f t="shared" si="171"/>
        <v>-3.8920059200000003</v>
      </c>
      <c r="AD124" s="126">
        <f t="shared" si="276"/>
        <v>1672397.6757280764</v>
      </c>
      <c r="AE124" s="6"/>
      <c r="AF124" s="49">
        <f>(AD124/AD121-1)*100</f>
        <v>-7.2075591108358594</v>
      </c>
      <c r="AG124" s="44"/>
      <c r="AH124" s="20">
        <f t="shared" si="97"/>
        <v>44742</v>
      </c>
      <c r="AI124" s="27">
        <v>-4.9857342150193276</v>
      </c>
      <c r="AJ124" s="126">
        <f t="shared" si="277"/>
        <v>1471054.2635168943</v>
      </c>
      <c r="AK124" s="6"/>
      <c r="AL124" s="49">
        <f>(AJ124/AJ121-1)*100</f>
        <v>-8.3427868865111776</v>
      </c>
      <c r="AN124" s="79"/>
      <c r="AO124" s="20">
        <f t="shared" si="98"/>
        <v>44742</v>
      </c>
      <c r="AP124" s="300">
        <f t="shared" si="172"/>
        <v>-3.3033428000000002</v>
      </c>
      <c r="AQ124" s="126">
        <f t="shared" si="278"/>
        <v>1561648.3533990444</v>
      </c>
      <c r="AR124" s="6"/>
      <c r="AS124" s="49">
        <f>(AQ124/AQ121-1)*100</f>
        <v>-6.5556583712832577</v>
      </c>
      <c r="AT124" s="39"/>
      <c r="AU124" s="20">
        <f t="shared" si="100"/>
        <v>44742</v>
      </c>
      <c r="AV124" s="27">
        <v>-3.4825399804576329</v>
      </c>
      <c r="AW124" s="126">
        <f t="shared" si="279"/>
        <v>1157321.3591523052</v>
      </c>
      <c r="AX124" s="6"/>
      <c r="AY124" s="49">
        <f>(AW124/AW121-1)*100</f>
        <v>-6.25346198237885</v>
      </c>
      <c r="BA124" s="79"/>
      <c r="BB124" s="20">
        <f t="shared" si="101"/>
        <v>44742</v>
      </c>
      <c r="BC124" s="300">
        <f t="shared" si="173"/>
        <v>-2.4203481199999999</v>
      </c>
      <c r="BD124" s="126">
        <f t="shared" si="280"/>
        <v>1278625.9533313189</v>
      </c>
      <c r="BE124" s="6"/>
      <c r="BF124" s="49">
        <f>(BD124/BD121-1)*100</f>
        <v>-5.5778607632884221</v>
      </c>
      <c r="BG124" s="39"/>
      <c r="BH124" s="20">
        <f t="shared" si="102"/>
        <v>44742</v>
      </c>
      <c r="BI124" s="27">
        <v>-2.7128880131725031</v>
      </c>
      <c r="BJ124" s="126">
        <f t="shared" si="281"/>
        <v>973725.14705807401</v>
      </c>
      <c r="BK124" s="6"/>
      <c r="BL124" s="49">
        <f>(BJ124/BJ121-1)*100</f>
        <v>-5.3915595351562544</v>
      </c>
      <c r="BN124" s="79"/>
      <c r="BO124" s="20">
        <f t="shared" si="103"/>
        <v>44742</v>
      </c>
      <c r="BP124" s="300">
        <f t="shared" si="200"/>
        <v>-1.9788507799999999</v>
      </c>
      <c r="BQ124" s="126">
        <f t="shared" si="282"/>
        <v>974958.00196076056</v>
      </c>
      <c r="BR124" s="6"/>
      <c r="BS124" s="49">
        <f>(BQ124/BQ121-1)*100</f>
        <v>-5.0890033341571606</v>
      </c>
      <c r="BV124" s="39"/>
      <c r="BW124" s="20">
        <f t="shared" si="104"/>
        <v>44742</v>
      </c>
      <c r="BX124" s="27">
        <v>-4.3154238507927278</v>
      </c>
      <c r="BY124" s="126">
        <f t="shared" si="283"/>
        <v>1366345.5300610082</v>
      </c>
      <c r="BZ124" s="6"/>
      <c r="CA124" s="49">
        <f>(BY124/BY121-1)*100</f>
        <v>-7.3406212064044958</v>
      </c>
      <c r="CC124" s="79"/>
      <c r="CD124" s="20">
        <f t="shared" si="105"/>
        <v>44742</v>
      </c>
      <c r="CE124" s="300">
        <f t="shared" si="174"/>
        <v>-2.8618454600000001</v>
      </c>
      <c r="CF124" s="126">
        <f t="shared" si="284"/>
        <v>1434886.21256623</v>
      </c>
      <c r="CG124" s="6"/>
      <c r="CH124" s="49">
        <f>(CF124/CF121-1)*100</f>
        <v>-6.0667484370893092</v>
      </c>
      <c r="CI124" s="39"/>
      <c r="CJ124" s="1"/>
    </row>
    <row r="125" spans="1:88" x14ac:dyDescent="0.25">
      <c r="A125" s="20">
        <v>44773</v>
      </c>
      <c r="B125" s="24">
        <f t="shared" si="285"/>
        <v>110</v>
      </c>
      <c r="C125" s="297">
        <f>'LC (Gross)'!X287</f>
        <v>4.2321569999999999</v>
      </c>
      <c r="D125" s="297">
        <v>3.714051</v>
      </c>
      <c r="E125" s="297">
        <f>'CRA (Gross)'!E125</f>
        <v>2.4434019999999999</v>
      </c>
      <c r="F125" s="297">
        <f>'CRA (Gross)'!F125</f>
        <v>0</v>
      </c>
      <c r="G125" s="39"/>
      <c r="H125" s="20">
        <f t="shared" si="146"/>
        <v>44773</v>
      </c>
      <c r="I125" s="27">
        <v>5.8357234887104585</v>
      </c>
      <c r="J125" s="126">
        <f t="shared" ref="J125" si="286">J124*I125/100+J124</f>
        <v>1815005.5633218393</v>
      </c>
      <c r="K125" s="6"/>
      <c r="M125" s="17"/>
      <c r="N125" s="79"/>
      <c r="O125" s="20">
        <f t="shared" si="92"/>
        <v>44773</v>
      </c>
      <c r="P125" s="300">
        <f t="shared" si="169"/>
        <v>4.0459650839999997</v>
      </c>
      <c r="Q125" s="126">
        <f t="shared" ref="Q125" si="287">Q124*P125/100+Q124</f>
        <v>1907585.0030865448</v>
      </c>
      <c r="R125" s="6"/>
      <c r="T125" s="39"/>
      <c r="U125" s="20">
        <f t="shared" si="94"/>
        <v>44773</v>
      </c>
      <c r="V125" s="27">
        <v>5.3410550940677375</v>
      </c>
      <c r="W125" s="126">
        <f t="shared" ref="W125" si="288">W124*V125/100+W124</f>
        <v>1693275.3269435412</v>
      </c>
      <c r="X125" s="6"/>
      <c r="AA125" s="79"/>
      <c r="AB125" s="20">
        <f t="shared" si="95"/>
        <v>44773</v>
      </c>
      <c r="AC125" s="300">
        <f t="shared" si="171"/>
        <v>3.7426410000000003</v>
      </c>
      <c r="AD125" s="126">
        <f t="shared" ref="AD125" si="289">AD124*AC125/100+AD124</f>
        <v>1734989.5168229225</v>
      </c>
      <c r="AE125" s="6"/>
      <c r="AG125" s="44"/>
      <c r="AH125" s="20">
        <f t="shared" si="97"/>
        <v>44773</v>
      </c>
      <c r="AI125" s="27">
        <v>4.1931034793345585</v>
      </c>
      <c r="AJ125" s="126">
        <f t="shared" ref="AJ125" si="290">AJ124*AI125/100+AJ124</f>
        <v>1532737.0910233206</v>
      </c>
      <c r="AK125" s="6"/>
      <c r="AN125" s="79"/>
      <c r="AO125" s="20">
        <f t="shared" si="98"/>
        <v>44773</v>
      </c>
      <c r="AP125" s="300">
        <f t="shared" si="172"/>
        <v>3.4056142399999993</v>
      </c>
      <c r="AQ125" s="126">
        <f t="shared" ref="AQ125" si="291">AQ124*AP125/100+AQ124</f>
        <v>1614832.0721011278</v>
      </c>
      <c r="AR125" s="6"/>
      <c r="AT125" s="39"/>
      <c r="AU125" s="20">
        <f t="shared" si="100"/>
        <v>44773</v>
      </c>
      <c r="AV125" s="27">
        <v>2.7614869183309265</v>
      </c>
      <c r="AW125" s="126">
        <f t="shared" ref="AW125" si="292">AW124*AV125/100+AW124</f>
        <v>1189280.6370883458</v>
      </c>
      <c r="AX125" s="6"/>
      <c r="BA125" s="79"/>
      <c r="BB125" s="20">
        <f t="shared" si="101"/>
        <v>44773</v>
      </c>
      <c r="BC125" s="300">
        <f t="shared" si="173"/>
        <v>2.9000740999999999</v>
      </c>
      <c r="BD125" s="126">
        <f t="shared" ref="BD125" si="293">BD124*BC125/100+BD124</f>
        <v>1315707.0534397585</v>
      </c>
      <c r="BE125" s="6"/>
      <c r="BG125" s="39"/>
      <c r="BH125" s="20">
        <f t="shared" si="102"/>
        <v>44773</v>
      </c>
      <c r="BI125" s="27">
        <v>2.223109301559985</v>
      </c>
      <c r="BJ125" s="126">
        <f t="shared" ref="BJ125" si="294">BJ124*BI125/100+BJ124</f>
        <v>995372.12137395074</v>
      </c>
      <c r="BK125" s="6"/>
      <c r="BN125" s="79"/>
      <c r="BO125" s="20">
        <f t="shared" si="103"/>
        <v>44773</v>
      </c>
      <c r="BP125" s="300">
        <f t="shared" si="200"/>
        <v>2.6473040299999995</v>
      </c>
      <c r="BQ125" s="126">
        <f t="shared" ref="BQ125" si="295">BQ124*BP125/100+BQ124</f>
        <v>1000768.1044374752</v>
      </c>
      <c r="BR125" s="6"/>
      <c r="BV125" s="39"/>
      <c r="BW125" s="20">
        <f t="shared" si="104"/>
        <v>44773</v>
      </c>
      <c r="BX125" s="27">
        <v>3.5680387330039296</v>
      </c>
      <c r="BY125" s="126">
        <f t="shared" ref="BY125" si="296">BY124*BX125/100+BY124</f>
        <v>1415097.2678002529</v>
      </c>
      <c r="BZ125" s="6"/>
      <c r="CC125" s="79"/>
      <c r="CD125" s="20">
        <f t="shared" si="105"/>
        <v>44773</v>
      </c>
      <c r="CE125" s="300">
        <f t="shared" si="174"/>
        <v>3.1528441699999998</v>
      </c>
      <c r="CF125" s="126">
        <f t="shared" ref="CF125" si="297">CF124*CE125/100+CF124</f>
        <v>1480125.9388652581</v>
      </c>
      <c r="CG125" s="6"/>
      <c r="CI125" s="39"/>
      <c r="CJ125" s="1"/>
    </row>
    <row r="126" spans="1:88" x14ac:dyDescent="0.25">
      <c r="A126" s="20">
        <v>44804</v>
      </c>
      <c r="B126" s="24">
        <f t="shared" si="285"/>
        <v>111</v>
      </c>
      <c r="C126" s="297">
        <f>'LC (Gross)'!X288</f>
        <v>-1.813922</v>
      </c>
      <c r="D126" s="297">
        <v>-4.6388389999999999</v>
      </c>
      <c r="E126" s="297">
        <f>'CRA (Gross)'!E126</f>
        <v>-2.825256</v>
      </c>
      <c r="F126" s="297">
        <f>'CRA (Gross)'!F126</f>
        <v>0</v>
      </c>
      <c r="G126" s="39"/>
      <c r="H126" s="20">
        <f t="shared" si="146"/>
        <v>44804</v>
      </c>
      <c r="I126" s="27">
        <v>-2.970886033329811</v>
      </c>
      <c r="J126" s="126">
        <f t="shared" ref="J126" si="298">J125*I126/100+J125</f>
        <v>1761083.8165369518</v>
      </c>
      <c r="K126" s="6"/>
      <c r="M126" s="17"/>
      <c r="N126" s="79"/>
      <c r="O126" s="20">
        <f t="shared" si="92"/>
        <v>44804</v>
      </c>
      <c r="P126" s="300">
        <f t="shared" si="169"/>
        <v>-2.3313272920000001</v>
      </c>
      <c r="Q126" s="126">
        <f t="shared" ref="Q126" si="299">Q125*P126/100+Q125</f>
        <v>1863112.953291489</v>
      </c>
      <c r="R126" s="6"/>
      <c r="T126" s="39"/>
      <c r="U126" s="20">
        <f t="shared" si="94"/>
        <v>44804</v>
      </c>
      <c r="V126" s="27">
        <v>-3.4533231426946682</v>
      </c>
      <c r="W126" s="126">
        <f t="shared" ref="W126" si="300">W125*V126/100+W125</f>
        <v>1634801.0582086612</v>
      </c>
      <c r="X126" s="6"/>
      <c r="AA126" s="79"/>
      <c r="AB126" s="20">
        <f t="shared" si="95"/>
        <v>44804</v>
      </c>
      <c r="AC126" s="300">
        <f t="shared" si="171"/>
        <v>-2.4116704000000002</v>
      </c>
      <c r="AD126" s="126">
        <f t="shared" ref="AD126" si="301">AD125*AC126/100+AD125</f>
        <v>1693147.288202601</v>
      </c>
      <c r="AE126" s="6"/>
      <c r="AG126" s="44"/>
      <c r="AH126" s="20">
        <f t="shared" si="97"/>
        <v>44804</v>
      </c>
      <c r="AI126" s="27">
        <v>-3.044604176013074</v>
      </c>
      <c r="AJ126" s="126">
        <f t="shared" ref="AJ126" si="302">AJ125*AI126/100+AJ125</f>
        <v>1486071.3135427232</v>
      </c>
      <c r="AK126" s="6"/>
      <c r="AN126" s="79"/>
      <c r="AO126" s="20">
        <f t="shared" si="98"/>
        <v>44804</v>
      </c>
      <c r="AP126" s="300">
        <f t="shared" si="172"/>
        <v>-2.5009405199999999</v>
      </c>
      <c r="AQ126" s="126">
        <f t="shared" ref="AQ126" si="303">AQ125*AP126/100+AQ125</f>
        <v>1574446.0824799952</v>
      </c>
      <c r="AR126" s="6"/>
      <c r="AT126" s="39"/>
      <c r="AU126" s="20">
        <f t="shared" si="100"/>
        <v>44804</v>
      </c>
      <c r="AV126" s="27">
        <v>-2.620032343679596</v>
      </c>
      <c r="AW126" s="126">
        <f t="shared" ref="AW126" si="304">AW125*AV126/100+AW125</f>
        <v>1158121.0997395124</v>
      </c>
      <c r="AX126" s="6"/>
      <c r="BA126" s="79"/>
      <c r="BB126" s="20">
        <f t="shared" si="101"/>
        <v>44804</v>
      </c>
      <c r="BC126" s="300">
        <f t="shared" si="173"/>
        <v>-2.6348457000000001</v>
      </c>
      <c r="BD126" s="126">
        <f t="shared" ref="BD126" si="305">BD125*BC126/100+BD125</f>
        <v>1281040.2027176043</v>
      </c>
      <c r="BE126" s="6"/>
      <c r="BG126" s="39"/>
      <c r="BH126" s="20">
        <f t="shared" si="102"/>
        <v>44804</v>
      </c>
      <c r="BI126" s="27">
        <v>-2.3618473340129946</v>
      </c>
      <c r="BJ126" s="126">
        <f t="shared" ref="BJ126" si="306">BJ125*BI126/100+BJ125</f>
        <v>971862.9514617715</v>
      </c>
      <c r="BK126" s="6"/>
      <c r="BN126" s="79"/>
      <c r="BO126" s="20">
        <f t="shared" si="103"/>
        <v>44804</v>
      </c>
      <c r="BP126" s="300">
        <f t="shared" si="200"/>
        <v>-2.7017982900000002</v>
      </c>
      <c r="BQ126" s="126">
        <f t="shared" ref="BQ126" si="307">BQ125*BP126/100+BQ125</f>
        <v>973729.36890491808</v>
      </c>
      <c r="BR126" s="6"/>
      <c r="BV126" s="39"/>
      <c r="BW126" s="20">
        <f t="shared" si="104"/>
        <v>44804</v>
      </c>
      <c r="BX126" s="27">
        <v>-2.8240726078757552</v>
      </c>
      <c r="BY126" s="126">
        <f t="shared" ref="BY126" si="308">BY125*BX126/100+BY125</f>
        <v>1375133.8934855077</v>
      </c>
      <c r="BZ126" s="6"/>
      <c r="CC126" s="79"/>
      <c r="CD126" s="20">
        <f t="shared" si="105"/>
        <v>44804</v>
      </c>
      <c r="CE126" s="300">
        <f t="shared" si="174"/>
        <v>-2.56789311</v>
      </c>
      <c r="CF126" s="126">
        <f t="shared" ref="CF126" si="309">CF125*CE126/100+CF125</f>
        <v>1442117.8868618144</v>
      </c>
      <c r="CG126" s="6"/>
      <c r="CI126" s="39"/>
      <c r="CJ126" s="1"/>
    </row>
    <row r="127" spans="1:88" x14ac:dyDescent="0.25">
      <c r="A127" s="20">
        <v>44834</v>
      </c>
      <c r="B127" s="24">
        <f t="shared" si="285"/>
        <v>112</v>
      </c>
      <c r="C127" s="297">
        <f>'LC (Gross)'!X289</f>
        <v>-8.3408359999999995</v>
      </c>
      <c r="D127" s="297">
        <v>-8.3687780000000007</v>
      </c>
      <c r="E127" s="297">
        <f>'CRA (Gross)'!E127</f>
        <v>-4.320894</v>
      </c>
      <c r="F127" s="297">
        <v>0</v>
      </c>
      <c r="G127" s="39"/>
      <c r="H127" s="20">
        <f t="shared" si="146"/>
        <v>44834</v>
      </c>
      <c r="I127" s="27">
        <v>-8.0199110736000954</v>
      </c>
      <c r="J127" s="126">
        <f t="shared" ref="J127" si="310">J126*I127/100+J126</f>
        <v>1619846.4605191257</v>
      </c>
      <c r="K127" s="6"/>
      <c r="L127" s="49">
        <f>(J127/J124-1)*100</f>
        <v>-5.5442993927237065</v>
      </c>
      <c r="M127" s="17"/>
      <c r="N127" s="79"/>
      <c r="O127" s="20">
        <f t="shared" si="92"/>
        <v>44834</v>
      </c>
      <c r="P127" s="300">
        <f t="shared" si="169"/>
        <v>-8.1794959120000001</v>
      </c>
      <c r="Q127" s="126">
        <f t="shared" ref="Q127" si="311">Q126*P127/100+Q126</f>
        <v>1710719.7054410693</v>
      </c>
      <c r="R127" s="6"/>
      <c r="S127" s="49">
        <f>(Q127/Q124-1)*100</f>
        <v>-6.6917162523127072</v>
      </c>
      <c r="T127" s="39"/>
      <c r="U127" s="20">
        <f t="shared" si="94"/>
        <v>44834</v>
      </c>
      <c r="V127" s="27">
        <v>-7.5833647550860857</v>
      </c>
      <c r="W127" s="126">
        <f t="shared" ref="W127" si="312">W126*V127/100+W126</f>
        <v>1510828.1309446911</v>
      </c>
      <c r="X127" s="6"/>
      <c r="Y127" s="49">
        <f>(W127/W124-1)*100</f>
        <v>-6.0092432417408688</v>
      </c>
      <c r="AA127" s="79"/>
      <c r="AB127" s="20">
        <f t="shared" si="95"/>
        <v>44834</v>
      </c>
      <c r="AC127" s="300">
        <f t="shared" si="171"/>
        <v>-7.4549004399999994</v>
      </c>
      <c r="AD127" s="126">
        <f t="shared" ref="AD127" si="313">AD126*AC127/100+AD126</f>
        <v>1566924.8435645374</v>
      </c>
      <c r="AE127" s="6"/>
      <c r="AF127" s="49">
        <f>(AD127/AD124-1)*100</f>
        <v>-6.3066837328401348</v>
      </c>
      <c r="AG127" s="44"/>
      <c r="AH127" s="20">
        <f t="shared" si="97"/>
        <v>44834</v>
      </c>
      <c r="AI127" s="27">
        <v>-6.1699040341850049</v>
      </c>
      <c r="AJ127" s="126">
        <f t="shared" ref="AJ127" si="314">AJ126*AI127/100+AJ126</f>
        <v>1394382.1396175846</v>
      </c>
      <c r="AK127" s="6"/>
      <c r="AL127" s="49">
        <f>(AJ127/AJ124-1)*100</f>
        <v>-5.2120527298569748</v>
      </c>
      <c r="AN127" s="79"/>
      <c r="AO127" s="20">
        <f t="shared" si="98"/>
        <v>44834</v>
      </c>
      <c r="AP127" s="300">
        <f t="shared" si="172"/>
        <v>-6.6497943599999996</v>
      </c>
      <c r="AQ127" s="126">
        <f t="shared" ref="AQ127" si="315">AQ126*AP127/100+AQ126</f>
        <v>1469748.6556859994</v>
      </c>
      <c r="AR127" s="6"/>
      <c r="AS127" s="49">
        <f>(AQ127/AQ124-1)*100</f>
        <v>-5.884788179939382</v>
      </c>
      <c r="AT127" s="39"/>
      <c r="AU127" s="20">
        <f t="shared" si="100"/>
        <v>44834</v>
      </c>
      <c r="AV127" s="27">
        <v>-4.6575888286201153</v>
      </c>
      <c r="AW127" s="126">
        <f t="shared" ref="AW127" si="316">AW126*AV127/100+AW126</f>
        <v>1104180.5807761524</v>
      </c>
      <c r="AX127" s="6"/>
      <c r="AY127" s="49">
        <f>(AW127/AW124-1)*100</f>
        <v>-4.5917046251592879</v>
      </c>
      <c r="BA127" s="79"/>
      <c r="BB127" s="20">
        <f t="shared" si="101"/>
        <v>44834</v>
      </c>
      <c r="BC127" s="300">
        <f t="shared" si="173"/>
        <v>-5.4421352400000007</v>
      </c>
      <c r="BD127" s="126">
        <f t="shared" ref="BD127" si="317">BD126*BC127/100+BD126</f>
        <v>1211324.2624069422</v>
      </c>
      <c r="BE127" s="6"/>
      <c r="BF127" s="49">
        <f>(BD127/BD124-1)*100</f>
        <v>-5.263594935565763</v>
      </c>
      <c r="BG127" s="39"/>
      <c r="BH127" s="20">
        <f t="shared" si="102"/>
        <v>44834</v>
      </c>
      <c r="BI127" s="27">
        <v>-3.9197997182931732</v>
      </c>
      <c r="BJ127" s="126">
        <f t="shared" ref="BJ127" si="318">BJ126*BI127/100+BJ126</f>
        <v>933767.87022817729</v>
      </c>
      <c r="BK127" s="6"/>
      <c r="BL127" s="49">
        <f>(BJ127/BJ124-1)*100</f>
        <v>-4.1035477979201929</v>
      </c>
      <c r="BN127" s="79"/>
      <c r="BO127" s="20">
        <f t="shared" si="103"/>
        <v>44834</v>
      </c>
      <c r="BP127" s="300">
        <f t="shared" si="200"/>
        <v>-4.8383056799999995</v>
      </c>
      <c r="BQ127" s="126">
        <f t="shared" ref="BQ127" si="319">BQ126*BP127/100+BQ126</f>
        <v>926617.36554136325</v>
      </c>
      <c r="BR127" s="6"/>
      <c r="BS127" s="49">
        <f>(BQ127/BQ124-1)*100</f>
        <v>-4.9582275669493807</v>
      </c>
      <c r="BV127" s="39"/>
      <c r="BW127" s="20">
        <f t="shared" si="104"/>
        <v>44834</v>
      </c>
      <c r="BX127" s="27">
        <v>-5.4528540460551636</v>
      </c>
      <c r="BY127" s="126">
        <f t="shared" ref="BY127" si="320">BY126*BX127/100+BY126</f>
        <v>1300149.8493359073</v>
      </c>
      <c r="BZ127" s="6"/>
      <c r="CA127" s="49">
        <f>(BY127/BY124-1)*100</f>
        <v>-4.8447247982832842</v>
      </c>
      <c r="CC127" s="79"/>
      <c r="CD127" s="20">
        <f t="shared" si="105"/>
        <v>44834</v>
      </c>
      <c r="CE127" s="300">
        <f t="shared" si="174"/>
        <v>-6.0459648000000001</v>
      </c>
      <c r="CF127" s="126">
        <f t="shared" ref="CF127" si="321">CF126*CE127/100+CF126</f>
        <v>1354927.9470476452</v>
      </c>
      <c r="CG127" s="6"/>
      <c r="CH127" s="49">
        <f>(CF127/CF124-1)*100</f>
        <v>-5.5724464294337972</v>
      </c>
      <c r="CI127" s="39"/>
      <c r="CJ127" s="1"/>
    </row>
    <row r="128" spans="1:88" x14ac:dyDescent="0.25">
      <c r="A128" s="20">
        <v>44865</v>
      </c>
      <c r="B128" s="24">
        <f t="shared" si="285"/>
        <v>113</v>
      </c>
      <c r="C128" s="297">
        <f>'LC (Gross)'!X290</f>
        <v>6.9835320000000003</v>
      </c>
      <c r="D128" s="297">
        <v>2.3007650000000002</v>
      </c>
      <c r="E128" s="297">
        <f>'CRA (Gross)'!E128</f>
        <v>-1.295337</v>
      </c>
      <c r="F128" s="297">
        <v>0</v>
      </c>
      <c r="G128" s="39"/>
      <c r="H128" s="20">
        <f t="shared" si="146"/>
        <v>44865</v>
      </c>
      <c r="I128" s="27">
        <v>8.015431282246583</v>
      </c>
      <c r="J128" s="126">
        <f t="shared" ref="J128" si="322">J127*I128/100+J127</f>
        <v>1749684.1404399397</v>
      </c>
      <c r="K128" s="6"/>
      <c r="L128" s="49"/>
      <c r="M128" s="17"/>
      <c r="N128" s="79"/>
      <c r="O128" s="20">
        <f t="shared" si="92"/>
        <v>44865</v>
      </c>
      <c r="P128" s="300">
        <f t="shared" si="169"/>
        <v>5.9260390280000008</v>
      </c>
      <c r="Q128" s="126">
        <f t="shared" ref="Q128" si="323">Q127*P128/100+Q127</f>
        <v>1812097.6228451938</v>
      </c>
      <c r="R128" s="6"/>
      <c r="S128" s="49"/>
      <c r="T128" s="39"/>
      <c r="U128" s="20">
        <f t="shared" si="94"/>
        <v>44865</v>
      </c>
      <c r="V128" s="27">
        <v>7.3872180318140677</v>
      </c>
      <c r="W128" s="126">
        <f t="shared" ref="W128" si="324">W127*V128/100+W127</f>
        <v>1622436.2990635568</v>
      </c>
      <c r="X128" s="6"/>
      <c r="Y128" s="49"/>
      <c r="AA128" s="79"/>
      <c r="AB128" s="20">
        <f t="shared" si="95"/>
        <v>44865</v>
      </c>
      <c r="AC128" s="300">
        <f t="shared" si="171"/>
        <v>4.60442222</v>
      </c>
      <c r="AD128" s="126">
        <f t="shared" ref="AD128" si="325">AD127*AC128/100+AD127</f>
        <v>1639072.6792323231</v>
      </c>
      <c r="AE128" s="6"/>
      <c r="AF128" s="49"/>
      <c r="AG128" s="44"/>
      <c r="AH128" s="20">
        <f t="shared" si="97"/>
        <v>44865</v>
      </c>
      <c r="AI128" s="27">
        <v>5.5093749418627054</v>
      </c>
      <c r="AJ128" s="126">
        <f t="shared" ref="AJ128" si="326">AJ127*AI128/100+AJ127</f>
        <v>1471203.8798114848</v>
      </c>
      <c r="AK128" s="6"/>
      <c r="AL128" s="49"/>
      <c r="AN128" s="79"/>
      <c r="AO128" s="20">
        <f t="shared" si="98"/>
        <v>44865</v>
      </c>
      <c r="AP128" s="300">
        <f t="shared" si="172"/>
        <v>3.1359591</v>
      </c>
      <c r="AQ128" s="126">
        <f t="shared" ref="AQ128" si="327">AQ127*AP128/100+AQ127</f>
        <v>1515839.3724011122</v>
      </c>
      <c r="AR128" s="6"/>
      <c r="AS128" s="49"/>
      <c r="AT128" s="39"/>
      <c r="AU128" s="20">
        <f t="shared" si="100"/>
        <v>44865</v>
      </c>
      <c r="AV128" s="27">
        <v>2.9754138370977499</v>
      </c>
      <c r="AW128" s="126">
        <f t="shared" ref="AW128" si="328">AW127*AV128/100+AW127</f>
        <v>1137034.5225631124</v>
      </c>
      <c r="AX128" s="6"/>
      <c r="AY128" s="49"/>
      <c r="BA128" s="79"/>
      <c r="BB128" s="20">
        <f t="shared" si="101"/>
        <v>44865</v>
      </c>
      <c r="BC128" s="300">
        <f t="shared" si="173"/>
        <v>0.93326441999999998</v>
      </c>
      <c r="BD128" s="126">
        <f t="shared" ref="BD128" si="329">BD127*BC128/100+BD127</f>
        <v>1222629.1207588136</v>
      </c>
      <c r="BE128" s="6"/>
      <c r="BF128" s="49"/>
      <c r="BG128" s="39"/>
      <c r="BH128" s="20">
        <f t="shared" si="102"/>
        <v>44865</v>
      </c>
      <c r="BI128" s="27">
        <v>1.791308254149713</v>
      </c>
      <c r="BJ128" s="126">
        <f t="shared" ref="BJ128" si="330">BJ127*BI128/100+BJ127</f>
        <v>950494.53116217256</v>
      </c>
      <c r="BK128" s="6"/>
      <c r="BL128" s="49"/>
      <c r="BN128" s="79"/>
      <c r="BO128" s="20">
        <f t="shared" si="103"/>
        <v>44865</v>
      </c>
      <c r="BP128" s="300">
        <f t="shared" si="200"/>
        <v>-0.16808291999999991</v>
      </c>
      <c r="BQ128" s="126">
        <f t="shared" ref="BQ128" si="331">BQ127*BP128/100+BQ127</f>
        <v>925059.88001613424</v>
      </c>
      <c r="BR128" s="6"/>
      <c r="BS128" s="49"/>
      <c r="BV128" s="39"/>
      <c r="BW128" s="20">
        <f t="shared" si="104"/>
        <v>44865</v>
      </c>
      <c r="BX128" s="27">
        <v>4.4984867761656036</v>
      </c>
      <c r="BY128" s="126">
        <f t="shared" ref="BY128" si="332">BY127*BX128/100+BY127</f>
        <v>1358636.9183786202</v>
      </c>
      <c r="BZ128" s="6"/>
      <c r="CA128" s="49"/>
      <c r="CC128" s="79"/>
      <c r="CD128" s="20">
        <f t="shared" si="105"/>
        <v>44865</v>
      </c>
      <c r="CE128" s="300">
        <f t="shared" si="174"/>
        <v>2.0346117600000002</v>
      </c>
      <c r="CF128" s="126">
        <f t="shared" ref="CF128" si="333">CF127*CE128/100+CF127</f>
        <v>1382495.4703978032</v>
      </c>
      <c r="CG128" s="6"/>
      <c r="CH128" s="49"/>
      <c r="CI128" s="39"/>
      <c r="CJ128" s="1"/>
    </row>
    <row r="129" spans="1:88" x14ac:dyDescent="0.25">
      <c r="A129" s="20">
        <v>44895</v>
      </c>
      <c r="B129" s="24">
        <f t="shared" si="285"/>
        <v>114</v>
      </c>
      <c r="C129" s="297">
        <f>'LC (Gross)'!X291</f>
        <v>5.8284180000000001</v>
      </c>
      <c r="D129" s="297">
        <v>8.2769290000000009</v>
      </c>
      <c r="E129" s="297">
        <f>'CRA (Gross)'!E129</f>
        <v>3.6775630000000001</v>
      </c>
      <c r="F129" s="297">
        <v>0</v>
      </c>
      <c r="G129" s="39"/>
      <c r="H129" s="20">
        <f t="shared" si="146"/>
        <v>44895</v>
      </c>
      <c r="I129" s="27">
        <v>4.9211232683553625</v>
      </c>
      <c r="J129" s="126">
        <f t="shared" ref="J129:J135" si="334">J128*I129/100+J128</f>
        <v>1835788.2537978531</v>
      </c>
      <c r="K129" s="6"/>
      <c r="L129" s="49"/>
      <c r="M129" s="17"/>
      <c r="N129" s="79"/>
      <c r="O129" s="20">
        <f t="shared" si="92"/>
        <v>44895</v>
      </c>
      <c r="P129" s="300">
        <f t="shared" si="169"/>
        <v>6.191757796000001</v>
      </c>
      <c r="Q129" s="126">
        <f t="shared" ref="Q129:Q135" si="335">Q128*P129/100+Q128</f>
        <v>1924298.3186788419</v>
      </c>
      <c r="R129" s="6"/>
      <c r="S129" s="49"/>
      <c r="T129" s="39"/>
      <c r="U129" s="20">
        <f t="shared" si="94"/>
        <v>44895</v>
      </c>
      <c r="V129" s="27">
        <v>4.975785540512085</v>
      </c>
      <c r="W129" s="126">
        <f t="shared" ref="W129:W135" si="336">W128*V129/100+W128</f>
        <v>1703165.2498363806</v>
      </c>
      <c r="X129" s="6"/>
      <c r="Y129" s="49"/>
      <c r="AA129" s="79"/>
      <c r="AB129" s="20">
        <f t="shared" si="95"/>
        <v>44895</v>
      </c>
      <c r="AC129" s="300">
        <f t="shared" si="171"/>
        <v>5.7164575000000006</v>
      </c>
      <c r="AD129" s="126">
        <f t="shared" ref="AD129:AD135" si="337">AD128*AC129/100+AD128</f>
        <v>1732769.5723347501</v>
      </c>
      <c r="AE129" s="6"/>
      <c r="AF129" s="49"/>
      <c r="AG129" s="44"/>
      <c r="AH129" s="20">
        <f t="shared" si="97"/>
        <v>44895</v>
      </c>
      <c r="AI129" s="27">
        <v>4.1407609369461387</v>
      </c>
      <c r="AJ129" s="126">
        <f t="shared" ref="AJ129:AJ135" si="338">AJ128*AI129/100+AJ128</f>
        <v>1532122.9153695549</v>
      </c>
      <c r="AK129" s="6"/>
      <c r="AL129" s="49"/>
      <c r="AN129" s="79"/>
      <c r="AO129" s="20">
        <f t="shared" si="98"/>
        <v>44895</v>
      </c>
      <c r="AP129" s="300">
        <f t="shared" si="172"/>
        <v>5.1883460599999998</v>
      </c>
      <c r="AQ129" s="126">
        <f t="shared" ref="AQ129:AQ135" si="339">AQ128*AP129/100+AQ128</f>
        <v>1594486.364755014</v>
      </c>
      <c r="AR129" s="6"/>
      <c r="AS129" s="49"/>
      <c r="AT129" s="39"/>
      <c r="AU129" s="20">
        <f t="shared" si="100"/>
        <v>44895</v>
      </c>
      <c r="AV129" s="27">
        <v>3.4490014610650945</v>
      </c>
      <c r="AW129" s="126">
        <f t="shared" ref="AW129:AW135" si="340">AW128*AV129/100+AW128</f>
        <v>1176250.8598591287</v>
      </c>
      <c r="AX129" s="6"/>
      <c r="AY129" s="49"/>
      <c r="BA129" s="79"/>
      <c r="BB129" s="20">
        <f t="shared" si="101"/>
        <v>44895</v>
      </c>
      <c r="BC129" s="300">
        <f t="shared" si="173"/>
        <v>4.3961789000000007</v>
      </c>
      <c r="BD129" s="126">
        <f t="shared" ref="BD129:BD135" si="341">BD128*BC129/100+BD128</f>
        <v>1276378.0841908681</v>
      </c>
      <c r="BE129" s="6"/>
      <c r="BF129" s="49"/>
      <c r="BG129" s="39"/>
      <c r="BH129" s="20">
        <f t="shared" si="102"/>
        <v>44895</v>
      </c>
      <c r="BI129" s="27">
        <v>2.8971017636419729</v>
      </c>
      <c r="BJ129" s="126">
        <f t="shared" ref="BJ129:BJ135" si="342">BJ128*BI129/100+BJ128</f>
        <v>978031.32498779241</v>
      </c>
      <c r="BK129" s="6"/>
      <c r="BL129" s="49"/>
      <c r="BN129" s="79"/>
      <c r="BO129" s="20">
        <f t="shared" si="103"/>
        <v>44895</v>
      </c>
      <c r="BP129" s="300">
        <f t="shared" si="200"/>
        <v>4.0000953199999998</v>
      </c>
      <c r="BQ129" s="126">
        <f t="shared" ref="BQ129:BQ135" si="343">BQ128*BP129/100+BQ128</f>
        <v>962063.15698385728</v>
      </c>
      <c r="BR129" s="6"/>
      <c r="BS129" s="49"/>
      <c r="BV129" s="39"/>
      <c r="BW129" s="20">
        <f t="shared" si="104"/>
        <v>44895</v>
      </c>
      <c r="BX129" s="27">
        <v>3.7263932013770118</v>
      </c>
      <c r="BY129" s="126">
        <f t="shared" ref="BY129:BY135" si="344">BY128*BX129/100+BY128</f>
        <v>1409265.0721364792</v>
      </c>
      <c r="BZ129" s="6"/>
      <c r="CA129" s="49"/>
      <c r="CC129" s="79"/>
      <c r="CD129" s="20">
        <f t="shared" si="105"/>
        <v>44895</v>
      </c>
      <c r="CE129" s="300">
        <f t="shared" si="174"/>
        <v>4.7922624799999998</v>
      </c>
      <c r="CF129" s="126">
        <f t="shared" ref="CF129:CF135" si="345">CF128*CE129/100+CF128</f>
        <v>1448748.2821133765</v>
      </c>
      <c r="CG129" s="6"/>
      <c r="CH129" s="49"/>
      <c r="CI129" s="39"/>
      <c r="CJ129" s="1"/>
    </row>
    <row r="130" spans="1:88" x14ac:dyDescent="0.25">
      <c r="A130" s="20">
        <v>44926</v>
      </c>
      <c r="B130" s="24">
        <f t="shared" ref="B130:B136" si="346">IF(A130&gt;A129,1+B129,"-")</f>
        <v>115</v>
      </c>
      <c r="C130" s="297">
        <f>'LC (Gross)'!X292</f>
        <v>-1.723247</v>
      </c>
      <c r="D130" s="297">
        <v>1.513538</v>
      </c>
      <c r="E130" s="297">
        <f>'CRA (Gross)'!E130</f>
        <v>-0.45092100000000002</v>
      </c>
      <c r="F130" s="297">
        <v>0</v>
      </c>
      <c r="G130" s="39"/>
      <c r="H130" s="20">
        <f t="shared" si="146"/>
        <v>44926</v>
      </c>
      <c r="I130" s="27">
        <v>-4.8657472121573937</v>
      </c>
      <c r="J130" s="126">
        <f t="shared" si="334"/>
        <v>1746463.4380175711</v>
      </c>
      <c r="K130" s="6">
        <f>(J130-J$118)/J$118*100</f>
        <v>-13.824851121285445</v>
      </c>
      <c r="L130" s="49">
        <f>(J130/J127-1)*100</f>
        <v>7.8166036463645616</v>
      </c>
      <c r="M130" s="17"/>
      <c r="N130" s="79"/>
      <c r="O130" s="20">
        <f t="shared" si="92"/>
        <v>44926</v>
      </c>
      <c r="P130" s="300">
        <f t="shared" si="169"/>
        <v>-1.0543722</v>
      </c>
      <c r="Q130" s="126">
        <f t="shared" si="335"/>
        <v>1904009.0521616249</v>
      </c>
      <c r="R130" s="6">
        <f>(Q130-Q$118)/Q$118*100</f>
        <v>-6.5460628972835586</v>
      </c>
      <c r="S130" s="49">
        <f>(Q130/Q127-1)*100</f>
        <v>11.298715160980755</v>
      </c>
      <c r="T130" s="39"/>
      <c r="U130" s="20">
        <f t="shared" si="94"/>
        <v>44926</v>
      </c>
      <c r="V130" s="27">
        <v>-4.6589334202479202</v>
      </c>
      <c r="W130" s="126">
        <f t="shared" si="336"/>
        <v>1623815.9148097045</v>
      </c>
      <c r="X130" s="6">
        <f>(W130-W$118)/W$118*100</f>
        <v>-13.909481770375603</v>
      </c>
      <c r="Y130" s="49">
        <f>(W130/W127-1)*100</f>
        <v>7.4785332329206922</v>
      </c>
      <c r="AA130" s="79"/>
      <c r="AB130" s="20">
        <f t="shared" si="95"/>
        <v>44926</v>
      </c>
      <c r="AC130" s="300">
        <f t="shared" si="171"/>
        <v>-0.94187777999999989</v>
      </c>
      <c r="AD130" s="126">
        <f t="shared" si="337"/>
        <v>1716449.000754328</v>
      </c>
      <c r="AE130" s="6">
        <f>(AD130-AD$118)/AD$118*100</f>
        <v>-7.62005857972364</v>
      </c>
      <c r="AF130" s="49">
        <f>(AD130/AD127-1)*100</f>
        <v>9.5425225915522383</v>
      </c>
      <c r="AG130" s="44"/>
      <c r="AH130" s="20">
        <f t="shared" si="97"/>
        <v>44926</v>
      </c>
      <c r="AI130" s="27">
        <v>-3.5983642600437542</v>
      </c>
      <c r="AJ130" s="126">
        <f t="shared" si="338"/>
        <v>1476991.5519629563</v>
      </c>
      <c r="AK130" s="6">
        <f>(AJ130-AJ$118)/AJ$118*100</f>
        <v>-12.928916563378964</v>
      </c>
      <c r="AL130" s="49">
        <f>(AJ130/AJ127-1)*100</f>
        <v>5.9244456736965656</v>
      </c>
      <c r="AN130" s="79"/>
      <c r="AO130" s="20">
        <f t="shared" si="98"/>
        <v>44926</v>
      </c>
      <c r="AP130" s="300">
        <f t="shared" si="172"/>
        <v>-0.81688398000000007</v>
      </c>
      <c r="AQ130" s="126">
        <f t="shared" si="339"/>
        <v>1581461.2610780459</v>
      </c>
      <c r="AR130" s="6">
        <f>(AQ130-AQ$118)/AQ$118*100</f>
        <v>-8.850046090453322</v>
      </c>
      <c r="AS130" s="49">
        <f>(AQ130/AQ127-1)*100</f>
        <v>7.6007965688463353</v>
      </c>
      <c r="AT130" s="39"/>
      <c r="AU130" s="20">
        <f t="shared" si="100"/>
        <v>44926</v>
      </c>
      <c r="AV130" s="27">
        <v>-2.378526021147445</v>
      </c>
      <c r="AW130" s="126">
        <f t="shared" si="340"/>
        <v>1148273.4270834087</v>
      </c>
      <c r="AX130" s="6">
        <f>(AW130-AW$118)/AW$118*100</f>
        <v>-12.169047131638413</v>
      </c>
      <c r="AY130" s="49">
        <f>(AW130/AW127-1)*100</f>
        <v>3.9932640615960135</v>
      </c>
      <c r="BA130" s="79"/>
      <c r="BB130" s="20">
        <f t="shared" si="101"/>
        <v>44926</v>
      </c>
      <c r="BC130" s="300">
        <f t="shared" si="173"/>
        <v>-0.62939328000000005</v>
      </c>
      <c r="BD130" s="126">
        <f t="shared" si="341"/>
        <v>1268344.646301578</v>
      </c>
      <c r="BE130" s="6">
        <f>(BD130-BD$118)/BD$118*100</f>
        <v>-10.765024404118604</v>
      </c>
      <c r="BF130" s="49">
        <f>(BD130/BD127-1)*100</f>
        <v>4.7072766280875422</v>
      </c>
      <c r="BG130" s="39"/>
      <c r="BH130" s="20">
        <f t="shared" si="102"/>
        <v>44926</v>
      </c>
      <c r="BI130" s="27">
        <v>-1.7002069160114943</v>
      </c>
      <c r="BJ130" s="126">
        <f t="shared" si="342"/>
        <v>961402.76875959116</v>
      </c>
      <c r="BK130" s="6">
        <f>(BJ130-BJ$118)/BJ$118*100</f>
        <v>-11.863818749699782</v>
      </c>
      <c r="BL130" s="49">
        <f>(BJ130/BJ127-1)*100</f>
        <v>2.9595041136573963</v>
      </c>
      <c r="BN130" s="79"/>
      <c r="BO130" s="20">
        <f t="shared" si="103"/>
        <v>44926</v>
      </c>
      <c r="BP130" s="300">
        <f t="shared" si="200"/>
        <v>-0.53564792999999999</v>
      </c>
      <c r="BQ130" s="126">
        <f t="shared" si="343"/>
        <v>956909.88559818058</v>
      </c>
      <c r="BR130" s="6">
        <f>(BQ130-BQ$118)/BQ$118*100</f>
        <v>-11.752961853700675</v>
      </c>
      <c r="BS130" s="49">
        <f>(BQ130/BQ127-1)*100</f>
        <v>3.2691509120508888</v>
      </c>
      <c r="BV130" s="39"/>
      <c r="BW130" s="20">
        <f t="shared" si="104"/>
        <v>44926</v>
      </c>
      <c r="BX130" s="27">
        <v>-3.0788773189099081</v>
      </c>
      <c r="BY130" s="126">
        <f t="shared" si="344"/>
        <v>1365875.5294671499</v>
      </c>
      <c r="BZ130" s="6">
        <f>(BY130-BY$118)/BY$118*100</f>
        <v>-12.518994595040009</v>
      </c>
      <c r="CA130" s="49">
        <f>(BY130/BY127-1)*100</f>
        <v>5.05523883764738</v>
      </c>
      <c r="CC130" s="79"/>
      <c r="CD130" s="20">
        <f t="shared" si="105"/>
        <v>44926</v>
      </c>
      <c r="CE130" s="300">
        <f t="shared" si="174"/>
        <v>-0.72313863</v>
      </c>
      <c r="CF130" s="126">
        <f t="shared" si="345"/>
        <v>1438271.8236339532</v>
      </c>
      <c r="CG130" s="6">
        <f>(CF130-CF$118)/CF$118*100</f>
        <v>-9.7972218521839327</v>
      </c>
      <c r="CH130" s="49">
        <f>(CF130/CF127-1)*100</f>
        <v>6.1511666925102793</v>
      </c>
      <c r="CI130" s="39"/>
      <c r="CJ130" s="1"/>
    </row>
    <row r="131" spans="1:88" x14ac:dyDescent="0.25">
      <c r="A131" s="20">
        <v>44957</v>
      </c>
      <c r="B131" s="24">
        <f t="shared" si="346"/>
        <v>116</v>
      </c>
      <c r="C131" s="297">
        <f>'LC (Gross)'!X293</f>
        <v>3.4753329999999999E-2</v>
      </c>
      <c r="D131" s="297">
        <v>4.2915510000000001</v>
      </c>
      <c r="E131" s="297">
        <f>'CRA (Gross)'!E131</f>
        <v>3.0765400000000001</v>
      </c>
      <c r="F131" s="297">
        <v>0</v>
      </c>
      <c r="G131" s="39"/>
      <c r="H131" s="20">
        <f t="shared" si="146"/>
        <v>44957</v>
      </c>
      <c r="I131" s="27">
        <v>5.8841863938377843</v>
      </c>
      <c r="J131" s="126">
        <f t="shared" si="334"/>
        <v>1849228.6020107525</v>
      </c>
      <c r="K131" s="6"/>
      <c r="L131" s="49"/>
      <c r="M131" s="17"/>
      <c r="N131" s="79"/>
      <c r="O131" s="20">
        <f t="shared" si="92"/>
        <v>44957</v>
      </c>
      <c r="P131" s="300">
        <f t="shared" si="169"/>
        <v>0.86839060672000001</v>
      </c>
      <c r="Q131" s="126">
        <f t="shared" si="335"/>
        <v>1920543.287921695</v>
      </c>
      <c r="R131" s="6"/>
      <c r="S131" s="49"/>
      <c r="T131" s="39"/>
      <c r="U131" s="20">
        <f t="shared" si="94"/>
        <v>44957</v>
      </c>
      <c r="V131" s="27">
        <v>5.72047266060419</v>
      </c>
      <c r="W131" s="126">
        <f t="shared" si="336"/>
        <v>1716705.8602749335</v>
      </c>
      <c r="X131" s="6"/>
      <c r="Y131" s="49"/>
      <c r="AA131" s="79"/>
      <c r="AB131" s="20">
        <f t="shared" si="95"/>
        <v>44957</v>
      </c>
      <c r="AC131" s="300">
        <f t="shared" si="171"/>
        <v>1.2626674912</v>
      </c>
      <c r="AD131" s="126">
        <f t="shared" si="337"/>
        <v>1738122.0442898802</v>
      </c>
      <c r="AE131" s="6"/>
      <c r="AF131" s="49"/>
      <c r="AG131" s="44"/>
      <c r="AH131" s="20">
        <f t="shared" si="97"/>
        <v>44957</v>
      </c>
      <c r="AI131" s="27">
        <v>4.5101517118127843</v>
      </c>
      <c r="AJ131" s="126">
        <f t="shared" si="338"/>
        <v>1543606.1117271439</v>
      </c>
      <c r="AK131" s="6"/>
      <c r="AL131" s="49"/>
      <c r="AN131" s="79"/>
      <c r="AO131" s="20">
        <f t="shared" si="98"/>
        <v>44957</v>
      </c>
      <c r="AP131" s="300">
        <f t="shared" si="172"/>
        <v>1.7007529184000001</v>
      </c>
      <c r="AQ131" s="126">
        <f t="shared" si="339"/>
        <v>1608358.0096291963</v>
      </c>
      <c r="AR131" s="6"/>
      <c r="AS131" s="49"/>
      <c r="AT131" s="39"/>
      <c r="AU131" s="20">
        <f t="shared" si="100"/>
        <v>44957</v>
      </c>
      <c r="AV131" s="27">
        <v>3.3495098210857299</v>
      </c>
      <c r="AW131" s="126">
        <f t="shared" si="340"/>
        <v>1186734.9582964852</v>
      </c>
      <c r="AX131" s="6"/>
      <c r="AY131" s="49"/>
      <c r="BA131" s="79"/>
      <c r="BB131" s="20">
        <f t="shared" si="101"/>
        <v>44957</v>
      </c>
      <c r="BC131" s="300">
        <f t="shared" si="173"/>
        <v>2.3578810592000004</v>
      </c>
      <c r="BD131" s="126">
        <f t="shared" si="341"/>
        <v>1298250.7044821002</v>
      </c>
      <c r="BE131" s="6"/>
      <c r="BF131" s="49"/>
      <c r="BG131" s="39"/>
      <c r="BH131" s="20">
        <f t="shared" si="102"/>
        <v>44957</v>
      </c>
      <c r="BI131" s="27">
        <v>2.6905068920496626</v>
      </c>
      <c r="BJ131" s="126">
        <f t="shared" si="342"/>
        <v>987269.37651342421</v>
      </c>
      <c r="BK131" s="6"/>
      <c r="BL131" s="49"/>
      <c r="BN131" s="79"/>
      <c r="BO131" s="20">
        <f t="shared" si="103"/>
        <v>44957</v>
      </c>
      <c r="BP131" s="300">
        <f t="shared" si="200"/>
        <v>2.6864451296</v>
      </c>
      <c r="BQ131" s="126">
        <f t="shared" si="343"/>
        <v>982616.7446144938</v>
      </c>
      <c r="BR131" s="6"/>
      <c r="BS131" s="49"/>
      <c r="BV131" s="39"/>
      <c r="BW131" s="20">
        <f t="shared" si="104"/>
        <v>44957</v>
      </c>
      <c r="BX131" s="27">
        <v>3.9484668767802553</v>
      </c>
      <c r="BY131" s="126">
        <f t="shared" si="344"/>
        <v>1419806.6723262072</v>
      </c>
      <c r="BZ131" s="6"/>
      <c r="CA131" s="49"/>
      <c r="CC131" s="79"/>
      <c r="CD131" s="20">
        <f t="shared" si="105"/>
        <v>44957</v>
      </c>
      <c r="CE131" s="300">
        <f t="shared" si="174"/>
        <v>2.0293169888000002</v>
      </c>
      <c r="CF131" s="126">
        <f t="shared" si="345"/>
        <v>1467458.9180960807</v>
      </c>
      <c r="CG131" s="6"/>
      <c r="CH131" s="49"/>
      <c r="CI131" s="39"/>
      <c r="CJ131" s="1"/>
    </row>
    <row r="132" spans="1:88" x14ac:dyDescent="0.25">
      <c r="A132" s="20">
        <v>44985</v>
      </c>
      <c r="B132" s="24">
        <f t="shared" si="346"/>
        <v>117</v>
      </c>
      <c r="C132" s="297">
        <f>'LC (Gross)'!X294</f>
        <v>-3.28382</v>
      </c>
      <c r="D132" s="297">
        <v>-2.378485</v>
      </c>
      <c r="E132" s="297">
        <f>'CRA (Gross)'!E132</f>
        <v>-2.585521</v>
      </c>
      <c r="F132" s="297">
        <v>0</v>
      </c>
      <c r="G132" s="39"/>
      <c r="H132" s="20">
        <f t="shared" si="146"/>
        <v>44985</v>
      </c>
      <c r="I132" s="27">
        <v>-2.1275125477978238</v>
      </c>
      <c r="J132" s="126">
        <f t="shared" si="334"/>
        <v>1809886.0314655076</v>
      </c>
      <c r="K132" s="6"/>
      <c r="L132" s="49"/>
      <c r="M132" s="17"/>
      <c r="N132" s="79"/>
      <c r="O132" s="20">
        <f t="shared" si="92"/>
        <v>44985</v>
      </c>
      <c r="P132" s="300">
        <f t="shared" si="169"/>
        <v>-3.0406979400000003</v>
      </c>
      <c r="Q132" s="126">
        <f t="shared" si="335"/>
        <v>1862145.3677290517</v>
      </c>
      <c r="R132" s="6"/>
      <c r="S132" s="49"/>
      <c r="T132" s="39"/>
      <c r="U132" s="20">
        <f t="shared" si="94"/>
        <v>44985</v>
      </c>
      <c r="V132" s="27">
        <v>-2.293016134866606</v>
      </c>
      <c r="W132" s="126">
        <f t="shared" si="336"/>
        <v>1677341.5179106288</v>
      </c>
      <c r="X132" s="6"/>
      <c r="Y132" s="49"/>
      <c r="AA132" s="79"/>
      <c r="AB132" s="20">
        <f t="shared" si="95"/>
        <v>44985</v>
      </c>
      <c r="AC132" s="300">
        <f t="shared" si="171"/>
        <v>-2.9475961799999997</v>
      </c>
      <c r="AD132" s="126">
        <f t="shared" si="337"/>
        <v>1686889.2253086539</v>
      </c>
      <c r="AE132" s="6"/>
      <c r="AF132" s="49"/>
      <c r="AG132" s="44"/>
      <c r="AH132" s="20">
        <f t="shared" si="97"/>
        <v>44985</v>
      </c>
      <c r="AI132" s="27">
        <v>-2.2889157321364473</v>
      </c>
      <c r="AJ132" s="126">
        <f t="shared" si="338"/>
        <v>1508274.2685936016</v>
      </c>
      <c r="AK132" s="6"/>
      <c r="AL132" s="49"/>
      <c r="AN132" s="79"/>
      <c r="AO132" s="20">
        <f t="shared" si="98"/>
        <v>44985</v>
      </c>
      <c r="AP132" s="300">
        <f t="shared" si="172"/>
        <v>-2.84414978</v>
      </c>
      <c r="AQ132" s="126">
        <f t="shared" si="339"/>
        <v>1562613.8988367151</v>
      </c>
      <c r="AR132" s="6"/>
      <c r="AS132" s="49"/>
      <c r="AT132" s="39"/>
      <c r="AU132" s="20">
        <f t="shared" si="100"/>
        <v>44985</v>
      </c>
      <c r="AV132" s="27">
        <v>-2.2648007037662872</v>
      </c>
      <c r="AW132" s="126">
        <f t="shared" si="340"/>
        <v>1159857.7766091458</v>
      </c>
      <c r="AX132" s="6"/>
      <c r="AY132" s="49"/>
      <c r="BA132" s="79"/>
      <c r="BB132" s="20">
        <f t="shared" si="101"/>
        <v>44985</v>
      </c>
      <c r="BC132" s="300">
        <f t="shared" si="173"/>
        <v>-2.6889801800000002</v>
      </c>
      <c r="BD132" s="126">
        <f t="shared" si="341"/>
        <v>1263341.0003518662</v>
      </c>
      <c r="BE132" s="6"/>
      <c r="BF132" s="49"/>
      <c r="BG132" s="39"/>
      <c r="BH132" s="20">
        <f t="shared" si="102"/>
        <v>44985</v>
      </c>
      <c r="BI132" s="27">
        <v>-2.0707834029209371</v>
      </c>
      <c r="BJ132" s="126">
        <f t="shared" si="342"/>
        <v>966825.16612246318</v>
      </c>
      <c r="BK132" s="6"/>
      <c r="BL132" s="49"/>
      <c r="BN132" s="79"/>
      <c r="BO132" s="20">
        <f t="shared" si="103"/>
        <v>44985</v>
      </c>
      <c r="BP132" s="300">
        <f t="shared" si="200"/>
        <v>-2.6113953799999998</v>
      </c>
      <c r="BQ132" s="126">
        <f t="shared" si="343"/>
        <v>956956.73634252453</v>
      </c>
      <c r="BR132" s="6"/>
      <c r="BS132" s="49"/>
      <c r="BV132" s="39"/>
      <c r="BW132" s="20">
        <f t="shared" si="104"/>
        <v>44985</v>
      </c>
      <c r="BX132" s="27">
        <v>-2.2200550706048672</v>
      </c>
      <c r="BY132" s="126">
        <f t="shared" si="344"/>
        <v>1388286.1823044429</v>
      </c>
      <c r="BZ132" s="6"/>
      <c r="CA132" s="49"/>
      <c r="CC132" s="79"/>
      <c r="CD132" s="20">
        <f t="shared" si="105"/>
        <v>44985</v>
      </c>
      <c r="CE132" s="300">
        <f t="shared" si="174"/>
        <v>-2.7665649800000001</v>
      </c>
      <c r="CF132" s="126">
        <f t="shared" si="345"/>
        <v>1426860.7135721475</v>
      </c>
      <c r="CG132" s="6"/>
      <c r="CH132" s="49"/>
      <c r="CI132" s="39"/>
      <c r="CJ132" s="1"/>
    </row>
    <row r="133" spans="1:88" x14ac:dyDescent="0.25">
      <c r="A133" s="20">
        <v>45016</v>
      </c>
      <c r="B133" s="24">
        <f t="shared" si="346"/>
        <v>118</v>
      </c>
      <c r="C133" s="297">
        <f>'LC (Gross)'!X295</f>
        <v>1.5591390000000001</v>
      </c>
      <c r="D133" s="297">
        <v>3.7279270000000002</v>
      </c>
      <c r="E133" s="297">
        <f>'CRA (Gross)'!E133</f>
        <v>2.5399090000000002</v>
      </c>
      <c r="F133" s="297">
        <v>0</v>
      </c>
      <c r="G133" s="39"/>
      <c r="H133" s="20">
        <f t="shared" si="146"/>
        <v>45016</v>
      </c>
      <c r="I133" s="27">
        <v>4.4931034005681755E-2</v>
      </c>
      <c r="J133" s="126">
        <f t="shared" si="334"/>
        <v>1810699.2319737694</v>
      </c>
      <c r="K133" s="6"/>
      <c r="L133" s="49">
        <f>(J133/J130-1)*100</f>
        <v>3.6780497408587687</v>
      </c>
      <c r="M133" s="17"/>
      <c r="N133" s="79"/>
      <c r="O133" s="20">
        <f t="shared" si="92"/>
        <v>45016</v>
      </c>
      <c r="P133" s="300">
        <f t="shared" si="169"/>
        <v>1.9530386680000003</v>
      </c>
      <c r="Q133" s="126">
        <f t="shared" si="335"/>
        <v>1898513.7868151709</v>
      </c>
      <c r="R133" s="6"/>
      <c r="S133" s="49">
        <f>(Q133/Q130-1)*100</f>
        <v>-0.28861550527898849</v>
      </c>
      <c r="T133" s="39"/>
      <c r="U133" s="20">
        <f t="shared" si="94"/>
        <v>45016</v>
      </c>
      <c r="V133" s="27">
        <v>0.58085511822687941</v>
      </c>
      <c r="W133" s="126">
        <f t="shared" si="336"/>
        <v>1687084.4419675572</v>
      </c>
      <c r="X133" s="6"/>
      <c r="Y133" s="49">
        <f>(W133/W130-1)*100</f>
        <v>3.896286923956338</v>
      </c>
      <c r="AA133" s="79"/>
      <c r="AB133" s="20">
        <f t="shared" si="95"/>
        <v>45016</v>
      </c>
      <c r="AC133" s="300">
        <f t="shared" si="171"/>
        <v>2.0515009000000002</v>
      </c>
      <c r="AD133" s="126">
        <f t="shared" si="337"/>
        <v>1721495.7729478639</v>
      </c>
      <c r="AE133" s="6"/>
      <c r="AF133" s="49">
        <f>(AD133/AD130-1)*100</f>
        <v>0.29402401069404949</v>
      </c>
      <c r="AG133" s="44"/>
      <c r="AH133" s="20">
        <f t="shared" si="97"/>
        <v>45016</v>
      </c>
      <c r="AI133" s="27">
        <v>1.0143561143655788</v>
      </c>
      <c r="AJ133" s="126">
        <f t="shared" si="338"/>
        <v>1523573.5408584836</v>
      </c>
      <c r="AK133" s="6"/>
      <c r="AL133" s="49">
        <f>(AJ133/AJ130-1)*100</f>
        <v>3.1538426088909333</v>
      </c>
      <c r="AN133" s="79"/>
      <c r="AO133" s="20">
        <f t="shared" si="98"/>
        <v>45016</v>
      </c>
      <c r="AP133" s="300">
        <f t="shared" si="172"/>
        <v>2.1609033800000002</v>
      </c>
      <c r="AQ133" s="126">
        <f t="shared" si="339"/>
        <v>1596380.4753930275</v>
      </c>
      <c r="AR133" s="6"/>
      <c r="AS133" s="49">
        <f>(AQ133/AQ130-1)*100</f>
        <v>0.94338158525688609</v>
      </c>
      <c r="AT133" s="39"/>
      <c r="AU133" s="20">
        <f t="shared" si="100"/>
        <v>45016</v>
      </c>
      <c r="AV133" s="27">
        <v>1.4359054373970275</v>
      </c>
      <c r="AW133" s="126">
        <f t="shared" si="340"/>
        <v>1176512.2374895487</v>
      </c>
      <c r="AX133" s="6"/>
      <c r="AY133" s="49">
        <f>(AW133/AW130-1)*100</f>
        <v>2.4592409560383333</v>
      </c>
      <c r="BA133" s="79"/>
      <c r="BB133" s="20">
        <f t="shared" si="101"/>
        <v>45016</v>
      </c>
      <c r="BC133" s="300">
        <f t="shared" si="173"/>
        <v>2.3250071000000001</v>
      </c>
      <c r="BD133" s="126">
        <f t="shared" si="341"/>
        <v>1292713.7683072581</v>
      </c>
      <c r="BE133" s="6"/>
      <c r="BF133" s="49">
        <f>(BD133/BD130-1)*100</f>
        <v>1.9213328235932581</v>
      </c>
      <c r="BG133" s="39"/>
      <c r="BH133" s="20">
        <f t="shared" si="102"/>
        <v>45016</v>
      </c>
      <c r="BI133" s="27">
        <v>1.5216504293125983</v>
      </c>
      <c r="BJ133" s="126">
        <f t="shared" si="342"/>
        <v>981536.86541346787</v>
      </c>
      <c r="BK133" s="6"/>
      <c r="BL133" s="49">
        <f>(BJ133/BJ130-1)*100</f>
        <v>2.0942415924029234</v>
      </c>
      <c r="BN133" s="79"/>
      <c r="BO133" s="20">
        <f t="shared" si="103"/>
        <v>45016</v>
      </c>
      <c r="BP133" s="300">
        <f t="shared" si="200"/>
        <v>2.4070589600000001</v>
      </c>
      <c r="BQ133" s="126">
        <f t="shared" si="343"/>
        <v>979991.24920798081</v>
      </c>
      <c r="BR133" s="6"/>
      <c r="BS133" s="49">
        <f>(BQ133/BQ130-1)*100</f>
        <v>2.4120728563036709</v>
      </c>
      <c r="BV133" s="39"/>
      <c r="BW133" s="20">
        <f t="shared" si="104"/>
        <v>45016</v>
      </c>
      <c r="BX133" s="27">
        <v>1.0577759352096769</v>
      </c>
      <c r="BY133" s="126">
        <f t="shared" si="344"/>
        <v>1402971.1394527005</v>
      </c>
      <c r="BZ133" s="6"/>
      <c r="CA133" s="49">
        <f>(BY133/BY130-1)*100</f>
        <v>2.7158850997222483</v>
      </c>
      <c r="CC133" s="79"/>
      <c r="CD133" s="20">
        <f t="shared" si="105"/>
        <v>45016</v>
      </c>
      <c r="CE133" s="300">
        <f t="shared" si="174"/>
        <v>2.2429552400000001</v>
      </c>
      <c r="CF133" s="126">
        <f t="shared" si="345"/>
        <v>1458864.5607147154</v>
      </c>
      <c r="CG133" s="6"/>
      <c r="CH133" s="49">
        <f>(CF133/CF130-1)*100</f>
        <v>1.4317694849039331</v>
      </c>
      <c r="CI133" s="39"/>
      <c r="CJ133" s="1"/>
    </row>
    <row r="134" spans="1:88" x14ac:dyDescent="0.25">
      <c r="A134" s="20">
        <v>45046</v>
      </c>
      <c r="B134" s="24">
        <f t="shared" si="346"/>
        <v>119</v>
      </c>
      <c r="C134" s="297">
        <f>'LC (Gross)'!X296</f>
        <v>2.6588349999999998</v>
      </c>
      <c r="D134" s="297">
        <v>4.0692130000000004</v>
      </c>
      <c r="E134" s="297">
        <f>'CRA (Gross)'!E134</f>
        <v>0.6063307</v>
      </c>
      <c r="F134" s="297">
        <v>0</v>
      </c>
      <c r="G134" s="39"/>
      <c r="H134" s="20">
        <f t="shared" si="146"/>
        <v>45046</v>
      </c>
      <c r="I134" s="27">
        <v>0.40754820254991342</v>
      </c>
      <c r="J134" s="126">
        <f t="shared" si="334"/>
        <v>1818078.7041472637</v>
      </c>
      <c r="K134" s="6"/>
      <c r="L134" s="49"/>
      <c r="M134" s="17"/>
      <c r="N134" s="79"/>
      <c r="O134" s="20">
        <f t="shared" si="92"/>
        <v>45046</v>
      </c>
      <c r="P134" s="300">
        <f t="shared" si="169"/>
        <v>2.8820923880000002</v>
      </c>
      <c r="Q134" s="126">
        <f t="shared" si="335"/>
        <v>1953230.7081501016</v>
      </c>
      <c r="R134" s="6"/>
      <c r="S134" s="49"/>
      <c r="T134" s="39"/>
      <c r="U134" s="20">
        <f t="shared" si="94"/>
        <v>45046</v>
      </c>
      <c r="V134" s="27">
        <v>0.58346481379438542</v>
      </c>
      <c r="W134" s="126">
        <f t="shared" si="336"/>
        <v>1696927.9860654373</v>
      </c>
      <c r="X134" s="6"/>
      <c r="Y134" s="49"/>
      <c r="AA134" s="79"/>
      <c r="AB134" s="20">
        <f t="shared" si="95"/>
        <v>45046</v>
      </c>
      <c r="AC134" s="300">
        <f t="shared" si="171"/>
        <v>2.461868006</v>
      </c>
      <c r="AD134" s="126">
        <f t="shared" si="337"/>
        <v>1763876.7266067099</v>
      </c>
      <c r="AE134" s="6"/>
      <c r="AF134" s="49"/>
      <c r="AG134" s="44"/>
      <c r="AH134" s="20">
        <f t="shared" si="97"/>
        <v>45046</v>
      </c>
      <c r="AI134" s="27">
        <v>0.53651735291807734</v>
      </c>
      <c r="AJ134" s="126">
        <f t="shared" si="338"/>
        <v>1531747.7772896579</v>
      </c>
      <c r="AK134" s="6"/>
      <c r="AL134" s="49"/>
      <c r="AN134" s="79"/>
      <c r="AO134" s="20">
        <f t="shared" si="98"/>
        <v>45046</v>
      </c>
      <c r="AP134" s="300">
        <f t="shared" si="172"/>
        <v>1.9949520259999998</v>
      </c>
      <c r="AQ134" s="126">
        <f t="shared" si="339"/>
        <v>1628227.5000295492</v>
      </c>
      <c r="AR134" s="6"/>
      <c r="AS134" s="49"/>
      <c r="AT134" s="39"/>
      <c r="AU134" s="20">
        <f t="shared" si="100"/>
        <v>45046</v>
      </c>
      <c r="AV134" s="27">
        <v>0.53224326002299149</v>
      </c>
      <c r="AW134" s="126">
        <f t="shared" si="340"/>
        <v>1182774.1445769325</v>
      </c>
      <c r="AX134" s="6"/>
      <c r="AY134" s="49"/>
      <c r="BA134" s="79"/>
      <c r="BB134" s="20">
        <f t="shared" si="101"/>
        <v>45046</v>
      </c>
      <c r="BC134" s="300">
        <f t="shared" si="173"/>
        <v>1.294578056</v>
      </c>
      <c r="BD134" s="126">
        <f t="shared" si="341"/>
        <v>1309448.9570786546</v>
      </c>
      <c r="BE134" s="6"/>
      <c r="BF134" s="49"/>
      <c r="BG134" s="39"/>
      <c r="BH134" s="20">
        <f t="shared" si="102"/>
        <v>45046</v>
      </c>
      <c r="BI134" s="27">
        <v>0.49585079940435162</v>
      </c>
      <c r="BJ134" s="126">
        <f t="shared" si="342"/>
        <v>986403.82380706898</v>
      </c>
      <c r="BK134" s="6"/>
      <c r="BL134" s="49"/>
      <c r="BN134" s="79"/>
      <c r="BO134" s="20">
        <f t="shared" si="103"/>
        <v>45046</v>
      </c>
      <c r="BP134" s="300">
        <f t="shared" si="200"/>
        <v>0.94439107099999997</v>
      </c>
      <c r="BQ134" s="126">
        <f t="shared" si="343"/>
        <v>989246.19906208233</v>
      </c>
      <c r="BR134" s="6"/>
      <c r="BS134" s="49"/>
      <c r="BV134" s="39"/>
      <c r="BW134" s="20">
        <f t="shared" si="104"/>
        <v>45046</v>
      </c>
      <c r="BX134" s="27">
        <v>0.52072213192879946</v>
      </c>
      <c r="BY134" s="126">
        <f t="shared" si="344"/>
        <v>1410276.7206804045</v>
      </c>
      <c r="BZ134" s="6"/>
      <c r="CA134" s="49"/>
      <c r="CC134" s="79"/>
      <c r="CD134" s="20">
        <f t="shared" si="105"/>
        <v>45046</v>
      </c>
      <c r="CE134" s="300">
        <f t="shared" si="174"/>
        <v>1.6447650410000001</v>
      </c>
      <c r="CF134" s="126">
        <f t="shared" si="345"/>
        <v>1482859.4550048893</v>
      </c>
      <c r="CG134" s="6"/>
      <c r="CH134" s="49"/>
      <c r="CI134" s="39"/>
      <c r="CJ134" s="1"/>
    </row>
    <row r="135" spans="1:88" x14ac:dyDescent="0.25">
      <c r="A135" s="20">
        <v>45077</v>
      </c>
      <c r="B135" s="24">
        <f t="shared" si="346"/>
        <v>120</v>
      </c>
      <c r="C135" s="297">
        <f>'LC (Gross)'!X297</f>
        <v>-5.2391259999999997</v>
      </c>
      <c r="D135" s="297">
        <v>-4.5720999999999998</v>
      </c>
      <c r="E135" s="297">
        <f>'CRA (Gross)'!E135</f>
        <v>-1.088964</v>
      </c>
      <c r="F135" s="297">
        <v>0</v>
      </c>
      <c r="G135" s="39"/>
      <c r="H135" s="20">
        <f t="shared" si="146"/>
        <v>45077</v>
      </c>
      <c r="I135" s="27">
        <v>-2.3967365513689685</v>
      </c>
      <c r="J135" s="126">
        <f t="shared" si="334"/>
        <v>1774504.147312311</v>
      </c>
      <c r="K135" s="6"/>
      <c r="L135" s="49"/>
      <c r="M135" s="17"/>
      <c r="N135" s="79"/>
      <c r="O135" s="20">
        <f t="shared" si="92"/>
        <v>45077</v>
      </c>
      <c r="P135" s="300">
        <f t="shared" si="169"/>
        <v>-5.0036063840000002</v>
      </c>
      <c r="Q135" s="126">
        <f t="shared" si="335"/>
        <v>1855498.7317428547</v>
      </c>
      <c r="R135" s="6"/>
      <c r="S135" s="49"/>
      <c r="T135" s="39"/>
      <c r="U135" s="20">
        <f t="shared" si="94"/>
        <v>45077</v>
      </c>
      <c r="V135" s="27">
        <v>-2.2540165103337819</v>
      </c>
      <c r="W135" s="126">
        <f t="shared" si="336"/>
        <v>1658678.9490910477</v>
      </c>
      <c r="X135" s="6"/>
      <c r="Y135" s="49"/>
      <c r="AA135" s="79"/>
      <c r="AB135" s="20">
        <f t="shared" si="95"/>
        <v>45077</v>
      </c>
      <c r="AC135" s="300">
        <f t="shared" si="171"/>
        <v>-4.28059016</v>
      </c>
      <c r="AD135" s="126">
        <f t="shared" si="337"/>
        <v>1688372.3930130529</v>
      </c>
      <c r="AE135" s="6"/>
      <c r="AF135" s="49"/>
      <c r="AG135" s="44"/>
      <c r="AH135" s="20">
        <f t="shared" si="97"/>
        <v>45077</v>
      </c>
      <c r="AI135" s="27">
        <v>-1.7786989136948512</v>
      </c>
      <c r="AJ135" s="126">
        <f t="shared" si="338"/>
        <v>1504502.5962144616</v>
      </c>
      <c r="AK135" s="6"/>
      <c r="AL135" s="49"/>
      <c r="AN135" s="79"/>
      <c r="AO135" s="20">
        <f t="shared" si="98"/>
        <v>45077</v>
      </c>
      <c r="AP135" s="300">
        <f t="shared" si="172"/>
        <v>-3.4772387999999994</v>
      </c>
      <c r="AQ135" s="126">
        <f t="shared" si="339"/>
        <v>1571610.1416462518</v>
      </c>
      <c r="AR135" s="6"/>
      <c r="AS135" s="49"/>
      <c r="AT135" s="39"/>
      <c r="AU135" s="20">
        <f t="shared" si="100"/>
        <v>45077</v>
      </c>
      <c r="AV135" s="27">
        <v>-1.341342201131527</v>
      </c>
      <c r="AW135" s="126">
        <f t="shared" si="340"/>
        <v>1166909.0958316496</v>
      </c>
      <c r="AX135" s="6"/>
      <c r="AY135" s="49"/>
      <c r="BA135" s="79"/>
      <c r="BB135" s="20">
        <f t="shared" si="101"/>
        <v>45077</v>
      </c>
      <c r="BC135" s="300">
        <f t="shared" si="173"/>
        <v>-2.2722117599999998</v>
      </c>
      <c r="BD135" s="126">
        <f t="shared" si="341"/>
        <v>1279695.503884716</v>
      </c>
      <c r="BE135" s="6"/>
      <c r="BF135" s="49"/>
      <c r="BG135" s="39"/>
      <c r="BH135" s="20">
        <f t="shared" si="102"/>
        <v>45077</v>
      </c>
      <c r="BI135" s="27">
        <v>-1.1092177361134321</v>
      </c>
      <c r="BJ135" s="126">
        <f t="shared" si="342"/>
        <v>975462.45764369983</v>
      </c>
      <c r="BK135" s="6"/>
      <c r="BL135" s="49"/>
      <c r="BN135" s="79"/>
      <c r="BO135" s="20">
        <f t="shared" si="103"/>
        <v>45077</v>
      </c>
      <c r="BP135" s="300">
        <f t="shared" si="200"/>
        <v>-1.6696982399999998</v>
      </c>
      <c r="BQ135" s="126">
        <f t="shared" si="343"/>
        <v>972728.77268707589</v>
      </c>
      <c r="BR135" s="6"/>
      <c r="BS135" s="49"/>
      <c r="BV135" s="39"/>
      <c r="BW135" s="20">
        <f t="shared" si="104"/>
        <v>45077</v>
      </c>
      <c r="BX135" s="27">
        <v>-1.5795722343632281</v>
      </c>
      <c r="BY135" s="126">
        <f t="shared" si="344"/>
        <v>1388000.3811728486</v>
      </c>
      <c r="BZ135" s="6"/>
      <c r="CA135" s="49"/>
      <c r="CC135" s="79"/>
      <c r="CD135" s="20">
        <f t="shared" si="105"/>
        <v>45077</v>
      </c>
      <c r="CE135" s="300">
        <f t="shared" si="174"/>
        <v>-2.8747252799999998</v>
      </c>
      <c r="CF135" s="126">
        <f t="shared" si="345"/>
        <v>1440231.3193849935</v>
      </c>
      <c r="CG135" s="6"/>
      <c r="CH135" s="49"/>
      <c r="CI135" s="39"/>
      <c r="CJ135" s="1"/>
    </row>
    <row r="136" spans="1:88" x14ac:dyDescent="0.25">
      <c r="A136" s="20">
        <v>45107</v>
      </c>
      <c r="B136" s="24">
        <f t="shared" si="346"/>
        <v>121</v>
      </c>
      <c r="C136" s="297">
        <f>'LC (Gross)'!X298</f>
        <v>4.1423719999999999</v>
      </c>
      <c r="D136" s="297">
        <v>2.2746810000000002</v>
      </c>
      <c r="E136" s="297">
        <f>'CRA (Gross)'!E136</f>
        <v>-0.35682130000000001</v>
      </c>
      <c r="F136" s="297">
        <v>0</v>
      </c>
      <c r="G136" s="39"/>
      <c r="H136" s="20">
        <f t="shared" si="146"/>
        <v>45107</v>
      </c>
      <c r="I136" s="27">
        <v>5.7079991263003995</v>
      </c>
      <c r="J136" s="126">
        <f t="shared" ref="J136" si="347">J135*I136/100+J135</f>
        <v>1875792.828537062</v>
      </c>
      <c r="K136" s="6"/>
      <c r="L136" s="49">
        <f>(J136/J133-1)*100</f>
        <v>3.5949425179982342</v>
      </c>
      <c r="M136" s="17"/>
      <c r="N136" s="79"/>
      <c r="O136" s="20">
        <f t="shared" si="92"/>
        <v>45107</v>
      </c>
      <c r="P136" s="300">
        <f t="shared" si="169"/>
        <v>3.693457124</v>
      </c>
      <c r="Q136" s="126">
        <f t="shared" ref="Q136" si="348">Q135*P136/100+Q135</f>
        <v>1924030.7818361409</v>
      </c>
      <c r="R136" s="6"/>
      <c r="S136" s="49">
        <f>(Q136/Q133-1)*100</f>
        <v>1.3440510781739246</v>
      </c>
      <c r="T136" s="39"/>
      <c r="U136" s="20">
        <f t="shared" si="94"/>
        <v>45107</v>
      </c>
      <c r="V136" s="27">
        <v>4.9411134107930295</v>
      </c>
      <c r="W136" s="126">
        <f t="shared" ref="W136" si="349">W135*V136/100+W135</f>
        <v>1740636.1570865863</v>
      </c>
      <c r="X136" s="6"/>
      <c r="Y136" s="49">
        <f>(W136/W133-1)*100</f>
        <v>3.1742166418519346</v>
      </c>
      <c r="AA136" s="79"/>
      <c r="AB136" s="20">
        <f t="shared" si="95"/>
        <v>45107</v>
      </c>
      <c r="AC136" s="300">
        <f t="shared" si="171"/>
        <v>2.9508392059999999</v>
      </c>
      <c r="AD136" s="126">
        <f t="shared" ref="AD136" si="350">AD135*AC136/100+AD135</f>
        <v>1738193.5475293624</v>
      </c>
      <c r="AE136" s="6"/>
      <c r="AF136" s="49">
        <f>(AD136/AD133-1)*100</f>
        <v>0.96995733848974641</v>
      </c>
      <c r="AG136" s="44"/>
      <c r="AH136" s="20">
        <f t="shared" si="97"/>
        <v>45107</v>
      </c>
      <c r="AI136" s="27">
        <v>3.819154816741714</v>
      </c>
      <c r="AJ136" s="126">
        <f t="shared" ref="AJ136" si="351">AJ135*AI136/100+AJ135</f>
        <v>1561961.8795857904</v>
      </c>
      <c r="AK136" s="6"/>
      <c r="AL136" s="49">
        <f>(AJ136/AJ133-1)*100</f>
        <v>2.5196249276996596</v>
      </c>
      <c r="AN136" s="79"/>
      <c r="AO136" s="20">
        <f t="shared" si="98"/>
        <v>45107</v>
      </c>
      <c r="AP136" s="300">
        <f t="shared" si="172"/>
        <v>2.1257081859999998</v>
      </c>
      <c r="AQ136" s="126">
        <f t="shared" ref="AQ136" si="352">AQ135*AP136/100+AQ135</f>
        <v>1605017.9870792322</v>
      </c>
      <c r="AR136" s="6"/>
      <c r="AS136" s="49">
        <f>(AQ136/AQ133-1)*100</f>
        <v>0.54106848707717869</v>
      </c>
      <c r="AT136" s="39"/>
      <c r="AU136" s="20">
        <f t="shared" si="100"/>
        <v>45107</v>
      </c>
      <c r="AV136" s="27">
        <v>2.0549600583372531</v>
      </c>
      <c r="AW136" s="126">
        <f t="shared" ref="AW136" si="353">AW135*AV136/100+AW135</f>
        <v>1190888.6116680943</v>
      </c>
      <c r="AX136" s="6"/>
      <c r="AY136" s="49">
        <f>(AW136/AW133-1)*100</f>
        <v>1.2219485459175505</v>
      </c>
      <c r="BA136" s="79"/>
      <c r="BB136" s="20">
        <f t="shared" si="101"/>
        <v>45107</v>
      </c>
      <c r="BC136" s="300">
        <f t="shared" si="173"/>
        <v>0.88801165599999998</v>
      </c>
      <c r="BD136" s="126">
        <f t="shared" ref="BD136" si="354">BD135*BC136/100+BD135</f>
        <v>1291059.3491205201</v>
      </c>
      <c r="BE136" s="6"/>
      <c r="BF136" s="49">
        <f>(BD136/BD133-1)*100</f>
        <v>-0.12798031763090467</v>
      </c>
      <c r="BG136" s="39"/>
      <c r="BH136" s="20">
        <f t="shared" si="102"/>
        <v>45107</v>
      </c>
      <c r="BI136" s="27">
        <v>1.2684652201505027</v>
      </c>
      <c r="BJ136" s="126">
        <f t="shared" ref="BJ136" si="355">BJ135*BI136/100+BJ135</f>
        <v>987835.85965453554</v>
      </c>
      <c r="BK136" s="6"/>
      <c r="BL136" s="49">
        <f>(BJ136/BJ133-1)*100</f>
        <v>0.64174810575394758</v>
      </c>
      <c r="BN136" s="79"/>
      <c r="BO136" s="20">
        <f t="shared" si="103"/>
        <v>45107</v>
      </c>
      <c r="BP136" s="300">
        <f t="shared" si="200"/>
        <v>0.26916339099999997</v>
      </c>
      <c r="BQ136" s="126">
        <f t="shared" ref="BQ136" si="356">BQ135*BP136/100+BQ135</f>
        <v>975347.00243687315</v>
      </c>
      <c r="BR136" s="6"/>
      <c r="BS136" s="49">
        <f>(BQ136/BQ133-1)*100</f>
        <v>-0.47390696344086214</v>
      </c>
      <c r="BV136" s="39"/>
      <c r="BW136" s="20">
        <f t="shared" si="104"/>
        <v>45107</v>
      </c>
      <c r="BX136" s="27">
        <v>3.0840123256907375</v>
      </c>
      <c r="BY136" s="126">
        <f t="shared" ref="BY136" si="357">BY135*BX136/100+BY135</f>
        <v>1430806.4840088538</v>
      </c>
      <c r="BZ136" s="6"/>
      <c r="CA136" s="49">
        <f>(BY136/BY133-1)*100</f>
        <v>1.9840283077392273</v>
      </c>
      <c r="CC136" s="79"/>
      <c r="CD136" s="20">
        <f t="shared" si="105"/>
        <v>45107</v>
      </c>
      <c r="CE136" s="300">
        <f t="shared" si="174"/>
        <v>1.5068599209999998</v>
      </c>
      <c r="CF136" s="126">
        <f t="shared" ref="CF136" si="358">CF135*CE136/100+CF135</f>
        <v>1461933.5879064954</v>
      </c>
      <c r="CG136" s="6"/>
      <c r="CH136" s="49">
        <f>(CF136/CF133-1)*100</f>
        <v>0.21037094699705161</v>
      </c>
      <c r="CI136" s="39"/>
    </row>
    <row r="137" spans="1:88" x14ac:dyDescent="0.25">
      <c r="A137" s="20">
        <v>45138</v>
      </c>
      <c r="B137" s="24">
        <f t="shared" ref="B137:B140" si="359">IF(A137&gt;A136,1+B136,"-")</f>
        <v>122</v>
      </c>
      <c r="C137" s="297">
        <f>'LC (Gross)'!X299</f>
        <v>0.94963560000000002</v>
      </c>
      <c r="D137" s="297">
        <v>2.4059490000000001</v>
      </c>
      <c r="E137" s="297">
        <f>'CRA (Gross)'!E137</f>
        <v>-6.9324919999999998E-2</v>
      </c>
      <c r="F137" s="297">
        <v>0</v>
      </c>
      <c r="G137" s="39"/>
      <c r="H137" s="20">
        <f t="shared" si="146"/>
        <v>45138</v>
      </c>
      <c r="I137" s="27">
        <v>2.4993484137713922</v>
      </c>
      <c r="J137" s="126">
        <f t="shared" ref="J137" si="360">J136*I137/100+J136</f>
        <v>1922675.4268427407</v>
      </c>
      <c r="K137" s="6"/>
      <c r="L137" s="49"/>
      <c r="M137" s="17"/>
      <c r="N137" s="79"/>
      <c r="O137" s="20">
        <f t="shared" si="92"/>
        <v>45138</v>
      </c>
      <c r="P137" s="300">
        <f t="shared" si="169"/>
        <v>1.2160803144000001</v>
      </c>
      <c r="Q137" s="126">
        <f t="shared" ref="Q137" si="361">Q136*P137/100+Q136</f>
        <v>1947428.5414170467</v>
      </c>
      <c r="R137" s="6"/>
      <c r="S137" s="49"/>
      <c r="T137" s="39"/>
      <c r="U137" s="20">
        <f t="shared" si="94"/>
        <v>45138</v>
      </c>
      <c r="V137" s="27">
        <v>2.1265672957325217</v>
      </c>
      <c r="W137" s="126">
        <f t="shared" ref="W137" si="362">W136*V137/100+W136</f>
        <v>1777651.956340885</v>
      </c>
      <c r="X137" s="6"/>
      <c r="Y137" s="49"/>
      <c r="AA137" s="79"/>
      <c r="AB137" s="20">
        <f t="shared" si="95"/>
        <v>45138</v>
      </c>
      <c r="AC137" s="300">
        <f t="shared" si="171"/>
        <v>0.98024013840000013</v>
      </c>
      <c r="AD137" s="126">
        <f t="shared" ref="AD137" si="363">AD136*AC137/100+AD136</f>
        <v>1755232.018365324</v>
      </c>
      <c r="AE137" s="6"/>
      <c r="AF137" s="49"/>
      <c r="AG137" s="44"/>
      <c r="AH137" s="20">
        <f t="shared" si="97"/>
        <v>45138</v>
      </c>
      <c r="AI137" s="27">
        <v>1.8322561399959965</v>
      </c>
      <c r="AJ137" s="126">
        <f t="shared" ref="AJ137" si="364">AJ136*AI137/100+AJ136</f>
        <v>1590581.0220288979</v>
      </c>
      <c r="AK137" s="6"/>
      <c r="AL137" s="49"/>
      <c r="AN137" s="79"/>
      <c r="AO137" s="20">
        <f t="shared" si="98"/>
        <v>45138</v>
      </c>
      <c r="AP137" s="300">
        <f t="shared" si="172"/>
        <v>0.71819549839999997</v>
      </c>
      <c r="AQ137" s="126">
        <f t="shared" ref="AQ137" si="365">AQ136*AP137/100+AQ136</f>
        <v>1616545.1540109455</v>
      </c>
      <c r="AR137" s="6"/>
      <c r="AS137" s="49"/>
      <c r="AT137" s="39"/>
      <c r="AU137" s="20">
        <f t="shared" si="100"/>
        <v>45138</v>
      </c>
      <c r="AV137" s="27">
        <v>1.1379661947827624</v>
      </c>
      <c r="AW137" s="126">
        <f t="shared" ref="AW137" si="366">AW136*AV137/100+AW136</f>
        <v>1204440.521486395</v>
      </c>
      <c r="AX137" s="6"/>
      <c r="AY137" s="49"/>
      <c r="BA137" s="79"/>
      <c r="BB137" s="20">
        <f t="shared" si="101"/>
        <v>45138</v>
      </c>
      <c r="BC137" s="300">
        <f t="shared" si="173"/>
        <v>0.3251285384</v>
      </c>
      <c r="BD137" s="126">
        <f t="shared" ref="BD137" si="367">BD136*BC137/100+BD136</f>
        <v>1295256.9515121921</v>
      </c>
      <c r="BE137" s="6"/>
      <c r="BF137" s="49"/>
      <c r="BG137" s="39"/>
      <c r="BH137" s="20">
        <f t="shared" si="102"/>
        <v>45138</v>
      </c>
      <c r="BI137" s="27">
        <v>0.82914529859746333</v>
      </c>
      <c r="BJ137" s="126">
        <f t="shared" ref="BJ137" si="368">BJ136*BI137/100+BJ136</f>
        <v>996026.45424272097</v>
      </c>
      <c r="BK137" s="6"/>
      <c r="BL137" s="49"/>
      <c r="BN137" s="79"/>
      <c r="BO137" s="20">
        <f t="shared" si="103"/>
        <v>45138</v>
      </c>
      <c r="BP137" s="300">
        <f t="shared" si="200"/>
        <v>0.12859505839999999</v>
      </c>
      <c r="BQ137" s="126">
        <f t="shared" ref="BQ137" si="369">BQ136*BP137/100+BQ136</f>
        <v>976601.25048425945</v>
      </c>
      <c r="BR137" s="6"/>
      <c r="BS137" s="49"/>
      <c r="BV137" s="39"/>
      <c r="BW137" s="20">
        <f t="shared" si="104"/>
        <v>45138</v>
      </c>
      <c r="BX137" s="27">
        <v>1.5423218527294253</v>
      </c>
      <c r="BY137" s="126">
        <f t="shared" ref="BY137" si="370">BY136*BX137/100+BY136</f>
        <v>1452874.1250819918</v>
      </c>
      <c r="BZ137" s="6"/>
      <c r="CA137" s="49"/>
      <c r="CC137" s="79"/>
      <c r="CD137" s="20">
        <f t="shared" si="105"/>
        <v>45138</v>
      </c>
      <c r="CE137" s="300">
        <f t="shared" si="174"/>
        <v>0.52166201840000004</v>
      </c>
      <c r="CF137" s="126">
        <f t="shared" ref="CF137" si="371">CF136*CE137/100+CF136</f>
        <v>1469559.9401688359</v>
      </c>
      <c r="CG137" s="6"/>
      <c r="CH137" s="49"/>
      <c r="CI137" s="39"/>
    </row>
    <row r="138" spans="1:88" x14ac:dyDescent="0.25">
      <c r="A138" s="20">
        <v>45169</v>
      </c>
      <c r="B138" s="24">
        <f t="shared" si="359"/>
        <v>123</v>
      </c>
      <c r="C138" s="297">
        <f>'LC (Gross)'!X300</f>
        <v>-2.981535</v>
      </c>
      <c r="D138" s="297">
        <v>-2.379661</v>
      </c>
      <c r="E138" s="297">
        <f>'CRA (Gross)'!E138</f>
        <v>-0.63871009999999995</v>
      </c>
      <c r="F138" s="297">
        <v>0</v>
      </c>
      <c r="G138" s="39"/>
      <c r="H138" s="20">
        <f t="shared" si="146"/>
        <v>45169</v>
      </c>
      <c r="I138" s="27">
        <v>-2.8823589319990837</v>
      </c>
      <c r="J138" s="126">
        <f t="shared" ref="J138" si="372">J137*I138/100+J137</f>
        <v>1867257.0199437875</v>
      </c>
      <c r="K138" s="6"/>
      <c r="L138" s="49"/>
      <c r="M138" s="17"/>
      <c r="N138" s="79"/>
      <c r="O138" s="20">
        <f t="shared" si="92"/>
        <v>45169</v>
      </c>
      <c r="P138" s="300">
        <f t="shared" si="169"/>
        <v>-2.803936996</v>
      </c>
      <c r="Q138" s="126">
        <f t="shared" ref="Q138" si="373">Q137*P138/100+Q137</f>
        <v>1892823.872073591</v>
      </c>
      <c r="R138" s="6"/>
      <c r="S138" s="49"/>
      <c r="T138" s="39"/>
      <c r="U138" s="20">
        <f t="shared" si="94"/>
        <v>45169</v>
      </c>
      <c r="V138" s="27">
        <v>-2.606188010482442</v>
      </c>
      <c r="W138" s="126">
        <f t="shared" ref="W138" si="374">W137*V138/100+W137</f>
        <v>1731323.0041866223</v>
      </c>
      <c r="X138" s="6"/>
      <c r="Y138" s="49"/>
      <c r="AA138" s="79"/>
      <c r="AB138" s="20">
        <f t="shared" si="95"/>
        <v>45169</v>
      </c>
      <c r="AC138" s="300">
        <f t="shared" si="171"/>
        <v>-2.403895978</v>
      </c>
      <c r="AD138" s="126">
        <f t="shared" ref="AD138" si="375">AD137*AC138/100+AD137</f>
        <v>1713038.0664712717</v>
      </c>
      <c r="AE138" s="6"/>
      <c r="AF138" s="49"/>
      <c r="AG138" s="44"/>
      <c r="AH138" s="20">
        <f t="shared" si="97"/>
        <v>45169</v>
      </c>
      <c r="AI138" s="27">
        <v>-2.09410241070209</v>
      </c>
      <c r="AJ138" s="126">
        <f t="shared" ref="AJ138" si="376">AJ137*AI138/100+AJ137</f>
        <v>1557272.6265024208</v>
      </c>
      <c r="AK138" s="6"/>
      <c r="AL138" s="49"/>
      <c r="AN138" s="79"/>
      <c r="AO138" s="20">
        <f t="shared" si="98"/>
        <v>45169</v>
      </c>
      <c r="AP138" s="300">
        <f t="shared" si="172"/>
        <v>-1.9594059579999998</v>
      </c>
      <c r="AQ138" s="126">
        <f t="shared" ref="AQ138" si="377">AQ137*AP138/100+AQ137</f>
        <v>1584870.4719494947</v>
      </c>
      <c r="AR138" s="6"/>
      <c r="AS138" s="49"/>
      <c r="AT138" s="39"/>
      <c r="AU138" s="20">
        <f t="shared" si="100"/>
        <v>45169</v>
      </c>
      <c r="AV138" s="27">
        <v>-1.4452004876399336</v>
      </c>
      <c r="AW138" s="126">
        <f t="shared" ref="AW138" si="378">AW137*AV138/100+AW137</f>
        <v>1187033.9411965406</v>
      </c>
      <c r="AX138" s="6"/>
      <c r="AY138" s="49"/>
      <c r="BA138" s="79"/>
      <c r="BB138" s="20">
        <f t="shared" si="101"/>
        <v>45169</v>
      </c>
      <c r="BC138" s="300">
        <f t="shared" si="173"/>
        <v>-1.2926709279999999</v>
      </c>
      <c r="BD138" s="126">
        <f t="shared" ref="BD138" si="379">BD137*BC138/100+BD137</f>
        <v>1278513.541457095</v>
      </c>
      <c r="BE138" s="6"/>
      <c r="BF138" s="49"/>
      <c r="BG138" s="39"/>
      <c r="BH138" s="20">
        <f t="shared" si="102"/>
        <v>45169</v>
      </c>
      <c r="BI138" s="27">
        <v>-1.1107424079273858</v>
      </c>
      <c r="BJ138" s="126">
        <f t="shared" ref="BJ138" si="380">BJ137*BI138/100+BJ137</f>
        <v>984963.16602127161</v>
      </c>
      <c r="BK138" s="6"/>
      <c r="BL138" s="49"/>
      <c r="BN138" s="79"/>
      <c r="BO138" s="20">
        <f t="shared" si="103"/>
        <v>45169</v>
      </c>
      <c r="BP138" s="300">
        <f t="shared" si="200"/>
        <v>-0.95930341299999988</v>
      </c>
      <c r="BQ138" s="126">
        <f t="shared" ref="BQ138" si="381">BQ137*BP138/100+BQ137</f>
        <v>967232.68135696324</v>
      </c>
      <c r="BR138" s="6"/>
      <c r="BS138" s="49"/>
      <c r="BV138" s="39"/>
      <c r="BW138" s="20">
        <f t="shared" si="104"/>
        <v>45169</v>
      </c>
      <c r="BX138" s="27">
        <v>-1.826594433554277</v>
      </c>
      <c r="BY138" s="126">
        <f t="shared" ref="BY138" si="382">BY137*BX138/100+BY137</f>
        <v>1426336.0071866936</v>
      </c>
      <c r="BZ138" s="6"/>
      <c r="CA138" s="49"/>
      <c r="CC138" s="79"/>
      <c r="CD138" s="20">
        <f t="shared" si="105"/>
        <v>45169</v>
      </c>
      <c r="CE138" s="300">
        <f t="shared" si="174"/>
        <v>-1.6260384429999999</v>
      </c>
      <c r="CF138" s="126">
        <f t="shared" ref="CF138" si="383">CF137*CE138/100+CF137</f>
        <v>1445664.330598763</v>
      </c>
      <c r="CG138" s="6"/>
      <c r="CH138" s="49"/>
      <c r="CI138" s="39"/>
    </row>
    <row r="139" spans="1:88" x14ac:dyDescent="0.25">
      <c r="A139" s="20">
        <v>45199</v>
      </c>
      <c r="B139" s="24">
        <f t="shared" si="359"/>
        <v>124</v>
      </c>
      <c r="C139" s="297">
        <f>'LC (Gross)'!X301</f>
        <v>-3.7838289999999999</v>
      </c>
      <c r="D139" s="297">
        <v>-2.7488929999999998</v>
      </c>
      <c r="E139" s="297">
        <f>'CRA (Gross)'!E139</f>
        <v>-2.5414099999999999</v>
      </c>
      <c r="F139" s="297">
        <v>0</v>
      </c>
      <c r="G139" s="39"/>
      <c r="H139" s="20">
        <f t="shared" si="146"/>
        <v>45199</v>
      </c>
      <c r="I139" s="27">
        <v>-3.4242611050588367</v>
      </c>
      <c r="J139" s="126">
        <f t="shared" ref="J139" si="384">J138*I139/100+J138</f>
        <v>1803317.2640783717</v>
      </c>
      <c r="K139" s="6"/>
      <c r="L139" s="49">
        <f>(J139/J136-1)*100</f>
        <v>-3.8637296910455921</v>
      </c>
      <c r="M139" s="17"/>
      <c r="N139" s="79"/>
      <c r="O139" s="20">
        <f t="shared" si="92"/>
        <v>45199</v>
      </c>
      <c r="P139" s="300">
        <f t="shared" si="169"/>
        <v>-3.505304964</v>
      </c>
      <c r="Q139" s="126">
        <f t="shared" ref="Q139" si="385">Q138*P139/100+Q138</f>
        <v>1826474.6229260184</v>
      </c>
      <c r="R139" s="6"/>
      <c r="S139" s="49">
        <f>(Q139/Q136-1)*100</f>
        <v>-5.0704053090576124</v>
      </c>
      <c r="T139" s="39"/>
      <c r="U139" s="20">
        <f t="shared" si="94"/>
        <v>45199</v>
      </c>
      <c r="V139" s="27">
        <v>-3.339955868140887</v>
      </c>
      <c r="W139" s="126">
        <f t="shared" ref="W139" si="386">W138*V139/100+W138</f>
        <v>1673497.5799118183</v>
      </c>
      <c r="X139" s="6"/>
      <c r="Y139" s="49">
        <f>(W139/W136-1)*100</f>
        <v>-3.8571287228194917</v>
      </c>
      <c r="AA139" s="79"/>
      <c r="AB139" s="20">
        <f t="shared" si="95"/>
        <v>45199</v>
      </c>
      <c r="AC139" s="300">
        <f t="shared" si="171"/>
        <v>-3.3189272399999998</v>
      </c>
      <c r="AD139" s="126">
        <f t="shared" ref="AD139" si="387">AD138*AC139/100+AD138</f>
        <v>1656183.5794515873</v>
      </c>
      <c r="AE139" s="6"/>
      <c r="AF139" s="49">
        <f>(AD139/AD136-1)*100</f>
        <v>-4.7181148609337864</v>
      </c>
      <c r="AG139" s="44"/>
      <c r="AH139" s="20">
        <f t="shared" si="97"/>
        <v>45199</v>
      </c>
      <c r="AI139" s="27">
        <v>-3.1004601834267782</v>
      </c>
      <c r="AJ139" s="126">
        <f t="shared" ref="AJ139" si="388">AJ138*AI139/100+AJ138</f>
        <v>1508990.0087703087</v>
      </c>
      <c r="AK139" s="6"/>
      <c r="AL139" s="49">
        <f>(AJ139/AJ136-1)*100</f>
        <v>-3.3913677092765604</v>
      </c>
      <c r="AN139" s="79"/>
      <c r="AO139" s="20">
        <f t="shared" si="98"/>
        <v>45199</v>
      </c>
      <c r="AP139" s="300">
        <f t="shared" si="172"/>
        <v>-3.1118408799999999</v>
      </c>
      <c r="AQ139" s="126">
        <f t="shared" ref="AQ139" si="389">AQ138*AP139/100+AQ138</f>
        <v>1535551.8247083214</v>
      </c>
      <c r="AR139" s="6"/>
      <c r="AS139" s="49">
        <f>(AQ139/AQ136-1)*100</f>
        <v>-4.3280613008782165</v>
      </c>
      <c r="AT139" s="39"/>
      <c r="AU139" s="20">
        <f t="shared" si="100"/>
        <v>45199</v>
      </c>
      <c r="AV139" s="27">
        <v>-2.6416394160376115</v>
      </c>
      <c r="AW139" s="126">
        <f t="shared" ref="AW139" si="390">AW138*AV139/100+AW138</f>
        <v>1155676.784724148</v>
      </c>
      <c r="AX139" s="6"/>
      <c r="AY139" s="49">
        <f>(AW139/AW136-1)*100</f>
        <v>-2.956769138519566</v>
      </c>
      <c r="BA139" s="79"/>
      <c r="BB139" s="20">
        <f t="shared" si="101"/>
        <v>45199</v>
      </c>
      <c r="BC139" s="300">
        <f t="shared" si="173"/>
        <v>-2.80121134</v>
      </c>
      <c r="BD139" s="126">
        <f t="shared" ref="BD139" si="391">BD138*BC139/100+BD138</f>
        <v>1242699.6751503632</v>
      </c>
      <c r="BE139" s="6"/>
      <c r="BF139" s="49">
        <f>(BD139/BD136-1)*100</f>
        <v>-3.7457359340683949</v>
      </c>
      <c r="BG139" s="39"/>
      <c r="BH139" s="20">
        <f t="shared" si="102"/>
        <v>45199</v>
      </c>
      <c r="BI139" s="27">
        <v>-2.3984353031635361</v>
      </c>
      <c r="BJ139" s="126">
        <f t="shared" ref="BJ139" si="392">BJ138*BI139/100+BJ138</f>
        <v>961339.46172426012</v>
      </c>
      <c r="BK139" s="6"/>
      <c r="BL139" s="49">
        <f>(BJ139/BJ136-1)*100</f>
        <v>-2.6822672685259397</v>
      </c>
      <c r="BN139" s="79"/>
      <c r="BO139" s="20">
        <f t="shared" si="103"/>
        <v>45199</v>
      </c>
      <c r="BP139" s="300">
        <f t="shared" si="200"/>
        <v>-2.6458965699999997</v>
      </c>
      <c r="BQ139" s="126">
        <f t="shared" ref="BQ139" si="393">BQ138*BP139/100+BQ138</f>
        <v>941640.70501702034</v>
      </c>
      <c r="BR139" s="6"/>
      <c r="BS139" s="49">
        <f>(BQ139/BQ136-1)*100</f>
        <v>-3.4558262172989407</v>
      </c>
      <c r="BV139" s="39"/>
      <c r="BW139" s="20">
        <f t="shared" si="104"/>
        <v>45199</v>
      </c>
      <c r="BX139" s="27">
        <v>-2.8584453206962759</v>
      </c>
      <c r="BY139" s="126">
        <f t="shared" ref="BY139" si="394">BY138*BX139/100+BY138</f>
        <v>1385564.9723318594</v>
      </c>
      <c r="BZ139" s="6"/>
      <c r="CA139" s="49">
        <f>(BY139/BY136-1)*100</f>
        <v>-3.1619588101275631</v>
      </c>
      <c r="CC139" s="79"/>
      <c r="CD139" s="20">
        <f t="shared" si="105"/>
        <v>45199</v>
      </c>
      <c r="CE139" s="300">
        <f t="shared" si="174"/>
        <v>-2.95652611</v>
      </c>
      <c r="CF139" s="126">
        <f t="shared" ref="CF139" si="395">CF138*CE139/100+CF138</f>
        <v>1402922.8872016538</v>
      </c>
      <c r="CG139" s="6"/>
      <c r="CH139" s="49">
        <f>(CF139/CF136-1)*100</f>
        <v>-4.0364829971069716</v>
      </c>
      <c r="CI139" s="39"/>
    </row>
    <row r="140" spans="1:88" x14ac:dyDescent="0.25">
      <c r="A140" s="20">
        <v>45230</v>
      </c>
      <c r="B140" s="24">
        <f t="shared" si="359"/>
        <v>125</v>
      </c>
      <c r="C140" s="297">
        <f>'LC (Gross)'!X302</f>
        <v>-0.41168169999999998</v>
      </c>
      <c r="D140" s="297">
        <v>-2.700202</v>
      </c>
      <c r="E140" s="297">
        <f>'CRA (Gross)'!E140</f>
        <v>-1.5780479999999999</v>
      </c>
      <c r="F140" s="297">
        <v>0</v>
      </c>
      <c r="G140" s="39"/>
      <c r="H140" s="20">
        <f t="shared" si="146"/>
        <v>45230</v>
      </c>
      <c r="I140" s="27">
        <v>-2.6602904196758934</v>
      </c>
      <c r="J140" s="126">
        <f t="shared" ref="J140:J142" si="396">J139*I140/100+J139</f>
        <v>1755343.7876657334</v>
      </c>
      <c r="K140" s="6"/>
      <c r="L140" s="49"/>
      <c r="M140" s="17"/>
      <c r="N140" s="79"/>
      <c r="O140" s="20">
        <f t="shared" si="92"/>
        <v>45230</v>
      </c>
      <c r="P140" s="300">
        <f t="shared" si="169"/>
        <v>-0.85199804479999997</v>
      </c>
      <c r="Q140" s="126">
        <f t="shared" ref="Q140:Q142" si="397">Q139*P140/100+Q139</f>
        <v>1810913.0948499206</v>
      </c>
      <c r="R140" s="6"/>
      <c r="S140" s="49"/>
      <c r="T140" s="39"/>
      <c r="U140" s="20">
        <f t="shared" si="94"/>
        <v>45230</v>
      </c>
      <c r="V140" s="27">
        <v>-2.3736090053401364</v>
      </c>
      <c r="W140" s="126">
        <f t="shared" ref="W140:W142" si="398">W139*V140/100+W139</f>
        <v>1633775.2906508821</v>
      </c>
      <c r="X140" s="6"/>
      <c r="Y140" s="49"/>
      <c r="AA140" s="79"/>
      <c r="AB140" s="20">
        <f t="shared" si="95"/>
        <v>45230</v>
      </c>
      <c r="AC140" s="300">
        <f t="shared" si="171"/>
        <v>-0.97955724799999999</v>
      </c>
      <c r="AD140" s="126">
        <f t="shared" ref="AD140:AD142" si="399">AD139*AC140/100+AD139</f>
        <v>1639960.3131588835</v>
      </c>
      <c r="AE140" s="6"/>
      <c r="AF140" s="49"/>
      <c r="AG140" s="44"/>
      <c r="AH140" s="20">
        <f t="shared" si="97"/>
        <v>45230</v>
      </c>
      <c r="AI140" s="27">
        <v>-1.9482296740175562</v>
      </c>
      <c r="AJ140" s="126">
        <f t="shared" ref="AJ140:AJ142" si="400">AJ139*AI140/100+AJ139</f>
        <v>1479591.4176414853</v>
      </c>
      <c r="AK140" s="6"/>
      <c r="AL140" s="49"/>
      <c r="AN140" s="79"/>
      <c r="AO140" s="20">
        <f t="shared" si="98"/>
        <v>45230</v>
      </c>
      <c r="AP140" s="300">
        <f t="shared" si="172"/>
        <v>-1.1212896959999998</v>
      </c>
      <c r="AQ140" s="126">
        <f t="shared" ref="AQ140:AQ142" si="401">AQ139*AP140/100+AQ139</f>
        <v>1518333.8403211271</v>
      </c>
      <c r="AR140" s="6"/>
      <c r="AS140" s="49"/>
      <c r="AT140" s="39"/>
      <c r="AU140" s="20">
        <f t="shared" si="100"/>
        <v>45230</v>
      </c>
      <c r="AV140" s="27">
        <v>-1.4689033396195788</v>
      </c>
      <c r="AW140" s="126">
        <f t="shared" ref="AW140:AW142" si="402">AW139*AV140/100+AW139</f>
        <v>1138701.0098381268</v>
      </c>
      <c r="AX140" s="6"/>
      <c r="AY140" s="49"/>
      <c r="BA140" s="79"/>
      <c r="BB140" s="20">
        <f t="shared" si="101"/>
        <v>45230</v>
      </c>
      <c r="BC140" s="300">
        <f t="shared" si="173"/>
        <v>-1.3338883679999998</v>
      </c>
      <c r="BD140" s="126">
        <f t="shared" ref="BD140:BD142" si="403">BD139*BC140/100+BD139</f>
        <v>1226123.4487343587</v>
      </c>
      <c r="BE140" s="6"/>
      <c r="BF140" s="49"/>
      <c r="BG140" s="39"/>
      <c r="BH140" s="20">
        <f t="shared" si="102"/>
        <v>45230</v>
      </c>
      <c r="BI140" s="27">
        <v>-1.3062957542993516</v>
      </c>
      <c r="BJ140" s="126">
        <f t="shared" ref="BJ140:BJ142" si="404">BJ139*BI140/100+BJ139</f>
        <v>948781.52515135182</v>
      </c>
      <c r="BK140" s="6"/>
      <c r="BL140" s="49"/>
      <c r="BN140" s="79"/>
      <c r="BO140" s="20">
        <f t="shared" si="103"/>
        <v>45230</v>
      </c>
      <c r="BP140" s="300">
        <f t="shared" si="200"/>
        <v>-1.4401877039999997</v>
      </c>
      <c r="BQ140" s="126">
        <f t="shared" ref="BQ140:BQ142" si="405">BQ139*BP140/100+BQ139</f>
        <v>928079.31136750628</v>
      </c>
      <c r="BR140" s="6"/>
      <c r="BS140" s="49"/>
      <c r="BV140" s="39"/>
      <c r="BW140" s="20">
        <f t="shared" si="104"/>
        <v>45230</v>
      </c>
      <c r="BX140" s="27">
        <v>-1.7315318027719926</v>
      </c>
      <c r="BY140" s="126">
        <f t="shared" ref="BY140:BY142" si="406">BY139*BX140/100+BY139</f>
        <v>1361573.4741878642</v>
      </c>
      <c r="BZ140" s="6"/>
      <c r="CA140" s="49"/>
      <c r="CC140" s="79"/>
      <c r="CD140" s="20">
        <f t="shared" si="105"/>
        <v>45230</v>
      </c>
      <c r="CE140" s="300">
        <f t="shared" si="174"/>
        <v>-1.227589032</v>
      </c>
      <c r="CF140" s="126">
        <f t="shared" ref="CF140:CF142" si="407">CF139*CE140/100+CF139</f>
        <v>1385700.7597109484</v>
      </c>
      <c r="CG140" s="6"/>
      <c r="CH140" s="49"/>
      <c r="CI140" s="39"/>
    </row>
    <row r="141" spans="1:88" x14ac:dyDescent="0.25">
      <c r="A141" s="20">
        <v>45260</v>
      </c>
      <c r="B141" s="24">
        <f t="shared" ref="B141:B143" si="408">IF(A141&gt;A140,1+B140,"-")</f>
        <v>126</v>
      </c>
      <c r="C141" s="297">
        <f>'LC (Gross)'!X303</f>
        <v>5.3373739999999996</v>
      </c>
      <c r="D141" s="297">
        <v>6.1093529999999996</v>
      </c>
      <c r="E141" s="297">
        <f>'CRA (Gross)'!E141</f>
        <v>4.5284329999999997</v>
      </c>
      <c r="F141" s="297">
        <v>0</v>
      </c>
      <c r="G141" s="39"/>
      <c r="H141" s="20">
        <f t="shared" si="146"/>
        <v>45260</v>
      </c>
      <c r="I141" s="27">
        <v>6.8025972608557961</v>
      </c>
      <c r="J141" s="126">
        <f t="shared" si="396"/>
        <v>1874752.756084085</v>
      </c>
      <c r="K141" s="6"/>
      <c r="L141" s="49"/>
      <c r="M141" s="17"/>
      <c r="N141" s="79"/>
      <c r="O141" s="20">
        <f t="shared" si="92"/>
        <v>45260</v>
      </c>
      <c r="P141" s="300">
        <f t="shared" si="169"/>
        <v>5.3819344039999999</v>
      </c>
      <c r="Q141" s="126">
        <f t="shared" si="397"/>
        <v>1908375.2497281895</v>
      </c>
      <c r="R141" s="6"/>
      <c r="S141" s="49"/>
      <c r="T141" s="39"/>
      <c r="U141" s="20">
        <f t="shared" si="94"/>
        <v>45260</v>
      </c>
      <c r="V141" s="27">
        <v>6.5070113811421111</v>
      </c>
      <c r="W141" s="126">
        <f t="shared" si="398"/>
        <v>1740085.2347558225</v>
      </c>
      <c r="X141" s="6"/>
      <c r="Y141" s="49"/>
      <c r="AA141" s="79"/>
      <c r="AB141" s="20">
        <f t="shared" si="95"/>
        <v>45260</v>
      </c>
      <c r="AC141" s="300">
        <f t="shared" si="171"/>
        <v>5.2085337799999998</v>
      </c>
      <c r="AD141" s="126">
        <f t="shared" si="399"/>
        <v>1725378.2000483577</v>
      </c>
      <c r="AE141" s="6"/>
      <c r="AF141" s="49"/>
      <c r="AG141" s="44"/>
      <c r="AH141" s="20">
        <f t="shared" si="97"/>
        <v>45260</v>
      </c>
      <c r="AI141" s="27">
        <v>5.8566942501843977</v>
      </c>
      <c r="AJ141" s="126">
        <f t="shared" si="400"/>
        <v>1566246.563124716</v>
      </c>
      <c r="AK141" s="6"/>
      <c r="AL141" s="49"/>
      <c r="AN141" s="79"/>
      <c r="AO141" s="20">
        <f t="shared" si="98"/>
        <v>45260</v>
      </c>
      <c r="AP141" s="300">
        <f t="shared" si="172"/>
        <v>5.0158664199999992</v>
      </c>
      <c r="AQ141" s="126">
        <f t="shared" si="401"/>
        <v>1594491.4375612908</v>
      </c>
      <c r="AR141" s="6"/>
      <c r="AS141" s="49"/>
      <c r="AT141" s="39"/>
      <c r="AU141" s="20">
        <f t="shared" si="100"/>
        <v>45260</v>
      </c>
      <c r="AV141" s="27">
        <v>4.7373590264027809</v>
      </c>
      <c r="AW141" s="126">
        <f t="shared" si="402"/>
        <v>1192645.3649114328</v>
      </c>
      <c r="AX141" s="6"/>
      <c r="AY141" s="49"/>
      <c r="BA141" s="79"/>
      <c r="BB141" s="20">
        <f t="shared" si="101"/>
        <v>45260</v>
      </c>
      <c r="BC141" s="300">
        <f t="shared" si="173"/>
        <v>4.7268653799999996</v>
      </c>
      <c r="BD141" s="126">
        <f t="shared" si="403"/>
        <v>1284080.6535486451</v>
      </c>
      <c r="BE141" s="6"/>
      <c r="BF141" s="49"/>
      <c r="BG141" s="39"/>
      <c r="BH141" s="20">
        <f t="shared" si="102"/>
        <v>45260</v>
      </c>
      <c r="BI141" s="27">
        <v>4.1914304960884126</v>
      </c>
      <c r="BJ141" s="126">
        <f t="shared" si="404"/>
        <v>988549.04333779833</v>
      </c>
      <c r="BK141" s="6"/>
      <c r="BL141" s="49"/>
      <c r="BN141" s="79"/>
      <c r="BO141" s="20">
        <f t="shared" si="103"/>
        <v>45260</v>
      </c>
      <c r="BP141" s="300">
        <f t="shared" si="200"/>
        <v>4.5823648599999993</v>
      </c>
      <c r="BQ141" s="126">
        <f t="shared" si="405"/>
        <v>970607.29160454089</v>
      </c>
      <c r="BR141" s="6"/>
      <c r="BS141" s="49"/>
      <c r="BV141" s="39"/>
      <c r="BW141" s="20">
        <f t="shared" si="104"/>
        <v>45260</v>
      </c>
      <c r="BX141" s="27">
        <v>5.310718979454137</v>
      </c>
      <c r="BY141" s="126">
        <f t="shared" si="406"/>
        <v>1433882.8151007723</v>
      </c>
      <c r="BZ141" s="6"/>
      <c r="CA141" s="49"/>
      <c r="CC141" s="79"/>
      <c r="CD141" s="20">
        <f t="shared" si="105"/>
        <v>45260</v>
      </c>
      <c r="CE141" s="300">
        <f t="shared" si="174"/>
        <v>4.8713658999999998</v>
      </c>
      <c r="CF141" s="126">
        <f t="shared" si="407"/>
        <v>1453203.3139955485</v>
      </c>
      <c r="CG141" s="6"/>
      <c r="CH141" s="49"/>
      <c r="CI141" s="39"/>
    </row>
    <row r="142" spans="1:88" x14ac:dyDescent="0.25">
      <c r="A142" s="20">
        <v>45291</v>
      </c>
      <c r="B142" s="24">
        <f t="shared" si="408"/>
        <v>127</v>
      </c>
      <c r="C142" s="297">
        <f>'LC (Gross)'!X304</f>
        <v>2.3474210000000002</v>
      </c>
      <c r="D142" s="297">
        <v>3.848357</v>
      </c>
      <c r="E142" s="297">
        <f>'CRA (Gross)'!E142</f>
        <v>3.8279969999999999</v>
      </c>
      <c r="F142" s="297">
        <v>0</v>
      </c>
      <c r="G142" s="39"/>
      <c r="H142" s="20">
        <f t="shared" si="146"/>
        <v>45291</v>
      </c>
      <c r="I142" s="27">
        <v>5.8390065295163023</v>
      </c>
      <c r="J142" s="126">
        <f t="shared" si="396"/>
        <v>1984219.6919241215</v>
      </c>
      <c r="K142" s="6">
        <f>(J142-J$130)/J$130*100</f>
        <v>13.613583240908264</v>
      </c>
      <c r="L142" s="49">
        <f t="shared" ref="L142" si="409">(J142/J139-1)*100</f>
        <v>10.031647311833636</v>
      </c>
      <c r="M142" s="17"/>
      <c r="N142" s="79"/>
      <c r="O142" s="20">
        <f t="shared" si="92"/>
        <v>45291</v>
      </c>
      <c r="P142" s="300">
        <f t="shared" si="169"/>
        <v>2.5946560360000004</v>
      </c>
      <c r="Q142" s="126">
        <f t="shared" si="397"/>
        <v>1957891.0233347921</v>
      </c>
      <c r="R142" s="6">
        <f>(Q142-Q$130)/Q$130*100</f>
        <v>2.8299220065154067</v>
      </c>
      <c r="S142" s="49">
        <f t="shared" ref="S142" si="410">(Q142/Q139-1)*100</f>
        <v>7.1950849335231437</v>
      </c>
      <c r="T142" s="39"/>
      <c r="U142" s="20">
        <f t="shared" si="94"/>
        <v>45291</v>
      </c>
      <c r="V142" s="27">
        <v>5.3315054036721685</v>
      </c>
      <c r="W142" s="126">
        <f t="shared" si="398"/>
        <v>1832857.9730753307</v>
      </c>
      <c r="X142" s="6">
        <f t="shared" ref="X142" si="411">(W142-W$130)/W$130*100</f>
        <v>12.873507172771115</v>
      </c>
      <c r="Y142" s="49">
        <f t="shared" ref="Y142" si="412">(W142/W139-1)*100</f>
        <v>9.5225947785302125</v>
      </c>
      <c r="AA142" s="79"/>
      <c r="AB142" s="20">
        <f t="shared" si="95"/>
        <v>45291</v>
      </c>
      <c r="AC142" s="300">
        <f t="shared" si="171"/>
        <v>2.8071260200000001</v>
      </c>
      <c r="AD142" s="126">
        <f t="shared" si="399"/>
        <v>1773811.7404453228</v>
      </c>
      <c r="AE142" s="6">
        <f>(AD142-AD$130)/AD$130*100</f>
        <v>3.3419425608209528</v>
      </c>
      <c r="AF142" s="49">
        <f t="shared" ref="AF142" si="413">(AD142/AD139-1)*100</f>
        <v>7.1023624707525324</v>
      </c>
      <c r="AG142" s="44"/>
      <c r="AH142" s="20">
        <f t="shared" si="97"/>
        <v>45291</v>
      </c>
      <c r="AI142" s="27">
        <v>4.6507119054460206</v>
      </c>
      <c r="AJ142" s="126">
        <f t="shared" si="400"/>
        <v>1639088.1785045965</v>
      </c>
      <c r="AK142" s="6">
        <f>(AJ142-AJ$130)/AJ$130*100</f>
        <v>10.974783594815417</v>
      </c>
      <c r="AL142" s="49">
        <f t="shared" ref="AL142" si="414">(AJ142/AJ139-1)*100</f>
        <v>8.6215395051095101</v>
      </c>
      <c r="AN142" s="79"/>
      <c r="AO142" s="20">
        <f t="shared" si="98"/>
        <v>45291</v>
      </c>
      <c r="AP142" s="300">
        <f t="shared" si="172"/>
        <v>3.0432037799999998</v>
      </c>
      <c r="AQ142" s="126">
        <f t="shared" si="401"/>
        <v>1643015.0612609324</v>
      </c>
      <c r="AR142" s="6">
        <f>(AQ142-AQ$130)/AQ$130*100</f>
        <v>3.8922104320738531</v>
      </c>
      <c r="AS142" s="49">
        <f t="shared" ref="AS142" si="415">(AQ142/AQ139-1)*100</f>
        <v>6.9983464461073286</v>
      </c>
      <c r="AT142" s="39"/>
      <c r="AU142" s="20">
        <f t="shared" si="100"/>
        <v>45291</v>
      </c>
      <c r="AV142" s="27">
        <v>3.6156328398003117</v>
      </c>
      <c r="AW142" s="126">
        <f t="shared" si="402"/>
        <v>1235767.0423875269</v>
      </c>
      <c r="AX142" s="6">
        <f>(AW142-AW$130)/AW$130*100</f>
        <v>7.6195802533156467</v>
      </c>
      <c r="AY142" s="49">
        <f t="shared" ref="AY142" si="416">(AW142/AW139-1)*100</f>
        <v>6.9301606402430105</v>
      </c>
      <c r="BA142" s="79"/>
      <c r="BB142" s="20">
        <f t="shared" si="101"/>
        <v>45291</v>
      </c>
      <c r="BC142" s="300">
        <f t="shared" si="173"/>
        <v>3.3973204199999998</v>
      </c>
      <c r="BD142" s="126">
        <f t="shared" si="403"/>
        <v>1327704.9878009227</v>
      </c>
      <c r="BE142" s="6">
        <f>(BD142-BD$130)/BD$130*100</f>
        <v>4.6801428675112957</v>
      </c>
      <c r="BF142" s="49">
        <f t="shared" ref="BF142" si="417">(BD142/BD139-1)*100</f>
        <v>6.8403745772504632</v>
      </c>
      <c r="BG142" s="39"/>
      <c r="BH142" s="20">
        <f t="shared" si="102"/>
        <v>45291</v>
      </c>
      <c r="BI142" s="27">
        <v>3.2450194167812576</v>
      </c>
      <c r="BJ142" s="126">
        <f t="shared" si="404"/>
        <v>1020627.6517385152</v>
      </c>
      <c r="BK142" s="6">
        <f>(BJ142-BJ$130)/BJ$130*100</f>
        <v>6.1602571683183793</v>
      </c>
      <c r="BL142" s="49">
        <f t="shared" ref="BL142" si="418">(BJ142/BJ139-1)*100</f>
        <v>6.1672481339646312</v>
      </c>
      <c r="BN142" s="79"/>
      <c r="BO142" s="20">
        <f t="shared" si="103"/>
        <v>45291</v>
      </c>
      <c r="BP142" s="300">
        <f t="shared" si="200"/>
        <v>3.5743787399999998</v>
      </c>
      <c r="BQ142" s="126">
        <f t="shared" si="405"/>
        <v>1005300.4722845434</v>
      </c>
      <c r="BR142" s="6">
        <f>(BQ142-BQ$130)/BQ$130*100</f>
        <v>5.0569638180833598</v>
      </c>
      <c r="BS142" s="49">
        <f t="shared" ref="BS142" si="419">(BQ142/BQ139-1)*100</f>
        <v>6.7605156540436973</v>
      </c>
      <c r="BV142" s="39"/>
      <c r="BW142" s="20">
        <f t="shared" si="104"/>
        <v>45291</v>
      </c>
      <c r="BX142" s="27">
        <v>4.2270206513458657</v>
      </c>
      <c r="BY142" s="126">
        <f t="shared" si="406"/>
        <v>1494493.3378111813</v>
      </c>
      <c r="BZ142" s="6">
        <f>(BY142-BY$130)/BY$130*100</f>
        <v>9.4165101848048582</v>
      </c>
      <c r="CA142" s="49">
        <f t="shared" ref="CA142" si="420">(BY142/BY139-1)*100</f>
        <v>7.8616569886289067</v>
      </c>
      <c r="CC142" s="79"/>
      <c r="CD142" s="20">
        <f t="shared" si="105"/>
        <v>45291</v>
      </c>
      <c r="CE142" s="300">
        <f t="shared" si="174"/>
        <v>3.2202621000000002</v>
      </c>
      <c r="CF142" s="126">
        <f t="shared" si="407"/>
        <v>1500000.2695520911</v>
      </c>
      <c r="CG142" s="6">
        <f>(CF142-CF$130)/CF$130*100</f>
        <v>4.2918483769065396</v>
      </c>
      <c r="CH142" s="49">
        <f t="shared" ref="CH142" si="421">(CF142/CF139-1)*100</f>
        <v>6.919652051872438</v>
      </c>
      <c r="CI142" s="39"/>
    </row>
    <row r="143" spans="1:88" x14ac:dyDescent="0.25">
      <c r="A143" s="20">
        <v>45322</v>
      </c>
      <c r="B143" s="24">
        <f t="shared" si="408"/>
        <v>128</v>
      </c>
      <c r="C143" s="297">
        <f>'LC (Gross)'!X305</f>
        <v>0.99222290000000002</v>
      </c>
      <c r="D143" s="297">
        <v>0.36967879999999997</v>
      </c>
      <c r="E143" s="297">
        <f>'CRA (Gross)'!E143</f>
        <v>-0.27474559999999998</v>
      </c>
      <c r="F143" s="297">
        <v>0</v>
      </c>
      <c r="G143" s="39"/>
      <c r="H143" s="20">
        <f t="shared" si="146"/>
        <v>45322</v>
      </c>
      <c r="I143" s="27">
        <v>0.33944486143441405</v>
      </c>
      <c r="J143" s="126">
        <f t="shared" ref="J143:J148" si="422">J142*I143/100+J142</f>
        <v>1990955.0237079277</v>
      </c>
      <c r="K143" s="6"/>
      <c r="L143" s="49"/>
      <c r="M143" s="17"/>
      <c r="N143" s="79"/>
      <c r="O143" s="20">
        <f t="shared" si="92"/>
        <v>45322</v>
      </c>
      <c r="P143" s="300">
        <f t="shared" si="169"/>
        <v>0.85035979840000009</v>
      </c>
      <c r="Q143" s="126">
        <f t="shared" ref="Q143:Q145" si="423">Q142*P143/100+Q142</f>
        <v>1974540.1414937135</v>
      </c>
      <c r="R143" s="6"/>
      <c r="S143" s="49"/>
      <c r="T143" s="39"/>
      <c r="U143" s="20">
        <f t="shared" si="94"/>
        <v>45322</v>
      </c>
      <c r="V143" s="27">
        <v>0.50093607771157134</v>
      </c>
      <c r="W143" s="126">
        <f t="shared" ref="W143:W145" si="424">W142*V143/100+W142</f>
        <v>1842039.419915678</v>
      </c>
      <c r="X143" s="6"/>
      <c r="Y143" s="49"/>
      <c r="AA143" s="79"/>
      <c r="AB143" s="20">
        <f t="shared" si="95"/>
        <v>45322</v>
      </c>
      <c r="AC143" s="300">
        <f t="shared" si="171"/>
        <v>0.64471705600000007</v>
      </c>
      <c r="AD143" s="126">
        <f t="shared" ref="AD143:AD145" si="425">AD142*AC143/100+AD142</f>
        <v>1785247.8072773044</v>
      </c>
      <c r="AE143" s="6"/>
      <c r="AF143" s="49"/>
      <c r="AG143" s="44"/>
      <c r="AH143" s="20">
        <f t="shared" si="97"/>
        <v>45322</v>
      </c>
      <c r="AI143" s="27">
        <v>0.61518494045376426</v>
      </c>
      <c r="AJ143" s="126">
        <f t="shared" ref="AJ143:AJ148" si="426">AJ142*AI143/100+AJ142</f>
        <v>1649171.6021395146</v>
      </c>
      <c r="AK143" s="6"/>
      <c r="AL143" s="49"/>
      <c r="AN143" s="79"/>
      <c r="AO143" s="20">
        <f t="shared" si="98"/>
        <v>45322</v>
      </c>
      <c r="AP143" s="300">
        <f t="shared" si="172"/>
        <v>0.41622512</v>
      </c>
      <c r="AQ143" s="126">
        <f t="shared" ref="AQ143:AQ145" si="427">AQ142*AP143/100+AQ142</f>
        <v>1649853.7026712839</v>
      </c>
      <c r="AR143" s="6"/>
      <c r="AS143" s="49"/>
      <c r="AT143" s="39"/>
      <c r="AU143" s="20">
        <f t="shared" si="100"/>
        <v>45322</v>
      </c>
      <c r="AV143" s="27">
        <v>0.4845954109442473</v>
      </c>
      <c r="AW143" s="126">
        <f t="shared" ref="AW143:AW145" si="428">AW142*AV143/100+AW142</f>
        <v>1241755.5127648984</v>
      </c>
      <c r="AX143" s="6"/>
      <c r="AY143" s="49"/>
      <c r="BA143" s="79"/>
      <c r="BB143" s="20">
        <f t="shared" si="101"/>
        <v>45322</v>
      </c>
      <c r="BC143" s="300">
        <f t="shared" si="173"/>
        <v>7.3487215999999994E-2</v>
      </c>
      <c r="BD143" s="126">
        <f t="shared" ref="BD143:BD145" si="429">BD142*BC143/100+BD142</f>
        <v>1328680.6812331507</v>
      </c>
      <c r="BE143" s="6"/>
      <c r="BF143" s="49"/>
      <c r="BG143" s="39"/>
      <c r="BH143" s="20">
        <f t="shared" si="102"/>
        <v>45322</v>
      </c>
      <c r="BI143" s="27">
        <v>0.36661087578272611</v>
      </c>
      <c r="BJ143" s="126">
        <f t="shared" ref="BJ143:BJ145" si="430">BJ142*BI143/100+BJ142</f>
        <v>1024369.3837110344</v>
      </c>
      <c r="BK143" s="6"/>
      <c r="BL143" s="49"/>
      <c r="BN143" s="79"/>
      <c r="BO143" s="20">
        <f t="shared" si="103"/>
        <v>45322</v>
      </c>
      <c r="BP143" s="300">
        <f t="shared" si="200"/>
        <v>-9.7881735999999969E-2</v>
      </c>
      <c r="BQ143" s="126">
        <f t="shared" ref="BQ143:BQ145" si="431">BQ142*BP143/100+BQ142</f>
        <v>1004316.4667302552</v>
      </c>
      <c r="BR143" s="6"/>
      <c r="BS143" s="49"/>
      <c r="BV143" s="39"/>
      <c r="BW143" s="20">
        <f t="shared" si="104"/>
        <v>45322</v>
      </c>
      <c r="BX143" s="27">
        <v>0.54062981073048388</v>
      </c>
      <c r="BY143" s="126">
        <f t="shared" ref="BY143:BY145" si="432">BY142*BX143/100+BY142</f>
        <v>1502573.0143147695</v>
      </c>
      <c r="BZ143" s="6"/>
      <c r="CA143" s="49"/>
      <c r="CC143" s="79"/>
      <c r="CD143" s="20">
        <f t="shared" si="105"/>
        <v>45322</v>
      </c>
      <c r="CE143" s="300">
        <f t="shared" si="174"/>
        <v>0.24485616800000001</v>
      </c>
      <c r="CF143" s="126">
        <f t="shared" ref="CF143:CF145" si="433">CF142*CE143/100+CF142</f>
        <v>1503673.1127321061</v>
      </c>
      <c r="CG143" s="6"/>
      <c r="CH143" s="49"/>
      <c r="CI143" s="39"/>
    </row>
    <row r="144" spans="1:88" x14ac:dyDescent="0.25">
      <c r="A144" s="20">
        <v>45351</v>
      </c>
      <c r="B144" s="24">
        <f t="shared" ref="B144:B147" si="434">IF(A144&gt;A143,1+B143,"-")</f>
        <v>129</v>
      </c>
      <c r="C144" s="297">
        <f>'LC (Gross)'!X306</f>
        <v>1.656612</v>
      </c>
      <c r="D144" s="297">
        <v>-2.2550029999999999E-2</v>
      </c>
      <c r="E144" s="297">
        <f>'CRA (Gross)'!E144</f>
        <v>-1.4127620000000001</v>
      </c>
      <c r="F144" s="297">
        <v>0</v>
      </c>
      <c r="G144" s="39"/>
      <c r="H144" s="20">
        <f t="shared" si="146"/>
        <v>45351</v>
      </c>
      <c r="I144" s="27">
        <v>2.9637111467558221</v>
      </c>
      <c r="J144" s="126">
        <f t="shared" si="422"/>
        <v>2049961.1796724545</v>
      </c>
      <c r="K144" s="6"/>
      <c r="L144" s="49"/>
      <c r="M144" s="17"/>
      <c r="N144" s="79"/>
      <c r="O144" s="20">
        <f t="shared" si="92"/>
        <v>45351</v>
      </c>
      <c r="P144" s="300">
        <f t="shared" si="169"/>
        <v>1.29436400212</v>
      </c>
      <c r="Q144" s="126">
        <f t="shared" si="423"/>
        <v>2000097.8782926174</v>
      </c>
      <c r="R144" s="6"/>
      <c r="S144" s="49"/>
      <c r="T144" s="39"/>
      <c r="U144" s="20">
        <f t="shared" si="94"/>
        <v>45351</v>
      </c>
      <c r="V144" s="27">
        <v>2.7466585646173054</v>
      </c>
      <c r="W144" s="126">
        <f t="shared" si="424"/>
        <v>1892633.9534064189</v>
      </c>
      <c r="X144" s="6"/>
      <c r="Y144" s="49"/>
      <c r="AA144" s="79"/>
      <c r="AB144" s="20">
        <f t="shared" si="95"/>
        <v>45351</v>
      </c>
      <c r="AC144" s="300">
        <f t="shared" si="171"/>
        <v>0.80232651519999998</v>
      </c>
      <c r="AD144" s="126">
        <f t="shared" si="425"/>
        <v>1799571.3237971168</v>
      </c>
      <c r="AE144" s="6"/>
      <c r="AF144" s="49"/>
      <c r="AG144" s="44"/>
      <c r="AH144" s="20">
        <f t="shared" si="97"/>
        <v>45351</v>
      </c>
      <c r="AI144" s="27">
        <v>2.2775814305144872</v>
      </c>
      <c r="AJ144" s="126">
        <f t="shared" si="426"/>
        <v>1686732.8283071625</v>
      </c>
      <c r="AK144" s="6"/>
      <c r="AL144" s="49"/>
      <c r="AN144" s="79"/>
      <c r="AO144" s="20">
        <f t="shared" si="98"/>
        <v>45351</v>
      </c>
      <c r="AP144" s="300">
        <f t="shared" si="172"/>
        <v>0.25561819639999994</v>
      </c>
      <c r="AQ144" s="126">
        <f t="shared" si="427"/>
        <v>1654071.0289492907</v>
      </c>
      <c r="AR144" s="6"/>
      <c r="AS144" s="49"/>
      <c r="AT144" s="39"/>
      <c r="AU144" s="20">
        <f t="shared" si="100"/>
        <v>45351</v>
      </c>
      <c r="AV144" s="27">
        <v>1.2484019807567648</v>
      </c>
      <c r="AW144" s="126">
        <f t="shared" si="428"/>
        <v>1257257.6131824118</v>
      </c>
      <c r="AX144" s="6"/>
      <c r="AY144" s="49"/>
      <c r="BA144" s="79"/>
      <c r="BB144" s="20">
        <f t="shared" si="101"/>
        <v>45351</v>
      </c>
      <c r="BC144" s="300">
        <f t="shared" si="173"/>
        <v>-0.56444428180000017</v>
      </c>
      <c r="BD144" s="126">
        <f t="shared" si="429"/>
        <v>1321181.0191045487</v>
      </c>
      <c r="BE144" s="6"/>
      <c r="BF144" s="49"/>
      <c r="BG144" s="39"/>
      <c r="BH144" s="20">
        <f t="shared" si="102"/>
        <v>45351</v>
      </c>
      <c r="BI144" s="27">
        <v>0.53876625567695613</v>
      </c>
      <c r="BJ144" s="126">
        <f t="shared" si="430"/>
        <v>1029888.3402839554</v>
      </c>
      <c r="BK144" s="6"/>
      <c r="BL144" s="49"/>
      <c r="BN144" s="79"/>
      <c r="BO144" s="20">
        <f t="shared" si="103"/>
        <v>45351</v>
      </c>
      <c r="BP144" s="300">
        <f t="shared" si="200"/>
        <v>-0.9744755209</v>
      </c>
      <c r="BQ144" s="126">
        <f t="shared" si="431"/>
        <v>994529.64860960108</v>
      </c>
      <c r="BR144" s="6"/>
      <c r="BS144" s="49"/>
      <c r="BV144" s="39"/>
      <c r="BW144" s="20">
        <f t="shared" si="104"/>
        <v>45351</v>
      </c>
      <c r="BX144" s="27">
        <v>1.8562121894958232</v>
      </c>
      <c r="BY144" s="126">
        <f t="shared" si="432"/>
        <v>1530463.9577625552</v>
      </c>
      <c r="BZ144" s="6"/>
      <c r="CA144" s="49"/>
      <c r="CC144" s="79"/>
      <c r="CD144" s="20">
        <f t="shared" si="105"/>
        <v>45351</v>
      </c>
      <c r="CE144" s="300">
        <f t="shared" si="174"/>
        <v>-0.15441304270000011</v>
      </c>
      <c r="CF144" s="126">
        <f t="shared" si="433"/>
        <v>1501351.2453264748</v>
      </c>
      <c r="CG144" s="6"/>
      <c r="CH144" s="49"/>
      <c r="CI144" s="39"/>
    </row>
    <row r="145" spans="1:87" x14ac:dyDescent="0.25">
      <c r="A145" s="20">
        <v>45382</v>
      </c>
      <c r="B145" s="24">
        <f t="shared" si="434"/>
        <v>130</v>
      </c>
      <c r="C145" s="297">
        <f>'LC (Gross)'!X307</f>
        <v>3.0912850000000001</v>
      </c>
      <c r="D145" s="297">
        <v>1.885232</v>
      </c>
      <c r="E145" s="297">
        <f>'CRA (Gross)'!E145</f>
        <v>0.92350399999999999</v>
      </c>
      <c r="F145" s="297">
        <v>0</v>
      </c>
      <c r="G145" s="39"/>
      <c r="H145" s="20">
        <f t="shared" si="146"/>
        <v>45382</v>
      </c>
      <c r="I145" s="27">
        <v>2.9077626406888188</v>
      </c>
      <c r="J145" s="126">
        <f t="shared" si="422"/>
        <v>2109569.185003594</v>
      </c>
      <c r="K145" s="6"/>
      <c r="L145" s="49">
        <f t="shared" ref="L145" si="435">(J145/J142-1)*100</f>
        <v>6.317319276169453</v>
      </c>
      <c r="M145" s="17"/>
      <c r="N145" s="79"/>
      <c r="O145" s="20">
        <f t="shared" si="92"/>
        <v>45382</v>
      </c>
      <c r="P145" s="300">
        <f t="shared" si="169"/>
        <v>2.7930729120000004</v>
      </c>
      <c r="Q145" s="126">
        <f t="shared" si="423"/>
        <v>2055962.0703446951</v>
      </c>
      <c r="R145" s="6"/>
      <c r="S145" s="49">
        <f t="shared" ref="S145" si="436">(Q145/Q142-1)*100</f>
        <v>5.0090145897325078</v>
      </c>
      <c r="T145" s="39"/>
      <c r="U145" s="20">
        <f t="shared" si="94"/>
        <v>45382</v>
      </c>
      <c r="V145" s="27">
        <v>2.6164265737674559</v>
      </c>
      <c r="W145" s="126">
        <f t="shared" si="424"/>
        <v>1942153.33110749</v>
      </c>
      <c r="X145" s="6"/>
      <c r="Y145" s="49">
        <f t="shared" ref="Y145" si="437">(W145/W142-1)*100</f>
        <v>5.9631111432367989</v>
      </c>
      <c r="AA145" s="79"/>
      <c r="AB145" s="20">
        <f t="shared" si="95"/>
        <v>45382</v>
      </c>
      <c r="AC145" s="300">
        <f t="shared" si="171"/>
        <v>2.4462902400000002</v>
      </c>
      <c r="AD145" s="126">
        <f t="shared" si="425"/>
        <v>1843594.0614530044</v>
      </c>
      <c r="AE145" s="6"/>
      <c r="AF145" s="49">
        <f t="shared" ref="AF145" si="438">(AD145/AD142-1)*100</f>
        <v>3.9340319728722983</v>
      </c>
      <c r="AG145" s="44"/>
      <c r="AH145" s="20">
        <f t="shared" si="97"/>
        <v>45382</v>
      </c>
      <c r="AI145" s="27">
        <v>2.2722773832439049</v>
      </c>
      <c r="AJ145" s="126">
        <f t="shared" si="426"/>
        <v>1725060.0768805365</v>
      </c>
      <c r="AK145" s="6"/>
      <c r="AL145" s="49">
        <f t="shared" ref="AL145" si="439">(AJ145/AJ142-1)*100</f>
        <v>5.2451051446405828</v>
      </c>
      <c r="AN145" s="79"/>
      <c r="AO145" s="20">
        <f t="shared" si="98"/>
        <v>45382</v>
      </c>
      <c r="AP145" s="300">
        <f t="shared" si="172"/>
        <v>2.0609761600000001</v>
      </c>
      <c r="AQ145" s="126">
        <f t="shared" si="427"/>
        <v>1688161.0385254023</v>
      </c>
      <c r="AR145" s="6"/>
      <c r="AS145" s="49">
        <f t="shared" ref="AS145" si="440">(AQ145/AQ142-1)*100</f>
        <v>2.7477518818252777</v>
      </c>
      <c r="AT145" s="39"/>
      <c r="AU145" s="20">
        <f t="shared" si="100"/>
        <v>45382</v>
      </c>
      <c r="AV145" s="27">
        <v>1.7490668005668997</v>
      </c>
      <c r="AW145" s="126">
        <f t="shared" si="428"/>
        <v>1279247.888692185</v>
      </c>
      <c r="AX145" s="6"/>
      <c r="AY145" s="49">
        <f t="shared" ref="AY145" si="441">(AW145/AW142-1)*100</f>
        <v>3.5185309862813874</v>
      </c>
      <c r="BA145" s="79"/>
      <c r="BB145" s="20">
        <f t="shared" si="101"/>
        <v>45382</v>
      </c>
      <c r="BC145" s="300">
        <f t="shared" si="173"/>
        <v>1.4830050400000001</v>
      </c>
      <c r="BD145" s="126">
        <f t="shared" si="429"/>
        <v>1340774.2002053924</v>
      </c>
      <c r="BE145" s="6"/>
      <c r="BF145" s="49">
        <f t="shared" ref="BF145" si="442">(BD145/BD142-1)*100</f>
        <v>0.98434611035966846</v>
      </c>
      <c r="BG145" s="39"/>
      <c r="BH145" s="20">
        <f t="shared" si="102"/>
        <v>45382</v>
      </c>
      <c r="BI145" s="27">
        <v>1.2566746187758862</v>
      </c>
      <c r="BJ145" s="126">
        <f t="shared" si="430"/>
        <v>1042830.6856580361</v>
      </c>
      <c r="BK145" s="6"/>
      <c r="BL145" s="49">
        <f t="shared" ref="BL145" si="443">(BJ145/BJ142-1)*100</f>
        <v>2.1754293920707157</v>
      </c>
      <c r="BN145" s="79"/>
      <c r="BO145" s="20">
        <f t="shared" si="103"/>
        <v>45382</v>
      </c>
      <c r="BP145" s="300">
        <f t="shared" si="200"/>
        <v>1.1940194799999999</v>
      </c>
      <c r="BQ145" s="126">
        <f t="shared" si="431"/>
        <v>1006404.5263483752</v>
      </c>
      <c r="BR145" s="6"/>
      <c r="BS145" s="49">
        <f t="shared" ref="BS145" si="444">(BQ145/BQ142-1)*100</f>
        <v>0.10982329107265265</v>
      </c>
      <c r="BV145" s="39"/>
      <c r="BW145" s="20">
        <f t="shared" si="104"/>
        <v>45382</v>
      </c>
      <c r="BX145" s="27">
        <v>1.9304791538295261</v>
      </c>
      <c r="BY145" s="126">
        <f t="shared" si="432"/>
        <v>1560009.2454240357</v>
      </c>
      <c r="BZ145" s="6"/>
      <c r="CA145" s="49">
        <f t="shared" ref="CA145" si="445">(BY145/BY142-1)*100</f>
        <v>4.3838206538149072</v>
      </c>
      <c r="CC145" s="79"/>
      <c r="CD145" s="20">
        <f t="shared" si="105"/>
        <v>45382</v>
      </c>
      <c r="CE145" s="300">
        <f t="shared" si="174"/>
        <v>1.7719905999999999</v>
      </c>
      <c r="CF145" s="126">
        <f t="shared" si="433"/>
        <v>1527955.0482666427</v>
      </c>
      <c r="CG145" s="6"/>
      <c r="CH145" s="49">
        <f t="shared" ref="CH145" si="446">(CF145/CF142-1)*100</f>
        <v>1.8636515794026476</v>
      </c>
      <c r="CI145" s="39"/>
    </row>
    <row r="146" spans="1:87" x14ac:dyDescent="0.25">
      <c r="A146" s="20">
        <v>45412</v>
      </c>
      <c r="B146" s="24">
        <f t="shared" si="434"/>
        <v>131</v>
      </c>
      <c r="C146" s="297">
        <f>'LC (Gross)'!X308</f>
        <v>-3.0440480000000001</v>
      </c>
      <c r="D146" s="297">
        <v>-1.8438920000000001</v>
      </c>
      <c r="E146" s="297">
        <f>'CRA (Gross)'!E146</f>
        <v>-2.5260690000000001</v>
      </c>
      <c r="F146" s="297">
        <v>0</v>
      </c>
      <c r="G146" s="39"/>
      <c r="H146" s="20">
        <f t="shared" si="146"/>
        <v>45412</v>
      </c>
      <c r="I146" s="27">
        <v>-4.3370823987311562</v>
      </c>
      <c r="J146" s="126">
        <f t="shared" si="422"/>
        <v>2018075.4311917468</v>
      </c>
      <c r="N146" s="79"/>
      <c r="O146" s="20">
        <f t="shared" si="92"/>
        <v>45412</v>
      </c>
      <c r="P146" s="300">
        <f t="shared" si="169"/>
        <v>-2.7479364640000004</v>
      </c>
      <c r="Q146" s="126">
        <f t="shared" ref="Q146:Q148" si="447">Q145*P146/100+Q145</f>
        <v>1999465.5389276838</v>
      </c>
      <c r="R146" s="6"/>
      <c r="S146" s="49"/>
      <c r="T146" s="39"/>
      <c r="U146" s="20">
        <f t="shared" si="94"/>
        <v>45412</v>
      </c>
      <c r="V146" s="27">
        <v>-3.738223974496667</v>
      </c>
      <c r="W146" s="126">
        <f t="shared" ref="W146:W148" si="448">W145*V146/100+W145</f>
        <v>1869551.2896625441</v>
      </c>
      <c r="X146" s="6"/>
      <c r="Y146" s="49"/>
      <c r="AA146" s="79"/>
      <c r="AB146" s="20">
        <f t="shared" si="95"/>
        <v>45412</v>
      </c>
      <c r="AC146" s="300">
        <f t="shared" si="171"/>
        <v>-2.6979058600000005</v>
      </c>
      <c r="AD146" s="126">
        <f t="shared" ref="AD146:AD148" si="449">AD145*AC146/100+AD145</f>
        <v>1793855.6292344518</v>
      </c>
      <c r="AE146" s="6"/>
      <c r="AF146" s="49"/>
      <c r="AG146" s="44"/>
      <c r="AH146" s="20">
        <f t="shared" si="97"/>
        <v>45412</v>
      </c>
      <c r="AI146" s="27">
        <v>-3.6376449371787336</v>
      </c>
      <c r="AJ146" s="126">
        <f t="shared" si="426"/>
        <v>1662308.5163306</v>
      </c>
      <c r="AN146" s="79"/>
      <c r="AO146" s="20">
        <f t="shared" si="98"/>
        <v>45412</v>
      </c>
      <c r="AP146" s="300">
        <f t="shared" si="172"/>
        <v>-2.6423163000000001</v>
      </c>
      <c r="AQ146" s="126">
        <f t="shared" ref="AQ146:AQ148" si="450">AQ145*AP146/100+AQ145</f>
        <v>1643554.4842341964</v>
      </c>
      <c r="AR146" s="6"/>
      <c r="AS146" s="49"/>
      <c r="AT146" s="39"/>
      <c r="AU146" s="20">
        <f t="shared" si="100"/>
        <v>45412</v>
      </c>
      <c r="AV146" s="27">
        <v>-2.7136477881638537</v>
      </c>
      <c r="AW146" s="126">
        <f t="shared" ref="AW146:AW148" si="451">AW145*AV146/100+AW145</f>
        <v>1244533.6066555567</v>
      </c>
      <c r="AX146" s="6"/>
      <c r="AY146" s="49"/>
      <c r="BA146" s="79"/>
      <c r="BB146" s="20">
        <f t="shared" si="101"/>
        <v>45412</v>
      </c>
      <c r="BC146" s="300">
        <f t="shared" si="173"/>
        <v>-2.5589319600000002</v>
      </c>
      <c r="BD146" s="126">
        <f t="shared" ref="BD146:BD148" si="452">BD145*BC146/100+BD145</f>
        <v>1306464.7006849023</v>
      </c>
      <c r="BE146" s="6"/>
      <c r="BF146" s="49"/>
      <c r="BG146" s="39"/>
      <c r="BH146" s="20">
        <f t="shared" si="102"/>
        <v>45412</v>
      </c>
      <c r="BI146" s="27">
        <v>-2.3784661488034153</v>
      </c>
      <c r="BJ146" s="126">
        <f t="shared" ref="BJ146:BJ148" si="453">BJ145*BI146/100+BJ145</f>
        <v>1018027.3108103252</v>
      </c>
      <c r="BK146" s="6"/>
      <c r="BL146" s="49"/>
      <c r="BN146" s="79"/>
      <c r="BO146" s="20">
        <f t="shared" si="103"/>
        <v>45412</v>
      </c>
      <c r="BP146" s="300">
        <f t="shared" si="200"/>
        <v>-2.5172397900000001</v>
      </c>
      <c r="BQ146" s="126">
        <f t="shared" ref="BQ146:BQ148" si="454">BQ145*BP146/100+BQ145</f>
        <v>981070.91116277291</v>
      </c>
      <c r="BR146" s="6"/>
      <c r="BS146" s="49"/>
      <c r="BV146" s="39"/>
      <c r="BW146" s="20">
        <f t="shared" si="104"/>
        <v>45412</v>
      </c>
      <c r="BX146" s="27">
        <v>-3.1669868256938689</v>
      </c>
      <c r="BY146" s="126">
        <f t="shared" ref="BY146:BY148" si="455">BY145*BX146/100+BY145</f>
        <v>1510603.9581418501</v>
      </c>
      <c r="BZ146" s="6"/>
      <c r="CA146" s="49"/>
      <c r="CC146" s="79"/>
      <c r="CD146" s="20">
        <f t="shared" si="105"/>
        <v>45412</v>
      </c>
      <c r="CE146" s="300">
        <f t="shared" si="174"/>
        <v>-2.6006241299999999</v>
      </c>
      <c r="CF146" s="126">
        <f t="shared" ref="CF146:CF148" si="456">CF145*CE146/100+CF145</f>
        <v>1488218.6805858673</v>
      </c>
      <c r="CG146" s="6"/>
      <c r="CH146" s="49"/>
      <c r="CI146" s="39"/>
    </row>
    <row r="147" spans="1:87" x14ac:dyDescent="0.25">
      <c r="A147" s="20">
        <v>45443</v>
      </c>
      <c r="B147" s="24">
        <f t="shared" si="434"/>
        <v>132</v>
      </c>
      <c r="C147" s="297">
        <f>'LC (Gross)'!X309</f>
        <v>2.47797</v>
      </c>
      <c r="D147" s="297">
        <v>2.5433919999999999</v>
      </c>
      <c r="E147" s="297">
        <f>'CRA (Gross)'!E147</f>
        <v>1.6953290000000001</v>
      </c>
      <c r="F147" s="297">
        <v>0</v>
      </c>
      <c r="G147" s="39"/>
      <c r="H147" s="20">
        <f t="shared" si="146"/>
        <v>45443</v>
      </c>
      <c r="I147" s="27">
        <v>3.886447129136303</v>
      </c>
      <c r="J147" s="126">
        <f t="shared" si="422"/>
        <v>2096506.8658511036</v>
      </c>
      <c r="L147" s="1"/>
      <c r="N147" s="79"/>
      <c r="O147" s="20">
        <f t="shared" ref="O147:O166" si="457">$A147</f>
        <v>45443</v>
      </c>
      <c r="P147" s="300">
        <f t="shared" si="169"/>
        <v>2.441233312</v>
      </c>
      <c r="Q147" s="126">
        <f t="shared" si="447"/>
        <v>2048277.1577259467</v>
      </c>
      <c r="R147" s="6"/>
      <c r="S147" s="49"/>
      <c r="T147" s="39"/>
      <c r="U147" s="20">
        <f t="shared" ref="U147:U166" si="458">$A147</f>
        <v>45443</v>
      </c>
      <c r="V147" s="27">
        <v>3.3297279451038242</v>
      </c>
      <c r="W147" s="126">
        <f t="shared" si="448"/>
        <v>1931802.2614024868</v>
      </c>
      <c r="X147" s="6"/>
      <c r="Y147" s="49"/>
      <c r="AA147" s="79"/>
      <c r="AB147" s="20">
        <f t="shared" ref="AB147:AB166" si="459">$A147</f>
        <v>45443</v>
      </c>
      <c r="AC147" s="300">
        <f t="shared" si="171"/>
        <v>2.2980027400000003</v>
      </c>
      <c r="AD147" s="126">
        <f t="shared" si="449"/>
        <v>1835078.4807459037</v>
      </c>
      <c r="AE147" s="6"/>
      <c r="AF147" s="49"/>
      <c r="AG147" s="44"/>
      <c r="AH147" s="20">
        <f t="shared" ref="AH147:AH166" si="460">$A147</f>
        <v>45443</v>
      </c>
      <c r="AI147" s="27">
        <v>3.121301013996427</v>
      </c>
      <c r="AJ147" s="126">
        <f t="shared" si="426"/>
        <v>1714194.168906576</v>
      </c>
      <c r="AN147" s="79"/>
      <c r="AO147" s="20">
        <f t="shared" ref="AO147:AO166" si="461">$A147</f>
        <v>45443</v>
      </c>
      <c r="AP147" s="300">
        <f t="shared" si="172"/>
        <v>2.1388576599999998</v>
      </c>
      <c r="AQ147" s="126">
        <f t="shared" si="450"/>
        <v>1678707.7752165128</v>
      </c>
      <c r="AR147" s="6"/>
      <c r="AS147" s="49"/>
      <c r="AT147" s="39"/>
      <c r="AU147" s="20">
        <f t="shared" ref="AU147:AU166" si="462">$A147</f>
        <v>45443</v>
      </c>
      <c r="AV147" s="27">
        <v>2.3626323765788388</v>
      </c>
      <c r="AW147" s="126">
        <f t="shared" si="451"/>
        <v>1273937.3605838052</v>
      </c>
      <c r="AX147" s="6"/>
      <c r="AY147" s="49"/>
      <c r="BA147" s="79"/>
      <c r="BB147" s="20">
        <f t="shared" ref="BB147:BB166" si="463">$A147</f>
        <v>45443</v>
      </c>
      <c r="BC147" s="300">
        <f t="shared" si="173"/>
        <v>1.9001400400000001</v>
      </c>
      <c r="BD147" s="126">
        <f t="shared" si="452"/>
        <v>1331289.3595710823</v>
      </c>
      <c r="BE147" s="6"/>
      <c r="BF147" s="49"/>
      <c r="BG147" s="39"/>
      <c r="BH147" s="20">
        <f t="shared" ref="BH147:BH166" si="464">$A147</f>
        <v>45443</v>
      </c>
      <c r="BI147" s="27">
        <v>1.9532133563399838</v>
      </c>
      <c r="BJ147" s="126">
        <f t="shared" si="453"/>
        <v>1037911.5562162612</v>
      </c>
      <c r="BK147" s="6"/>
      <c r="BL147" s="49"/>
      <c r="BN147" s="79"/>
      <c r="BO147" s="20">
        <f t="shared" ref="BO147:BO166" si="465">$A147</f>
        <v>45443</v>
      </c>
      <c r="BP147" s="300">
        <f t="shared" si="200"/>
        <v>1.7807812299999999</v>
      </c>
      <c r="BQ147" s="126">
        <f t="shared" si="454"/>
        <v>998541.63780174952</v>
      </c>
      <c r="BR147" s="6"/>
      <c r="BS147" s="49"/>
      <c r="BV147" s="39"/>
      <c r="BW147" s="20">
        <f t="shared" ref="BW147:BW154" si="466">$A147</f>
        <v>45443</v>
      </c>
      <c r="BX147" s="27">
        <v>2.7065420018370214</v>
      </c>
      <c r="BY147" s="126">
        <f t="shared" si="455"/>
        <v>1551489.0887503717</v>
      </c>
      <c r="BZ147" s="6"/>
      <c r="CA147" s="49"/>
      <c r="CC147" s="79"/>
      <c r="CD147" s="20">
        <f t="shared" ref="CD147:CD154" si="467">$A147</f>
        <v>45443</v>
      </c>
      <c r="CE147" s="300">
        <f t="shared" si="174"/>
        <v>2.0194988500000002</v>
      </c>
      <c r="CF147" s="126">
        <f t="shared" si="456"/>
        <v>1518273.2397257839</v>
      </c>
      <c r="CG147" s="6"/>
      <c r="CH147" s="49"/>
      <c r="CI147" s="39"/>
    </row>
    <row r="148" spans="1:87" x14ac:dyDescent="0.25">
      <c r="A148" s="20">
        <v>45473</v>
      </c>
      <c r="B148" s="24">
        <f t="shared" ref="B148:B151" si="468">IF(A148&gt;A147,1+B147,"-")</f>
        <v>133</v>
      </c>
      <c r="C148" s="297">
        <f>'LC (Gross)'!X310</f>
        <v>-0.16201969999999999</v>
      </c>
      <c r="D148" s="297">
        <v>-1.0983369999999999</v>
      </c>
      <c r="E148" s="297">
        <f>'CRA (Gross)'!E148</f>
        <v>0.94710059999999996</v>
      </c>
      <c r="F148" s="297">
        <v>0</v>
      </c>
      <c r="G148" s="39"/>
      <c r="H148" s="20">
        <f t="shared" si="146"/>
        <v>45473</v>
      </c>
      <c r="I148" s="27">
        <v>0.79289213285628579</v>
      </c>
      <c r="J148" s="126">
        <f t="shared" si="422"/>
        <v>2113129.9038552288</v>
      </c>
      <c r="K148" s="6"/>
      <c r="L148" s="49">
        <f t="shared" ref="L148" si="469">(J148/J145-1)*100</f>
        <v>0.16878891088034642</v>
      </c>
      <c r="N148" s="79"/>
      <c r="O148" s="20">
        <f t="shared" si="457"/>
        <v>45473</v>
      </c>
      <c r="P148" s="300">
        <f t="shared" si="169"/>
        <v>-0.34229749679999999</v>
      </c>
      <c r="Q148" s="126">
        <f t="shared" si="447"/>
        <v>2041265.9562875247</v>
      </c>
      <c r="R148" s="6"/>
      <c r="S148" s="49">
        <f t="shared" ref="S148" si="470">(Q148/Q145-1)*100</f>
        <v>-0.71480472666047845</v>
      </c>
      <c r="T148" s="39"/>
      <c r="U148" s="20">
        <f t="shared" si="458"/>
        <v>45473</v>
      </c>
      <c r="V148" s="27">
        <v>0.83474987038854931</v>
      </c>
      <c r="W148" s="126">
        <f t="shared" si="448"/>
        <v>1947927.9782757072</v>
      </c>
      <c r="X148" s="6"/>
      <c r="Y148" s="49">
        <f t="shared" ref="Y148" si="471">(W148/W145-1)*100</f>
        <v>0.29733219698593327</v>
      </c>
      <c r="AA148" s="79"/>
      <c r="AB148" s="20">
        <f t="shared" si="459"/>
        <v>45473</v>
      </c>
      <c r="AC148" s="300">
        <f t="shared" si="171"/>
        <v>-0.10894842000000002</v>
      </c>
      <c r="AD148" s="126">
        <f t="shared" si="449"/>
        <v>1833079.191735371</v>
      </c>
      <c r="AE148" s="6"/>
      <c r="AF148" s="49">
        <f t="shared" ref="AF148" si="472">(AD148/AD145-1)*100</f>
        <v>-0.57034625666705363</v>
      </c>
      <c r="AG148" s="44"/>
      <c r="AH148" s="20">
        <f t="shared" si="460"/>
        <v>45473</v>
      </c>
      <c r="AI148" s="27">
        <v>1.0169147896210156</v>
      </c>
      <c r="AJ148" s="126">
        <f t="shared" si="426"/>
        <v>1731626.062933008</v>
      </c>
      <c r="AK148" s="6"/>
      <c r="AL148" s="49">
        <f t="shared" ref="AL148" si="473">(AJ148/AJ145-1)*100</f>
        <v>0.38062361656092669</v>
      </c>
      <c r="AN148" s="79"/>
      <c r="AO148" s="20">
        <f t="shared" si="461"/>
        <v>45473</v>
      </c>
      <c r="AP148" s="300">
        <f t="shared" si="172"/>
        <v>0.15032833200000001</v>
      </c>
      <c r="AQ148" s="126">
        <f t="shared" si="450"/>
        <v>1681231.3486141502</v>
      </c>
      <c r="AR148" s="6"/>
      <c r="AS148" s="49">
        <f t="shared" ref="AS148" si="474">(AQ148/AQ145-1)*100</f>
        <v>-0.41048749219476655</v>
      </c>
      <c r="AT148" s="39"/>
      <c r="AU148" s="20">
        <f t="shared" si="462"/>
        <v>45473</v>
      </c>
      <c r="AV148" s="27">
        <v>0.91846675932620647</v>
      </c>
      <c r="AW148" s="126">
        <f t="shared" si="451"/>
        <v>1285638.0517754052</v>
      </c>
      <c r="AX148" s="6"/>
      <c r="AY148" s="49">
        <f t="shared" ref="AY148" si="475">(AW148/AW145-1)*100</f>
        <v>0.4995250052554745</v>
      </c>
      <c r="BA148" s="79"/>
      <c r="BB148" s="20">
        <f t="shared" si="463"/>
        <v>45473</v>
      </c>
      <c r="BC148" s="300">
        <f t="shared" si="173"/>
        <v>0.53924346000000001</v>
      </c>
      <c r="BD148" s="126">
        <f t="shared" si="452"/>
        <v>1338468.2503762452</v>
      </c>
      <c r="BE148" s="6"/>
      <c r="BF148" s="49">
        <f t="shared" ref="BF148" si="476">(BD148/BD145-1)*100</f>
        <v>-0.17198644102742744</v>
      </c>
      <c r="BG148" s="39"/>
      <c r="BH148" s="20">
        <f t="shared" si="464"/>
        <v>45473</v>
      </c>
      <c r="BI148" s="27">
        <v>0.81136711675732909</v>
      </c>
      <c r="BJ148" s="126">
        <f t="shared" si="453"/>
        <v>1046332.8292844242</v>
      </c>
      <c r="BK148" s="6"/>
      <c r="BL148" s="49">
        <f t="shared" ref="BL148" si="477">(BJ148/BJ145-1)*100</f>
        <v>0.33583051156365062</v>
      </c>
      <c r="BN148" s="79"/>
      <c r="BO148" s="20">
        <f t="shared" si="465"/>
        <v>45473</v>
      </c>
      <c r="BP148" s="300">
        <f t="shared" si="200"/>
        <v>0.73370102399999992</v>
      </c>
      <c r="BQ148" s="126">
        <f t="shared" si="454"/>
        <v>1005867.9480233673</v>
      </c>
      <c r="BR148" s="6"/>
      <c r="BS148" s="49">
        <f t="shared" ref="BS148" si="478">(BQ148/BQ145-1)*100</f>
        <v>-5.3316366427214046E-2</v>
      </c>
      <c r="BV148" s="39"/>
      <c r="BW148" s="20">
        <f t="shared" si="466"/>
        <v>45473</v>
      </c>
      <c r="BX148" s="27">
        <v>0.93493789101768821</v>
      </c>
      <c r="BY148" s="126">
        <f t="shared" si="455"/>
        <v>1565994.548116104</v>
      </c>
      <c r="BZ148" s="6"/>
      <c r="CA148" s="49">
        <f t="shared" ref="CA148" si="479">(BY148/BY145-1)*100</f>
        <v>0.38367097564484531</v>
      </c>
      <c r="CC148" s="79"/>
      <c r="CD148" s="20">
        <f t="shared" si="467"/>
        <v>45473</v>
      </c>
      <c r="CE148" s="300">
        <f t="shared" si="174"/>
        <v>0.34478589600000009</v>
      </c>
      <c r="CF148" s="126">
        <f t="shared" si="456"/>
        <v>1523508.0317191007</v>
      </c>
      <c r="CG148" s="6"/>
      <c r="CH148" s="49">
        <f t="shared" ref="CH148" si="480">(CF148/CF145-1)*100</f>
        <v>-0.29104367648687957</v>
      </c>
      <c r="CI148" s="39"/>
    </row>
    <row r="149" spans="1:87" x14ac:dyDescent="0.25">
      <c r="A149" s="20">
        <v>45504</v>
      </c>
      <c r="B149" s="24">
        <f t="shared" si="468"/>
        <v>134</v>
      </c>
      <c r="C149" s="297">
        <f>'LC (Gross)'!X311</f>
        <v>4.4021290000000004</v>
      </c>
      <c r="D149" s="297">
        <v>6.0775940000000004</v>
      </c>
      <c r="E149" s="297">
        <f>'CRA (Gross)'!E149</f>
        <v>2.3357540000000001</v>
      </c>
      <c r="F149" s="297">
        <v>0</v>
      </c>
      <c r="G149" s="39"/>
      <c r="H149" s="20">
        <f t="shared" si="146"/>
        <v>45504</v>
      </c>
      <c r="I149" s="27">
        <v>3.0015512550459444</v>
      </c>
      <c r="J149" s="126">
        <f t="shared" ref="J149:J151" si="481">J148*I149/100+J148</f>
        <v>2176556.5810051467</v>
      </c>
      <c r="K149" s="6"/>
      <c r="L149" s="49"/>
      <c r="N149" s="79"/>
      <c r="O149" s="20">
        <f t="shared" si="457"/>
        <v>45504</v>
      </c>
      <c r="P149" s="300">
        <f t="shared" si="169"/>
        <v>4.6424775600000006</v>
      </c>
      <c r="Q149" s="126">
        <f t="shared" ref="Q149:Q151" si="482">Q148*P149/100+Q148</f>
        <v>2136031.2702480922</v>
      </c>
      <c r="R149" s="6"/>
      <c r="S149" s="49"/>
      <c r="T149" s="39"/>
      <c r="U149" s="20">
        <f t="shared" si="458"/>
        <v>45504</v>
      </c>
      <c r="V149" s="27">
        <v>2.7536072833807559</v>
      </c>
      <c r="W149" s="126">
        <f t="shared" ref="W149:W151" si="483">W148*V149/100+W148</f>
        <v>2001566.2649605186</v>
      </c>
      <c r="X149" s="6"/>
      <c r="Y149" s="49"/>
      <c r="AA149" s="79"/>
      <c r="AB149" s="20">
        <f t="shared" si="459"/>
        <v>45504</v>
      </c>
      <c r="AC149" s="300">
        <f t="shared" si="171"/>
        <v>4.2102133200000003</v>
      </c>
      <c r="AD149" s="126">
        <f t="shared" ref="AD149:AD151" si="484">AD148*AC149/100+AD148</f>
        <v>1910255.7360319619</v>
      </c>
      <c r="AE149" s="6"/>
      <c r="AF149" s="49"/>
      <c r="AG149" s="44"/>
      <c r="AH149" s="20">
        <f t="shared" si="460"/>
        <v>45504</v>
      </c>
      <c r="AI149" s="27">
        <v>2.4859383590470965</v>
      </c>
      <c r="AJ149" s="126">
        <f t="shared" ref="AJ149:AJ151" si="485">AJ148*AI149/100+AJ148</f>
        <v>1774673.2194667165</v>
      </c>
      <c r="AK149" s="6"/>
      <c r="AL149" s="49"/>
      <c r="AN149" s="79"/>
      <c r="AO149" s="20">
        <f t="shared" si="461"/>
        <v>45504</v>
      </c>
      <c r="AP149" s="300">
        <f t="shared" si="172"/>
        <v>3.7299197200000003</v>
      </c>
      <c r="AQ149" s="126">
        <f t="shared" ref="AQ149:AQ151" si="486">AQ148*AP149/100+AQ148</f>
        <v>1743939.9282249312</v>
      </c>
      <c r="AR149" s="6"/>
      <c r="AS149" s="49"/>
      <c r="AT149" s="39"/>
      <c r="AU149" s="20">
        <f t="shared" si="462"/>
        <v>45504</v>
      </c>
      <c r="AV149" s="27">
        <v>2.0121187132246172</v>
      </c>
      <c r="AW149" s="126">
        <f t="shared" ref="AW149:AW151" si="487">AW148*AV149/100+AW148</f>
        <v>1311506.6155995145</v>
      </c>
      <c r="AX149" s="6"/>
      <c r="AY149" s="49"/>
      <c r="BA149" s="79"/>
      <c r="BB149" s="20">
        <f t="shared" si="463"/>
        <v>45504</v>
      </c>
      <c r="BC149" s="300">
        <f t="shared" si="173"/>
        <v>3.0094793200000005</v>
      </c>
      <c r="BD149" s="126">
        <f t="shared" ref="BD149:BD151" si="488">BD148*BC149/100+BD148</f>
        <v>1378749.1755760841</v>
      </c>
      <c r="BE149" s="6"/>
      <c r="BF149" s="49"/>
      <c r="BG149" s="39"/>
      <c r="BH149" s="20">
        <f t="shared" si="464"/>
        <v>45504</v>
      </c>
      <c r="BI149" s="27">
        <v>2.0670843951138629</v>
      </c>
      <c r="BJ149" s="126">
        <f t="shared" ref="BJ149:BJ151" si="489">BJ148*BI149/100+BJ148</f>
        <v>1067961.4119195158</v>
      </c>
      <c r="BK149" s="6"/>
      <c r="BL149" s="49"/>
      <c r="BN149" s="79"/>
      <c r="BO149" s="20">
        <f t="shared" si="465"/>
        <v>45504</v>
      </c>
      <c r="BP149" s="300">
        <f t="shared" si="200"/>
        <v>2.64925912</v>
      </c>
      <c r="BQ149" s="126">
        <f t="shared" ref="BQ149:BQ151" si="490">BQ148*BP149/100+BQ148</f>
        <v>1032515.9963715333</v>
      </c>
      <c r="BR149" s="6"/>
      <c r="BS149" s="49"/>
      <c r="BV149" s="39"/>
      <c r="BW149" s="20">
        <f t="shared" si="466"/>
        <v>45504</v>
      </c>
      <c r="BX149" s="27">
        <v>2.305886900598463</v>
      </c>
      <c r="BY149" s="126">
        <f t="shared" ref="BY149:BY151" si="491">BY148*BX149/100+BY148</f>
        <v>1602104.6112651993</v>
      </c>
      <c r="BZ149" s="6"/>
      <c r="CA149" s="49"/>
      <c r="CC149" s="79"/>
      <c r="CD149" s="20">
        <f t="shared" si="467"/>
        <v>45504</v>
      </c>
      <c r="CE149" s="300">
        <f t="shared" si="174"/>
        <v>3.3696995200000002</v>
      </c>
      <c r="CF149" s="126">
        <f t="shared" ref="CF149:CF151" si="492">CF148*CE149/100+CF148</f>
        <v>1574845.6745511007</v>
      </c>
      <c r="CG149" s="6"/>
      <c r="CH149" s="49"/>
      <c r="CI149" s="39"/>
    </row>
    <row r="150" spans="1:87" x14ac:dyDescent="0.25">
      <c r="A150" s="20">
        <v>45535</v>
      </c>
      <c r="B150" s="24">
        <f t="shared" si="468"/>
        <v>135</v>
      </c>
      <c r="C150" s="297">
        <f>'LC (Gross)'!X312</f>
        <v>5.2126460000000003</v>
      </c>
      <c r="D150" s="297">
        <v>4.6628230000000004</v>
      </c>
      <c r="E150" s="297">
        <f>'CRA (Gross)'!E150</f>
        <v>1.436655</v>
      </c>
      <c r="F150" s="297">
        <v>0</v>
      </c>
      <c r="G150" s="39"/>
      <c r="H150" s="20">
        <f t="shared" si="146"/>
        <v>45535</v>
      </c>
      <c r="I150" s="27">
        <v>1.9448835765468864</v>
      </c>
      <c r="J150" s="126">
        <f t="shared" si="481"/>
        <v>2218888.0724833664</v>
      </c>
      <c r="K150" s="6"/>
      <c r="L150" s="49"/>
      <c r="N150" s="79"/>
      <c r="O150" s="20">
        <f t="shared" si="457"/>
        <v>45535</v>
      </c>
      <c r="P150" s="300">
        <f t="shared" si="169"/>
        <v>5.0006277720000014</v>
      </c>
      <c r="Q150" s="126">
        <f t="shared" si="482"/>
        <v>2242846.2431667228</v>
      </c>
      <c r="R150" s="6"/>
      <c r="S150" s="49"/>
      <c r="T150" s="39"/>
      <c r="U150" s="20">
        <f t="shared" si="458"/>
        <v>45535</v>
      </c>
      <c r="V150" s="27">
        <v>2.3276087943769381</v>
      </c>
      <c r="W150" s="126">
        <f t="shared" si="483"/>
        <v>2048154.8973690215</v>
      </c>
      <c r="X150" s="6"/>
      <c r="Y150" s="49"/>
      <c r="AA150" s="79"/>
      <c r="AB150" s="20">
        <f t="shared" si="459"/>
        <v>45535</v>
      </c>
      <c r="AC150" s="300">
        <f t="shared" si="171"/>
        <v>4.3407430200000006</v>
      </c>
      <c r="AD150" s="126">
        <f t="shared" si="484"/>
        <v>1993175.028557919</v>
      </c>
      <c r="AE150" s="6"/>
      <c r="AF150" s="49"/>
      <c r="AG150" s="44"/>
      <c r="AH150" s="20">
        <f t="shared" si="460"/>
        <v>45535</v>
      </c>
      <c r="AI150" s="27">
        <v>2.2522222477432154</v>
      </c>
      <c r="AJ150" s="126">
        <f t="shared" si="485"/>
        <v>1814642.8045402868</v>
      </c>
      <c r="AK150" s="6"/>
      <c r="AL150" s="49"/>
      <c r="AN150" s="79"/>
      <c r="AO150" s="20">
        <f t="shared" si="461"/>
        <v>45535</v>
      </c>
      <c r="AP150" s="300">
        <f t="shared" si="172"/>
        <v>3.6075377400000006</v>
      </c>
      <c r="AQ150" s="126">
        <f t="shared" si="486"/>
        <v>1806853.2192985746</v>
      </c>
      <c r="AR150" s="6"/>
      <c r="AS150" s="49"/>
      <c r="AT150" s="39"/>
      <c r="AU150" s="20">
        <f t="shared" si="462"/>
        <v>45535</v>
      </c>
      <c r="AV150" s="27">
        <v>1.7637032266216164</v>
      </c>
      <c r="AW150" s="126">
        <f t="shared" si="487"/>
        <v>1334637.7000961991</v>
      </c>
      <c r="AX150" s="6"/>
      <c r="AY150" s="49"/>
      <c r="BA150" s="79"/>
      <c r="BB150" s="20">
        <f t="shared" si="463"/>
        <v>45535</v>
      </c>
      <c r="BC150" s="300">
        <f t="shared" si="173"/>
        <v>2.5077298200000002</v>
      </c>
      <c r="BD150" s="126">
        <f t="shared" si="488"/>
        <v>1413324.4797950096</v>
      </c>
      <c r="BE150" s="6"/>
      <c r="BF150" s="49"/>
      <c r="BG150" s="39"/>
      <c r="BH150" s="20">
        <f t="shared" si="464"/>
        <v>45535</v>
      </c>
      <c r="BI150" s="27">
        <v>1.6335608598765377</v>
      </c>
      <c r="BJ150" s="126">
        <f t="shared" si="489"/>
        <v>1085407.2115432178</v>
      </c>
      <c r="BK150" s="6"/>
      <c r="BL150" s="49"/>
      <c r="BN150" s="79"/>
      <c r="BO150" s="20">
        <f t="shared" si="465"/>
        <v>45535</v>
      </c>
      <c r="BP150" s="300">
        <f t="shared" si="200"/>
        <v>1.9578258600000003</v>
      </c>
      <c r="BQ150" s="126">
        <f t="shared" si="490"/>
        <v>1052730.8615571319</v>
      </c>
      <c r="BR150" s="6"/>
      <c r="BS150" s="49"/>
      <c r="BV150" s="39"/>
      <c r="BW150" s="20">
        <f t="shared" si="466"/>
        <v>45535</v>
      </c>
      <c r="BX150" s="27">
        <v>2.1244398427952649</v>
      </c>
      <c r="BY150" s="126">
        <f t="shared" si="491"/>
        <v>1636140.3599501774</v>
      </c>
      <c r="BZ150" s="6"/>
      <c r="CA150" s="49"/>
      <c r="CC150" s="79"/>
      <c r="CD150" s="20">
        <f t="shared" si="467"/>
        <v>45535</v>
      </c>
      <c r="CE150" s="300">
        <f t="shared" si="174"/>
        <v>3.0576337800000006</v>
      </c>
      <c r="CF150" s="126">
        <f t="shared" si="492"/>
        <v>1622998.6878790441</v>
      </c>
      <c r="CG150" s="6"/>
      <c r="CH150" s="49"/>
      <c r="CI150" s="39"/>
    </row>
    <row r="151" spans="1:87" x14ac:dyDescent="0.25">
      <c r="A151" s="20">
        <v>45565</v>
      </c>
      <c r="B151" s="24">
        <f t="shared" si="468"/>
        <v>136</v>
      </c>
      <c r="C151" s="297">
        <f>'LC (Gross)'!X313</f>
        <v>1.059823</v>
      </c>
      <c r="D151" s="297">
        <v>0.1210169</v>
      </c>
      <c r="E151" s="297">
        <f>'CRA (Gross)'!E151</f>
        <v>1.3391189999999999</v>
      </c>
      <c r="F151" s="297">
        <v>0</v>
      </c>
      <c r="G151" s="39"/>
      <c r="H151" s="20">
        <f t="shared" si="146"/>
        <v>45565</v>
      </c>
      <c r="I151" s="27">
        <v>0.58286649886219777</v>
      </c>
      <c r="J151" s="126">
        <f t="shared" si="481"/>
        <v>2231821.227705121</v>
      </c>
      <c r="K151" s="6"/>
      <c r="L151" s="49">
        <f t="shared" ref="L151" si="493">(J151/J148-1)*100</f>
        <v>5.6168493774731987</v>
      </c>
      <c r="N151" s="79"/>
      <c r="O151" s="20">
        <f t="shared" si="457"/>
        <v>45565</v>
      </c>
      <c r="P151" s="300">
        <f t="shared" si="169"/>
        <v>0.85462054440000002</v>
      </c>
      <c r="Q151" s="126">
        <f t="shared" si="482"/>
        <v>2262014.0679401294</v>
      </c>
      <c r="R151" s="6"/>
      <c r="S151" s="49">
        <f t="shared" ref="S151" si="494">(Q151/Q148-1)*100</f>
        <v>10.814274885281595</v>
      </c>
      <c r="T151" s="39"/>
      <c r="U151" s="20">
        <f t="shared" si="458"/>
        <v>45565</v>
      </c>
      <c r="V151" s="27">
        <v>0.54395512062208706</v>
      </c>
      <c r="W151" s="126">
        <f t="shared" si="483"/>
        <v>2059295.9408115323</v>
      </c>
      <c r="X151" s="6"/>
      <c r="Y151" s="49">
        <f t="shared" ref="Y151" si="495">(W151/W148-1)*100</f>
        <v>5.7172525769873417</v>
      </c>
      <c r="AA151" s="79"/>
      <c r="AB151" s="20">
        <f t="shared" si="459"/>
        <v>45565</v>
      </c>
      <c r="AC151" s="300">
        <f t="shared" si="171"/>
        <v>0.93869084399999991</v>
      </c>
      <c r="AD151" s="126">
        <f t="shared" si="484"/>
        <v>2011884.7800558866</v>
      </c>
      <c r="AE151" s="6"/>
      <c r="AF151" s="49">
        <f t="shared" ref="AF151" si="496">(AD151/AD148-1)*100</f>
        <v>9.7543842691946594</v>
      </c>
      <c r="AG151" s="44"/>
      <c r="AH151" s="20">
        <f t="shared" si="460"/>
        <v>45565</v>
      </c>
      <c r="AI151" s="27">
        <v>0.67609234636829296</v>
      </c>
      <c r="AJ151" s="126">
        <f t="shared" si="485"/>
        <v>1826911.4656557066</v>
      </c>
      <c r="AK151" s="6"/>
      <c r="AL151" s="49">
        <f t="shared" ref="AL151" si="497">(AJ151/AJ148-1)*100</f>
        <v>5.5026546875429627</v>
      </c>
      <c r="AN151" s="79"/>
      <c r="AO151" s="20">
        <f t="shared" si="461"/>
        <v>45565</v>
      </c>
      <c r="AP151" s="300">
        <f t="shared" si="172"/>
        <v>1.0321022879999999</v>
      </c>
      <c r="AQ151" s="126">
        <f t="shared" si="486"/>
        <v>1825501.7927157569</v>
      </c>
      <c r="AR151" s="6"/>
      <c r="AS151" s="49">
        <f t="shared" ref="AS151" si="498">(AQ151/AQ148-1)*100</f>
        <v>8.5812368547927509</v>
      </c>
      <c r="AT151" s="39"/>
      <c r="AU151" s="20">
        <f t="shared" si="462"/>
        <v>45565</v>
      </c>
      <c r="AV151" s="27">
        <v>0.82022318754206192</v>
      </c>
      <c r="AW151" s="126">
        <f t="shared" si="487"/>
        <v>1345584.7079820661</v>
      </c>
      <c r="AX151" s="6"/>
      <c r="AY151" s="49">
        <f t="shared" ref="AY151" si="499">(AW151/AW148-1)*100</f>
        <v>4.6627941763140335</v>
      </c>
      <c r="BA151" s="79"/>
      <c r="BB151" s="20">
        <f t="shared" si="463"/>
        <v>45565</v>
      </c>
      <c r="BC151" s="300">
        <f t="shared" si="173"/>
        <v>1.1722194539999999</v>
      </c>
      <c r="BD151" s="126">
        <f t="shared" si="488"/>
        <v>1429891.7442953109</v>
      </c>
      <c r="BE151" s="6"/>
      <c r="BF151" s="49">
        <f t="shared" ref="BF151" si="500">(BD151/BD148-1)*100</f>
        <v>6.8304566726455018</v>
      </c>
      <c r="BG151" s="39"/>
      <c r="BH151" s="20">
        <f t="shared" si="464"/>
        <v>45565</v>
      </c>
      <c r="BI151" s="27">
        <v>0.88067606754015859</v>
      </c>
      <c r="BJ151" s="126">
        <f t="shared" si="489"/>
        <v>1094966.1330906339</v>
      </c>
      <c r="BK151" s="6"/>
      <c r="BL151" s="49">
        <f t="shared" ref="BL151" si="501">(BJ151/BJ148-1)*100</f>
        <v>4.6479764798615264</v>
      </c>
      <c r="BN151" s="79"/>
      <c r="BO151" s="20">
        <f t="shared" si="465"/>
        <v>45565</v>
      </c>
      <c r="BP151" s="300">
        <f t="shared" si="200"/>
        <v>1.2422780369999999</v>
      </c>
      <c r="BQ151" s="126">
        <f t="shared" si="490"/>
        <v>1065808.7058389769</v>
      </c>
      <c r="BR151" s="6"/>
      <c r="BS151" s="49">
        <f t="shared" ref="BS151" si="502">(BQ151/BQ148-1)*100</f>
        <v>5.9591080452855882</v>
      </c>
      <c r="BV151" s="39"/>
      <c r="BW151" s="20">
        <f t="shared" si="466"/>
        <v>45565</v>
      </c>
      <c r="BX151" s="27">
        <v>0.72871363620416174</v>
      </c>
      <c r="BY151" s="126">
        <f t="shared" si="491"/>
        <v>1648063.1378605741</v>
      </c>
      <c r="BZ151" s="6"/>
      <c r="CA151" s="49">
        <f t="shared" ref="CA151" si="503">(BY151/BY148-1)*100</f>
        <v>5.2406689310124932</v>
      </c>
      <c r="CC151" s="79"/>
      <c r="CD151" s="20">
        <f t="shared" si="467"/>
        <v>45565</v>
      </c>
      <c r="CE151" s="300">
        <f t="shared" si="174"/>
        <v>1.1021608709999999</v>
      </c>
      <c r="CF151" s="126">
        <f t="shared" si="492"/>
        <v>1640886.7443536904</v>
      </c>
      <c r="CG151" s="6"/>
      <c r="CH151" s="49">
        <f t="shared" ref="CH151" si="504">(CF151/CF148-1)*100</f>
        <v>7.704502384680012</v>
      </c>
      <c r="CI151" s="39"/>
    </row>
    <row r="152" spans="1:87" x14ac:dyDescent="0.25">
      <c r="A152" s="20">
        <v>45596</v>
      </c>
      <c r="B152" s="24">
        <f t="shared" ref="B152:B154" si="505">IF(A152&gt;A151,1+B151,"-")</f>
        <v>137</v>
      </c>
      <c r="C152" s="297">
        <f>'LC (Gross)'!X314</f>
        <v>-0.87954690000000002</v>
      </c>
      <c r="D152" s="297">
        <v>-3.980394</v>
      </c>
      <c r="E152" s="297">
        <f>'CRA (Gross)'!E152</f>
        <v>-2.4798840000000002</v>
      </c>
      <c r="F152" s="297">
        <v>0</v>
      </c>
      <c r="G152" s="39"/>
      <c r="H152" s="20">
        <f t="shared" si="146"/>
        <v>45596</v>
      </c>
      <c r="I152" s="27">
        <v>-2.7403563151320824</v>
      </c>
      <c r="J152" s="126">
        <f t="shared" ref="J152:J154" si="506">J151*I152/100+J151</f>
        <v>2170661.3737492454</v>
      </c>
      <c r="K152" s="6"/>
      <c r="L152" s="49"/>
      <c r="N152" s="79"/>
      <c r="O152" s="20">
        <f t="shared" si="457"/>
        <v>45596</v>
      </c>
      <c r="P152" s="300">
        <f t="shared" si="169"/>
        <v>-1.4697219935999999</v>
      </c>
      <c r="Q152" s="126">
        <f t="shared" ref="Q152:Q154" si="507">Q151*P152/100+Q151</f>
        <v>2228768.7496852875</v>
      </c>
      <c r="R152" s="6"/>
      <c r="S152" s="49"/>
      <c r="T152" s="39"/>
      <c r="U152" s="20">
        <f t="shared" si="458"/>
        <v>45596</v>
      </c>
      <c r="V152" s="27">
        <v>-2.4619797897918119</v>
      </c>
      <c r="W152" s="126">
        <f t="shared" ref="W152:W154" si="508">W151*V152/100+W151</f>
        <v>2008596.4909367491</v>
      </c>
      <c r="X152" s="6"/>
      <c r="Y152" s="49"/>
      <c r="AA152" s="79"/>
      <c r="AB152" s="20">
        <f t="shared" si="459"/>
        <v>45596</v>
      </c>
      <c r="AC152" s="300">
        <f t="shared" si="171"/>
        <v>-1.6461521760000002</v>
      </c>
      <c r="AD152" s="126">
        <f t="shared" ref="AD152:AD154" si="509">AD151*AC152/100+AD151</f>
        <v>1978766.0949703839</v>
      </c>
      <c r="AE152" s="6"/>
      <c r="AF152" s="49"/>
      <c r="AG152" s="44"/>
      <c r="AH152" s="20">
        <f t="shared" si="460"/>
        <v>45596</v>
      </c>
      <c r="AI152" s="27">
        <v>-2.5335231157793845</v>
      </c>
      <c r="AJ152" s="126">
        <f t="shared" ref="AJ152:AJ154" si="510">AJ151*AI152/100+AJ151</f>
        <v>1780626.2413684954</v>
      </c>
      <c r="AK152" s="6"/>
      <c r="AL152" s="49"/>
      <c r="AN152" s="79"/>
      <c r="AO152" s="20">
        <f t="shared" si="461"/>
        <v>45596</v>
      </c>
      <c r="AP152" s="300">
        <f t="shared" si="172"/>
        <v>-1.842185712</v>
      </c>
      <c r="AQ152" s="126">
        <f t="shared" ref="AQ152:AQ154" si="511">AQ151*AP152/100+AQ151</f>
        <v>1791872.6595180433</v>
      </c>
      <c r="AR152" s="6"/>
      <c r="AS152" s="49"/>
      <c r="AT152" s="39"/>
      <c r="AU152" s="20">
        <f t="shared" si="462"/>
        <v>45596</v>
      </c>
      <c r="AV152" s="27">
        <v>-2.0962380943128673</v>
      </c>
      <c r="AW152" s="126">
        <f t="shared" ref="AW152:AW154" si="512">AW151*AV152/100+AW151</f>
        <v>1317378.0487420976</v>
      </c>
      <c r="AX152" s="6"/>
      <c r="AY152" s="49"/>
      <c r="BA152" s="79"/>
      <c r="BB152" s="20">
        <f t="shared" si="463"/>
        <v>45596</v>
      </c>
      <c r="BC152" s="300">
        <f t="shared" si="173"/>
        <v>-2.1362360160000002</v>
      </c>
      <c r="BD152" s="126">
        <f t="shared" ref="BD152:BD154" si="513">BD151*BC152/100+BD151</f>
        <v>1399345.8818638639</v>
      </c>
      <c r="BE152" s="6"/>
      <c r="BF152" s="49"/>
      <c r="BG152" s="39"/>
      <c r="BH152" s="20">
        <f t="shared" si="464"/>
        <v>45596</v>
      </c>
      <c r="BI152" s="27">
        <v>-2.0355960147945207</v>
      </c>
      <c r="BJ152" s="126">
        <f t="shared" ref="BJ152:BJ154" si="514">BJ151*BI152/100+BJ151</f>
        <v>1072677.0461220914</v>
      </c>
      <c r="BK152" s="6"/>
      <c r="BL152" s="49"/>
      <c r="BN152" s="79"/>
      <c r="BO152" s="20">
        <f t="shared" si="465"/>
        <v>45596</v>
      </c>
      <c r="BP152" s="300">
        <f t="shared" si="200"/>
        <v>-2.2832611680000001</v>
      </c>
      <c r="BQ152" s="126">
        <f t="shared" ref="BQ152:BQ154" si="515">BQ151*BP152/100+BQ151</f>
        <v>1041473.5095333921</v>
      </c>
      <c r="BR152" s="6"/>
      <c r="BS152" s="49"/>
      <c r="BV152" s="39"/>
      <c r="BW152" s="20">
        <f t="shared" si="466"/>
        <v>45596</v>
      </c>
      <c r="BX152" s="27">
        <v>-2.374631511967872</v>
      </c>
      <c r="BY152" s="126">
        <f t="shared" ref="BY152:BY154" si="516">BY151*BX152/100+BY151</f>
        <v>1608927.7112518104</v>
      </c>
      <c r="BZ152" s="6"/>
      <c r="CA152" s="49"/>
      <c r="CC152" s="79"/>
      <c r="CD152" s="20">
        <f t="shared" si="467"/>
        <v>45596</v>
      </c>
      <c r="CE152" s="300">
        <f t="shared" si="174"/>
        <v>-1.9892108640000001</v>
      </c>
      <c r="CF152" s="126">
        <f t="shared" ref="CF152:CF154" si="517">CF151*CE152/100+CF151</f>
        <v>1608246.0469690708</v>
      </c>
      <c r="CG152" s="6"/>
      <c r="CH152" s="49"/>
      <c r="CI152" s="39"/>
    </row>
    <row r="153" spans="1:87" x14ac:dyDescent="0.25">
      <c r="A153" s="20">
        <v>45626</v>
      </c>
      <c r="B153" s="24">
        <f t="shared" si="505"/>
        <v>138</v>
      </c>
      <c r="C153" s="297">
        <f>'LC (Gross)'!X315</f>
        <v>5.530894</v>
      </c>
      <c r="D153" s="297">
        <v>-0.15105740000000001</v>
      </c>
      <c r="E153" s="297">
        <f>'CRA (Gross)'!E153</f>
        <v>1.0571390000000001</v>
      </c>
      <c r="F153" s="297">
        <v>0</v>
      </c>
      <c r="G153" s="39"/>
      <c r="H153" s="20">
        <f t="shared" si="146"/>
        <v>45626</v>
      </c>
      <c r="I153" s="27">
        <v>5.7731186638637473</v>
      </c>
      <c r="J153" s="126">
        <f t="shared" si="506"/>
        <v>2295976.2306464445</v>
      </c>
      <c r="K153" s="6"/>
      <c r="L153" s="49"/>
      <c r="N153" s="79"/>
      <c r="O153" s="20">
        <f t="shared" si="457"/>
        <v>45626</v>
      </c>
      <c r="P153" s="300">
        <f t="shared" si="169"/>
        <v>4.3066136456000006</v>
      </c>
      <c r="Q153" s="126">
        <f t="shared" si="507"/>
        <v>2324753.2087881025</v>
      </c>
      <c r="R153" s="6"/>
      <c r="S153" s="49"/>
      <c r="T153" s="39"/>
      <c r="U153" s="20">
        <f t="shared" si="458"/>
        <v>45626</v>
      </c>
      <c r="V153" s="27">
        <v>5.2602950427658639</v>
      </c>
      <c r="W153" s="126">
        <f t="shared" si="508"/>
        <v>2114254.592578664</v>
      </c>
      <c r="X153" s="6"/>
      <c r="Y153" s="49"/>
      <c r="AA153" s="79"/>
      <c r="AB153" s="20">
        <f t="shared" si="459"/>
        <v>45626</v>
      </c>
      <c r="AC153" s="300">
        <f t="shared" si="171"/>
        <v>3.7058879960000004</v>
      </c>
      <c r="AD153" s="126">
        <f t="shared" si="509"/>
        <v>2052096.9501528093</v>
      </c>
      <c r="AE153" s="6"/>
      <c r="AF153" s="49"/>
      <c r="AG153" s="44"/>
      <c r="AH153" s="20">
        <f t="shared" si="460"/>
        <v>45626</v>
      </c>
      <c r="AI153" s="27">
        <v>4.5495179868709803</v>
      </c>
      <c r="AJ153" s="126">
        <f t="shared" si="510"/>
        <v>1861636.1524984997</v>
      </c>
      <c r="AK153" s="6"/>
      <c r="AL153" s="49"/>
      <c r="AN153" s="79"/>
      <c r="AO153" s="20">
        <f t="shared" si="461"/>
        <v>45626</v>
      </c>
      <c r="AP153" s="300">
        <f t="shared" si="172"/>
        <v>3.0384150520000004</v>
      </c>
      <c r="AQ153" s="126">
        <f t="shared" si="511"/>
        <v>1846317.1881175123</v>
      </c>
      <c r="AR153" s="6"/>
      <c r="AS153" s="49"/>
      <c r="AT153" s="39"/>
      <c r="AU153" s="20">
        <f t="shared" si="462"/>
        <v>45626</v>
      </c>
      <c r="AV153" s="27">
        <v>2.946462210763797</v>
      </c>
      <c r="AW153" s="126">
        <f t="shared" si="512"/>
        <v>1356194.0951211809</v>
      </c>
      <c r="AX153" s="6"/>
      <c r="AY153" s="49"/>
      <c r="BA153" s="79"/>
      <c r="BB153" s="20">
        <f t="shared" si="463"/>
        <v>45626</v>
      </c>
      <c r="BC153" s="300">
        <f t="shared" si="173"/>
        <v>2.0372056360000004</v>
      </c>
      <c r="BD153" s="126">
        <f t="shared" si="513"/>
        <v>1427853.4350363284</v>
      </c>
      <c r="BE153" s="6"/>
      <c r="BF153" s="49"/>
      <c r="BG153" s="39"/>
      <c r="BH153" s="20">
        <f t="shared" si="464"/>
        <v>45626</v>
      </c>
      <c r="BI153" s="27">
        <v>2.3819777407927378</v>
      </c>
      <c r="BJ153" s="126">
        <f t="shared" si="514"/>
        <v>1098227.9745913127</v>
      </c>
      <c r="BK153" s="6"/>
      <c r="BL153" s="49"/>
      <c r="BN153" s="79"/>
      <c r="BO153" s="20">
        <f t="shared" si="465"/>
        <v>45626</v>
      </c>
      <c r="BP153" s="300">
        <f t="shared" si="200"/>
        <v>1.5366009279999999</v>
      </c>
      <c r="BQ153" s="126">
        <f t="shared" si="515"/>
        <v>1057476.8011457564</v>
      </c>
      <c r="BR153" s="6"/>
      <c r="BS153" s="49"/>
      <c r="BV153" s="39"/>
      <c r="BW153" s="20">
        <f t="shared" si="466"/>
        <v>45626</v>
      </c>
      <c r="BX153" s="27">
        <v>3.8098635562260612</v>
      </c>
      <c r="BY153" s="126">
        <f t="shared" si="516"/>
        <v>1670225.6617688152</v>
      </c>
      <c r="BZ153" s="6"/>
      <c r="CA153" s="49"/>
      <c r="CC153" s="79"/>
      <c r="CD153" s="20">
        <f t="shared" si="467"/>
        <v>45626</v>
      </c>
      <c r="CE153" s="300">
        <f t="shared" si="174"/>
        <v>2.5378103439999999</v>
      </c>
      <c r="CF153" s="126">
        <f t="shared" si="517"/>
        <v>1649060.2815060229</v>
      </c>
      <c r="CG153" s="6"/>
      <c r="CH153" s="49"/>
      <c r="CI153" s="39"/>
    </row>
    <row r="154" spans="1:87" x14ac:dyDescent="0.25">
      <c r="A154" s="20">
        <v>45657</v>
      </c>
      <c r="B154" s="24">
        <f t="shared" si="505"/>
        <v>139</v>
      </c>
      <c r="C154" s="297">
        <f>'LC (Gross)'!X316</f>
        <v>-6.2797260000000001</v>
      </c>
      <c r="D154" s="297">
        <v>-2.8079190000000001</v>
      </c>
      <c r="E154" s="297">
        <f>'CRA (Gross)'!E154</f>
        <v>-1.6365229999999999</v>
      </c>
      <c r="F154" s="297">
        <v>0</v>
      </c>
      <c r="G154" s="39"/>
      <c r="H154" s="20">
        <f t="shared" ref="H154" si="518">$A154</f>
        <v>45657</v>
      </c>
      <c r="I154" s="27">
        <v>-5.4898750131691729</v>
      </c>
      <c r="J154" s="126">
        <f t="shared" si="506"/>
        <v>2169930.0052518821</v>
      </c>
      <c r="K154" s="6">
        <f t="shared" ref="K154" si="519">(J154-J$142)/J$142*100</f>
        <v>9.3593624780366529</v>
      </c>
      <c r="L154" s="49">
        <f t="shared" ref="L154" si="520">(J154/J151-1)*100</f>
        <v>-2.7731263456472588</v>
      </c>
      <c r="N154" s="79"/>
      <c r="O154" s="20">
        <f t="shared" si="457"/>
        <v>45657</v>
      </c>
      <c r="P154" s="300">
        <f t="shared" si="169"/>
        <v>-5.4736573079999999</v>
      </c>
      <c r="Q154" s="126">
        <f t="shared" si="507"/>
        <v>2197504.1848823079</v>
      </c>
      <c r="R154" s="6">
        <f t="shared" ref="R154" si="521">(Q154-Q$142)/Q$142*100</f>
        <v>12.238329850422058</v>
      </c>
      <c r="S154" s="49">
        <f t="shared" ref="S154" si="522">(Q154/Q151-1)*100</f>
        <v>-2.8518780661946352</v>
      </c>
      <c r="T154" s="39"/>
      <c r="U154" s="20">
        <f t="shared" si="458"/>
        <v>45657</v>
      </c>
      <c r="V154" s="27">
        <v>-4.9633184899931324</v>
      </c>
      <c r="W154" s="126">
        <f t="shared" si="508"/>
        <v>2009317.4034596782</v>
      </c>
      <c r="X154" s="6">
        <f t="shared" ref="X154" si="523">(W154-W$142)/W$142*100</f>
        <v>9.6275561432765162</v>
      </c>
      <c r="Y154" s="49">
        <f t="shared" ref="Y154" si="524">(W154/W151-1)*100</f>
        <v>-2.4269720714429455</v>
      </c>
      <c r="AA154" s="79"/>
      <c r="AB154" s="20">
        <f t="shared" si="459"/>
        <v>45657</v>
      </c>
      <c r="AC154" s="300">
        <f>64%*$C154+16%*$D154+18%*$E154+2%*$F154</f>
        <v>-4.76286582</v>
      </c>
      <c r="AD154" s="126">
        <f t="shared" si="509"/>
        <v>1954358.3259207187</v>
      </c>
      <c r="AE154" s="6">
        <f t="shared" ref="AE154" si="525">(AD154-AD$142)/AD$142*100</f>
        <v>10.1784525019588</v>
      </c>
      <c r="AF154" s="49">
        <f t="shared" ref="AF154" si="526">(AD154/AD151-1)*100</f>
        <v>-2.8593314440984008</v>
      </c>
      <c r="AG154" s="44"/>
      <c r="AH154" s="20">
        <f t="shared" si="460"/>
        <v>45657</v>
      </c>
      <c r="AI154" s="27">
        <v>-4.4664971083293263</v>
      </c>
      <c r="AJ154" s="126">
        <f t="shared" si="510"/>
        <v>1778486.2275795408</v>
      </c>
      <c r="AK154" s="6">
        <f t="shared" ref="AK154" si="527">(AJ154-AJ$142)/AJ$142*100</f>
        <v>8.5046095080816571</v>
      </c>
      <c r="AL154" s="49">
        <f t="shared" ref="AL154" si="528">(AJ154/AJ151-1)*100</f>
        <v>-2.6506614571377263</v>
      </c>
      <c r="AN154" s="79"/>
      <c r="AO154" s="20">
        <f t="shared" si="461"/>
        <v>45657</v>
      </c>
      <c r="AP154" s="300">
        <f t="shared" si="172"/>
        <v>-3.9730975000000002</v>
      </c>
      <c r="AQ154" s="126">
        <f t="shared" si="511"/>
        <v>1772961.2060743452</v>
      </c>
      <c r="AR154" s="6">
        <f t="shared" ref="AR154" si="529">(AQ154-AQ$142)/AQ$142*100</f>
        <v>7.9090050893194856</v>
      </c>
      <c r="AS154" s="49">
        <f t="shared" ref="AS154" si="530">(AQ154/AQ151-1)*100</f>
        <v>-2.8781448942456711</v>
      </c>
      <c r="AT154" s="39"/>
      <c r="AU154" s="20">
        <f t="shared" si="462"/>
        <v>45657</v>
      </c>
      <c r="AV154" s="27">
        <v>-3.8771632226781381</v>
      </c>
      <c r="AW154" s="126">
        <f t="shared" si="512"/>
        <v>1303612.2364370099</v>
      </c>
      <c r="AX154" s="6">
        <f t="shared" ref="AX154" si="531">(AW154-AW$142)/AW$142*100</f>
        <v>5.4901281327591196</v>
      </c>
      <c r="AY154" s="49">
        <f t="shared" ref="AY154" si="532">(AW154/AW151-1)*100</f>
        <v>-3.1192738217128757</v>
      </c>
      <c r="BA154" s="79"/>
      <c r="BB154" s="20">
        <f t="shared" si="463"/>
        <v>45657</v>
      </c>
      <c r="BC154" s="300">
        <f t="shared" si="173"/>
        <v>-2.7884450200000002</v>
      </c>
      <c r="BD154" s="126">
        <f t="shared" si="513"/>
        <v>1388038.5270341591</v>
      </c>
      <c r="BE154" s="6">
        <f t="shared" ref="BE154" si="533">(BD154-BD$142)/BD$142*100</f>
        <v>4.5441976785194393</v>
      </c>
      <c r="BF154" s="49">
        <f t="shared" ref="BF154" si="534">(BD154/BD151-1)*100</f>
        <v>-2.9270199949142484</v>
      </c>
      <c r="BG154" s="39"/>
      <c r="BH154" s="20">
        <f t="shared" si="464"/>
        <v>45657</v>
      </c>
      <c r="BI154" s="27">
        <v>-3.1747222383310967</v>
      </c>
      <c r="BJ154" s="126">
        <f t="shared" si="514"/>
        <v>1063362.2868543891</v>
      </c>
      <c r="BK154" s="6">
        <f t="shared" ref="BK154" si="535">(BJ154-BJ$142)/BJ$142*100</f>
        <v>4.1870936029491874</v>
      </c>
      <c r="BL154" s="49">
        <f t="shared" ref="BL154" si="536">(BJ154/BJ151-1)*100</f>
        <v>-2.8862852723161692</v>
      </c>
      <c r="BN154" s="79"/>
      <c r="BO154" s="20">
        <f t="shared" si="465"/>
        <v>45657</v>
      </c>
      <c r="BP154" s="300">
        <f t="shared" si="200"/>
        <v>-2.1961187799999999</v>
      </c>
      <c r="BQ154" s="126">
        <f t="shared" si="515"/>
        <v>1034253.3545216512</v>
      </c>
      <c r="BR154" s="6">
        <f t="shared" ref="BR154" si="537">(BQ154-BQ$142)/BQ$142*100</f>
        <v>2.8800227429827374</v>
      </c>
      <c r="BS154" s="49">
        <f t="shared" ref="BS154" si="538">(BQ154/BQ151-1)*100</f>
        <v>-2.9606955867832019</v>
      </c>
      <c r="BV154" s="39"/>
      <c r="BW154" s="20">
        <f t="shared" si="466"/>
        <v>45657</v>
      </c>
      <c r="BX154" s="27">
        <v>-4.2821363626743985</v>
      </c>
      <c r="BY154" s="126">
        <f t="shared" si="516"/>
        <v>1598704.3213674936</v>
      </c>
      <c r="BZ154" s="6">
        <f>(BY154-BY$142)/BY$142*100</f>
        <v>6.9729975316543431</v>
      </c>
      <c r="CA154" s="49">
        <f t="shared" ref="CA154" si="539">(BY154/BY151-1)*100</f>
        <v>-2.9949590740288912</v>
      </c>
      <c r="CC154" s="79"/>
      <c r="CD154" s="20">
        <f t="shared" si="467"/>
        <v>45657</v>
      </c>
      <c r="CE154" s="300">
        <f t="shared" si="174"/>
        <v>-3.3807712599999999</v>
      </c>
      <c r="CF154" s="126">
        <f t="shared" si="517"/>
        <v>1593309.3254487922</v>
      </c>
      <c r="CG154" s="6">
        <f>(CF154-CF$142)/CF$142*100</f>
        <v>6.2206026085957769</v>
      </c>
      <c r="CH154" s="49">
        <f t="shared" ref="CH154" si="540">(CF154/CF151-1)*100</f>
        <v>-2.8994943781837867</v>
      </c>
      <c r="CI154" s="39"/>
    </row>
    <row r="155" spans="1:87" x14ac:dyDescent="0.25">
      <c r="A155" s="20">
        <v>45688</v>
      </c>
      <c r="B155" s="24">
        <f t="shared" ref="B155:B157" si="541">IF(A155&gt;A154,1+B154,"-")</f>
        <v>140</v>
      </c>
      <c r="C155" s="297">
        <f>'LC (Gross)'!X317</f>
        <v>2.086773</v>
      </c>
      <c r="D155" s="297">
        <v>3.4575459999999998</v>
      </c>
      <c r="E155" s="297">
        <f>'CRA (Gross)'!E155</f>
        <v>0.53037190000000001</v>
      </c>
      <c r="F155" s="297">
        <v>0</v>
      </c>
      <c r="G155" s="39"/>
      <c r="H155" s="20">
        <f t="shared" si="146"/>
        <v>45688</v>
      </c>
      <c r="I155" s="27">
        <v>3.654426694259171</v>
      </c>
      <c r="J155" s="126">
        <f t="shared" ref="J155:J157" si="542">J154*I155/100+J154</f>
        <v>2249228.5066105463</v>
      </c>
      <c r="K155" s="6"/>
      <c r="L155" s="49"/>
      <c r="N155" s="79"/>
      <c r="O155" s="20">
        <f t="shared" si="457"/>
        <v>45688</v>
      </c>
      <c r="P155" s="300">
        <f t="shared" si="169"/>
        <v>2.3137090480000002</v>
      </c>
      <c r="Q155" s="126">
        <f t="shared" ref="Q155:Q157" si="543">Q154*P155/100+Q154</f>
        <v>2248348.0380381085</v>
      </c>
      <c r="R155" s="6"/>
      <c r="S155" s="49"/>
      <c r="T155" s="39"/>
      <c r="U155" s="20">
        <f t="shared" si="458"/>
        <v>45688</v>
      </c>
      <c r="V155" s="27">
        <v>3.3855230856580314</v>
      </c>
      <c r="W155" s="126">
        <f t="shared" ref="W155:W157" si="544">W154*V155/100+W154</f>
        <v>2077343.30801795</v>
      </c>
      <c r="X155" s="6"/>
      <c r="Y155" s="49"/>
      <c r="AA155" s="79"/>
      <c r="AB155" s="20">
        <f t="shared" si="459"/>
        <v>45688</v>
      </c>
      <c r="AC155" s="300">
        <f t="shared" si="171"/>
        <v>1.9842090220000002</v>
      </c>
      <c r="AD155" s="126">
        <f t="shared" ref="AD155:AD157" si="545">AD154*AC155/100+AD154</f>
        <v>1993136.8801458457</v>
      </c>
      <c r="AE155" s="6"/>
      <c r="AF155" s="49"/>
      <c r="AG155" s="44"/>
      <c r="AH155" s="20">
        <f t="shared" si="460"/>
        <v>45688</v>
      </c>
      <c r="AI155" s="27">
        <v>2.9293558765623278</v>
      </c>
      <c r="AJ155" s="126">
        <f t="shared" ref="AJ155:AJ157" si="546">AJ154*AI155/100+AJ154</f>
        <v>1830584.4184009938</v>
      </c>
      <c r="AK155" s="6"/>
      <c r="AL155" s="49"/>
      <c r="AN155" s="79"/>
      <c r="AO155" s="20">
        <f t="shared" si="461"/>
        <v>45688</v>
      </c>
      <c r="AP155" s="300">
        <f t="shared" si="172"/>
        <v>1.618097882</v>
      </c>
      <c r="AQ155" s="126">
        <f t="shared" ref="AQ155:AQ157" si="547">AQ154*AP155/100+AQ154</f>
        <v>1801649.4537985157</v>
      </c>
      <c r="AR155" s="6"/>
      <c r="AS155" s="49"/>
      <c r="AT155" s="39"/>
      <c r="AU155" s="20">
        <f t="shared" si="462"/>
        <v>45688</v>
      </c>
      <c r="AV155" s="27">
        <v>2.5614600309296387</v>
      </c>
      <c r="AW155" s="126">
        <f t="shared" ref="AW155:AW157" si="548">AW154*AV155/100+AW154</f>
        <v>1337003.7428316518</v>
      </c>
      <c r="AX155" s="6"/>
      <c r="AY155" s="49"/>
      <c r="BA155" s="79"/>
      <c r="BB155" s="20">
        <f t="shared" si="463"/>
        <v>45688</v>
      </c>
      <c r="BC155" s="300">
        <f t="shared" si="173"/>
        <v>1.0689311720000001</v>
      </c>
      <c r="BD155" s="126">
        <f t="shared" ref="BD155:BD157" si="549">BD154*BC155/100+BD154</f>
        <v>1402875.7035289968</v>
      </c>
      <c r="BE155" s="6"/>
      <c r="BF155" s="49"/>
      <c r="BG155" s="39"/>
      <c r="BH155" s="20">
        <f t="shared" si="464"/>
        <v>45688</v>
      </c>
      <c r="BI155" s="27">
        <v>1.9442336362810266</v>
      </c>
      <c r="BJ155" s="126">
        <f t="shared" ref="BJ155:BJ157" si="550">BJ154*BI155/100+BJ154</f>
        <v>1084036.5341109394</v>
      </c>
      <c r="BK155" s="6"/>
      <c r="BL155" s="49"/>
      <c r="BN155" s="79"/>
      <c r="BO155" s="20">
        <f t="shared" si="465"/>
        <v>45688</v>
      </c>
      <c r="BP155" s="300">
        <f t="shared" si="200"/>
        <v>0.79434781700000001</v>
      </c>
      <c r="BQ155" s="126">
        <f t="shared" ref="BQ155:BQ157" si="551">BQ154*BP155/100+BQ154</f>
        <v>1042468.9234655432</v>
      </c>
      <c r="BR155" s="6"/>
      <c r="BS155" s="49"/>
      <c r="BV155" s="39"/>
      <c r="BW155" s="20"/>
      <c r="BX155" s="27"/>
      <c r="BY155" s="126"/>
      <c r="BZ155" s="6"/>
      <c r="CA155" s="49"/>
    </row>
    <row r="156" spans="1:87" x14ac:dyDescent="0.25">
      <c r="A156" s="20">
        <v>45716</v>
      </c>
      <c r="B156" s="24">
        <f t="shared" si="541"/>
        <v>141</v>
      </c>
      <c r="C156" s="297">
        <f>'LC (Gross)'!X318</f>
        <v>4.6701800000000002</v>
      </c>
      <c r="D156" s="297">
        <v>3.1046390000000001</v>
      </c>
      <c r="E156" s="297">
        <f>'CRA (Gross)'!E156</f>
        <v>2.200269</v>
      </c>
      <c r="F156" s="297">
        <v>0</v>
      </c>
      <c r="G156" s="39"/>
      <c r="H156" s="20">
        <f t="shared" ref="H156:H166" si="552">$A156</f>
        <v>45716</v>
      </c>
      <c r="I156" s="27">
        <v>-0.76416150736720811</v>
      </c>
      <c r="J156" s="126">
        <f t="shared" si="542"/>
        <v>2232040.7681502984</v>
      </c>
      <c r="K156" s="6"/>
      <c r="L156" s="49"/>
      <c r="N156" s="79"/>
      <c r="O156" s="20">
        <f t="shared" si="457"/>
        <v>45716</v>
      </c>
      <c r="P156" s="300">
        <f t="shared" si="169"/>
        <v>4.2699303640000004</v>
      </c>
      <c r="Q156" s="126">
        <f t="shared" si="543"/>
        <v>2344350.9336026958</v>
      </c>
      <c r="R156" s="6"/>
      <c r="S156" s="49"/>
      <c r="T156" s="39"/>
      <c r="U156" s="20">
        <f t="shared" si="458"/>
        <v>45716</v>
      </c>
      <c r="V156" s="27">
        <v>-0.60150230013066175</v>
      </c>
      <c r="W156" s="126">
        <f t="shared" si="544"/>
        <v>2064848.0402386116</v>
      </c>
      <c r="X156" s="6"/>
      <c r="Y156" s="49"/>
      <c r="AA156" s="79"/>
      <c r="AB156" s="20">
        <f t="shared" si="459"/>
        <v>45716</v>
      </c>
      <c r="AC156" s="300">
        <f t="shared" si="171"/>
        <v>3.8817058600000003</v>
      </c>
      <c r="AD156" s="126">
        <f t="shared" si="545"/>
        <v>2070504.5912202881</v>
      </c>
      <c r="AE156" s="6"/>
      <c r="AF156" s="49"/>
      <c r="AG156" s="44"/>
      <c r="AH156" s="20">
        <f t="shared" si="460"/>
        <v>45716</v>
      </c>
      <c r="AI156" s="27">
        <v>-0.16753656050391166</v>
      </c>
      <c r="AJ156" s="126">
        <f t="shared" si="546"/>
        <v>1827517.5202292842</v>
      </c>
      <c r="AK156" s="6"/>
      <c r="AL156" s="49"/>
      <c r="AN156" s="79"/>
      <c r="AO156" s="20">
        <f t="shared" si="461"/>
        <v>45716</v>
      </c>
      <c r="AP156" s="300">
        <f t="shared" si="172"/>
        <v>3.4503452999999999</v>
      </c>
      <c r="AQ156" s="126">
        <f t="shared" si="547"/>
        <v>1863812.5810501284</v>
      </c>
      <c r="AR156" s="6"/>
      <c r="AS156" s="49"/>
      <c r="AT156" s="39"/>
      <c r="AU156" s="20">
        <f t="shared" si="462"/>
        <v>45716</v>
      </c>
      <c r="AV156" s="27">
        <v>0.27646538098744455</v>
      </c>
      <c r="AW156" s="126">
        <f t="shared" si="548"/>
        <v>1340700.0953230876</v>
      </c>
      <c r="AX156" s="6"/>
      <c r="AY156" s="49"/>
      <c r="BA156" s="79"/>
      <c r="BB156" s="20">
        <f t="shared" si="463"/>
        <v>45716</v>
      </c>
      <c r="BC156" s="300">
        <f t="shared" si="173"/>
        <v>2.8033044600000001</v>
      </c>
      <c r="BD156" s="126">
        <f t="shared" si="549"/>
        <v>1442202.5806942815</v>
      </c>
      <c r="BE156" s="6"/>
      <c r="BF156" s="49"/>
      <c r="BG156" s="39"/>
      <c r="BH156" s="20">
        <f t="shared" si="464"/>
        <v>45716</v>
      </c>
      <c r="BI156" s="27">
        <v>0.97500687195904734</v>
      </c>
      <c r="BJ156" s="126">
        <f t="shared" si="550"/>
        <v>1094605.9648130678</v>
      </c>
      <c r="BK156" s="6"/>
      <c r="BL156" s="49"/>
      <c r="BN156" s="79"/>
      <c r="BO156" s="20">
        <f t="shared" si="465"/>
        <v>45716</v>
      </c>
      <c r="BP156" s="300">
        <f t="shared" si="200"/>
        <v>2.4797840399999997</v>
      </c>
      <c r="BQ156" s="126">
        <f t="shared" si="551"/>
        <v>1068319.9014516016</v>
      </c>
      <c r="BR156" s="6"/>
      <c r="BS156" s="49"/>
      <c r="BV156" s="39"/>
      <c r="BW156" s="20"/>
      <c r="BX156" s="27"/>
      <c r="BY156" s="126"/>
      <c r="BZ156" s="6"/>
      <c r="CA156" s="49"/>
    </row>
    <row r="157" spans="1:87" x14ac:dyDescent="0.25">
      <c r="A157" s="20">
        <v>45747</v>
      </c>
      <c r="B157" s="24">
        <f t="shared" si="541"/>
        <v>142</v>
      </c>
      <c r="C157" s="297">
        <f>'LC (Gross)'!X319</f>
        <v>0.38105159999999999</v>
      </c>
      <c r="D157" s="297">
        <v>2.7507549999999998</v>
      </c>
      <c r="E157" s="297">
        <f>'CRA (Gross)'!E157</f>
        <v>3.7793569999999999E-2</v>
      </c>
      <c r="F157" s="297">
        <v>0</v>
      </c>
      <c r="G157" s="39"/>
      <c r="H157" s="20">
        <f t="shared" si="552"/>
        <v>45747</v>
      </c>
      <c r="I157" s="27">
        <v>-1.9497608097263628</v>
      </c>
      <c r="J157" s="126">
        <f t="shared" si="542"/>
        <v>2188521.3119957885</v>
      </c>
      <c r="K157" s="6"/>
      <c r="L157" s="49">
        <f>(J157/J154-1)*100</f>
        <v>0.85676988192751047</v>
      </c>
      <c r="N157" s="79"/>
      <c r="O157" s="20">
        <f t="shared" si="457"/>
        <v>45747</v>
      </c>
      <c r="P157" s="300">
        <f t="shared" si="169"/>
        <v>0.83789243440000005</v>
      </c>
      <c r="Q157" s="126">
        <f t="shared" si="543"/>
        <v>2363994.0727111385</v>
      </c>
      <c r="R157" s="6"/>
      <c r="S157" s="49">
        <f>(Q157/Q154-1)*100</f>
        <v>7.5763172136005474</v>
      </c>
      <c r="T157" s="39"/>
      <c r="U157" s="20">
        <f t="shared" si="458"/>
        <v>45747</v>
      </c>
      <c r="V157" s="27">
        <v>-1.7554078518622143</v>
      </c>
      <c r="W157" s="126">
        <f t="shared" si="544"/>
        <v>2028601.53561124</v>
      </c>
      <c r="X157" s="6"/>
      <c r="Y157" s="49">
        <f>(W157/W154-1)*100</f>
        <v>0.95973548620831295</v>
      </c>
      <c r="AA157" s="79"/>
      <c r="AB157" s="20">
        <f t="shared" si="459"/>
        <v>45747</v>
      </c>
      <c r="AC157" s="300">
        <f>64%*$C157+16%*$D157+18%*$E157+2%*$F157</f>
        <v>0.69079666659999994</v>
      </c>
      <c r="AD157" s="126">
        <f t="shared" si="545"/>
        <v>2084807.5679182378</v>
      </c>
      <c r="AE157" s="6"/>
      <c r="AF157" s="49">
        <f>(AD157/AD154-1)*100</f>
        <v>6.6747863105432792</v>
      </c>
      <c r="AG157" s="44"/>
      <c r="AH157" s="20">
        <f t="shared" si="460"/>
        <v>45747</v>
      </c>
      <c r="AI157" s="27">
        <v>-0.9353850633826859</v>
      </c>
      <c r="AJ157" s="126">
        <f t="shared" si="546"/>
        <v>1810423.1943143578</v>
      </c>
      <c r="AK157" s="6"/>
      <c r="AL157" s="49">
        <f>(AJ157/AJ154-1)*100</f>
        <v>1.7957387715215711</v>
      </c>
      <c r="AN157" s="79"/>
      <c r="AO157" s="20">
        <f t="shared" si="461"/>
        <v>45747</v>
      </c>
      <c r="AP157" s="300">
        <f t="shared" si="172"/>
        <v>0.52735692459999994</v>
      </c>
      <c r="AQ157" s="126">
        <f t="shared" si="547"/>
        <v>1873641.5257578623</v>
      </c>
      <c r="AR157" s="6"/>
      <c r="AS157" s="49">
        <f>(AQ157/AQ154-1)*100</f>
        <v>5.6786532800929823</v>
      </c>
      <c r="AT157" s="39"/>
      <c r="AU157" s="20">
        <f t="shared" si="462"/>
        <v>45747</v>
      </c>
      <c r="AV157" s="27">
        <v>-0.72056928877823767</v>
      </c>
      <c r="AW157" s="126">
        <f t="shared" si="548"/>
        <v>1331039.4221815688</v>
      </c>
      <c r="AX157" s="6"/>
      <c r="AY157" s="49">
        <f>(AW157/AW154-1)*100</f>
        <v>2.1039374269393285</v>
      </c>
      <c r="BA157" s="79"/>
      <c r="BB157" s="20">
        <f t="shared" si="463"/>
        <v>45747</v>
      </c>
      <c r="BC157" s="300">
        <f t="shared" si="173"/>
        <v>0.28219731159999994</v>
      </c>
      <c r="BD157" s="126">
        <f t="shared" si="549"/>
        <v>1446272.4376048266</v>
      </c>
      <c r="BE157" s="6"/>
      <c r="BF157" s="49">
        <f>(BD157/BD154-1)*100</f>
        <v>4.1954102452110398</v>
      </c>
      <c r="BG157" s="39"/>
      <c r="BH157" s="20">
        <f t="shared" si="464"/>
        <v>45747</v>
      </c>
      <c r="BI157" s="27">
        <v>-0.26113794518222599</v>
      </c>
      <c r="BJ157" s="126">
        <f t="shared" si="550"/>
        <v>1091747.5332887128</v>
      </c>
      <c r="BK157" s="6"/>
      <c r="BL157" s="49">
        <f>(BJ157/BJ154-1)*100</f>
        <v>2.6693862275567692</v>
      </c>
      <c r="BN157" s="79"/>
      <c r="BO157" s="20">
        <f t="shared" si="465"/>
        <v>45747</v>
      </c>
      <c r="BP157" s="300">
        <f t="shared" si="200"/>
        <v>0.15961750509999997</v>
      </c>
      <c r="BQ157" s="126">
        <f t="shared" si="551"/>
        <v>1070025.1270247854</v>
      </c>
      <c r="BR157" s="6"/>
      <c r="BS157" s="49">
        <f>(BQ157/BQ154-1)*100</f>
        <v>3.4587050017042431</v>
      </c>
      <c r="BV157" s="39"/>
      <c r="BW157" s="20"/>
      <c r="BX157" s="27"/>
      <c r="BY157" s="126"/>
      <c r="BZ157" s="6"/>
      <c r="CA157" s="49"/>
    </row>
    <row r="158" spans="1:87" x14ac:dyDescent="0.25">
      <c r="A158" s="20">
        <v>45777</v>
      </c>
      <c r="B158" s="24">
        <f t="shared" ref="B158:B160" si="553">IF(A158&gt;A157,1+B157,"-")</f>
        <v>143</v>
      </c>
      <c r="C158" s="297">
        <f>'LC (Gross)'!X320</f>
        <v>-2.3116509999999999</v>
      </c>
      <c r="D158" s="297">
        <v>6.1504240000000001</v>
      </c>
      <c r="E158" s="297">
        <f>'CRA (Gross)'!E158</f>
        <v>0.39290459999999999</v>
      </c>
      <c r="F158" s="297">
        <v>0</v>
      </c>
      <c r="G158" s="39"/>
      <c r="H158" s="20">
        <f t="shared" si="552"/>
        <v>45777</v>
      </c>
      <c r="I158" s="27">
        <v>-1.3365620510146166</v>
      </c>
      <c r="J158" s="126">
        <f t="shared" ref="J158:J160" si="554">J157*I158/100+J157</f>
        <v>2159270.3666612855</v>
      </c>
      <c r="K158" s="6"/>
      <c r="L158" s="49"/>
      <c r="N158" s="79"/>
      <c r="O158" s="20">
        <f t="shared" si="457"/>
        <v>45777</v>
      </c>
      <c r="P158" s="300">
        <f t="shared" si="169"/>
        <v>-0.60685127999999988</v>
      </c>
      <c r="Q158" s="126">
        <f t="shared" ref="Q158:Q160" si="555">Q157*P158/100+Q157</f>
        <v>2349648.144421767</v>
      </c>
      <c r="R158" s="6"/>
      <c r="S158" s="49"/>
      <c r="T158" s="39"/>
      <c r="U158" s="20">
        <f t="shared" si="458"/>
        <v>45777</v>
      </c>
      <c r="V158" s="27">
        <v>-1.2205485501440445</v>
      </c>
      <c r="W158" s="126">
        <f t="shared" ref="W158:W160" si="556">W157*V158/100+W157</f>
        <v>2003841.4689801373</v>
      </c>
      <c r="X158" s="6"/>
      <c r="Y158" s="49"/>
      <c r="AA158" s="79"/>
      <c r="AB158" s="20">
        <f t="shared" si="459"/>
        <v>45777</v>
      </c>
      <c r="AC158" s="300">
        <f t="shared" si="171"/>
        <v>-0.42466597199999995</v>
      </c>
      <c r="AD158" s="126">
        <f t="shared" ref="AD158:AD160" si="557">AD157*AC158/100+AD157</f>
        <v>2075954.0995956082</v>
      </c>
      <c r="AE158" s="6"/>
      <c r="AF158" s="49"/>
      <c r="AG158" s="44"/>
      <c r="AH158" s="20">
        <f t="shared" si="460"/>
        <v>45777</v>
      </c>
      <c r="AI158" s="27">
        <v>-0.95065287451975011</v>
      </c>
      <c r="AJ158" s="126">
        <f t="shared" ref="AJ158:AJ160" si="558">AJ157*AI158/100+AJ157</f>
        <v>1793212.3541766361</v>
      </c>
      <c r="AK158" s="6"/>
      <c r="AL158" s="49"/>
      <c r="AN158" s="79"/>
      <c r="AO158" s="20">
        <f t="shared" si="461"/>
        <v>45777</v>
      </c>
      <c r="AP158" s="300">
        <f t="shared" si="172"/>
        <v>-0.22223785199999993</v>
      </c>
      <c r="AQ158" s="126">
        <f t="shared" ref="AQ158:AQ160" si="559">AQ157*AP158/100+AQ157</f>
        <v>1869477.585076838</v>
      </c>
      <c r="AR158" s="6"/>
      <c r="AS158" s="49"/>
      <c r="AT158" s="39"/>
      <c r="AU158" s="20">
        <f t="shared" si="462"/>
        <v>45777</v>
      </c>
      <c r="AV158" s="27">
        <v>-0.66504862102665607</v>
      </c>
      <c r="AW158" s="126">
        <f t="shared" ref="AW158:AW160" si="560">AW157*AV158/100+AW157</f>
        <v>1322187.3628590291</v>
      </c>
      <c r="AX158" s="6"/>
      <c r="AY158" s="49"/>
      <c r="BA158" s="79"/>
      <c r="BB158" s="20">
        <f t="shared" si="463"/>
        <v>45777</v>
      </c>
      <c r="BC158" s="300">
        <f t="shared" si="173"/>
        <v>8.1404328000000081E-2</v>
      </c>
      <c r="BD158" s="126">
        <f t="shared" ref="BD158:BD160" si="561">BD157*BC158/100+BD157</f>
        <v>1447449.7659637081</v>
      </c>
      <c r="BE158" s="6"/>
      <c r="BF158" s="49"/>
      <c r="BG158" s="39"/>
      <c r="BH158" s="20">
        <f t="shared" si="464"/>
        <v>45777</v>
      </c>
      <c r="BI158" s="27">
        <v>-0.10578134420124621</v>
      </c>
      <c r="BJ158" s="126">
        <f t="shared" ref="BJ158:BJ160" si="562">BJ157*BI158/100+BJ157</f>
        <v>1090592.6680727161</v>
      </c>
      <c r="BK158" s="6"/>
      <c r="BL158" s="49"/>
      <c r="BN158" s="79"/>
      <c r="BO158" s="20">
        <f t="shared" si="465"/>
        <v>45777</v>
      </c>
      <c r="BP158" s="300">
        <f t="shared" si="200"/>
        <v>0.23322541799999999</v>
      </c>
      <c r="BQ158" s="126">
        <f t="shared" ref="BQ158:BQ160" si="563">BQ157*BP158/100+BQ157</f>
        <v>1072520.697599994</v>
      </c>
      <c r="BR158" s="6"/>
      <c r="BS158" s="49"/>
      <c r="BV158" s="39"/>
    </row>
    <row r="159" spans="1:87" x14ac:dyDescent="0.25">
      <c r="A159" s="20">
        <v>45808</v>
      </c>
      <c r="B159" s="24">
        <f t="shared" si="553"/>
        <v>144</v>
      </c>
      <c r="C159" s="297">
        <f>'LC (Gross)'!X321</f>
        <v>1.1138459999999999</v>
      </c>
      <c r="D159" s="297">
        <v>2.2890229999999998</v>
      </c>
      <c r="E159" s="297">
        <f>'CRA (Gross)'!E159</f>
        <v>-0.71588269999999998</v>
      </c>
      <c r="F159" s="297">
        <v>0</v>
      </c>
      <c r="G159" s="39"/>
      <c r="H159" s="20">
        <f t="shared" si="552"/>
        <v>45808</v>
      </c>
      <c r="I159" s="27">
        <v>2.4911879992714971</v>
      </c>
      <c r="J159" s="126">
        <f t="shared" si="554"/>
        <v>2213061.850907377</v>
      </c>
      <c r="K159" s="6"/>
      <c r="L159" s="49"/>
      <c r="N159" s="79"/>
      <c r="O159" s="20">
        <f t="shared" si="457"/>
        <v>45808</v>
      </c>
      <c r="P159" s="300">
        <f t="shared" si="169"/>
        <v>1.321903772</v>
      </c>
      <c r="Q159" s="126">
        <f t="shared" si="555"/>
        <v>2380708.2318716063</v>
      </c>
      <c r="R159" s="6"/>
      <c r="S159" s="49"/>
      <c r="T159" s="39"/>
      <c r="U159" s="20">
        <f t="shared" si="458"/>
        <v>45808</v>
      </c>
      <c r="V159" s="27">
        <v>2.1214989565559645</v>
      </c>
      <c r="W159" s="126">
        <f t="shared" si="556"/>
        <v>2046352.9448355865</v>
      </c>
      <c r="X159" s="6"/>
      <c r="Y159" s="49"/>
      <c r="AA159" s="79"/>
      <c r="AB159" s="20">
        <f t="shared" si="459"/>
        <v>45808</v>
      </c>
      <c r="AC159" s="300">
        <f t="shared" si="171"/>
        <v>0.95024623399999997</v>
      </c>
      <c r="AD159" s="126">
        <f t="shared" si="557"/>
        <v>2095680.7752465841</v>
      </c>
      <c r="AE159" s="6"/>
      <c r="AF159" s="49"/>
      <c r="AG159" s="44"/>
      <c r="AH159" s="20">
        <f t="shared" si="460"/>
        <v>45808</v>
      </c>
      <c r="AI159" s="27">
        <v>1.6022050109797852</v>
      </c>
      <c r="AJ159" s="126">
        <f t="shared" si="558"/>
        <v>1821943.2923727627</v>
      </c>
      <c r="AK159" s="6"/>
      <c r="AL159" s="49"/>
      <c r="AN159" s="79"/>
      <c r="AO159" s="20">
        <f t="shared" si="461"/>
        <v>45808</v>
      </c>
      <c r="AP159" s="300">
        <f t="shared" si="172"/>
        <v>0.53729341399999986</v>
      </c>
      <c r="AQ159" s="126">
        <f t="shared" si="559"/>
        <v>1879522.1650176621</v>
      </c>
      <c r="AR159" s="6"/>
      <c r="AS159" s="49"/>
      <c r="AT159" s="39"/>
      <c r="AU159" s="20">
        <f t="shared" si="462"/>
        <v>45808</v>
      </c>
      <c r="AV159" s="27">
        <v>0.98668593057990162</v>
      </c>
      <c r="AW159" s="126">
        <f t="shared" si="560"/>
        <v>1335233.1995442645</v>
      </c>
      <c r="AX159" s="6"/>
      <c r="AY159" s="49"/>
      <c r="BA159" s="79"/>
      <c r="BB159" s="20">
        <f t="shared" si="463"/>
        <v>45808</v>
      </c>
      <c r="BC159" s="300">
        <f t="shared" si="173"/>
        <v>-8.2135816000000084E-2</v>
      </c>
      <c r="BD159" s="126">
        <f t="shared" si="561"/>
        <v>1446260.8912872437</v>
      </c>
      <c r="BE159" s="6"/>
      <c r="BF159" s="49"/>
      <c r="BG159" s="39"/>
      <c r="BH159" s="20">
        <f t="shared" si="464"/>
        <v>45808</v>
      </c>
      <c r="BI159" s="27">
        <v>0.28348453371178867</v>
      </c>
      <c r="BJ159" s="126">
        <f t="shared" si="562"/>
        <v>1093684.329612497</v>
      </c>
      <c r="BK159" s="6"/>
      <c r="BL159" s="49"/>
      <c r="BN159" s="79"/>
      <c r="BO159" s="20">
        <f t="shared" si="465"/>
        <v>45808</v>
      </c>
      <c r="BP159" s="300">
        <f t="shared" si="200"/>
        <v>-0.391850431</v>
      </c>
      <c r="BQ159" s="126">
        <f t="shared" si="563"/>
        <v>1068318.0206238842</v>
      </c>
      <c r="BR159" s="6"/>
      <c r="BS159" s="49"/>
      <c r="BV159" s="39"/>
    </row>
    <row r="160" spans="1:87" x14ac:dyDescent="0.25">
      <c r="A160" s="20">
        <v>45838</v>
      </c>
      <c r="B160" s="24">
        <f t="shared" si="553"/>
        <v>145</v>
      </c>
      <c r="C160" s="297">
        <f>'LC (Gross)'!X322</f>
        <v>-0.75421139999999998</v>
      </c>
      <c r="D160" s="297">
        <v>1.2688630000000001</v>
      </c>
      <c r="E160" s="297">
        <f>'CRA (Gross)'!E160</f>
        <v>1.537515</v>
      </c>
      <c r="F160" s="297">
        <v>0</v>
      </c>
      <c r="G160" s="39"/>
      <c r="H160" s="20">
        <f t="shared" si="552"/>
        <v>45838</v>
      </c>
      <c r="I160" s="27">
        <v>1.7329176955614751</v>
      </c>
      <c r="J160" s="126">
        <f t="shared" si="554"/>
        <v>2251412.3913354711</v>
      </c>
      <c r="K160" s="6"/>
      <c r="L160" s="49">
        <f>(J160/J157-1)*100</f>
        <v>2.8736790907615273</v>
      </c>
      <c r="N160" s="79"/>
      <c r="O160" s="20">
        <f t="shared" si="457"/>
        <v>45838</v>
      </c>
      <c r="P160" s="300">
        <f t="shared" ref="P160" si="564">78.4%*$C160+19.6%*$D160+0%*$E160+2%*$F160</f>
        <v>-0.34260458960000001</v>
      </c>
      <c r="Q160" s="126">
        <f t="shared" si="555"/>
        <v>2372551.8162042294</v>
      </c>
      <c r="R160" s="6"/>
      <c r="S160" s="49">
        <f>(Q160/Q157-1)*100</f>
        <v>0.3620035934894128</v>
      </c>
      <c r="T160" s="39"/>
      <c r="U160" s="20">
        <f t="shared" si="458"/>
        <v>45838</v>
      </c>
      <c r="V160" s="27">
        <v>1.5566917135009044</v>
      </c>
      <c r="W160" s="126">
        <f t="shared" si="556"/>
        <v>2078208.3515568238</v>
      </c>
      <c r="X160" s="6"/>
      <c r="Y160" s="49">
        <f>(W160/W157-1)*100</f>
        <v>2.4453701268956518</v>
      </c>
      <c r="AA160" s="79"/>
      <c r="AB160" s="20">
        <f t="shared" si="459"/>
        <v>45838</v>
      </c>
      <c r="AC160" s="300">
        <f>64%*$C160+16%*$D160+18%*$E160+2%*$F160</f>
        <v>-2.9245159999999881E-3</v>
      </c>
      <c r="AD160" s="126">
        <f t="shared" si="557"/>
        <v>2095619.486727003</v>
      </c>
      <c r="AE160" s="6"/>
      <c r="AF160" s="49">
        <f>(AD160/AD157-1)*100</f>
        <v>0.51860512093024891</v>
      </c>
      <c r="AG160" s="44"/>
      <c r="AH160" s="20">
        <f t="shared" si="460"/>
        <v>45838</v>
      </c>
      <c r="AI160" s="27">
        <v>1.3136377963602304</v>
      </c>
      <c r="AJ160" s="126">
        <f t="shared" si="558"/>
        <v>1845877.0280896213</v>
      </c>
      <c r="AK160" s="6"/>
      <c r="AL160" s="49">
        <f>(AJ160/AJ157-1)*100</f>
        <v>1.9583174744229215</v>
      </c>
      <c r="AN160" s="79"/>
      <c r="AO160" s="20">
        <f t="shared" si="461"/>
        <v>45838</v>
      </c>
      <c r="AP160" s="300">
        <f t="shared" ref="AP160" si="565">48%*$C160+12%*$D160+38%*$E160+2%*$F160</f>
        <v>0.37449778800000011</v>
      </c>
      <c r="AQ160" s="126">
        <f t="shared" si="559"/>
        <v>1886560.933950623</v>
      </c>
      <c r="AR160" s="6"/>
      <c r="AS160" s="49">
        <f>(AQ160/AQ157-1)*100</f>
        <v>0.68953468500518866</v>
      </c>
      <c r="AT160" s="39"/>
      <c r="AU160" s="20">
        <f t="shared" si="462"/>
        <v>45838</v>
      </c>
      <c r="AV160" s="27">
        <v>1.0934693079068964</v>
      </c>
      <c r="AW160" s="126">
        <f t="shared" si="560"/>
        <v>1349833.5647702643</v>
      </c>
      <c r="AX160" s="6"/>
      <c r="AY160" s="49">
        <f>(AW160/AW157-1)*100</f>
        <v>1.4119899287349469</v>
      </c>
      <c r="BA160" s="79"/>
      <c r="BB160" s="20">
        <f t="shared" si="463"/>
        <v>45838</v>
      </c>
      <c r="BC160" s="300">
        <f t="shared" ref="BC160" si="566">24%*$C160+6%*$D160+68%*$E160+2%*$F160</f>
        <v>0.94063124400000009</v>
      </c>
      <c r="BD160" s="126">
        <f t="shared" si="561"/>
        <v>1459864.8731004444</v>
      </c>
      <c r="BE160" s="6"/>
      <c r="BF160" s="49">
        <f>(BD160/BD157-1)*100</f>
        <v>0.939825384360371</v>
      </c>
      <c r="BG160" s="39"/>
      <c r="BH160" s="20">
        <f t="shared" si="464"/>
        <v>45838</v>
      </c>
      <c r="BI160" s="27">
        <v>1.0247454471880537</v>
      </c>
      <c r="BJ160" s="126">
        <f t="shared" si="562"/>
        <v>1104891.8099868102</v>
      </c>
      <c r="BK160" s="6"/>
      <c r="BL160" s="49">
        <f>(BJ160/BJ157-1)*100</f>
        <v>1.2039666953496342</v>
      </c>
      <c r="BN160" s="79"/>
      <c r="BO160" s="20">
        <f t="shared" si="465"/>
        <v>45838</v>
      </c>
      <c r="BP160" s="300">
        <f t="shared" si="200"/>
        <v>1.2236979720000001</v>
      </c>
      <c r="BQ160" s="126">
        <f t="shared" si="563"/>
        <v>1081391.0065767693</v>
      </c>
      <c r="BR160" s="6"/>
      <c r="BS160" s="49">
        <f>(BQ160/BQ157-1)*100</f>
        <v>1.0622067898150123</v>
      </c>
      <c r="BV160" s="39"/>
    </row>
    <row r="161" spans="1:74" x14ac:dyDescent="0.25">
      <c r="A161" s="20">
        <v>45869</v>
      </c>
      <c r="B161" s="24">
        <f t="shared" ref="B161:B163" si="567">IF(A161&gt;A160,1+B160,"-")</f>
        <v>146</v>
      </c>
      <c r="C161" s="297">
        <f>'LC (Gross)'!X323</f>
        <v>-0.29140759999999999</v>
      </c>
      <c r="D161" s="297">
        <v>-2.1028720000000001</v>
      </c>
      <c r="E161" s="297">
        <f>'CRA (Gross)'!E161</f>
        <v>-0.26393680000000003</v>
      </c>
      <c r="F161" s="297">
        <v>0</v>
      </c>
      <c r="G161" s="39"/>
      <c r="H161" s="20">
        <f t="shared" si="552"/>
        <v>45869</v>
      </c>
      <c r="I161" s="27">
        <v>-0.34736697349754514</v>
      </c>
      <c r="J161" s="126">
        <f t="shared" ref="J161:J163" si="568">J160*I161/100+J160</f>
        <v>2243591.7282507406</v>
      </c>
      <c r="K161" s="6"/>
      <c r="L161" s="49"/>
      <c r="N161" s="79"/>
      <c r="O161" s="20">
        <f t="shared" si="457"/>
        <v>45869</v>
      </c>
      <c r="P161" s="300">
        <f t="shared" si="169"/>
        <v>-0.64062647039999998</v>
      </c>
      <c r="Q161" s="126">
        <f t="shared" ref="Q161:Q163" si="569">Q160*P161/100+Q160</f>
        <v>2357352.6212456692</v>
      </c>
      <c r="R161" s="6"/>
      <c r="S161" s="49"/>
      <c r="T161" s="39"/>
      <c r="U161" s="20">
        <f t="shared" si="458"/>
        <v>45869</v>
      </c>
      <c r="V161" s="27">
        <v>-0.31893332213992587</v>
      </c>
      <c r="W161" s="126">
        <f t="shared" ref="W161:W163" si="570">W160*V161/100+W160</f>
        <v>2071580.2526202144</v>
      </c>
      <c r="X161" s="6"/>
      <c r="Y161" s="49"/>
      <c r="AA161" s="79"/>
      <c r="AB161" s="20">
        <f t="shared" si="459"/>
        <v>45869</v>
      </c>
      <c r="AC161" s="300">
        <f t="shared" si="171"/>
        <v>-0.570469008</v>
      </c>
      <c r="AD161" s="126">
        <f t="shared" ref="AD161:AD163" si="571">AD160*AC161/100+AD160</f>
        <v>2083664.6270296169</v>
      </c>
      <c r="AE161" s="6"/>
      <c r="AF161" s="49"/>
      <c r="AG161" s="44"/>
      <c r="AH161" s="20">
        <f t="shared" si="460"/>
        <v>45869</v>
      </c>
      <c r="AI161" s="27">
        <v>-0.41708453809244717</v>
      </c>
      <c r="AJ161" s="126">
        <f t="shared" ref="AJ161:AJ163" si="572">AJ160*AI161/100+AJ160</f>
        <v>1838178.1604132592</v>
      </c>
      <c r="AK161" s="6"/>
      <c r="AL161" s="49"/>
      <c r="AN161" s="79"/>
      <c r="AO161" s="20">
        <f t="shared" si="461"/>
        <v>45869</v>
      </c>
      <c r="AP161" s="300">
        <f t="shared" si="172"/>
        <v>-0.49251627199999998</v>
      </c>
      <c r="AQ161" s="126">
        <f t="shared" ref="AQ161:AQ163" si="573">AQ160*AP161/100+AQ160</f>
        <v>1877269.3143697211</v>
      </c>
      <c r="AR161" s="6"/>
      <c r="AS161" s="49"/>
      <c r="AT161" s="39"/>
      <c r="AU161" s="20">
        <f t="shared" si="462"/>
        <v>45869</v>
      </c>
      <c r="AV161" s="27">
        <v>-0.42185561931086585</v>
      </c>
      <c r="AW161" s="126">
        <f t="shared" ref="AW161:AW163" si="574">AW160*AV161/100+AW160</f>
        <v>1344139.2160259369</v>
      </c>
      <c r="AX161" s="6"/>
      <c r="AY161" s="49"/>
      <c r="BA161" s="79"/>
      <c r="BB161" s="20">
        <f t="shared" si="463"/>
        <v>45869</v>
      </c>
      <c r="BC161" s="300">
        <f t="shared" si="173"/>
        <v>-0.37558716800000003</v>
      </c>
      <c r="BD161" s="126">
        <f t="shared" ref="BD161:BD163" si="575">BD160*BC161/100+BD160</f>
        <v>1454381.8079669396</v>
      </c>
      <c r="BE161" s="6"/>
      <c r="BF161" s="49"/>
      <c r="BG161" s="39"/>
      <c r="BH161" s="20">
        <f t="shared" si="464"/>
        <v>45869</v>
      </c>
      <c r="BI161" s="27">
        <v>-0.29248723046005193</v>
      </c>
      <c r="BJ161" s="126">
        <f t="shared" ref="BJ161:BJ163" si="576">BJ160*BI161/100+BJ160</f>
        <v>1101660.1425321999</v>
      </c>
      <c r="BK161" s="6"/>
      <c r="BL161" s="49"/>
      <c r="BN161" s="79"/>
      <c r="BO161" s="20">
        <f t="shared" si="465"/>
        <v>45869</v>
      </c>
      <c r="BP161" s="300">
        <f t="shared" si="200"/>
        <v>-0.31712261600000002</v>
      </c>
      <c r="BQ161" s="126">
        <f t="shared" ref="BQ161:BQ163" si="577">BQ160*BP161/100+BQ160</f>
        <v>1077961.6711275242</v>
      </c>
      <c r="BR161" s="6"/>
      <c r="BS161" s="49"/>
      <c r="BV161" s="39"/>
    </row>
    <row r="162" spans="1:74" x14ac:dyDescent="0.25">
      <c r="A162" s="20">
        <v>45900</v>
      </c>
      <c r="B162" s="24">
        <f t="shared" si="567"/>
        <v>147</v>
      </c>
      <c r="C162" s="297">
        <f>'LC (Gross)'!X324</f>
        <v>1.5505150000000001</v>
      </c>
      <c r="D162" s="297">
        <v>3.559094</v>
      </c>
      <c r="E162" s="297">
        <f>'CRA (Gross)'!E162</f>
        <v>1.1963630000000001</v>
      </c>
      <c r="F162" s="297">
        <v>0</v>
      </c>
      <c r="G162" s="39"/>
      <c r="H162" s="20">
        <f t="shared" si="552"/>
        <v>45900</v>
      </c>
      <c r="I162" s="27">
        <v>3.0123399918648928</v>
      </c>
      <c r="J162" s="126">
        <f t="shared" si="568"/>
        <v>2311176.3391350103</v>
      </c>
      <c r="K162" s="6"/>
      <c r="L162" s="49"/>
      <c r="N162" s="79"/>
      <c r="O162" s="20">
        <f t="shared" si="457"/>
        <v>45900</v>
      </c>
      <c r="P162" s="300">
        <f t="shared" ref="P162:P166" si="578">78.4%*$C162+19.6%*$D162+0%*$E162+2%*$F162</f>
        <v>1.9131861840000002</v>
      </c>
      <c r="Q162" s="126">
        <f t="shared" si="569"/>
        <v>2402453.1659035031</v>
      </c>
      <c r="R162" s="6"/>
      <c r="S162" s="49"/>
      <c r="T162" s="39"/>
      <c r="U162" s="20">
        <f t="shared" si="458"/>
        <v>45900</v>
      </c>
      <c r="V162" s="27">
        <v>2.8356028982457158</v>
      </c>
      <c r="W162" s="126">
        <f t="shared" si="570"/>
        <v>2130322.0423029992</v>
      </c>
      <c r="X162" s="6"/>
      <c r="Y162" s="49"/>
      <c r="AA162" s="79"/>
      <c r="AB162" s="20">
        <f t="shared" si="459"/>
        <v>45900</v>
      </c>
      <c r="AC162" s="300">
        <f t="shared" ref="AC162" si="579">64%*$C162+16%*$D162+18%*$E162+2%*$F162</f>
        <v>1.77712998</v>
      </c>
      <c r="AD162" s="126">
        <f t="shared" si="571"/>
        <v>2120694.0557992156</v>
      </c>
      <c r="AE162" s="6"/>
      <c r="AF162" s="49"/>
      <c r="AG162" s="44"/>
      <c r="AH162" s="20">
        <f t="shared" si="460"/>
        <v>45900</v>
      </c>
      <c r="AI162" s="27">
        <v>2.5270245951870427</v>
      </c>
      <c r="AJ162" s="126">
        <f t="shared" si="572"/>
        <v>1884629.3746302589</v>
      </c>
      <c r="AK162" s="6"/>
      <c r="AL162" s="49"/>
      <c r="AN162" s="79"/>
      <c r="AO162" s="20">
        <f t="shared" si="461"/>
        <v>45900</v>
      </c>
      <c r="AP162" s="300">
        <f t="shared" ref="AP162:AP166" si="580">48%*$C162+12%*$D162+38%*$E162+2%*$F162</f>
        <v>1.6259564200000001</v>
      </c>
      <c r="AQ162" s="126">
        <f t="shared" si="573"/>
        <v>1907792.8953074056</v>
      </c>
      <c r="AR162" s="6"/>
      <c r="AS162" s="49"/>
      <c r="AT162" s="39"/>
      <c r="AU162" s="20">
        <f t="shared" si="462"/>
        <v>45900</v>
      </c>
      <c r="AV162" s="27">
        <v>2.1248613808734236</v>
      </c>
      <c r="AW162" s="126">
        <f t="shared" si="574"/>
        <v>1372700.3111324469</v>
      </c>
      <c r="AX162" s="6"/>
      <c r="AY162" s="49"/>
      <c r="BA162" s="79"/>
      <c r="BB162" s="20">
        <f t="shared" si="463"/>
        <v>45900</v>
      </c>
      <c r="BC162" s="300">
        <f t="shared" ref="BC162:BC166" si="581">24%*$C162+6%*$D162+68%*$E162+2%*$F162</f>
        <v>1.3991960800000001</v>
      </c>
      <c r="BD162" s="126">
        <f t="shared" si="575"/>
        <v>1474731.4612122462</v>
      </c>
      <c r="BE162" s="6"/>
      <c r="BF162" s="49"/>
      <c r="BG162" s="39"/>
      <c r="BH162" s="20">
        <f t="shared" si="464"/>
        <v>45900</v>
      </c>
      <c r="BI162" s="27">
        <v>1.396152035863889</v>
      </c>
      <c r="BJ162" s="126">
        <f t="shared" si="576"/>
        <v>1117040.9930404641</v>
      </c>
      <c r="BK162" s="6"/>
      <c r="BL162" s="49"/>
      <c r="BN162" s="79"/>
      <c r="BO162" s="20">
        <f t="shared" si="465"/>
        <v>45900</v>
      </c>
      <c r="BP162" s="300">
        <f t="shared" si="200"/>
        <v>1.28581591</v>
      </c>
      <c r="BQ162" s="126">
        <f t="shared" si="577"/>
        <v>1091822.2737985838</v>
      </c>
      <c r="BR162" s="6"/>
      <c r="BS162" s="49"/>
      <c r="BV162" s="39"/>
    </row>
    <row r="163" spans="1:74" x14ac:dyDescent="0.25">
      <c r="A163" s="20">
        <v>45930</v>
      </c>
      <c r="B163" s="24">
        <f t="shared" si="567"/>
        <v>148</v>
      </c>
      <c r="C163" s="297">
        <f>'LC (Gross)'!X325</f>
        <v>0.21070530000000001</v>
      </c>
      <c r="D163" s="297">
        <v>-0.13361990000000001</v>
      </c>
      <c r="E163" s="297">
        <f>'CRA (Gross)'!E163</f>
        <v>1.0908439999999999</v>
      </c>
      <c r="F163" s="297">
        <v>0</v>
      </c>
      <c r="G163" s="39"/>
      <c r="H163" s="20">
        <f t="shared" si="552"/>
        <v>45930</v>
      </c>
      <c r="I163" s="27">
        <v>1.5417179879078327</v>
      </c>
      <c r="J163" s="126">
        <f t="shared" si="568"/>
        <v>2346808.1604877245</v>
      </c>
      <c r="K163" s="6"/>
      <c r="L163" s="49">
        <f>(J163/J160-1)*100</f>
        <v>4.2371521769793308</v>
      </c>
      <c r="N163" s="79"/>
      <c r="O163" s="20">
        <f t="shared" si="457"/>
        <v>45930</v>
      </c>
      <c r="P163" s="300">
        <f t="shared" si="578"/>
        <v>0.13900345480000001</v>
      </c>
      <c r="Q163" s="126">
        <f t="shared" si="569"/>
        <v>2405792.6588040609</v>
      </c>
      <c r="R163" s="6"/>
      <c r="S163" s="49">
        <f>(Q163/Q160-1)*100</f>
        <v>1.4010586564559224</v>
      </c>
      <c r="T163" s="39"/>
      <c r="U163" s="20">
        <f t="shared" si="458"/>
        <v>45930</v>
      </c>
      <c r="V163" s="27">
        <v>1.3862527523048236</v>
      </c>
      <c r="W163" s="126">
        <f t="shared" si="570"/>
        <v>2159853.6902473806</v>
      </c>
      <c r="X163" s="6"/>
      <c r="Y163" s="49">
        <f>(W163/W160-1)*100</f>
        <v>3.9286406788517914</v>
      </c>
      <c r="AA163" s="79"/>
      <c r="AB163" s="20">
        <f t="shared" si="459"/>
        <v>45930</v>
      </c>
      <c r="AC163" s="300">
        <f>64%*$C163+16%*$D163+18%*$E163+2%*$F163</f>
        <v>0.30982412800000003</v>
      </c>
      <c r="AD163" s="126">
        <f t="shared" si="571"/>
        <v>2127264.4776651431</v>
      </c>
      <c r="AE163" s="6"/>
      <c r="AF163" s="49">
        <f>(AD163/AD160-1)*100</f>
        <v>1.5100542411716322</v>
      </c>
      <c r="AG163" s="44"/>
      <c r="AH163" s="20">
        <f t="shared" si="460"/>
        <v>45930</v>
      </c>
      <c r="AI163" s="27">
        <v>1.2012914589734229</v>
      </c>
      <c r="AJ163" s="126">
        <f t="shared" si="572"/>
        <v>1907269.2663409964</v>
      </c>
      <c r="AK163" s="6"/>
      <c r="AL163" s="49">
        <f>(AJ163/AJ160-1)*100</f>
        <v>3.3259116028391489</v>
      </c>
      <c r="AN163" s="79"/>
      <c r="AO163" s="20">
        <f t="shared" si="461"/>
        <v>45930</v>
      </c>
      <c r="AP163" s="300">
        <f t="shared" si="580"/>
        <v>0.49962487599999994</v>
      </c>
      <c r="AQ163" s="126">
        <f t="shared" si="573"/>
        <v>1917324.7031949221</v>
      </c>
      <c r="AR163" s="6"/>
      <c r="AS163" s="49">
        <f>(AQ163/AQ160-1)*100</f>
        <v>1.6306798625304486</v>
      </c>
      <c r="AT163" s="39"/>
      <c r="AU163" s="20">
        <f t="shared" si="462"/>
        <v>45930</v>
      </c>
      <c r="AV163" s="27">
        <v>0.97694921091916931</v>
      </c>
      <c r="AW163" s="126">
        <f t="shared" si="574"/>
        <v>1386110.8959903403</v>
      </c>
      <c r="AX163" s="6"/>
      <c r="AY163" s="49">
        <f>(AW163/AW160-1)*100</f>
        <v>2.6875410544595635</v>
      </c>
      <c r="BA163" s="79"/>
      <c r="BB163" s="20">
        <f t="shared" si="463"/>
        <v>45930</v>
      </c>
      <c r="BC163" s="300">
        <f t="shared" si="581"/>
        <v>0.78432599800000002</v>
      </c>
      <c r="BD163" s="126">
        <f t="shared" si="575"/>
        <v>1486298.1634632191</v>
      </c>
      <c r="BE163" s="6"/>
      <c r="BF163" s="49">
        <f>(BD163/BD160-1)*100</f>
        <v>1.8106669219758675</v>
      </c>
      <c r="BG163" s="39"/>
      <c r="BH163" s="20">
        <f t="shared" si="464"/>
        <v>45930</v>
      </c>
      <c r="BI163" s="27">
        <v>0.90153599198973378</v>
      </c>
      <c r="BJ163" s="126">
        <f t="shared" si="576"/>
        <v>1127111.5196380035</v>
      </c>
      <c r="BK163" s="6"/>
      <c r="BL163" s="49">
        <f>(BJ163/BJ160-1)*100</f>
        <v>2.0110303516014394</v>
      </c>
      <c r="BN163" s="79"/>
      <c r="BO163" s="20">
        <f t="shared" si="465"/>
        <v>45930</v>
      </c>
      <c r="BP163" s="300">
        <f t="shared" si="200"/>
        <v>0.9266765589999999</v>
      </c>
      <c r="BQ163" s="126">
        <f t="shared" si="577"/>
        <v>1101939.9348758161</v>
      </c>
      <c r="BR163" s="6"/>
      <c r="BS163" s="49">
        <f>(BQ163/BQ160-1)*100</f>
        <v>1.9002311073490485</v>
      </c>
      <c r="BV163" s="39"/>
    </row>
    <row r="164" spans="1:74" x14ac:dyDescent="0.25">
      <c r="A164" s="20">
        <v>45961</v>
      </c>
      <c r="B164" s="24">
        <f t="shared" ref="B164:B166" si="582">IF(A164&gt;A163,1+B163,"-")</f>
        <v>149</v>
      </c>
      <c r="C164" s="297">
        <f>'LC (Gross)'!X326</f>
        <v>-3.7181139999999999</v>
      </c>
      <c r="D164" s="297">
        <v>-0.55902169999999995</v>
      </c>
      <c r="E164" s="297">
        <f>'CRA (Gross)'!E164</f>
        <v>0.62454540000000003</v>
      </c>
      <c r="F164" s="297">
        <v>0</v>
      </c>
      <c r="G164" s="39"/>
      <c r="H164" s="20">
        <f t="shared" si="552"/>
        <v>45961</v>
      </c>
      <c r="I164" s="27">
        <v>-2.7656110781881266E-2</v>
      </c>
      <c r="J164" s="126">
        <f t="shared" ref="J164:J166" si="583">J163*I164/100+J163</f>
        <v>2346159.1246230216</v>
      </c>
      <c r="K164" s="6"/>
      <c r="L164" s="49"/>
      <c r="N164" s="79"/>
      <c r="O164" s="20">
        <f t="shared" si="457"/>
        <v>45961</v>
      </c>
      <c r="P164" s="300">
        <f t="shared" si="578"/>
        <v>-3.0245696292000002</v>
      </c>
      <c r="Q164" s="126">
        <f t="shared" ref="Q164:Q166" si="584">Q163*P164/100+Q163</f>
        <v>2333027.7847043499</v>
      </c>
      <c r="R164" s="6"/>
      <c r="S164" s="49"/>
      <c r="T164" s="39"/>
      <c r="U164" s="20">
        <f t="shared" si="458"/>
        <v>45961</v>
      </c>
      <c r="V164" s="27">
        <v>-9.6065831796274037E-2</v>
      </c>
      <c r="W164" s="126">
        <f t="shared" ref="W164:W166" si="585">W163*V164/100+W163</f>
        <v>2157778.8088342622</v>
      </c>
      <c r="X164" s="6"/>
      <c r="Y164" s="49"/>
      <c r="AA164" s="79"/>
      <c r="AB164" s="20">
        <f t="shared" si="459"/>
        <v>45961</v>
      </c>
      <c r="AC164" s="300">
        <f t="shared" ref="AC164:AC165" si="586">64%*$C164+16%*$D164+18%*$E164+2%*$F164</f>
        <v>-2.3566182600000003</v>
      </c>
      <c r="AD164" s="126">
        <f t="shared" ref="AD164:AD166" si="587">AD163*AC164/100+AD163</f>
        <v>2077132.9745459927</v>
      </c>
      <c r="AE164" s="6"/>
      <c r="AF164" s="49"/>
      <c r="AG164" s="44"/>
      <c r="AH164" s="20">
        <f t="shared" si="460"/>
        <v>45961</v>
      </c>
      <c r="AI164" s="27">
        <v>-0.10519095247310355</v>
      </c>
      <c r="AJ164" s="126">
        <f t="shared" ref="AJ164:AJ166" si="588">AJ163*AI164/100+AJ163</f>
        <v>1905262.9916335056</v>
      </c>
      <c r="AK164" s="6"/>
      <c r="AL164" s="49"/>
      <c r="AN164" s="79"/>
      <c r="AO164" s="20">
        <f t="shared" si="461"/>
        <v>45961</v>
      </c>
      <c r="AP164" s="300">
        <f t="shared" si="580"/>
        <v>-1.6144500719999999</v>
      </c>
      <c r="AQ164" s="126">
        <f t="shared" ref="AQ164:AQ166" si="589">AQ163*AP164/100+AQ163</f>
        <v>1886370.453143718</v>
      </c>
      <c r="AR164" s="6"/>
      <c r="AS164" s="49"/>
      <c r="AT164" s="39"/>
      <c r="AU164" s="20">
        <f t="shared" si="462"/>
        <v>45961</v>
      </c>
      <c r="AV164" s="27">
        <v>-2.7647085954625932E-2</v>
      </c>
      <c r="AW164" s="126">
        <f t="shared" ref="AW164:AW166" si="590">AW163*AV164/100+AW163</f>
        <v>1385727.6767194993</v>
      </c>
      <c r="AX164" s="6"/>
      <c r="AY164" s="49"/>
      <c r="BA164" s="79"/>
      <c r="BB164" s="20">
        <f t="shared" si="463"/>
        <v>45961</v>
      </c>
      <c r="BC164" s="300">
        <f t="shared" si="581"/>
        <v>-0.50119778999999998</v>
      </c>
      <c r="BD164" s="126">
        <f t="shared" ref="BD164:BD166" si="591">BD163*BC164/100+BD163</f>
        <v>1478848.8699151308</v>
      </c>
      <c r="BE164" s="6"/>
      <c r="BF164" s="49"/>
      <c r="BG164" s="39"/>
      <c r="BH164" s="20">
        <f t="shared" si="464"/>
        <v>45961</v>
      </c>
      <c r="BI164" s="27">
        <v>0.2122498307044553</v>
      </c>
      <c r="BJ164" s="126">
        <f t="shared" ref="BJ164:BJ166" si="592">BJ163*BI164/100+BJ163</f>
        <v>1129503.8119302855</v>
      </c>
      <c r="BK164" s="6"/>
      <c r="BL164" s="49"/>
      <c r="BN164" s="79"/>
      <c r="BO164" s="20">
        <f t="shared" si="465"/>
        <v>45961</v>
      </c>
      <c r="BP164" s="300">
        <f t="shared" si="200"/>
        <v>5.5428350999999987E-2</v>
      </c>
      <c r="BQ164" s="126">
        <f t="shared" ref="BQ164:BQ166" si="593">BQ163*BP164/100+BQ163</f>
        <v>1102550.7220107282</v>
      </c>
      <c r="BR164" s="6"/>
      <c r="BS164" s="49"/>
      <c r="BV164" s="39"/>
    </row>
    <row r="165" spans="1:74" x14ac:dyDescent="0.25">
      <c r="A165" s="20">
        <v>45991</v>
      </c>
      <c r="B165" s="24">
        <f t="shared" si="582"/>
        <v>150</v>
      </c>
      <c r="C165" s="297">
        <f>'LC (Gross)'!X327</f>
        <v>3.85893</v>
      </c>
      <c r="D165" s="297">
        <v>2.096781</v>
      </c>
      <c r="E165" s="297">
        <f>'CRA (Gross)'!E165</f>
        <v>0.62152450000000004</v>
      </c>
      <c r="F165" s="297">
        <v>0</v>
      </c>
      <c r="G165" s="39"/>
      <c r="H165" s="20">
        <f t="shared" si="552"/>
        <v>45991</v>
      </c>
      <c r="I165" s="27">
        <v>2.0690659219368599</v>
      </c>
      <c r="J165" s="126">
        <f t="shared" si="583"/>
        <v>2394702.7035450088</v>
      </c>
      <c r="K165" s="6"/>
      <c r="L165" s="49"/>
      <c r="N165" s="79"/>
      <c r="O165" s="20">
        <f t="shared" si="457"/>
        <v>45991</v>
      </c>
      <c r="P165" s="300">
        <f t="shared" si="578"/>
        <v>3.4363701960000004</v>
      </c>
      <c r="Q165" s="126">
        <f t="shared" si="584"/>
        <v>2413199.2561623291</v>
      </c>
      <c r="R165" s="6"/>
      <c r="S165" s="49"/>
      <c r="T165" s="39"/>
      <c r="U165" s="20">
        <f t="shared" si="458"/>
        <v>45991</v>
      </c>
      <c r="V165" s="27">
        <v>2.0731259378190576</v>
      </c>
      <c r="W165" s="126">
        <f t="shared" si="585"/>
        <v>2202512.2810009685</v>
      </c>
      <c r="X165" s="6"/>
      <c r="Y165" s="49"/>
      <c r="AA165" s="79"/>
      <c r="AB165" s="20">
        <f t="shared" si="459"/>
        <v>45991</v>
      </c>
      <c r="AC165" s="300">
        <f t="shared" si="586"/>
        <v>2.91707457</v>
      </c>
      <c r="AD165" s="126">
        <f t="shared" si="587"/>
        <v>2137724.4923315584</v>
      </c>
      <c r="AE165" s="6"/>
      <c r="AF165" s="49"/>
      <c r="AG165" s="44"/>
      <c r="AH165" s="20">
        <f t="shared" si="460"/>
        <v>45991</v>
      </c>
      <c r="AI165" s="27">
        <v>1.9578355705990764</v>
      </c>
      <c r="AJ165" s="126">
        <f t="shared" si="588"/>
        <v>1942564.9081971664</v>
      </c>
      <c r="AK165" s="6"/>
      <c r="AL165" s="49"/>
      <c r="AN165" s="79"/>
      <c r="AO165" s="20">
        <f t="shared" si="461"/>
        <v>45991</v>
      </c>
      <c r="AP165" s="300">
        <f t="shared" si="580"/>
        <v>2.3400794299999998</v>
      </c>
      <c r="AQ165" s="126">
        <f t="shared" si="589"/>
        <v>1930513.0200913318</v>
      </c>
      <c r="AR165" s="6"/>
      <c r="AS165" s="49"/>
      <c r="AT165" s="39"/>
      <c r="AU165" s="20">
        <f t="shared" si="462"/>
        <v>45991</v>
      </c>
      <c r="AV165" s="27">
        <v>1.6751782455167736</v>
      </c>
      <c r="AW165" s="126">
        <f t="shared" si="590"/>
        <v>1408941.0853020092</v>
      </c>
      <c r="AX165" s="6"/>
      <c r="AY165" s="49"/>
      <c r="BA165" s="79"/>
      <c r="BB165" s="20">
        <f t="shared" si="463"/>
        <v>45991</v>
      </c>
      <c r="BC165" s="300">
        <f t="shared" si="581"/>
        <v>1.47458672</v>
      </c>
      <c r="BD165" s="126">
        <f t="shared" si="591"/>
        <v>1500655.7789597693</v>
      </c>
      <c r="BE165" s="6"/>
      <c r="BF165" s="49"/>
      <c r="BG165" s="39"/>
      <c r="BH165" s="20">
        <f t="shared" si="464"/>
        <v>45991</v>
      </c>
      <c r="BI165" s="27">
        <v>0.90642388579033395</v>
      </c>
      <c r="BJ165" s="126">
        <f t="shared" si="592"/>
        <v>1139741.904272534</v>
      </c>
      <c r="BK165" s="6"/>
      <c r="BL165" s="49"/>
      <c r="BN165" s="79"/>
      <c r="BO165" s="20">
        <f t="shared" si="465"/>
        <v>45991</v>
      </c>
      <c r="BP165" s="300">
        <f t="shared" si="200"/>
        <v>1.0418403650000001</v>
      </c>
      <c r="BQ165" s="126">
        <f t="shared" si="593"/>
        <v>1114037.5404772349</v>
      </c>
      <c r="BR165" s="6"/>
      <c r="BS165" s="49"/>
      <c r="BV165" s="39"/>
    </row>
    <row r="166" spans="1:74" x14ac:dyDescent="0.25">
      <c r="A166" s="20">
        <v>46022</v>
      </c>
      <c r="B166" s="24">
        <f t="shared" si="582"/>
        <v>151</v>
      </c>
      <c r="C166" s="297">
        <f>'LC (Gross)'!X328</f>
        <v>-2.186941</v>
      </c>
      <c r="D166" s="297">
        <v>1.539928</v>
      </c>
      <c r="E166" s="297">
        <f>'CRA (Gross)'!E166</f>
        <v>-0.1479384</v>
      </c>
      <c r="F166" s="297">
        <v>0</v>
      </c>
      <c r="G166" s="39"/>
      <c r="H166" s="20">
        <f t="shared" si="552"/>
        <v>46022</v>
      </c>
      <c r="I166" s="27">
        <v>0.60539213296348826</v>
      </c>
      <c r="J166" s="126">
        <f t="shared" si="583"/>
        <v>2409200.0453201341</v>
      </c>
      <c r="K166" s="6">
        <f>(J166-J$154)/J$154*100</f>
        <v>11.02662479845648</v>
      </c>
      <c r="L166" s="49">
        <f>(J166/J163-1)*100</f>
        <v>2.6585847911591909</v>
      </c>
      <c r="N166" s="79"/>
      <c r="O166" s="20">
        <f t="shared" si="457"/>
        <v>46022</v>
      </c>
      <c r="P166" s="300">
        <f t="shared" si="578"/>
        <v>-1.4127358560000001</v>
      </c>
      <c r="Q166" s="126">
        <f t="shared" si="584"/>
        <v>2379107.1249937988</v>
      </c>
      <c r="R166" s="6">
        <f>(Q166-Q$154)/Q$154*100</f>
        <v>8.2640543467823715</v>
      </c>
      <c r="S166" s="49">
        <f>(Q166/Q163-1)*100</f>
        <v>-1.1092200199633084</v>
      </c>
      <c r="T166" s="39"/>
      <c r="U166" s="20">
        <f t="shared" si="458"/>
        <v>46022</v>
      </c>
      <c r="V166" s="27">
        <v>0.63456881104161034</v>
      </c>
      <c r="W166" s="126">
        <f t="shared" si="585"/>
        <v>2216488.736995562</v>
      </c>
      <c r="X166" s="6">
        <f>(W166-W$154)/W$154*100</f>
        <v>10.310532978969503</v>
      </c>
      <c r="Y166" s="49">
        <f>(W166/W163-1)*100</f>
        <v>2.6221705203417933</v>
      </c>
      <c r="AA166" s="79"/>
      <c r="AB166" s="20">
        <f t="shared" si="459"/>
        <v>46022</v>
      </c>
      <c r="AC166" s="300">
        <f>64%*$C166+16%*$D166+18%*$E166+2%*$F166</f>
        <v>-1.1798826720000002</v>
      </c>
      <c r="AD166" s="126">
        <f t="shared" si="587"/>
        <v>2112501.8514714385</v>
      </c>
      <c r="AE166" s="6">
        <f>(AD166-AD$154)/AD$154*100</f>
        <v>8.0918388124253902</v>
      </c>
      <c r="AF166" s="49">
        <f>(AD166/AD163-1)*100</f>
        <v>-0.69397229863528143</v>
      </c>
      <c r="AG166" s="44"/>
      <c r="AH166" s="20">
        <f t="shared" si="460"/>
        <v>46022</v>
      </c>
      <c r="AI166" s="27">
        <v>0.46425880344589543</v>
      </c>
      <c r="AJ166" s="126">
        <f t="shared" si="588"/>
        <v>1951583.4367961225</v>
      </c>
      <c r="AK166" s="6">
        <f>(AJ166-AJ$154)/AJ$154*100</f>
        <v>9.7328394525810342</v>
      </c>
      <c r="AL166" s="49">
        <f>(AJ166/AJ163-1)*100</f>
        <v>2.323435460171841</v>
      </c>
      <c r="AN166" s="79"/>
      <c r="AO166" s="20">
        <f t="shared" si="461"/>
        <v>46022</v>
      </c>
      <c r="AP166" s="300">
        <f t="shared" si="580"/>
        <v>-0.92115691200000005</v>
      </c>
      <c r="AQ166" s="126">
        <f t="shared" si="589"/>
        <v>1912729.9659697006</v>
      </c>
      <c r="AR166" s="6">
        <f>(AQ166-AQ$154)/AQ$154*100</f>
        <v>7.8833512778786963</v>
      </c>
      <c r="AS166" s="49">
        <f>(AQ166/AQ163-1)*100</f>
        <v>-0.23964314534544728</v>
      </c>
      <c r="AT166" s="39"/>
      <c r="AU166" s="20">
        <f t="shared" si="462"/>
        <v>46022</v>
      </c>
      <c r="AV166" s="27">
        <v>0.28172338494027882</v>
      </c>
      <c r="AW166" s="126">
        <f t="shared" si="590"/>
        <v>1412910.4018193365</v>
      </c>
      <c r="AX166" s="6">
        <f>(AW166-AW$154)/AW$154*100</f>
        <v>8.3842543301876891</v>
      </c>
      <c r="AY166" s="49">
        <f>(AW166/AW163-1)*100</f>
        <v>1.9334315823156922</v>
      </c>
      <c r="BA166" s="79"/>
      <c r="BB166" s="20">
        <f t="shared" si="463"/>
        <v>46022</v>
      </c>
      <c r="BC166" s="300">
        <f t="shared" si="581"/>
        <v>-0.53306827200000007</v>
      </c>
      <c r="BD166" s="126">
        <f t="shared" si="591"/>
        <v>1492656.2591302004</v>
      </c>
      <c r="BE166" s="6">
        <f>(BD166-BD$154)/BD$154*100</f>
        <v>7.5370913745153354</v>
      </c>
      <c r="BF166" s="49">
        <f>(BD166/BD163-1)*100</f>
        <v>0.42778063132140609</v>
      </c>
      <c r="BG166" s="39"/>
      <c r="BH166" s="20">
        <f t="shared" si="464"/>
        <v>46022</v>
      </c>
      <c r="BI166" s="27">
        <v>7.4184035509846508E-2</v>
      </c>
      <c r="BJ166" s="126">
        <f t="shared" si="592"/>
        <v>1140587.4108115202</v>
      </c>
      <c r="BK166" s="6">
        <f>(BJ166-BJ$154)/BJ$154*100</f>
        <v>7.2623530956299405</v>
      </c>
      <c r="BL166" s="49">
        <f>(BJ166/BJ163-1)*100</f>
        <v>1.1956129396889503</v>
      </c>
      <c r="BN166" s="79"/>
      <c r="BO166" s="20">
        <f t="shared" si="465"/>
        <v>46022</v>
      </c>
      <c r="BP166" s="300">
        <f t="shared" si="200"/>
        <v>-0.33902395200000002</v>
      </c>
      <c r="BQ166" s="126">
        <f t="shared" si="593"/>
        <v>1110260.6863807454</v>
      </c>
      <c r="BR166" s="6">
        <f>(BQ166-BQ$154)/BQ$154*100</f>
        <v>7.3490051085450041</v>
      </c>
      <c r="BS166" s="49">
        <f>(BQ166/BQ163-1)*100</f>
        <v>0.7551002773909854</v>
      </c>
      <c r="BV166" s="39"/>
    </row>
    <row r="167" spans="1:74" x14ac:dyDescent="0.25">
      <c r="B167" s="24" t="str">
        <f t="shared" ref="B167:B210" si="594">IF(A167&gt;A166,1+B166,"-")</f>
        <v>-</v>
      </c>
      <c r="C167" s="24"/>
      <c r="F167" s="24"/>
      <c r="O167" s="20"/>
      <c r="P167" s="27"/>
      <c r="Q167" s="17"/>
      <c r="R167" s="18"/>
      <c r="S167" s="10"/>
      <c r="U167" s="20"/>
      <c r="V167" s="27"/>
      <c r="W167" s="17"/>
      <c r="X167" s="18"/>
      <c r="Y167" s="10"/>
      <c r="Z167" s="10"/>
    </row>
    <row r="168" spans="1:74" x14ac:dyDescent="0.25">
      <c r="B168" s="24" t="str">
        <f t="shared" si="594"/>
        <v>-</v>
      </c>
      <c r="C168" s="24"/>
      <c r="D168" s="23" t="s">
        <v>327</v>
      </c>
      <c r="E168" s="29">
        <f>_xll.BDP(D$168&amp;" INDEX","cust trr return holding per","cust trr start dt",TEXT($A154,"YYYYMMDD"),"cust trr end dt",TEXT($A155,"YYYYMMDD"))</f>
        <v>2.086773</v>
      </c>
      <c r="F168" s="24"/>
      <c r="O168" s="20"/>
      <c r="P168" s="27"/>
      <c r="Q168" s="17"/>
      <c r="R168" s="18"/>
      <c r="S168" s="10"/>
      <c r="U168" s="20"/>
      <c r="V168" s="27"/>
      <c r="W168" s="17"/>
      <c r="X168" s="18"/>
      <c r="Y168" s="10"/>
      <c r="Z168" s="10"/>
    </row>
    <row r="169" spans="1:74" x14ac:dyDescent="0.25">
      <c r="B169" s="24" t="str">
        <f t="shared" si="594"/>
        <v>-</v>
      </c>
      <c r="C169" s="24"/>
      <c r="D169" t="s">
        <v>156</v>
      </c>
      <c r="E169" s="29">
        <f>_xll.BDP(D$169&amp;" INDEX","cust trr return holding per","cust trr start dt",TEXT($A145,"YYYYMMDD"),"cust trr end dt",TEXT($A146,"YYYYMMDD"))</f>
        <v>-2.5260690000000001</v>
      </c>
      <c r="F169" s="24"/>
      <c r="O169" s="20"/>
      <c r="P169" s="27"/>
      <c r="Q169" s="17"/>
      <c r="R169" s="18"/>
      <c r="S169" s="10"/>
      <c r="U169" s="20"/>
      <c r="V169" s="27"/>
      <c r="W169" s="17"/>
      <c r="X169" s="18"/>
      <c r="Y169" s="10"/>
      <c r="Z169" s="10"/>
    </row>
    <row r="170" spans="1:74" x14ac:dyDescent="0.25">
      <c r="B170" s="24" t="str">
        <f t="shared" si="594"/>
        <v>-</v>
      </c>
      <c r="C170" s="24"/>
      <c r="D170" s="298" t="s">
        <v>376</v>
      </c>
      <c r="E170" s="29">
        <f>_xll.BDP(D$170&amp;" INDEX","cust trr return holding per","cust trr start dt",TEXT($A154,"YYYYMMDD"),"cust trr end dt",TEXT($A155,"YYYYMMDD"))</f>
        <v>3.4575459999999998</v>
      </c>
      <c r="F170" s="24"/>
      <c r="O170" s="20"/>
      <c r="P170" s="27"/>
      <c r="Q170" s="17"/>
      <c r="R170" s="18"/>
      <c r="S170" s="10"/>
      <c r="U170" s="20"/>
      <c r="V170" s="27"/>
      <c r="W170" s="17"/>
      <c r="X170" s="18"/>
      <c r="Y170" s="10"/>
      <c r="Z170" s="10"/>
    </row>
    <row r="171" spans="1:74" x14ac:dyDescent="0.25">
      <c r="B171" s="24" t="str">
        <f t="shared" si="594"/>
        <v>-</v>
      </c>
      <c r="C171" s="24"/>
      <c r="D171" s="321"/>
      <c r="E171" s="29"/>
      <c r="F171" s="24"/>
      <c r="O171" s="20"/>
      <c r="P171" s="27"/>
      <c r="Q171" s="17"/>
      <c r="R171" s="18"/>
      <c r="S171" s="37"/>
      <c r="U171" s="20"/>
      <c r="V171" s="27"/>
      <c r="W171" s="17"/>
      <c r="X171" s="18"/>
      <c r="Y171" s="37"/>
      <c r="Z171" s="37"/>
    </row>
    <row r="172" spans="1:74" x14ac:dyDescent="0.25">
      <c r="B172" s="24" t="str">
        <f t="shared" si="594"/>
        <v>-</v>
      </c>
      <c r="C172" s="24"/>
      <c r="D172" s="321"/>
      <c r="E172" s="29"/>
      <c r="F172" s="24"/>
      <c r="O172" s="20"/>
      <c r="P172" s="27"/>
      <c r="Q172" s="17"/>
      <c r="R172" s="18"/>
      <c r="S172" s="10"/>
      <c r="U172" s="20"/>
      <c r="V172" s="27"/>
      <c r="W172" s="17"/>
      <c r="X172" s="18"/>
      <c r="Y172" s="10"/>
      <c r="Z172" s="10"/>
    </row>
    <row r="173" spans="1:74" x14ac:dyDescent="0.25">
      <c r="B173" s="24" t="str">
        <f t="shared" si="594"/>
        <v>-</v>
      </c>
      <c r="C173" s="24"/>
      <c r="D173" s="321"/>
      <c r="E173" s="24"/>
      <c r="F173" s="24"/>
      <c r="O173" s="20"/>
      <c r="P173" s="27"/>
      <c r="Q173" s="17"/>
      <c r="R173" s="18"/>
      <c r="S173" s="10"/>
      <c r="U173" s="20"/>
      <c r="V173" s="27"/>
      <c r="W173" s="17"/>
      <c r="X173" s="18"/>
      <c r="Y173" s="10"/>
      <c r="Z173" s="10"/>
    </row>
    <row r="174" spans="1:74" x14ac:dyDescent="0.25">
      <c r="B174" s="24" t="str">
        <f t="shared" si="594"/>
        <v>-</v>
      </c>
      <c r="C174" s="24"/>
      <c r="D174" s="24"/>
      <c r="E174" s="24"/>
      <c r="F174" s="24"/>
      <c r="O174" s="20"/>
      <c r="P174" s="27"/>
      <c r="Q174" s="17"/>
      <c r="R174" s="18"/>
      <c r="S174" s="10"/>
      <c r="U174" s="20"/>
      <c r="V174" s="27"/>
      <c r="W174" s="17"/>
      <c r="X174" s="18"/>
      <c r="Y174" s="10"/>
      <c r="Z174" s="10"/>
    </row>
    <row r="175" spans="1:74" x14ac:dyDescent="0.25">
      <c r="B175" s="24" t="str">
        <f t="shared" si="594"/>
        <v>-</v>
      </c>
      <c r="C175" s="24"/>
      <c r="D175" s="321"/>
      <c r="E175" s="24"/>
      <c r="F175" s="24"/>
      <c r="O175" s="20"/>
      <c r="P175" s="27"/>
      <c r="Q175" s="17"/>
      <c r="R175" s="18"/>
      <c r="S175" s="10"/>
      <c r="U175" s="20"/>
      <c r="V175" s="27"/>
      <c r="W175" s="17"/>
      <c r="X175" s="18"/>
      <c r="Y175" s="10"/>
      <c r="Z175" s="10"/>
    </row>
    <row r="176" spans="1:74" x14ac:dyDescent="0.25">
      <c r="B176" s="24" t="str">
        <f t="shared" si="594"/>
        <v>-</v>
      </c>
      <c r="C176" s="24"/>
      <c r="D176" s="24"/>
      <c r="E176" s="24"/>
      <c r="F176" s="24"/>
      <c r="O176" s="20"/>
      <c r="P176" s="27"/>
      <c r="Q176" s="17"/>
      <c r="R176" s="18"/>
      <c r="S176" s="10"/>
      <c r="U176" s="20"/>
      <c r="V176" s="27"/>
      <c r="W176" s="17"/>
      <c r="X176" s="18"/>
      <c r="Y176" s="10"/>
      <c r="Z176" s="10"/>
    </row>
    <row r="177" spans="2:26" x14ac:dyDescent="0.25">
      <c r="B177" s="24" t="str">
        <f t="shared" si="594"/>
        <v>-</v>
      </c>
      <c r="C177" s="24"/>
      <c r="D177" s="24"/>
      <c r="E177" s="24"/>
      <c r="F177" s="24"/>
      <c r="O177" s="20"/>
      <c r="P177" s="27"/>
      <c r="Q177" s="17"/>
      <c r="R177" s="18"/>
      <c r="S177" s="10"/>
      <c r="U177" s="20"/>
      <c r="V177" s="27"/>
      <c r="W177" s="17"/>
      <c r="X177" s="18"/>
      <c r="Y177" s="10"/>
      <c r="Z177" s="10"/>
    </row>
    <row r="178" spans="2:26" x14ac:dyDescent="0.25">
      <c r="B178" s="24" t="str">
        <f t="shared" si="594"/>
        <v>-</v>
      </c>
      <c r="C178" s="24"/>
      <c r="D178" s="24"/>
      <c r="E178" s="24"/>
      <c r="F178" s="24"/>
      <c r="O178" s="20"/>
      <c r="P178" s="27"/>
      <c r="Q178" s="17"/>
      <c r="R178" s="18"/>
      <c r="S178" s="10"/>
      <c r="U178" s="20"/>
      <c r="V178" s="27"/>
      <c r="W178" s="17"/>
      <c r="X178" s="18"/>
      <c r="Y178" s="10"/>
      <c r="Z178" s="10"/>
    </row>
    <row r="179" spans="2:26" x14ac:dyDescent="0.25">
      <c r="B179" s="24" t="str">
        <f t="shared" si="594"/>
        <v>-</v>
      </c>
      <c r="C179" s="24"/>
      <c r="D179" s="24"/>
      <c r="E179" s="24"/>
      <c r="F179" s="24"/>
      <c r="O179" s="20"/>
      <c r="P179" s="27"/>
      <c r="Q179" s="17"/>
      <c r="R179" s="18"/>
      <c r="S179" s="10"/>
      <c r="U179" s="20"/>
      <c r="V179" s="27"/>
      <c r="W179" s="17"/>
      <c r="X179" s="18"/>
      <c r="Y179" s="10"/>
      <c r="Z179" s="10"/>
    </row>
    <row r="180" spans="2:26" x14ac:dyDescent="0.25">
      <c r="B180" s="24" t="str">
        <f t="shared" si="594"/>
        <v>-</v>
      </c>
      <c r="C180" s="24"/>
      <c r="D180" s="24"/>
      <c r="E180" s="24"/>
      <c r="F180" s="24"/>
      <c r="O180" s="20"/>
      <c r="P180" s="27"/>
      <c r="Q180" s="17"/>
      <c r="R180" s="18"/>
      <c r="S180" s="10"/>
      <c r="U180" s="20"/>
      <c r="V180" s="27"/>
      <c r="W180" s="17"/>
      <c r="X180" s="18"/>
      <c r="Y180" s="10"/>
      <c r="Z180" s="10"/>
    </row>
    <row r="181" spans="2:26" x14ac:dyDescent="0.25">
      <c r="B181" s="24" t="str">
        <f t="shared" si="594"/>
        <v>-</v>
      </c>
      <c r="C181" s="24"/>
      <c r="D181" s="24"/>
      <c r="E181" s="24"/>
      <c r="F181" s="24"/>
      <c r="O181" s="20"/>
      <c r="P181" s="27"/>
      <c r="Q181" s="17"/>
      <c r="R181" s="18"/>
      <c r="S181" s="54"/>
      <c r="U181" s="20"/>
      <c r="V181" s="27"/>
      <c r="W181" s="17"/>
      <c r="X181" s="18"/>
      <c r="Y181" s="54"/>
      <c r="Z181" s="54"/>
    </row>
    <row r="182" spans="2:26" x14ac:dyDescent="0.25">
      <c r="B182" s="24" t="str">
        <f t="shared" si="594"/>
        <v>-</v>
      </c>
      <c r="C182" s="24"/>
      <c r="D182" s="24"/>
      <c r="E182" s="24"/>
      <c r="F182" s="24"/>
      <c r="O182" s="20"/>
      <c r="P182" s="27"/>
      <c r="Q182" s="17"/>
      <c r="R182" s="18"/>
      <c r="S182" s="54"/>
      <c r="U182" s="20"/>
      <c r="V182" s="27"/>
      <c r="W182" s="17"/>
      <c r="X182" s="18"/>
      <c r="Y182" s="54"/>
      <c r="Z182" s="54"/>
    </row>
    <row r="183" spans="2:26" x14ac:dyDescent="0.25">
      <c r="B183" s="24" t="str">
        <f t="shared" si="594"/>
        <v>-</v>
      </c>
      <c r="C183" s="24"/>
      <c r="D183" s="24"/>
      <c r="E183" s="24"/>
      <c r="F183" s="24"/>
      <c r="O183" s="20"/>
      <c r="P183" s="27"/>
      <c r="Q183" s="17"/>
      <c r="R183" s="18"/>
      <c r="S183" s="37"/>
      <c r="U183" s="20"/>
      <c r="V183" s="27"/>
      <c r="W183" s="17"/>
      <c r="X183" s="18"/>
      <c r="Y183" s="37"/>
      <c r="Z183" s="37"/>
    </row>
    <row r="184" spans="2:26" x14ac:dyDescent="0.25">
      <c r="B184" s="24" t="str">
        <f t="shared" si="594"/>
        <v>-</v>
      </c>
      <c r="C184" s="24"/>
      <c r="D184" s="24"/>
      <c r="E184" s="24"/>
      <c r="F184" s="24"/>
      <c r="O184" s="20"/>
      <c r="P184" s="27"/>
      <c r="Q184" s="17"/>
      <c r="R184" s="18"/>
      <c r="S184" s="10"/>
      <c r="U184" s="20"/>
      <c r="V184" s="27"/>
      <c r="W184" s="17"/>
      <c r="X184" s="18"/>
      <c r="Y184" s="10"/>
      <c r="Z184" s="10"/>
    </row>
    <row r="185" spans="2:26" x14ac:dyDescent="0.25">
      <c r="B185" s="24" t="str">
        <f t="shared" si="594"/>
        <v>-</v>
      </c>
      <c r="C185" s="24"/>
      <c r="D185" s="24"/>
      <c r="E185" s="24"/>
      <c r="F185" s="24"/>
      <c r="O185" s="20"/>
      <c r="P185" s="27"/>
      <c r="Q185" s="17"/>
      <c r="R185" s="18"/>
      <c r="S185" s="10"/>
      <c r="U185" s="20"/>
      <c r="V185" s="27"/>
      <c r="W185" s="17"/>
      <c r="X185" s="18"/>
      <c r="Y185" s="10"/>
      <c r="Z185" s="10"/>
    </row>
    <row r="186" spans="2:26" x14ac:dyDescent="0.25">
      <c r="B186" s="24" t="str">
        <f t="shared" si="594"/>
        <v>-</v>
      </c>
      <c r="C186" s="24"/>
      <c r="D186" s="24"/>
      <c r="E186" s="24"/>
      <c r="F186" s="24"/>
      <c r="O186" s="20"/>
      <c r="P186" s="27"/>
      <c r="Q186" s="17"/>
      <c r="R186" s="18"/>
      <c r="S186" s="10"/>
      <c r="U186" s="20"/>
      <c r="V186" s="27"/>
      <c r="W186" s="17"/>
      <c r="X186" s="18"/>
      <c r="Y186" s="10"/>
      <c r="Z186" s="10"/>
    </row>
    <row r="187" spans="2:26" x14ac:dyDescent="0.25">
      <c r="B187" s="24" t="str">
        <f t="shared" si="594"/>
        <v>-</v>
      </c>
      <c r="C187" s="24"/>
      <c r="D187" s="24"/>
      <c r="E187" s="24"/>
      <c r="F187" s="24"/>
      <c r="O187" s="20"/>
      <c r="P187" s="27"/>
      <c r="Q187" s="17"/>
      <c r="R187" s="18"/>
      <c r="S187" s="10"/>
      <c r="U187" s="20"/>
      <c r="V187" s="27"/>
      <c r="W187" s="17"/>
      <c r="X187" s="18"/>
      <c r="Y187" s="10"/>
      <c r="Z187" s="10"/>
    </row>
    <row r="188" spans="2:26" x14ac:dyDescent="0.25">
      <c r="B188" s="24" t="str">
        <f t="shared" si="594"/>
        <v>-</v>
      </c>
      <c r="C188" s="24"/>
      <c r="D188" s="24"/>
      <c r="E188" s="24"/>
      <c r="F188" s="24"/>
      <c r="O188" s="20"/>
      <c r="P188" s="27"/>
      <c r="Q188" s="17"/>
      <c r="R188" s="18"/>
      <c r="S188" s="10"/>
      <c r="U188" s="20"/>
      <c r="V188" s="27"/>
      <c r="W188" s="17"/>
      <c r="X188" s="18"/>
      <c r="Y188" s="10"/>
      <c r="Z188" s="10"/>
    </row>
    <row r="189" spans="2:26" x14ac:dyDescent="0.25">
      <c r="B189" s="24" t="str">
        <f t="shared" si="594"/>
        <v>-</v>
      </c>
      <c r="C189" s="24"/>
      <c r="D189" s="24"/>
      <c r="E189" s="24"/>
      <c r="F189" s="24"/>
      <c r="O189" s="20"/>
      <c r="P189" s="27"/>
      <c r="Q189" s="17"/>
      <c r="R189" s="18"/>
      <c r="S189" s="10"/>
      <c r="U189" s="20"/>
      <c r="V189" s="27"/>
      <c r="W189" s="17"/>
      <c r="X189" s="18"/>
      <c r="Y189" s="10"/>
      <c r="Z189" s="10"/>
    </row>
    <row r="190" spans="2:26" x14ac:dyDescent="0.25">
      <c r="B190" s="24" t="str">
        <f t="shared" si="594"/>
        <v>-</v>
      </c>
      <c r="C190" s="24"/>
      <c r="D190" s="24"/>
      <c r="E190" s="24"/>
      <c r="F190" s="24"/>
      <c r="O190" s="20"/>
      <c r="P190" s="27"/>
      <c r="Q190" s="17"/>
      <c r="R190" s="18"/>
      <c r="S190" s="22"/>
      <c r="U190" s="20"/>
      <c r="V190" s="27"/>
      <c r="W190" s="17"/>
      <c r="X190" s="18"/>
      <c r="Y190" s="22"/>
      <c r="Z190" s="22"/>
    </row>
    <row r="191" spans="2:26" x14ac:dyDescent="0.25">
      <c r="B191" s="24" t="str">
        <f t="shared" si="594"/>
        <v>-</v>
      </c>
      <c r="C191" s="24"/>
      <c r="D191" s="24"/>
      <c r="E191" s="24"/>
      <c r="F191" s="24"/>
      <c r="O191" s="20"/>
      <c r="P191" s="27"/>
      <c r="Q191" s="17"/>
      <c r="R191" s="18"/>
      <c r="S191" s="54"/>
      <c r="U191" s="20"/>
      <c r="V191" s="27"/>
      <c r="W191" s="17"/>
      <c r="X191" s="18"/>
      <c r="Y191" s="54"/>
      <c r="Z191" s="54"/>
    </row>
    <row r="192" spans="2:26" x14ac:dyDescent="0.25">
      <c r="B192" s="24" t="str">
        <f t="shared" si="594"/>
        <v>-</v>
      </c>
      <c r="C192" s="24"/>
      <c r="D192" s="24"/>
      <c r="E192" s="24"/>
      <c r="F192" s="24"/>
      <c r="O192" s="20"/>
      <c r="P192" s="27"/>
      <c r="Q192" s="17"/>
      <c r="R192" s="18"/>
      <c r="S192" s="37"/>
      <c r="U192" s="20"/>
      <c r="V192" s="27"/>
      <c r="W192" s="17"/>
      <c r="X192" s="18"/>
      <c r="Y192" s="37"/>
      <c r="Z192" s="37"/>
    </row>
    <row r="193" spans="2:26" x14ac:dyDescent="0.25">
      <c r="B193" s="24" t="str">
        <f t="shared" si="594"/>
        <v>-</v>
      </c>
      <c r="C193" s="24"/>
      <c r="D193" s="24"/>
      <c r="E193" s="24"/>
      <c r="F193" s="24"/>
      <c r="O193" s="20"/>
      <c r="P193" s="27"/>
      <c r="Q193" s="17"/>
      <c r="R193" s="18"/>
      <c r="S193" s="37"/>
      <c r="U193" s="20"/>
      <c r="V193" s="27"/>
      <c r="W193" s="17"/>
      <c r="X193" s="18"/>
      <c r="Y193" s="37"/>
      <c r="Z193" s="37"/>
    </row>
    <row r="194" spans="2:26" x14ac:dyDescent="0.25">
      <c r="B194" s="24" t="str">
        <f t="shared" si="594"/>
        <v>-</v>
      </c>
      <c r="C194" s="24"/>
      <c r="D194" s="24"/>
      <c r="E194" s="24"/>
      <c r="F194" s="24"/>
      <c r="P194" s="27"/>
      <c r="Q194" s="34"/>
      <c r="R194" s="38"/>
      <c r="S194" s="22"/>
      <c r="V194" s="27"/>
      <c r="W194" s="34"/>
      <c r="X194" s="38"/>
      <c r="Y194" s="22"/>
      <c r="Z194" s="22"/>
    </row>
    <row r="195" spans="2:26" x14ac:dyDescent="0.25">
      <c r="B195" s="24" t="str">
        <f t="shared" si="594"/>
        <v>-</v>
      </c>
      <c r="C195" s="24"/>
      <c r="D195" s="24"/>
      <c r="E195" s="24"/>
      <c r="F195" s="24"/>
      <c r="P195" s="27"/>
      <c r="Q195" s="34"/>
      <c r="V195" s="27"/>
      <c r="W195" s="34"/>
    </row>
    <row r="196" spans="2:26" x14ac:dyDescent="0.25">
      <c r="B196" s="24" t="str">
        <f t="shared" si="594"/>
        <v>-</v>
      </c>
      <c r="C196" s="24"/>
      <c r="D196" s="24"/>
      <c r="E196" s="24"/>
      <c r="F196" s="24"/>
      <c r="P196" s="27"/>
      <c r="Q196" s="34"/>
      <c r="V196" s="27"/>
      <c r="W196" s="34"/>
    </row>
    <row r="197" spans="2:26" x14ac:dyDescent="0.25">
      <c r="B197" s="24" t="str">
        <f t="shared" si="594"/>
        <v>-</v>
      </c>
      <c r="C197" s="24"/>
      <c r="D197" s="24"/>
      <c r="E197" s="24"/>
      <c r="F197" s="24"/>
      <c r="P197" s="27"/>
      <c r="Q197" s="34"/>
      <c r="V197" s="27"/>
      <c r="W197" s="34"/>
    </row>
    <row r="198" spans="2:26" x14ac:dyDescent="0.25">
      <c r="B198" s="24" t="str">
        <f t="shared" si="594"/>
        <v>-</v>
      </c>
      <c r="C198" s="24"/>
      <c r="D198" s="24"/>
      <c r="E198" s="24"/>
      <c r="F198" s="24"/>
      <c r="P198" s="27"/>
      <c r="Q198" s="34"/>
      <c r="V198" s="27"/>
      <c r="W198" s="34"/>
    </row>
    <row r="199" spans="2:26" x14ac:dyDescent="0.25">
      <c r="B199" s="24" t="str">
        <f t="shared" si="594"/>
        <v>-</v>
      </c>
      <c r="C199" s="24"/>
      <c r="D199" s="24"/>
      <c r="E199" s="24"/>
      <c r="F199" s="24"/>
      <c r="P199" s="27"/>
      <c r="Q199" s="34"/>
      <c r="V199" s="27"/>
      <c r="W199" s="34"/>
    </row>
    <row r="200" spans="2:26" x14ac:dyDescent="0.25">
      <c r="B200" s="24" t="str">
        <f t="shared" si="594"/>
        <v>-</v>
      </c>
      <c r="C200" s="24"/>
      <c r="D200" s="24"/>
      <c r="E200" s="24"/>
      <c r="F200" s="24"/>
      <c r="P200" s="27"/>
      <c r="Q200" s="34"/>
      <c r="V200" s="27"/>
      <c r="W200" s="34"/>
    </row>
    <row r="201" spans="2:26" x14ac:dyDescent="0.25">
      <c r="B201" s="24" t="str">
        <f t="shared" si="594"/>
        <v>-</v>
      </c>
      <c r="C201" s="24"/>
      <c r="D201" s="24"/>
      <c r="E201" s="24"/>
      <c r="F201" s="24"/>
      <c r="P201" s="27"/>
      <c r="Q201" s="34"/>
      <c r="V201" s="27"/>
      <c r="W201" s="34"/>
    </row>
    <row r="202" spans="2:26" x14ac:dyDescent="0.25">
      <c r="B202" s="24" t="str">
        <f t="shared" si="594"/>
        <v>-</v>
      </c>
      <c r="C202" s="24"/>
      <c r="D202" s="24"/>
      <c r="E202" s="24"/>
      <c r="F202" s="24"/>
      <c r="P202" s="27"/>
      <c r="Q202" s="34"/>
      <c r="V202" s="27"/>
      <c r="W202" s="34"/>
    </row>
    <row r="203" spans="2:26" x14ac:dyDescent="0.25">
      <c r="B203" s="24" t="str">
        <f t="shared" si="594"/>
        <v>-</v>
      </c>
      <c r="C203" s="24"/>
      <c r="D203" s="24"/>
      <c r="E203" s="24"/>
      <c r="F203" s="24"/>
      <c r="P203" s="27"/>
      <c r="Q203" s="34"/>
      <c r="V203" s="27"/>
      <c r="W203" s="34"/>
    </row>
    <row r="204" spans="2:26" x14ac:dyDescent="0.25">
      <c r="B204" s="24" t="str">
        <f t="shared" si="594"/>
        <v>-</v>
      </c>
      <c r="C204" s="24"/>
      <c r="D204" s="24"/>
      <c r="E204" s="24"/>
      <c r="F204" s="24"/>
      <c r="P204" s="27"/>
      <c r="Q204" s="34"/>
      <c r="V204" s="27"/>
      <c r="W204" s="34"/>
    </row>
    <row r="205" spans="2:26" x14ac:dyDescent="0.25">
      <c r="B205" s="24" t="str">
        <f t="shared" si="594"/>
        <v>-</v>
      </c>
      <c r="C205" s="24"/>
      <c r="D205" s="24"/>
      <c r="E205" s="24"/>
      <c r="F205" s="24"/>
      <c r="P205" s="27"/>
      <c r="Q205" s="34"/>
      <c r="V205" s="27"/>
      <c r="W205" s="34"/>
    </row>
    <row r="206" spans="2:26" x14ac:dyDescent="0.25">
      <c r="B206" s="24" t="str">
        <f t="shared" si="594"/>
        <v>-</v>
      </c>
      <c r="C206" s="24"/>
      <c r="D206" s="24"/>
      <c r="E206" s="24"/>
      <c r="F206" s="24"/>
      <c r="P206" s="27"/>
      <c r="Q206" s="34"/>
      <c r="V206" s="27"/>
      <c r="W206" s="34"/>
    </row>
    <row r="207" spans="2:26" x14ac:dyDescent="0.25">
      <c r="B207" s="24" t="str">
        <f t="shared" si="594"/>
        <v>-</v>
      </c>
      <c r="C207" s="24"/>
      <c r="D207" s="24"/>
      <c r="E207" s="24"/>
      <c r="F207" s="24"/>
      <c r="P207" s="27"/>
      <c r="Q207" s="34"/>
      <c r="V207" s="27"/>
      <c r="W207" s="34"/>
    </row>
    <row r="208" spans="2:26" x14ac:dyDescent="0.25">
      <c r="B208" s="24" t="str">
        <f t="shared" si="594"/>
        <v>-</v>
      </c>
      <c r="C208" s="24"/>
      <c r="D208" s="24"/>
      <c r="E208" s="24"/>
      <c r="F208" s="24"/>
      <c r="P208" s="27"/>
      <c r="Q208" s="34"/>
      <c r="V208" s="27"/>
      <c r="W208" s="34"/>
    </row>
    <row r="209" spans="2:23" x14ac:dyDescent="0.25">
      <c r="B209" s="24" t="str">
        <f t="shared" si="594"/>
        <v>-</v>
      </c>
      <c r="C209" s="24"/>
      <c r="D209" s="24"/>
      <c r="E209" s="24"/>
      <c r="F209" s="24"/>
      <c r="P209" s="27"/>
      <c r="Q209" s="34"/>
      <c r="V209" s="27"/>
      <c r="W209" s="34"/>
    </row>
    <row r="210" spans="2:23" x14ac:dyDescent="0.25">
      <c r="B210" s="24" t="str">
        <f t="shared" si="594"/>
        <v>-</v>
      </c>
      <c r="C210" s="24"/>
      <c r="D210" s="24"/>
      <c r="E210" s="24"/>
      <c r="F210" s="24"/>
      <c r="P210" s="27"/>
      <c r="Q210" s="34"/>
      <c r="V210" s="27"/>
      <c r="W210" s="34"/>
    </row>
    <row r="211" spans="2:23" x14ac:dyDescent="0.25">
      <c r="B211" s="24" t="str">
        <f t="shared" ref="B211:B274" si="595">IF(A211&gt;A210,1+B210,"-")</f>
        <v>-</v>
      </c>
      <c r="C211" s="24"/>
      <c r="D211" s="24"/>
      <c r="E211" s="24"/>
      <c r="F211" s="24"/>
      <c r="P211" s="27"/>
      <c r="Q211" s="34"/>
      <c r="V211" s="27"/>
      <c r="W211" s="34"/>
    </row>
    <row r="212" spans="2:23" x14ac:dyDescent="0.25">
      <c r="B212" s="24" t="str">
        <f t="shared" si="595"/>
        <v>-</v>
      </c>
      <c r="C212" s="24"/>
      <c r="D212" s="24"/>
      <c r="E212" s="24"/>
      <c r="F212" s="24"/>
      <c r="P212" s="27"/>
      <c r="Q212" s="34"/>
      <c r="V212" s="27"/>
      <c r="W212" s="34"/>
    </row>
    <row r="213" spans="2:23" x14ac:dyDescent="0.25">
      <c r="B213" s="24" t="str">
        <f t="shared" si="595"/>
        <v>-</v>
      </c>
      <c r="C213" s="24"/>
      <c r="D213" s="24"/>
      <c r="E213" s="24"/>
      <c r="F213" s="24"/>
      <c r="P213" s="27"/>
      <c r="Q213" s="34"/>
      <c r="V213" s="27"/>
      <c r="W213" s="34"/>
    </row>
    <row r="214" spans="2:23" x14ac:dyDescent="0.25">
      <c r="B214" s="24" t="str">
        <f t="shared" si="595"/>
        <v>-</v>
      </c>
      <c r="C214" s="24"/>
      <c r="D214" s="24"/>
      <c r="E214" s="24"/>
      <c r="F214" s="24"/>
      <c r="P214" s="27"/>
      <c r="Q214" s="34"/>
      <c r="V214" s="27"/>
      <c r="W214" s="34"/>
    </row>
    <row r="215" spans="2:23" x14ac:dyDescent="0.25">
      <c r="B215" s="24" t="str">
        <f t="shared" si="595"/>
        <v>-</v>
      </c>
      <c r="C215" s="24"/>
      <c r="D215" s="24"/>
      <c r="E215" s="24"/>
      <c r="F215" s="24"/>
      <c r="P215" s="27"/>
      <c r="Q215" s="34"/>
      <c r="V215" s="27"/>
      <c r="W215" s="34"/>
    </row>
    <row r="216" spans="2:23" x14ac:dyDescent="0.25">
      <c r="B216" s="24" t="str">
        <f t="shared" si="595"/>
        <v>-</v>
      </c>
      <c r="C216" s="24"/>
      <c r="D216" s="24"/>
      <c r="E216" s="24"/>
      <c r="F216" s="24"/>
      <c r="P216" s="27"/>
      <c r="Q216" s="34"/>
      <c r="V216" s="27"/>
      <c r="W216" s="34"/>
    </row>
    <row r="217" spans="2:23" x14ac:dyDescent="0.25">
      <c r="B217" s="24" t="str">
        <f t="shared" si="595"/>
        <v>-</v>
      </c>
      <c r="C217" s="24"/>
      <c r="D217" s="24"/>
      <c r="E217" s="24"/>
      <c r="F217" s="24"/>
      <c r="P217" s="27"/>
      <c r="Q217" s="34"/>
      <c r="V217" s="27"/>
      <c r="W217" s="34"/>
    </row>
    <row r="218" spans="2:23" x14ac:dyDescent="0.25">
      <c r="B218" s="24" t="str">
        <f t="shared" si="595"/>
        <v>-</v>
      </c>
      <c r="C218" s="24"/>
      <c r="D218" s="24"/>
      <c r="E218" s="24"/>
      <c r="F218" s="24"/>
      <c r="P218" s="27"/>
      <c r="Q218" s="34"/>
      <c r="V218" s="27"/>
      <c r="W218" s="34"/>
    </row>
    <row r="219" spans="2:23" x14ac:dyDescent="0.25">
      <c r="B219" s="24" t="str">
        <f t="shared" si="595"/>
        <v>-</v>
      </c>
      <c r="C219" s="24"/>
      <c r="D219" s="24"/>
      <c r="E219" s="24"/>
      <c r="F219" s="24"/>
      <c r="P219" s="27"/>
      <c r="Q219" s="34"/>
      <c r="V219" s="27"/>
      <c r="W219" s="34"/>
    </row>
    <row r="220" spans="2:23" x14ac:dyDescent="0.25">
      <c r="B220" s="24" t="str">
        <f t="shared" si="595"/>
        <v>-</v>
      </c>
      <c r="C220" s="24"/>
      <c r="D220" s="24"/>
      <c r="E220" s="24"/>
      <c r="F220" s="24"/>
      <c r="P220" s="27"/>
      <c r="Q220" s="34"/>
      <c r="V220" s="27"/>
      <c r="W220" s="34"/>
    </row>
    <row r="221" spans="2:23" x14ac:dyDescent="0.25">
      <c r="B221" s="24" t="str">
        <f t="shared" si="595"/>
        <v>-</v>
      </c>
      <c r="C221" s="24"/>
      <c r="D221" s="24"/>
      <c r="E221" s="24"/>
      <c r="F221" s="24"/>
      <c r="P221" s="27"/>
      <c r="Q221" s="34"/>
      <c r="V221" s="27"/>
      <c r="W221" s="34"/>
    </row>
    <row r="222" spans="2:23" x14ac:dyDescent="0.25">
      <c r="B222" s="24" t="str">
        <f t="shared" si="595"/>
        <v>-</v>
      </c>
      <c r="C222" s="24"/>
      <c r="D222" s="24"/>
      <c r="E222" s="24"/>
      <c r="F222" s="24"/>
      <c r="P222" s="27"/>
      <c r="V222" s="27"/>
    </row>
    <row r="223" spans="2:23" x14ac:dyDescent="0.25">
      <c r="B223" s="24" t="str">
        <f t="shared" si="595"/>
        <v>-</v>
      </c>
      <c r="C223" s="24"/>
      <c r="D223" s="24"/>
      <c r="E223" s="24"/>
      <c r="F223" s="24"/>
      <c r="P223" s="27"/>
      <c r="V223" s="27"/>
    </row>
    <row r="224" spans="2:23" x14ac:dyDescent="0.25">
      <c r="B224" s="24" t="str">
        <f t="shared" si="595"/>
        <v>-</v>
      </c>
      <c r="C224" s="24"/>
      <c r="D224" s="24"/>
      <c r="E224" s="24"/>
      <c r="F224" s="24"/>
      <c r="P224" s="27"/>
      <c r="V224" s="27"/>
    </row>
    <row r="225" spans="2:22" x14ac:dyDescent="0.25">
      <c r="B225" s="24" t="str">
        <f t="shared" si="595"/>
        <v>-</v>
      </c>
      <c r="C225" s="24"/>
      <c r="D225" s="24"/>
      <c r="E225" s="24"/>
      <c r="F225" s="24"/>
      <c r="P225" s="27"/>
      <c r="V225" s="27"/>
    </row>
    <row r="226" spans="2:22" x14ac:dyDescent="0.25">
      <c r="B226" s="24" t="str">
        <f t="shared" si="595"/>
        <v>-</v>
      </c>
      <c r="C226" s="24"/>
      <c r="D226" s="24"/>
      <c r="E226" s="24"/>
      <c r="F226" s="24"/>
      <c r="P226" s="27"/>
      <c r="V226" s="27"/>
    </row>
    <row r="227" spans="2:22" x14ac:dyDescent="0.25">
      <c r="B227" s="24" t="str">
        <f t="shared" si="595"/>
        <v>-</v>
      </c>
      <c r="C227" s="24"/>
      <c r="D227" s="24"/>
      <c r="E227" s="24"/>
      <c r="F227" s="24"/>
      <c r="P227" s="27"/>
      <c r="V227" s="27"/>
    </row>
    <row r="228" spans="2:22" x14ac:dyDescent="0.25">
      <c r="B228" s="24" t="str">
        <f t="shared" si="595"/>
        <v>-</v>
      </c>
      <c r="C228" s="24"/>
      <c r="D228" s="24"/>
      <c r="E228" s="24"/>
      <c r="F228" s="24"/>
      <c r="P228" s="27"/>
      <c r="V228" s="27"/>
    </row>
    <row r="229" spans="2:22" x14ac:dyDescent="0.25">
      <c r="B229" s="24" t="str">
        <f t="shared" si="595"/>
        <v>-</v>
      </c>
      <c r="C229" s="24"/>
      <c r="D229" s="24"/>
      <c r="E229" s="24"/>
      <c r="F229" s="24"/>
      <c r="P229" s="27"/>
      <c r="V229" s="27"/>
    </row>
    <row r="230" spans="2:22" x14ac:dyDescent="0.25">
      <c r="B230" s="24" t="str">
        <f t="shared" si="595"/>
        <v>-</v>
      </c>
      <c r="C230" s="24"/>
      <c r="D230" s="24"/>
      <c r="E230" s="24"/>
      <c r="F230" s="24"/>
      <c r="P230" s="27"/>
      <c r="V230" s="27"/>
    </row>
    <row r="231" spans="2:22" x14ac:dyDescent="0.25">
      <c r="B231" s="24" t="str">
        <f t="shared" si="595"/>
        <v>-</v>
      </c>
      <c r="C231" s="24"/>
      <c r="D231" s="24"/>
      <c r="E231" s="24"/>
      <c r="F231" s="24"/>
      <c r="P231" s="27"/>
      <c r="V231" s="27"/>
    </row>
    <row r="232" spans="2:22" x14ac:dyDescent="0.25">
      <c r="B232" s="24" t="str">
        <f t="shared" si="595"/>
        <v>-</v>
      </c>
      <c r="C232" s="24"/>
      <c r="D232" s="24"/>
      <c r="E232" s="24"/>
      <c r="F232" s="24"/>
      <c r="P232" s="27"/>
      <c r="V232" s="27"/>
    </row>
    <row r="233" spans="2:22" x14ac:dyDescent="0.25">
      <c r="B233" s="24" t="str">
        <f t="shared" si="595"/>
        <v>-</v>
      </c>
      <c r="C233" s="24"/>
      <c r="D233" s="24"/>
      <c r="E233" s="24"/>
      <c r="F233" s="24"/>
      <c r="P233" s="27"/>
      <c r="V233" s="27"/>
    </row>
    <row r="234" spans="2:22" x14ac:dyDescent="0.25">
      <c r="B234" s="24" t="str">
        <f t="shared" si="595"/>
        <v>-</v>
      </c>
      <c r="C234" s="24"/>
      <c r="D234" s="24"/>
      <c r="E234" s="24"/>
      <c r="F234" s="24"/>
      <c r="P234" s="27"/>
      <c r="V234" s="27"/>
    </row>
    <row r="235" spans="2:22" x14ac:dyDescent="0.25">
      <c r="B235" s="24" t="str">
        <f t="shared" si="595"/>
        <v>-</v>
      </c>
      <c r="C235" s="24"/>
      <c r="D235" s="24"/>
      <c r="E235" s="24"/>
      <c r="F235" s="24"/>
      <c r="P235" s="27"/>
      <c r="V235" s="27"/>
    </row>
    <row r="236" spans="2:22" x14ac:dyDescent="0.25">
      <c r="B236" s="24" t="str">
        <f t="shared" si="595"/>
        <v>-</v>
      </c>
      <c r="C236" s="24"/>
      <c r="D236" s="24"/>
      <c r="E236" s="24"/>
      <c r="F236" s="24"/>
      <c r="P236" s="27"/>
      <c r="V236" s="27"/>
    </row>
    <row r="237" spans="2:22" x14ac:dyDescent="0.25">
      <c r="B237" s="24" t="str">
        <f t="shared" si="595"/>
        <v>-</v>
      </c>
      <c r="C237" s="24"/>
      <c r="D237" s="24"/>
      <c r="E237" s="24"/>
      <c r="F237" s="24"/>
      <c r="P237" s="27"/>
      <c r="V237" s="27"/>
    </row>
    <row r="238" spans="2:22" x14ac:dyDescent="0.25">
      <c r="B238" s="24" t="str">
        <f t="shared" si="595"/>
        <v>-</v>
      </c>
      <c r="C238" s="24"/>
      <c r="D238" s="24"/>
      <c r="E238" s="24"/>
      <c r="F238" s="24"/>
      <c r="P238" s="27"/>
      <c r="V238" s="27"/>
    </row>
    <row r="239" spans="2:22" x14ac:dyDescent="0.25">
      <c r="B239" s="24" t="str">
        <f t="shared" si="595"/>
        <v>-</v>
      </c>
      <c r="C239" s="24"/>
      <c r="D239" s="24"/>
      <c r="E239" s="24"/>
      <c r="F239" s="24"/>
      <c r="P239" s="27"/>
      <c r="V239" s="27"/>
    </row>
    <row r="240" spans="2:22" x14ac:dyDescent="0.25">
      <c r="B240" s="24" t="str">
        <f t="shared" si="595"/>
        <v>-</v>
      </c>
      <c r="C240" s="24"/>
      <c r="D240" s="24"/>
      <c r="E240" s="24"/>
      <c r="F240" s="24"/>
      <c r="P240" s="27"/>
      <c r="V240" s="27"/>
    </row>
    <row r="241" spans="2:22" x14ac:dyDescent="0.25">
      <c r="B241" s="24" t="str">
        <f t="shared" si="595"/>
        <v>-</v>
      </c>
      <c r="C241" s="24"/>
      <c r="D241" s="24"/>
      <c r="E241" s="24"/>
      <c r="F241" s="24"/>
      <c r="P241" s="27"/>
      <c r="V241" s="27"/>
    </row>
    <row r="242" spans="2:22" x14ac:dyDescent="0.25">
      <c r="B242" s="24" t="str">
        <f t="shared" si="595"/>
        <v>-</v>
      </c>
      <c r="C242" s="24"/>
      <c r="D242" s="24"/>
      <c r="E242" s="24"/>
      <c r="F242" s="24"/>
      <c r="P242" s="27"/>
      <c r="V242" s="27"/>
    </row>
    <row r="243" spans="2:22" x14ac:dyDescent="0.25">
      <c r="B243" s="24" t="str">
        <f t="shared" si="595"/>
        <v>-</v>
      </c>
      <c r="C243" s="24"/>
      <c r="D243" s="24"/>
      <c r="E243" s="24"/>
      <c r="F243" s="24"/>
      <c r="P243" s="27"/>
      <c r="V243" s="27"/>
    </row>
    <row r="244" spans="2:22" x14ac:dyDescent="0.25">
      <c r="B244" s="24" t="str">
        <f t="shared" si="595"/>
        <v>-</v>
      </c>
      <c r="C244" s="24"/>
      <c r="D244" s="24"/>
      <c r="E244" s="24"/>
      <c r="F244" s="24"/>
      <c r="P244" s="27"/>
      <c r="V244" s="27"/>
    </row>
    <row r="245" spans="2:22" x14ac:dyDescent="0.25">
      <c r="B245" s="24" t="str">
        <f t="shared" si="595"/>
        <v>-</v>
      </c>
      <c r="C245" s="24"/>
      <c r="D245" s="24"/>
      <c r="E245" s="24"/>
      <c r="F245" s="24"/>
      <c r="P245" s="27"/>
      <c r="V245" s="27"/>
    </row>
    <row r="246" spans="2:22" x14ac:dyDescent="0.25">
      <c r="B246" s="24" t="str">
        <f t="shared" si="595"/>
        <v>-</v>
      </c>
      <c r="C246" s="24"/>
      <c r="D246" s="24"/>
      <c r="E246" s="24"/>
      <c r="F246" s="24"/>
      <c r="P246" s="27"/>
      <c r="V246" s="27"/>
    </row>
    <row r="247" spans="2:22" x14ac:dyDescent="0.25">
      <c r="B247" s="24" t="str">
        <f t="shared" si="595"/>
        <v>-</v>
      </c>
      <c r="C247" s="24"/>
      <c r="D247" s="24"/>
      <c r="E247" s="24"/>
      <c r="F247" s="24"/>
      <c r="P247" s="27"/>
      <c r="V247" s="27"/>
    </row>
    <row r="248" spans="2:22" x14ac:dyDescent="0.25">
      <c r="B248" s="24" t="str">
        <f t="shared" si="595"/>
        <v>-</v>
      </c>
      <c r="C248" s="24"/>
      <c r="D248" s="24"/>
      <c r="E248" s="24"/>
      <c r="F248" s="24"/>
      <c r="P248" s="27"/>
      <c r="V248" s="27"/>
    </row>
    <row r="249" spans="2:22" x14ac:dyDescent="0.25">
      <c r="B249" s="24" t="str">
        <f t="shared" si="595"/>
        <v>-</v>
      </c>
      <c r="C249" s="24"/>
      <c r="D249" s="24"/>
      <c r="E249" s="24"/>
      <c r="F249" s="24"/>
      <c r="P249" s="27"/>
      <c r="V249" s="27"/>
    </row>
    <row r="250" spans="2:22" x14ac:dyDescent="0.25">
      <c r="B250" s="24" t="str">
        <f t="shared" si="595"/>
        <v>-</v>
      </c>
      <c r="C250" s="24"/>
      <c r="D250" s="24"/>
      <c r="E250" s="24"/>
      <c r="F250" s="24"/>
      <c r="P250" s="27"/>
      <c r="V250" s="27"/>
    </row>
    <row r="251" spans="2:22" x14ac:dyDescent="0.25">
      <c r="B251" s="24" t="str">
        <f t="shared" si="595"/>
        <v>-</v>
      </c>
      <c r="C251" s="24"/>
      <c r="D251" s="24"/>
      <c r="E251" s="24"/>
      <c r="F251" s="24"/>
      <c r="P251" s="27"/>
      <c r="V251" s="27"/>
    </row>
    <row r="252" spans="2:22" x14ac:dyDescent="0.25">
      <c r="B252" s="24" t="str">
        <f t="shared" si="595"/>
        <v>-</v>
      </c>
      <c r="C252" s="24"/>
      <c r="D252" s="24"/>
      <c r="E252" s="24"/>
      <c r="F252" s="24"/>
      <c r="P252" s="27"/>
      <c r="V252" s="27"/>
    </row>
    <row r="253" spans="2:22" x14ac:dyDescent="0.25">
      <c r="B253" s="24" t="str">
        <f t="shared" si="595"/>
        <v>-</v>
      </c>
      <c r="C253" s="24"/>
      <c r="D253" s="24"/>
      <c r="E253" s="24"/>
      <c r="F253" s="24"/>
      <c r="P253" s="27"/>
      <c r="V253" s="27"/>
    </row>
    <row r="254" spans="2:22" x14ac:dyDescent="0.25">
      <c r="B254" s="24" t="str">
        <f t="shared" si="595"/>
        <v>-</v>
      </c>
      <c r="C254" s="24"/>
      <c r="D254" s="24"/>
      <c r="E254" s="24"/>
      <c r="F254" s="24"/>
      <c r="P254" s="27"/>
      <c r="V254" s="27"/>
    </row>
    <row r="255" spans="2:22" x14ac:dyDescent="0.25">
      <c r="B255" s="24" t="str">
        <f t="shared" si="595"/>
        <v>-</v>
      </c>
      <c r="C255" s="24"/>
      <c r="D255" s="24"/>
      <c r="E255" s="24"/>
      <c r="F255" s="24"/>
      <c r="P255" s="27"/>
      <c r="V255" s="27"/>
    </row>
    <row r="256" spans="2:22" x14ac:dyDescent="0.25">
      <c r="B256" s="24" t="str">
        <f t="shared" si="595"/>
        <v>-</v>
      </c>
      <c r="C256" s="24"/>
      <c r="D256" s="24"/>
      <c r="E256" s="24"/>
      <c r="F256" s="24"/>
      <c r="P256" s="27"/>
      <c r="V256" s="27"/>
    </row>
    <row r="257" spans="2:22" x14ac:dyDescent="0.25">
      <c r="B257" s="24" t="str">
        <f t="shared" si="595"/>
        <v>-</v>
      </c>
      <c r="C257" s="24"/>
      <c r="D257" s="24"/>
      <c r="E257" s="24"/>
      <c r="F257" s="24"/>
      <c r="P257" s="27"/>
      <c r="V257" s="27"/>
    </row>
    <row r="258" spans="2:22" x14ac:dyDescent="0.25">
      <c r="B258" s="24" t="str">
        <f t="shared" si="595"/>
        <v>-</v>
      </c>
      <c r="C258" s="24"/>
      <c r="D258" s="24"/>
      <c r="E258" s="24"/>
      <c r="F258" s="24"/>
      <c r="P258" s="27"/>
      <c r="V258" s="27"/>
    </row>
    <row r="259" spans="2:22" x14ac:dyDescent="0.25">
      <c r="B259" s="24" t="str">
        <f t="shared" si="595"/>
        <v>-</v>
      </c>
      <c r="C259" s="24"/>
      <c r="D259" s="24"/>
      <c r="E259" s="24"/>
      <c r="F259" s="24"/>
      <c r="P259" s="27"/>
      <c r="V259" s="27"/>
    </row>
    <row r="260" spans="2:22" x14ac:dyDescent="0.25">
      <c r="B260" s="24" t="str">
        <f t="shared" si="595"/>
        <v>-</v>
      </c>
      <c r="C260" s="24"/>
      <c r="D260" s="24"/>
      <c r="E260" s="24"/>
      <c r="F260" s="24"/>
      <c r="P260" s="27"/>
      <c r="V260" s="27"/>
    </row>
    <row r="261" spans="2:22" x14ac:dyDescent="0.25">
      <c r="B261" s="24" t="str">
        <f t="shared" si="595"/>
        <v>-</v>
      </c>
      <c r="C261" s="24"/>
      <c r="D261" s="24"/>
      <c r="E261" s="24"/>
      <c r="F261" s="24"/>
      <c r="P261" s="27"/>
      <c r="V261" s="27"/>
    </row>
    <row r="262" spans="2:22" x14ac:dyDescent="0.25">
      <c r="B262" s="24" t="str">
        <f t="shared" si="595"/>
        <v>-</v>
      </c>
      <c r="C262" s="24"/>
      <c r="D262" s="24"/>
      <c r="E262" s="24"/>
      <c r="F262" s="24"/>
      <c r="P262" s="27"/>
      <c r="V262" s="27"/>
    </row>
    <row r="263" spans="2:22" x14ac:dyDescent="0.25">
      <c r="B263" s="24" t="str">
        <f t="shared" si="595"/>
        <v>-</v>
      </c>
      <c r="C263" s="24"/>
      <c r="D263" s="24"/>
      <c r="E263" s="24"/>
      <c r="F263" s="24"/>
      <c r="P263" s="27"/>
      <c r="V263" s="27"/>
    </row>
    <row r="264" spans="2:22" x14ac:dyDescent="0.25">
      <c r="B264" s="24" t="str">
        <f t="shared" si="595"/>
        <v>-</v>
      </c>
      <c r="C264" s="24"/>
      <c r="D264" s="24"/>
      <c r="E264" s="24"/>
      <c r="F264" s="24"/>
      <c r="P264" s="27"/>
      <c r="V264" s="27"/>
    </row>
    <row r="265" spans="2:22" x14ac:dyDescent="0.25">
      <c r="B265" s="24" t="str">
        <f t="shared" si="595"/>
        <v>-</v>
      </c>
      <c r="C265" s="24"/>
      <c r="D265" s="24"/>
      <c r="E265" s="24"/>
      <c r="F265" s="24"/>
      <c r="P265" s="27"/>
      <c r="V265" s="27"/>
    </row>
    <row r="266" spans="2:22" x14ac:dyDescent="0.25">
      <c r="B266" s="24" t="str">
        <f t="shared" si="595"/>
        <v>-</v>
      </c>
      <c r="C266" s="24"/>
      <c r="D266" s="24"/>
      <c r="E266" s="24"/>
      <c r="F266" s="24"/>
      <c r="P266" s="27"/>
      <c r="V266" s="27"/>
    </row>
    <row r="267" spans="2:22" x14ac:dyDescent="0.25">
      <c r="B267" s="24" t="str">
        <f t="shared" si="595"/>
        <v>-</v>
      </c>
      <c r="C267" s="24"/>
      <c r="D267" s="24"/>
      <c r="E267" s="24"/>
      <c r="F267" s="24"/>
      <c r="P267" s="27"/>
      <c r="V267" s="27"/>
    </row>
    <row r="268" spans="2:22" x14ac:dyDescent="0.25">
      <c r="B268" s="24" t="str">
        <f t="shared" si="595"/>
        <v>-</v>
      </c>
      <c r="C268" s="24"/>
      <c r="D268" s="24"/>
      <c r="E268" s="24"/>
      <c r="F268" s="24"/>
      <c r="P268" s="27"/>
      <c r="V268" s="27"/>
    </row>
    <row r="269" spans="2:22" x14ac:dyDescent="0.25">
      <c r="B269" s="24" t="str">
        <f t="shared" si="595"/>
        <v>-</v>
      </c>
      <c r="C269" s="24"/>
      <c r="D269" s="24"/>
      <c r="E269" s="24"/>
      <c r="F269" s="24"/>
      <c r="P269" s="27"/>
      <c r="V269" s="27"/>
    </row>
    <row r="270" spans="2:22" x14ac:dyDescent="0.25">
      <c r="B270" s="24" t="str">
        <f t="shared" si="595"/>
        <v>-</v>
      </c>
      <c r="C270" s="24"/>
      <c r="D270" s="24"/>
      <c r="E270" s="24"/>
      <c r="F270" s="24"/>
      <c r="P270" s="27"/>
      <c r="V270" s="27"/>
    </row>
    <row r="271" spans="2:22" x14ac:dyDescent="0.25">
      <c r="B271" s="24" t="str">
        <f t="shared" si="595"/>
        <v>-</v>
      </c>
      <c r="C271" s="24"/>
      <c r="D271" s="24"/>
      <c r="E271" s="24"/>
      <c r="F271" s="24"/>
      <c r="P271" s="27"/>
      <c r="V271" s="27"/>
    </row>
    <row r="272" spans="2:22" x14ac:dyDescent="0.25">
      <c r="B272" s="24" t="str">
        <f t="shared" si="595"/>
        <v>-</v>
      </c>
      <c r="C272" s="24"/>
      <c r="D272" s="24"/>
      <c r="E272" s="24"/>
      <c r="F272" s="24"/>
      <c r="P272" s="27"/>
      <c r="V272" s="27"/>
    </row>
    <row r="273" spans="2:22" x14ac:dyDescent="0.25">
      <c r="B273" s="24" t="str">
        <f t="shared" si="595"/>
        <v>-</v>
      </c>
      <c r="C273" s="24"/>
      <c r="D273" s="24"/>
      <c r="E273" s="24"/>
      <c r="F273" s="24"/>
      <c r="P273" s="27"/>
      <c r="V273" s="27"/>
    </row>
    <row r="274" spans="2:22" x14ac:dyDescent="0.25">
      <c r="B274" s="24" t="str">
        <f t="shared" si="595"/>
        <v>-</v>
      </c>
      <c r="C274" s="24"/>
      <c r="D274" s="24"/>
      <c r="E274" s="24"/>
      <c r="F274" s="24"/>
      <c r="P274" s="27"/>
      <c r="V274" s="27"/>
    </row>
    <row r="275" spans="2:22" x14ac:dyDescent="0.25">
      <c r="B275" s="24" t="str">
        <f t="shared" ref="B275:B338" si="596">IF(A275&gt;A274,1+B274,"-")</f>
        <v>-</v>
      </c>
      <c r="C275" s="24"/>
      <c r="D275" s="24"/>
      <c r="E275" s="24"/>
      <c r="F275" s="24"/>
      <c r="P275" s="27"/>
      <c r="V275" s="27"/>
    </row>
    <row r="276" spans="2:22" x14ac:dyDescent="0.25">
      <c r="B276" s="24" t="str">
        <f t="shared" si="596"/>
        <v>-</v>
      </c>
      <c r="C276" s="24"/>
      <c r="D276" s="24"/>
      <c r="E276" s="24"/>
      <c r="F276" s="24"/>
      <c r="P276" s="27"/>
      <c r="V276" s="27"/>
    </row>
    <row r="277" spans="2:22" x14ac:dyDescent="0.25">
      <c r="B277" s="24" t="str">
        <f t="shared" si="596"/>
        <v>-</v>
      </c>
      <c r="C277" s="24"/>
      <c r="D277" s="24"/>
      <c r="E277" s="24"/>
      <c r="F277" s="24"/>
      <c r="P277" s="27"/>
      <c r="V277" s="27"/>
    </row>
    <row r="278" spans="2:22" x14ac:dyDescent="0.25">
      <c r="B278" s="24" t="str">
        <f t="shared" si="596"/>
        <v>-</v>
      </c>
      <c r="C278" s="24"/>
      <c r="D278" s="24"/>
      <c r="E278" s="24"/>
      <c r="F278" s="24"/>
      <c r="P278" s="27"/>
      <c r="V278" s="27"/>
    </row>
    <row r="279" spans="2:22" x14ac:dyDescent="0.25">
      <c r="B279" s="24" t="str">
        <f t="shared" si="596"/>
        <v>-</v>
      </c>
      <c r="C279" s="24"/>
      <c r="D279" s="24"/>
      <c r="E279" s="24"/>
      <c r="F279" s="24"/>
      <c r="P279" s="27"/>
      <c r="V279" s="27"/>
    </row>
    <row r="280" spans="2:22" x14ac:dyDescent="0.25">
      <c r="B280" s="24" t="str">
        <f t="shared" si="596"/>
        <v>-</v>
      </c>
      <c r="C280" s="24"/>
      <c r="D280" s="24"/>
      <c r="E280" s="24"/>
      <c r="F280" s="24"/>
      <c r="P280" s="27"/>
      <c r="V280" s="27"/>
    </row>
    <row r="281" spans="2:22" x14ac:dyDescent="0.25">
      <c r="B281" s="24" t="str">
        <f t="shared" si="596"/>
        <v>-</v>
      </c>
      <c r="C281" s="24"/>
      <c r="D281" s="24"/>
      <c r="E281" s="24"/>
      <c r="F281" s="24"/>
      <c r="P281" s="27"/>
      <c r="V281" s="27"/>
    </row>
    <row r="282" spans="2:22" x14ac:dyDescent="0.25">
      <c r="B282" s="24" t="str">
        <f t="shared" si="596"/>
        <v>-</v>
      </c>
      <c r="C282" s="24"/>
      <c r="D282" s="24"/>
      <c r="E282" s="24"/>
      <c r="F282" s="24"/>
      <c r="P282" s="27"/>
      <c r="V282" s="27"/>
    </row>
    <row r="283" spans="2:22" x14ac:dyDescent="0.25">
      <c r="B283" s="24" t="str">
        <f t="shared" si="596"/>
        <v>-</v>
      </c>
      <c r="C283" s="24"/>
      <c r="D283" s="24"/>
      <c r="E283" s="24"/>
      <c r="F283" s="24"/>
      <c r="P283" s="27"/>
      <c r="V283" s="27"/>
    </row>
    <row r="284" spans="2:22" x14ac:dyDescent="0.25">
      <c r="B284" s="24" t="str">
        <f t="shared" si="596"/>
        <v>-</v>
      </c>
      <c r="C284" s="24"/>
      <c r="D284" s="24"/>
      <c r="E284" s="24"/>
      <c r="F284" s="24"/>
      <c r="P284" s="27"/>
      <c r="V284" s="27"/>
    </row>
    <row r="285" spans="2:22" x14ac:dyDescent="0.25">
      <c r="B285" s="24" t="str">
        <f t="shared" si="596"/>
        <v>-</v>
      </c>
      <c r="C285" s="24"/>
      <c r="D285" s="24"/>
      <c r="E285" s="24"/>
      <c r="F285" s="24"/>
      <c r="P285" s="27"/>
      <c r="V285" s="27"/>
    </row>
    <row r="286" spans="2:22" x14ac:dyDescent="0.25">
      <c r="B286" s="24" t="str">
        <f t="shared" si="596"/>
        <v>-</v>
      </c>
      <c r="C286" s="24"/>
      <c r="D286" s="24"/>
      <c r="E286" s="24"/>
      <c r="F286" s="24"/>
      <c r="P286" s="27"/>
      <c r="V286" s="27"/>
    </row>
    <row r="287" spans="2:22" x14ac:dyDescent="0.25">
      <c r="B287" s="24" t="str">
        <f t="shared" si="596"/>
        <v>-</v>
      </c>
      <c r="C287" s="24"/>
      <c r="D287" s="24"/>
      <c r="E287" s="24"/>
      <c r="F287" s="24"/>
      <c r="P287" s="27"/>
      <c r="V287" s="27"/>
    </row>
    <row r="288" spans="2:22" x14ac:dyDescent="0.25">
      <c r="B288" s="24" t="str">
        <f t="shared" si="596"/>
        <v>-</v>
      </c>
      <c r="C288" s="24"/>
      <c r="D288" s="24"/>
      <c r="E288" s="24"/>
      <c r="F288" s="24"/>
      <c r="P288" s="27"/>
      <c r="V288" s="27"/>
    </row>
    <row r="289" spans="1:27" x14ac:dyDescent="0.25">
      <c r="B289" s="24" t="str">
        <f t="shared" si="596"/>
        <v>-</v>
      </c>
      <c r="C289" s="24"/>
      <c r="D289" s="24"/>
      <c r="E289" s="24"/>
      <c r="F289" s="24"/>
      <c r="P289" s="27"/>
      <c r="V289" s="27"/>
    </row>
    <row r="290" spans="1:27" x14ac:dyDescent="0.25">
      <c r="B290" s="24" t="str">
        <f t="shared" si="596"/>
        <v>-</v>
      </c>
      <c r="C290" s="24"/>
      <c r="D290" s="24"/>
      <c r="E290" s="24"/>
      <c r="F290" s="24"/>
      <c r="P290" s="27"/>
      <c r="V290" s="27"/>
    </row>
    <row r="291" spans="1:27" x14ac:dyDescent="0.25">
      <c r="B291" s="24" t="str">
        <f t="shared" si="596"/>
        <v>-</v>
      </c>
      <c r="C291" s="24"/>
      <c r="D291" s="24"/>
      <c r="E291" s="24"/>
      <c r="F291" s="24"/>
    </row>
    <row r="292" spans="1:27" x14ac:dyDescent="0.25">
      <c r="B292" s="24" t="str">
        <f t="shared" si="596"/>
        <v>-</v>
      </c>
      <c r="C292" s="24"/>
      <c r="D292" s="24"/>
      <c r="E292" s="24"/>
      <c r="F292" s="24"/>
    </row>
    <row r="293" spans="1:27" x14ac:dyDescent="0.25">
      <c r="B293" s="24" t="str">
        <f t="shared" si="596"/>
        <v>-</v>
      </c>
      <c r="C293" s="24"/>
      <c r="D293" s="24"/>
      <c r="E293" s="24"/>
      <c r="F293" s="24"/>
    </row>
    <row r="294" spans="1:27" x14ac:dyDescent="0.25">
      <c r="B294" s="24" t="str">
        <f t="shared" si="596"/>
        <v>-</v>
      </c>
      <c r="C294" s="24"/>
      <c r="D294" s="24"/>
      <c r="E294" s="24"/>
      <c r="F294" s="24"/>
    </row>
    <row r="295" spans="1:27" x14ac:dyDescent="0.25">
      <c r="B295" s="24" t="str">
        <f t="shared" si="596"/>
        <v>-</v>
      </c>
      <c r="C295" s="24"/>
      <c r="D295" s="24"/>
      <c r="E295" s="24"/>
      <c r="F295" s="24"/>
    </row>
    <row r="296" spans="1:27" x14ac:dyDescent="0.25">
      <c r="B296" s="24" t="str">
        <f t="shared" si="596"/>
        <v>-</v>
      </c>
      <c r="C296" s="24"/>
      <c r="D296" s="24"/>
      <c r="E296" s="24"/>
      <c r="F296" s="24"/>
    </row>
    <row r="297" spans="1:27" x14ac:dyDescent="0.25">
      <c r="B297" s="24" t="str">
        <f t="shared" si="596"/>
        <v>-</v>
      </c>
      <c r="C297" s="24"/>
      <c r="D297" s="24"/>
      <c r="E297" s="24"/>
      <c r="F297" s="24"/>
    </row>
    <row r="298" spans="1:27" x14ac:dyDescent="0.25">
      <c r="B298" s="24" t="str">
        <f t="shared" si="596"/>
        <v>-</v>
      </c>
      <c r="C298" s="24"/>
      <c r="D298" s="24"/>
      <c r="E298" s="24"/>
      <c r="F298" s="24"/>
    </row>
    <row r="299" spans="1:27" x14ac:dyDescent="0.25">
      <c r="B299" s="24" t="str">
        <f t="shared" si="596"/>
        <v>-</v>
      </c>
      <c r="C299" s="24"/>
      <c r="D299" s="24"/>
      <c r="E299" s="24"/>
      <c r="F299" s="24"/>
    </row>
    <row r="300" spans="1:27" x14ac:dyDescent="0.25">
      <c r="B300" s="24" t="str">
        <f t="shared" si="596"/>
        <v>-</v>
      </c>
      <c r="C300" s="24"/>
      <c r="D300" s="24"/>
      <c r="E300" s="24"/>
      <c r="F300" s="24"/>
    </row>
    <row r="301" spans="1:27" x14ac:dyDescent="0.25">
      <c r="B301" s="24" t="str">
        <f t="shared" si="596"/>
        <v>-</v>
      </c>
      <c r="C301" s="24"/>
      <c r="D301" s="24"/>
      <c r="E301" s="24"/>
      <c r="F301" s="24"/>
    </row>
    <row r="302" spans="1:27" x14ac:dyDescent="0.25">
      <c r="B302" s="24" t="str">
        <f t="shared" si="596"/>
        <v>-</v>
      </c>
      <c r="C302" s="24"/>
      <c r="D302" s="24"/>
      <c r="E302" s="24"/>
      <c r="F302" s="24"/>
    </row>
    <row r="303" spans="1:27" x14ac:dyDescent="0.25">
      <c r="B303" s="24" t="str">
        <f t="shared" si="596"/>
        <v>-</v>
      </c>
      <c r="C303" s="24"/>
      <c r="D303" s="24"/>
      <c r="E303" s="24"/>
      <c r="F303" s="24"/>
    </row>
    <row r="304" spans="1:27" s="23" customFormat="1" x14ac:dyDescent="0.25">
      <c r="A304"/>
      <c r="B304" s="24" t="str">
        <f t="shared" si="596"/>
        <v>-</v>
      </c>
      <c r="C304" s="24"/>
      <c r="D304" s="24"/>
      <c r="E304" s="24"/>
      <c r="F304" s="24"/>
      <c r="G304"/>
      <c r="H304"/>
      <c r="J304" s="2"/>
      <c r="K304"/>
      <c r="L304"/>
      <c r="N304"/>
      <c r="O304"/>
      <c r="P304"/>
      <c r="Q304"/>
      <c r="R304"/>
      <c r="S304"/>
      <c r="T304"/>
      <c r="U304"/>
      <c r="V304"/>
      <c r="W304"/>
      <c r="X304"/>
      <c r="Y304"/>
      <c r="Z304"/>
      <c r="AA304"/>
    </row>
    <row r="305" spans="1:27" s="23" customFormat="1" x14ac:dyDescent="0.25">
      <c r="A305"/>
      <c r="B305" s="24" t="str">
        <f t="shared" si="596"/>
        <v>-</v>
      </c>
      <c r="C305" s="24"/>
      <c r="D305" s="24"/>
      <c r="E305" s="24"/>
      <c r="F305" s="24"/>
      <c r="G305"/>
      <c r="H305"/>
      <c r="J305" s="2"/>
      <c r="K305"/>
      <c r="L305"/>
      <c r="N305"/>
      <c r="O305"/>
      <c r="P305"/>
      <c r="Q305"/>
      <c r="R305"/>
      <c r="S305"/>
      <c r="T305"/>
      <c r="U305"/>
      <c r="V305"/>
      <c r="W305"/>
      <c r="X305"/>
      <c r="Y305"/>
      <c r="Z305"/>
      <c r="AA305"/>
    </row>
    <row r="306" spans="1:27" s="23" customFormat="1" x14ac:dyDescent="0.25">
      <c r="A306"/>
      <c r="B306" s="24" t="str">
        <f t="shared" si="596"/>
        <v>-</v>
      </c>
      <c r="C306" s="24"/>
      <c r="D306" s="24"/>
      <c r="E306" s="24"/>
      <c r="F306" s="24"/>
      <c r="G306"/>
      <c r="H306"/>
      <c r="J306" s="2"/>
      <c r="K306"/>
      <c r="L306"/>
      <c r="N306"/>
      <c r="O306"/>
      <c r="P306"/>
      <c r="Q306"/>
      <c r="R306"/>
      <c r="S306"/>
      <c r="T306"/>
      <c r="U306"/>
      <c r="V306"/>
      <c r="W306"/>
      <c r="X306"/>
      <c r="Y306"/>
      <c r="Z306"/>
      <c r="AA306"/>
    </row>
    <row r="307" spans="1:27" s="23" customFormat="1" x14ac:dyDescent="0.25">
      <c r="A307"/>
      <c r="B307" s="24" t="str">
        <f t="shared" si="596"/>
        <v>-</v>
      </c>
      <c r="C307" s="24"/>
      <c r="D307" s="24"/>
      <c r="E307" s="24"/>
      <c r="F307" s="24"/>
      <c r="G307"/>
      <c r="H307"/>
      <c r="J307" s="2"/>
      <c r="K307"/>
      <c r="L307"/>
      <c r="N307"/>
      <c r="O307"/>
      <c r="P307"/>
      <c r="Q307"/>
      <c r="R307"/>
      <c r="S307"/>
      <c r="T307"/>
      <c r="U307"/>
      <c r="V307"/>
      <c r="W307"/>
      <c r="X307"/>
      <c r="Y307"/>
      <c r="Z307"/>
      <c r="AA307"/>
    </row>
    <row r="308" spans="1:27" s="23" customFormat="1" x14ac:dyDescent="0.25">
      <c r="A308"/>
      <c r="B308" s="24" t="str">
        <f t="shared" si="596"/>
        <v>-</v>
      </c>
      <c r="C308" s="24"/>
      <c r="D308" s="24"/>
      <c r="E308" s="24"/>
      <c r="F308" s="24"/>
      <c r="G308"/>
      <c r="H308"/>
      <c r="J308" s="2"/>
      <c r="K308"/>
      <c r="L308"/>
      <c r="N308"/>
      <c r="O308"/>
      <c r="P308"/>
      <c r="Q308"/>
      <c r="R308"/>
      <c r="S308"/>
      <c r="T308"/>
      <c r="U308"/>
      <c r="V308"/>
      <c r="W308"/>
      <c r="X308"/>
      <c r="Y308"/>
      <c r="Z308"/>
      <c r="AA308"/>
    </row>
    <row r="309" spans="1:27" s="23" customFormat="1" x14ac:dyDescent="0.25">
      <c r="A309"/>
      <c r="B309" s="24" t="str">
        <f t="shared" si="596"/>
        <v>-</v>
      </c>
      <c r="C309" s="24"/>
      <c r="D309" s="24"/>
      <c r="E309" s="24"/>
      <c r="F309" s="24"/>
      <c r="G309"/>
      <c r="H309"/>
      <c r="J309" s="2"/>
      <c r="K309"/>
      <c r="L309"/>
      <c r="N309"/>
      <c r="O309"/>
      <c r="P309"/>
      <c r="Q309"/>
      <c r="R309"/>
      <c r="S309"/>
      <c r="T309"/>
      <c r="U309"/>
      <c r="V309"/>
      <c r="W309"/>
      <c r="X309"/>
      <c r="Y309"/>
      <c r="Z309"/>
      <c r="AA309"/>
    </row>
    <row r="310" spans="1:27" s="23" customFormat="1" x14ac:dyDescent="0.25">
      <c r="A310"/>
      <c r="B310" s="24" t="str">
        <f t="shared" si="596"/>
        <v>-</v>
      </c>
      <c r="C310" s="24"/>
      <c r="D310" s="24"/>
      <c r="E310" s="24"/>
      <c r="F310" s="24"/>
      <c r="G310"/>
      <c r="H310"/>
      <c r="J310" s="2"/>
      <c r="K310"/>
      <c r="L310"/>
      <c r="N310"/>
      <c r="O310"/>
      <c r="P310"/>
      <c r="Q310"/>
      <c r="R310"/>
      <c r="S310"/>
      <c r="T310"/>
      <c r="U310"/>
      <c r="V310"/>
      <c r="W310"/>
      <c r="X310"/>
      <c r="Y310"/>
      <c r="Z310"/>
      <c r="AA310"/>
    </row>
    <row r="311" spans="1:27" s="23" customFormat="1" x14ac:dyDescent="0.25">
      <c r="A311"/>
      <c r="B311" s="24" t="str">
        <f t="shared" si="596"/>
        <v>-</v>
      </c>
      <c r="C311" s="24"/>
      <c r="D311" s="24"/>
      <c r="E311" s="24"/>
      <c r="F311" s="24"/>
      <c r="G311"/>
      <c r="H311"/>
      <c r="J311" s="2"/>
      <c r="K311"/>
      <c r="L311"/>
      <c r="N311"/>
      <c r="O311"/>
      <c r="P311"/>
      <c r="Q311"/>
      <c r="R311"/>
      <c r="S311"/>
      <c r="T311"/>
      <c r="U311"/>
      <c r="V311"/>
      <c r="W311"/>
      <c r="X311"/>
      <c r="Y311"/>
      <c r="Z311"/>
      <c r="AA311"/>
    </row>
    <row r="312" spans="1:27" s="23" customFormat="1" x14ac:dyDescent="0.25">
      <c r="A312"/>
      <c r="B312" s="24" t="str">
        <f t="shared" si="596"/>
        <v>-</v>
      </c>
      <c r="C312" s="24"/>
      <c r="D312" s="24"/>
      <c r="E312" s="24"/>
      <c r="F312" s="24"/>
      <c r="G312"/>
      <c r="H312"/>
      <c r="J312" s="2"/>
      <c r="K312"/>
      <c r="L312"/>
      <c r="N312"/>
      <c r="O312"/>
      <c r="P312"/>
      <c r="Q312"/>
      <c r="R312"/>
      <c r="S312"/>
      <c r="T312"/>
      <c r="U312"/>
      <c r="V312"/>
      <c r="W312"/>
      <c r="X312"/>
      <c r="Y312"/>
      <c r="Z312"/>
      <c r="AA312"/>
    </row>
    <row r="313" spans="1:27" s="23" customFormat="1" x14ac:dyDescent="0.25">
      <c r="A313"/>
      <c r="B313" s="24" t="str">
        <f t="shared" si="596"/>
        <v>-</v>
      </c>
      <c r="C313" s="24"/>
      <c r="D313" s="24"/>
      <c r="E313" s="24"/>
      <c r="F313" s="24"/>
      <c r="G313"/>
      <c r="H313"/>
      <c r="J313" s="2"/>
      <c r="K313"/>
      <c r="L313"/>
      <c r="N313"/>
      <c r="O313"/>
      <c r="P313"/>
      <c r="Q313"/>
      <c r="R313"/>
      <c r="S313"/>
      <c r="T313"/>
      <c r="U313"/>
      <c r="V313"/>
      <c r="W313"/>
      <c r="X313"/>
      <c r="Y313"/>
      <c r="Z313"/>
      <c r="AA313"/>
    </row>
    <row r="314" spans="1:27" s="23" customFormat="1" x14ac:dyDescent="0.25">
      <c r="A314"/>
      <c r="B314" s="24" t="str">
        <f t="shared" si="596"/>
        <v>-</v>
      </c>
      <c r="C314" s="24"/>
      <c r="D314" s="24"/>
      <c r="E314" s="24"/>
      <c r="F314" s="24"/>
      <c r="G314"/>
      <c r="H314"/>
      <c r="J314" s="2"/>
      <c r="K314"/>
      <c r="L314"/>
      <c r="N314"/>
      <c r="O314"/>
      <c r="P314"/>
      <c r="Q314"/>
      <c r="R314"/>
      <c r="S314"/>
      <c r="T314"/>
      <c r="U314"/>
      <c r="V314"/>
      <c r="W314"/>
      <c r="X314"/>
      <c r="Y314"/>
      <c r="Z314"/>
      <c r="AA314"/>
    </row>
    <row r="315" spans="1:27" s="23" customFormat="1" x14ac:dyDescent="0.25">
      <c r="A315"/>
      <c r="B315" s="24" t="str">
        <f t="shared" si="596"/>
        <v>-</v>
      </c>
      <c r="C315" s="24"/>
      <c r="D315" s="24"/>
      <c r="E315" s="24"/>
      <c r="F315" s="24"/>
      <c r="G315"/>
      <c r="H315"/>
      <c r="J315" s="2"/>
      <c r="K315"/>
      <c r="L315"/>
      <c r="N315"/>
      <c r="O315"/>
      <c r="P315"/>
      <c r="Q315"/>
      <c r="R315"/>
      <c r="S315"/>
      <c r="T315"/>
      <c r="U315"/>
      <c r="V315"/>
      <c r="W315"/>
      <c r="X315"/>
      <c r="Y315"/>
      <c r="Z315"/>
      <c r="AA315"/>
    </row>
    <row r="316" spans="1:27" s="23" customFormat="1" x14ac:dyDescent="0.25">
      <c r="A316"/>
      <c r="B316" s="24" t="str">
        <f t="shared" si="596"/>
        <v>-</v>
      </c>
      <c r="C316" s="24"/>
      <c r="D316" s="24"/>
      <c r="E316" s="24"/>
      <c r="F316" s="24"/>
      <c r="G316"/>
      <c r="H316"/>
      <c r="J316" s="2"/>
      <c r="K316"/>
      <c r="L316"/>
      <c r="N316"/>
      <c r="O316"/>
      <c r="P316"/>
      <c r="Q316"/>
      <c r="R316"/>
      <c r="S316"/>
      <c r="T316"/>
      <c r="U316"/>
      <c r="V316"/>
      <c r="W316"/>
      <c r="X316"/>
      <c r="Y316"/>
      <c r="Z316"/>
      <c r="AA316"/>
    </row>
    <row r="317" spans="1:27" s="23" customFormat="1" x14ac:dyDescent="0.25">
      <c r="A317"/>
      <c r="B317" s="24" t="str">
        <f t="shared" si="596"/>
        <v>-</v>
      </c>
      <c r="C317" s="24"/>
      <c r="D317" s="24"/>
      <c r="E317" s="24"/>
      <c r="F317" s="24"/>
      <c r="G317"/>
      <c r="H317"/>
      <c r="J317" s="2"/>
      <c r="K317"/>
      <c r="L317"/>
      <c r="N317"/>
      <c r="O317"/>
      <c r="P317"/>
      <c r="Q317"/>
      <c r="R317"/>
      <c r="S317"/>
      <c r="T317"/>
      <c r="U317"/>
      <c r="V317"/>
      <c r="W317"/>
      <c r="X317"/>
      <c r="Y317"/>
      <c r="Z317"/>
      <c r="AA317"/>
    </row>
    <row r="318" spans="1:27" s="23" customFormat="1" x14ac:dyDescent="0.25">
      <c r="A318"/>
      <c r="B318" s="24" t="str">
        <f t="shared" si="596"/>
        <v>-</v>
      </c>
      <c r="C318" s="24"/>
      <c r="D318" s="24"/>
      <c r="E318" s="24"/>
      <c r="F318" s="24"/>
      <c r="G318"/>
      <c r="H318"/>
      <c r="J318" s="2"/>
      <c r="K318"/>
      <c r="L318"/>
      <c r="N318"/>
      <c r="O318"/>
      <c r="P318"/>
      <c r="Q318"/>
      <c r="R318"/>
      <c r="S318"/>
      <c r="T318"/>
      <c r="U318"/>
      <c r="V318"/>
      <c r="W318"/>
      <c r="X318"/>
      <c r="Y318"/>
      <c r="Z318"/>
      <c r="AA318"/>
    </row>
    <row r="319" spans="1:27" s="23" customFormat="1" x14ac:dyDescent="0.25">
      <c r="A319"/>
      <c r="B319" s="24" t="str">
        <f t="shared" si="596"/>
        <v>-</v>
      </c>
      <c r="C319" s="24"/>
      <c r="D319" s="24"/>
      <c r="E319" s="24"/>
      <c r="F319" s="24"/>
      <c r="G319"/>
      <c r="H319"/>
      <c r="J319" s="2"/>
      <c r="K319"/>
      <c r="L319"/>
      <c r="N319"/>
      <c r="O319"/>
      <c r="P319"/>
      <c r="Q319"/>
      <c r="R319"/>
      <c r="S319"/>
      <c r="T319"/>
      <c r="U319"/>
      <c r="V319"/>
      <c r="W319"/>
      <c r="X319"/>
      <c r="Y319"/>
      <c r="Z319"/>
      <c r="AA319"/>
    </row>
    <row r="320" spans="1:27" s="23" customFormat="1" x14ac:dyDescent="0.25">
      <c r="A320"/>
      <c r="B320" s="24" t="str">
        <f t="shared" si="596"/>
        <v>-</v>
      </c>
      <c r="C320" s="24"/>
      <c r="D320" s="24"/>
      <c r="E320" s="24"/>
      <c r="F320" s="24"/>
      <c r="G320"/>
      <c r="H320"/>
      <c r="J320" s="2"/>
      <c r="K320"/>
      <c r="L320"/>
      <c r="N320"/>
      <c r="O320"/>
      <c r="P320"/>
      <c r="Q320"/>
      <c r="R320"/>
      <c r="S320"/>
      <c r="T320"/>
      <c r="U320"/>
      <c r="V320"/>
      <c r="W320"/>
      <c r="X320"/>
      <c r="Y320"/>
      <c r="Z320"/>
      <c r="AA320"/>
    </row>
    <row r="321" spans="1:27" s="23" customFormat="1" x14ac:dyDescent="0.25">
      <c r="A321"/>
      <c r="B321" s="24" t="str">
        <f t="shared" si="596"/>
        <v>-</v>
      </c>
      <c r="C321" s="24"/>
      <c r="D321" s="24"/>
      <c r="E321" s="24"/>
      <c r="F321" s="24"/>
      <c r="G321"/>
      <c r="H321"/>
      <c r="J321" s="2"/>
      <c r="K321"/>
      <c r="L321"/>
      <c r="N321"/>
      <c r="O321"/>
      <c r="P321"/>
      <c r="Q321"/>
      <c r="R321"/>
      <c r="S321"/>
      <c r="T321"/>
      <c r="U321"/>
      <c r="V321"/>
      <c r="W321"/>
      <c r="X321"/>
      <c r="Y321"/>
      <c r="Z321"/>
      <c r="AA321"/>
    </row>
    <row r="322" spans="1:27" s="23" customFormat="1" x14ac:dyDescent="0.25">
      <c r="A322"/>
      <c r="B322" s="24" t="str">
        <f t="shared" si="596"/>
        <v>-</v>
      </c>
      <c r="C322" s="24"/>
      <c r="D322" s="24"/>
      <c r="E322" s="24"/>
      <c r="F322" s="24"/>
      <c r="G322"/>
      <c r="H322"/>
      <c r="J322" s="2"/>
      <c r="K322"/>
      <c r="L322"/>
      <c r="N322"/>
      <c r="O322"/>
      <c r="P322"/>
      <c r="Q322"/>
      <c r="R322"/>
      <c r="S322"/>
      <c r="T322"/>
      <c r="U322"/>
      <c r="V322"/>
      <c r="W322"/>
      <c r="X322"/>
      <c r="Y322"/>
      <c r="Z322"/>
      <c r="AA322"/>
    </row>
    <row r="323" spans="1:27" s="23" customFormat="1" x14ac:dyDescent="0.25">
      <c r="A323"/>
      <c r="B323" s="24" t="str">
        <f t="shared" si="596"/>
        <v>-</v>
      </c>
      <c r="C323" s="24"/>
      <c r="D323" s="24"/>
      <c r="E323" s="24"/>
      <c r="F323" s="24"/>
      <c r="G323"/>
      <c r="H323"/>
      <c r="J323" s="2"/>
      <c r="K323"/>
      <c r="L323"/>
      <c r="N323"/>
      <c r="O323"/>
      <c r="P323"/>
      <c r="Q323"/>
      <c r="R323"/>
      <c r="S323"/>
      <c r="T323"/>
      <c r="U323"/>
      <c r="V323"/>
      <c r="W323"/>
      <c r="X323"/>
      <c r="Y323"/>
      <c r="Z323"/>
      <c r="AA323"/>
    </row>
    <row r="324" spans="1:27" s="23" customFormat="1" x14ac:dyDescent="0.25">
      <c r="A324"/>
      <c r="B324" s="24" t="str">
        <f t="shared" si="596"/>
        <v>-</v>
      </c>
      <c r="C324" s="24"/>
      <c r="D324" s="24"/>
      <c r="E324" s="24"/>
      <c r="F324" s="24"/>
      <c r="G324"/>
      <c r="H324"/>
      <c r="J324" s="2"/>
      <c r="K324"/>
      <c r="L324"/>
      <c r="N324"/>
      <c r="O324"/>
      <c r="P324"/>
      <c r="Q324"/>
      <c r="R324"/>
      <c r="S324"/>
      <c r="T324"/>
      <c r="U324"/>
      <c r="V324"/>
      <c r="W324"/>
      <c r="X324"/>
      <c r="Y324"/>
      <c r="Z324"/>
      <c r="AA324"/>
    </row>
    <row r="325" spans="1:27" s="23" customFormat="1" x14ac:dyDescent="0.25">
      <c r="A325"/>
      <c r="B325" s="24" t="str">
        <f t="shared" si="596"/>
        <v>-</v>
      </c>
      <c r="C325" s="24"/>
      <c r="D325" s="24"/>
      <c r="E325" s="24"/>
      <c r="F325" s="24"/>
      <c r="G325"/>
      <c r="H325"/>
      <c r="J325" s="2"/>
      <c r="K325"/>
      <c r="L325"/>
      <c r="N325"/>
      <c r="O325"/>
      <c r="P325"/>
      <c r="Q325"/>
      <c r="R325"/>
      <c r="S325"/>
      <c r="T325"/>
      <c r="U325"/>
      <c r="V325"/>
      <c r="W325"/>
      <c r="X325"/>
      <c r="Y325"/>
      <c r="Z325"/>
      <c r="AA325"/>
    </row>
    <row r="326" spans="1:27" s="23" customFormat="1" x14ac:dyDescent="0.25">
      <c r="A326"/>
      <c r="B326" s="24" t="str">
        <f t="shared" si="596"/>
        <v>-</v>
      </c>
      <c r="C326" s="24"/>
      <c r="D326" s="24"/>
      <c r="E326" s="24"/>
      <c r="F326" s="24"/>
      <c r="G326"/>
      <c r="H326"/>
      <c r="J326" s="2"/>
      <c r="K326"/>
      <c r="L326"/>
      <c r="N326"/>
      <c r="O326"/>
      <c r="P326"/>
      <c r="Q326"/>
      <c r="R326"/>
      <c r="S326"/>
      <c r="T326"/>
      <c r="U326"/>
      <c r="V326"/>
      <c r="W326"/>
      <c r="X326"/>
      <c r="Y326"/>
      <c r="Z326"/>
      <c r="AA326"/>
    </row>
    <row r="327" spans="1:27" s="23" customFormat="1" x14ac:dyDescent="0.25">
      <c r="A327"/>
      <c r="B327" s="24" t="str">
        <f t="shared" si="596"/>
        <v>-</v>
      </c>
      <c r="C327" s="24"/>
      <c r="D327" s="24"/>
      <c r="E327" s="24"/>
      <c r="F327" s="24"/>
      <c r="G327"/>
      <c r="H327"/>
      <c r="J327" s="2"/>
      <c r="K327"/>
      <c r="L327"/>
      <c r="N327"/>
      <c r="O327"/>
      <c r="P327"/>
      <c r="Q327"/>
      <c r="R327"/>
      <c r="S327"/>
      <c r="T327"/>
      <c r="U327"/>
      <c r="V327"/>
      <c r="W327"/>
      <c r="X327"/>
      <c r="Y327"/>
      <c r="Z327"/>
      <c r="AA327"/>
    </row>
    <row r="328" spans="1:27" s="23" customFormat="1" x14ac:dyDescent="0.25">
      <c r="A328"/>
      <c r="B328" s="24" t="str">
        <f t="shared" si="596"/>
        <v>-</v>
      </c>
      <c r="C328" s="24"/>
      <c r="D328" s="24"/>
      <c r="E328" s="24"/>
      <c r="F328" s="24"/>
      <c r="G328"/>
      <c r="H328"/>
      <c r="J328" s="2"/>
      <c r="K328"/>
      <c r="L328"/>
      <c r="N328"/>
      <c r="O328"/>
      <c r="P328"/>
      <c r="Q328"/>
      <c r="R328"/>
      <c r="S328"/>
      <c r="T328"/>
      <c r="U328"/>
      <c r="V328"/>
      <c r="W328"/>
      <c r="X328"/>
      <c r="Y328"/>
      <c r="Z328"/>
      <c r="AA328"/>
    </row>
    <row r="329" spans="1:27" s="23" customFormat="1" x14ac:dyDescent="0.25">
      <c r="A329"/>
      <c r="B329" s="24" t="str">
        <f t="shared" si="596"/>
        <v>-</v>
      </c>
      <c r="C329" s="24"/>
      <c r="D329" s="24"/>
      <c r="E329" s="24"/>
      <c r="F329" s="24"/>
      <c r="G329"/>
      <c r="H329"/>
      <c r="J329" s="2"/>
      <c r="K329"/>
      <c r="L329"/>
      <c r="N329"/>
      <c r="O329"/>
      <c r="P329"/>
      <c r="Q329"/>
      <c r="R329"/>
      <c r="S329"/>
      <c r="T329"/>
      <c r="U329"/>
      <c r="V329"/>
      <c r="W329"/>
      <c r="X329"/>
      <c r="Y329"/>
      <c r="Z329"/>
      <c r="AA329"/>
    </row>
    <row r="330" spans="1:27" s="23" customFormat="1" x14ac:dyDescent="0.25">
      <c r="A330"/>
      <c r="B330" s="24" t="str">
        <f t="shared" si="596"/>
        <v>-</v>
      </c>
      <c r="C330" s="24"/>
      <c r="D330" s="24"/>
      <c r="E330" s="24"/>
      <c r="F330" s="24"/>
      <c r="G330"/>
      <c r="H330"/>
      <c r="J330" s="2"/>
      <c r="K330"/>
      <c r="L330"/>
      <c r="N330"/>
      <c r="O330"/>
      <c r="P330"/>
      <c r="Q330"/>
      <c r="R330"/>
      <c r="S330"/>
      <c r="T330"/>
      <c r="U330"/>
      <c r="V330"/>
      <c r="W330"/>
      <c r="X330"/>
      <c r="Y330"/>
      <c r="Z330"/>
      <c r="AA330"/>
    </row>
    <row r="331" spans="1:27" s="23" customFormat="1" x14ac:dyDescent="0.25">
      <c r="A331"/>
      <c r="B331" s="24" t="str">
        <f t="shared" si="596"/>
        <v>-</v>
      </c>
      <c r="C331" s="24"/>
      <c r="D331" s="24"/>
      <c r="E331" s="24"/>
      <c r="F331" s="24"/>
      <c r="G331"/>
      <c r="H331"/>
      <c r="J331" s="2"/>
      <c r="K331"/>
      <c r="L331"/>
      <c r="N331"/>
      <c r="O331"/>
      <c r="P331"/>
      <c r="Q331"/>
      <c r="R331"/>
      <c r="S331"/>
      <c r="T331"/>
      <c r="U331"/>
      <c r="V331"/>
      <c r="W331"/>
      <c r="X331"/>
      <c r="Y331"/>
      <c r="Z331"/>
      <c r="AA331"/>
    </row>
    <row r="332" spans="1:27" s="23" customFormat="1" x14ac:dyDescent="0.25">
      <c r="A332"/>
      <c r="B332" s="24" t="str">
        <f t="shared" si="596"/>
        <v>-</v>
      </c>
      <c r="C332" s="24"/>
      <c r="D332" s="24"/>
      <c r="E332" s="24"/>
      <c r="F332" s="24"/>
      <c r="G332"/>
      <c r="H332"/>
      <c r="J332" s="2"/>
      <c r="K332"/>
      <c r="L332"/>
      <c r="N332"/>
      <c r="O332"/>
      <c r="P332"/>
      <c r="Q332"/>
      <c r="R332"/>
      <c r="S332"/>
      <c r="T332"/>
      <c r="U332"/>
      <c r="V332"/>
      <c r="W332"/>
      <c r="X332"/>
      <c r="Y332"/>
      <c r="Z332"/>
      <c r="AA332"/>
    </row>
    <row r="333" spans="1:27" s="23" customFormat="1" x14ac:dyDescent="0.25">
      <c r="A333"/>
      <c r="B333" s="24" t="str">
        <f t="shared" si="596"/>
        <v>-</v>
      </c>
      <c r="C333" s="24"/>
      <c r="D333" s="24"/>
      <c r="E333" s="24"/>
      <c r="F333" s="24"/>
      <c r="G333"/>
      <c r="H333"/>
      <c r="J333" s="2"/>
      <c r="K333"/>
      <c r="L333"/>
      <c r="N333"/>
      <c r="O333"/>
      <c r="P333"/>
      <c r="Q333"/>
      <c r="R333"/>
      <c r="S333"/>
      <c r="T333"/>
      <c r="U333"/>
      <c r="V333"/>
      <c r="W333"/>
      <c r="X333"/>
      <c r="Y333"/>
      <c r="Z333"/>
      <c r="AA333"/>
    </row>
    <row r="334" spans="1:27" s="23" customFormat="1" x14ac:dyDescent="0.25">
      <c r="A334"/>
      <c r="B334" s="24" t="str">
        <f t="shared" si="596"/>
        <v>-</v>
      </c>
      <c r="C334" s="24"/>
      <c r="D334" s="24"/>
      <c r="E334" s="24"/>
      <c r="F334" s="24"/>
      <c r="G334"/>
      <c r="H334"/>
      <c r="J334" s="2"/>
      <c r="K334"/>
      <c r="L334"/>
      <c r="N334"/>
      <c r="O334"/>
      <c r="P334"/>
      <c r="Q334"/>
      <c r="R334"/>
      <c r="S334"/>
      <c r="T334"/>
      <c r="U334"/>
      <c r="V334"/>
      <c r="W334"/>
      <c r="X334"/>
      <c r="Y334"/>
      <c r="Z334"/>
      <c r="AA334"/>
    </row>
    <row r="335" spans="1:27" s="23" customFormat="1" x14ac:dyDescent="0.25">
      <c r="A335"/>
      <c r="B335" s="24" t="str">
        <f t="shared" si="596"/>
        <v>-</v>
      </c>
      <c r="C335" s="24"/>
      <c r="D335" s="24"/>
      <c r="E335" s="24"/>
      <c r="F335" s="24"/>
      <c r="G335"/>
      <c r="H335"/>
      <c r="J335" s="2"/>
      <c r="K335"/>
      <c r="L335"/>
      <c r="N335"/>
      <c r="O335"/>
      <c r="P335"/>
      <c r="Q335"/>
      <c r="R335"/>
      <c r="S335"/>
      <c r="T335"/>
      <c r="U335"/>
      <c r="V335"/>
      <c r="W335"/>
      <c r="X335"/>
      <c r="Y335"/>
      <c r="Z335"/>
      <c r="AA335"/>
    </row>
    <row r="336" spans="1:27" s="23" customFormat="1" x14ac:dyDescent="0.25">
      <c r="A336"/>
      <c r="B336" s="24" t="str">
        <f t="shared" si="596"/>
        <v>-</v>
      </c>
      <c r="C336" s="24"/>
      <c r="D336" s="24"/>
      <c r="E336" s="24"/>
      <c r="F336" s="24"/>
      <c r="G336"/>
      <c r="H336"/>
      <c r="J336" s="2"/>
      <c r="K336"/>
      <c r="L336"/>
      <c r="N336"/>
      <c r="O336"/>
      <c r="P336"/>
      <c r="Q336"/>
      <c r="R336"/>
      <c r="S336"/>
      <c r="T336"/>
      <c r="U336"/>
      <c r="V336"/>
      <c r="W336"/>
      <c r="X336"/>
      <c r="Y336"/>
      <c r="Z336"/>
      <c r="AA336"/>
    </row>
    <row r="337" spans="1:27" s="23" customFormat="1" x14ac:dyDescent="0.25">
      <c r="A337"/>
      <c r="B337" s="24" t="str">
        <f t="shared" si="596"/>
        <v>-</v>
      </c>
      <c r="C337" s="24"/>
      <c r="D337" s="24"/>
      <c r="E337" s="24"/>
      <c r="F337" s="24"/>
      <c r="G337"/>
      <c r="H337"/>
      <c r="J337" s="2"/>
      <c r="K337"/>
      <c r="L337"/>
      <c r="N337"/>
      <c r="O337"/>
      <c r="P337"/>
      <c r="Q337"/>
      <c r="R337"/>
      <c r="S337"/>
      <c r="T337"/>
      <c r="U337"/>
      <c r="V337"/>
      <c r="W337"/>
      <c r="X337"/>
      <c r="Y337"/>
      <c r="Z337"/>
      <c r="AA337"/>
    </row>
    <row r="338" spans="1:27" s="23" customFormat="1" x14ac:dyDescent="0.25">
      <c r="A338"/>
      <c r="B338" s="24" t="str">
        <f t="shared" si="596"/>
        <v>-</v>
      </c>
      <c r="C338" s="24"/>
      <c r="D338" s="24"/>
      <c r="E338" s="24"/>
      <c r="F338" s="24"/>
      <c r="G338"/>
      <c r="H338"/>
      <c r="J338" s="2"/>
      <c r="K338"/>
      <c r="L338"/>
      <c r="N338"/>
      <c r="O338"/>
      <c r="P338"/>
      <c r="Q338"/>
      <c r="R338"/>
      <c r="S338"/>
      <c r="T338"/>
      <c r="U338"/>
      <c r="V338"/>
      <c r="W338"/>
      <c r="X338"/>
      <c r="Y338"/>
      <c r="Z338"/>
      <c r="AA338"/>
    </row>
    <row r="339" spans="1:27" s="23" customFormat="1" x14ac:dyDescent="0.25">
      <c r="A339"/>
      <c r="B339" s="24" t="str">
        <f t="shared" ref="B339:B402" si="597">IF(A339&gt;A338,1+B338,"-")</f>
        <v>-</v>
      </c>
      <c r="C339" s="24"/>
      <c r="D339" s="24"/>
      <c r="E339" s="24"/>
      <c r="F339" s="24"/>
      <c r="G339"/>
      <c r="H339"/>
      <c r="J339" s="2"/>
      <c r="K339"/>
      <c r="L339"/>
      <c r="N339"/>
      <c r="O339"/>
      <c r="P339"/>
      <c r="Q339"/>
      <c r="R339"/>
      <c r="S339"/>
      <c r="T339"/>
      <c r="U339"/>
      <c r="V339"/>
      <c r="W339"/>
      <c r="X339"/>
      <c r="Y339"/>
      <c r="Z339"/>
      <c r="AA339"/>
    </row>
    <row r="340" spans="1:27" s="23" customFormat="1" x14ac:dyDescent="0.25">
      <c r="A340"/>
      <c r="B340" s="24" t="str">
        <f t="shared" si="597"/>
        <v>-</v>
      </c>
      <c r="C340" s="24"/>
      <c r="D340" s="24"/>
      <c r="E340" s="24"/>
      <c r="F340" s="24"/>
      <c r="G340"/>
      <c r="H340"/>
      <c r="J340" s="2"/>
      <c r="K340"/>
      <c r="L340"/>
      <c r="N340"/>
      <c r="O340"/>
      <c r="P340"/>
      <c r="Q340"/>
      <c r="R340"/>
      <c r="S340"/>
      <c r="T340"/>
      <c r="U340"/>
      <c r="V340"/>
      <c r="W340"/>
      <c r="X340"/>
      <c r="Y340"/>
      <c r="Z340"/>
      <c r="AA340"/>
    </row>
    <row r="341" spans="1:27" s="23" customFormat="1" x14ac:dyDescent="0.25">
      <c r="A341"/>
      <c r="B341" s="24" t="str">
        <f t="shared" si="597"/>
        <v>-</v>
      </c>
      <c r="C341" s="24"/>
      <c r="D341" s="24"/>
      <c r="E341" s="24"/>
      <c r="F341" s="24"/>
      <c r="G341"/>
      <c r="H341"/>
      <c r="J341" s="2"/>
      <c r="K341"/>
      <c r="L341"/>
      <c r="N341"/>
      <c r="O341"/>
      <c r="P341"/>
      <c r="Q341"/>
      <c r="R341"/>
      <c r="S341"/>
      <c r="T341"/>
      <c r="U341"/>
      <c r="V341"/>
      <c r="W341"/>
      <c r="X341"/>
      <c r="Y341"/>
      <c r="Z341"/>
      <c r="AA341"/>
    </row>
    <row r="342" spans="1:27" s="23" customFormat="1" x14ac:dyDescent="0.25">
      <c r="A342"/>
      <c r="B342" s="24" t="str">
        <f t="shared" si="597"/>
        <v>-</v>
      </c>
      <c r="C342" s="24"/>
      <c r="D342" s="24"/>
      <c r="E342" s="24"/>
      <c r="F342" s="24"/>
      <c r="G342"/>
      <c r="H342"/>
      <c r="J342" s="2"/>
      <c r="K342"/>
      <c r="L342"/>
      <c r="N342"/>
      <c r="O342"/>
      <c r="P342"/>
      <c r="Q342"/>
      <c r="R342"/>
      <c r="S342"/>
      <c r="T342"/>
      <c r="U342"/>
      <c r="V342"/>
      <c r="W342"/>
      <c r="X342"/>
      <c r="Y342"/>
      <c r="Z342"/>
      <c r="AA342"/>
    </row>
    <row r="343" spans="1:27" s="23" customFormat="1" x14ac:dyDescent="0.25">
      <c r="A343"/>
      <c r="B343" s="24" t="str">
        <f t="shared" si="597"/>
        <v>-</v>
      </c>
      <c r="C343" s="24"/>
      <c r="D343" s="24"/>
      <c r="E343" s="24"/>
      <c r="F343" s="24"/>
      <c r="G343"/>
      <c r="H343"/>
      <c r="J343" s="2"/>
      <c r="K343"/>
      <c r="L343"/>
      <c r="N343"/>
      <c r="O343"/>
      <c r="P343"/>
      <c r="Q343"/>
      <c r="R343"/>
      <c r="S343"/>
      <c r="T343"/>
      <c r="U343"/>
      <c r="V343"/>
      <c r="W343"/>
      <c r="X343"/>
      <c r="Y343"/>
      <c r="Z343"/>
      <c r="AA343"/>
    </row>
    <row r="344" spans="1:27" s="23" customFormat="1" x14ac:dyDescent="0.25">
      <c r="A344"/>
      <c r="B344" s="24" t="str">
        <f t="shared" si="597"/>
        <v>-</v>
      </c>
      <c r="C344" s="24"/>
      <c r="D344" s="24"/>
      <c r="E344" s="24"/>
      <c r="F344" s="24"/>
      <c r="G344"/>
      <c r="H344"/>
      <c r="J344" s="2"/>
      <c r="K344"/>
      <c r="L344"/>
      <c r="N344"/>
      <c r="O344"/>
      <c r="P344"/>
      <c r="Q344"/>
      <c r="R344"/>
      <c r="S344"/>
      <c r="T344"/>
      <c r="U344"/>
      <c r="V344"/>
      <c r="W344"/>
      <c r="X344"/>
      <c r="Y344"/>
      <c r="Z344"/>
      <c r="AA344"/>
    </row>
    <row r="345" spans="1:27" s="23" customFormat="1" x14ac:dyDescent="0.25">
      <c r="A345"/>
      <c r="B345" s="24" t="str">
        <f t="shared" si="597"/>
        <v>-</v>
      </c>
      <c r="C345" s="24"/>
      <c r="D345" s="24"/>
      <c r="E345" s="24"/>
      <c r="F345" s="24"/>
      <c r="G345"/>
      <c r="H345"/>
      <c r="J345" s="2"/>
      <c r="K345"/>
      <c r="L345"/>
      <c r="N345"/>
      <c r="O345"/>
      <c r="P345"/>
      <c r="Q345"/>
      <c r="R345"/>
      <c r="S345"/>
      <c r="T345"/>
      <c r="U345"/>
      <c r="V345"/>
      <c r="W345"/>
      <c r="X345"/>
      <c r="Y345"/>
      <c r="Z345"/>
      <c r="AA345"/>
    </row>
    <row r="346" spans="1:27" s="23" customFormat="1" x14ac:dyDescent="0.25">
      <c r="A346"/>
      <c r="B346" s="24" t="str">
        <f t="shared" si="597"/>
        <v>-</v>
      </c>
      <c r="C346" s="24"/>
      <c r="D346" s="24"/>
      <c r="E346" s="24"/>
      <c r="F346" s="24"/>
      <c r="G346"/>
      <c r="H346"/>
      <c r="J346" s="2"/>
      <c r="K346"/>
      <c r="L346"/>
      <c r="N346"/>
      <c r="O346"/>
      <c r="P346"/>
      <c r="Q346"/>
      <c r="R346"/>
      <c r="S346"/>
      <c r="T346"/>
      <c r="U346"/>
      <c r="V346"/>
      <c r="W346"/>
      <c r="X346"/>
      <c r="Y346"/>
      <c r="Z346"/>
      <c r="AA346"/>
    </row>
    <row r="347" spans="1:27" s="23" customFormat="1" x14ac:dyDescent="0.25">
      <c r="A347"/>
      <c r="B347" s="24" t="str">
        <f t="shared" si="597"/>
        <v>-</v>
      </c>
      <c r="C347" s="24"/>
      <c r="D347" s="24"/>
      <c r="E347" s="24"/>
      <c r="F347" s="24"/>
      <c r="G347"/>
      <c r="H347"/>
      <c r="J347" s="2"/>
      <c r="K347"/>
      <c r="L347"/>
      <c r="N347"/>
      <c r="O347"/>
      <c r="P347"/>
      <c r="Q347"/>
      <c r="R347"/>
      <c r="S347"/>
      <c r="T347"/>
      <c r="U347"/>
      <c r="V347"/>
      <c r="W347"/>
      <c r="X347"/>
      <c r="Y347"/>
      <c r="Z347"/>
      <c r="AA347"/>
    </row>
    <row r="348" spans="1:27" s="23" customFormat="1" x14ac:dyDescent="0.25">
      <c r="A348"/>
      <c r="B348" s="24" t="str">
        <f t="shared" si="597"/>
        <v>-</v>
      </c>
      <c r="C348" s="24"/>
      <c r="D348" s="24"/>
      <c r="E348" s="24"/>
      <c r="F348" s="24"/>
      <c r="G348"/>
      <c r="H348"/>
      <c r="J348" s="2"/>
      <c r="K348"/>
      <c r="L348"/>
      <c r="N348"/>
      <c r="O348"/>
      <c r="P348"/>
      <c r="Q348"/>
      <c r="R348"/>
      <c r="S348"/>
      <c r="T348"/>
      <c r="U348"/>
      <c r="V348"/>
      <c r="W348"/>
      <c r="X348"/>
      <c r="Y348"/>
      <c r="Z348"/>
      <c r="AA348"/>
    </row>
    <row r="349" spans="1:27" s="23" customFormat="1" x14ac:dyDescent="0.25">
      <c r="A349"/>
      <c r="B349" s="24" t="str">
        <f t="shared" si="597"/>
        <v>-</v>
      </c>
      <c r="C349" s="24"/>
      <c r="D349" s="24"/>
      <c r="E349" s="24"/>
      <c r="F349" s="24"/>
      <c r="G349"/>
      <c r="H349"/>
      <c r="J349" s="2"/>
      <c r="K349"/>
      <c r="L349"/>
      <c r="N349"/>
      <c r="O349"/>
      <c r="P349"/>
      <c r="Q349"/>
      <c r="R349"/>
      <c r="S349"/>
      <c r="T349"/>
      <c r="U349"/>
      <c r="V349"/>
      <c r="W349"/>
      <c r="X349"/>
      <c r="Y349"/>
      <c r="Z349"/>
      <c r="AA349"/>
    </row>
    <row r="350" spans="1:27" s="23" customFormat="1" x14ac:dyDescent="0.25">
      <c r="A350"/>
      <c r="B350" s="24" t="str">
        <f t="shared" si="597"/>
        <v>-</v>
      </c>
      <c r="C350" s="24"/>
      <c r="D350" s="24"/>
      <c r="E350" s="24"/>
      <c r="F350" s="24"/>
      <c r="G350"/>
      <c r="H350"/>
      <c r="J350" s="2"/>
      <c r="K350"/>
      <c r="L350"/>
      <c r="N350"/>
      <c r="O350"/>
      <c r="P350"/>
      <c r="Q350"/>
      <c r="R350"/>
      <c r="S350"/>
      <c r="T350"/>
      <c r="U350"/>
      <c r="V350"/>
      <c r="W350"/>
      <c r="X350"/>
      <c r="Y350"/>
      <c r="Z350"/>
      <c r="AA350"/>
    </row>
    <row r="351" spans="1:27" s="23" customFormat="1" x14ac:dyDescent="0.25">
      <c r="A351"/>
      <c r="B351" s="24" t="str">
        <f t="shared" si="597"/>
        <v>-</v>
      </c>
      <c r="C351" s="24"/>
      <c r="D351" s="24"/>
      <c r="E351" s="24"/>
      <c r="F351" s="24"/>
      <c r="G351"/>
      <c r="H351"/>
      <c r="J351" s="2"/>
      <c r="K351"/>
      <c r="L351"/>
      <c r="N351"/>
      <c r="O351"/>
      <c r="P351"/>
      <c r="Q351"/>
      <c r="R351"/>
      <c r="S351"/>
      <c r="T351"/>
      <c r="U351"/>
      <c r="V351"/>
      <c r="W351"/>
      <c r="X351"/>
      <c r="Y351"/>
      <c r="Z351"/>
      <c r="AA351"/>
    </row>
    <row r="352" spans="1:27" s="23" customFormat="1" x14ac:dyDescent="0.25">
      <c r="A352"/>
      <c r="B352" s="24" t="str">
        <f t="shared" si="597"/>
        <v>-</v>
      </c>
      <c r="C352" s="24"/>
      <c r="D352" s="24"/>
      <c r="E352" s="24"/>
      <c r="F352" s="24"/>
      <c r="G352"/>
      <c r="H352"/>
      <c r="J352" s="2"/>
      <c r="K352"/>
      <c r="L352"/>
      <c r="N352"/>
      <c r="O352"/>
      <c r="P352"/>
      <c r="Q352"/>
      <c r="R352"/>
      <c r="S352"/>
      <c r="T352"/>
      <c r="U352"/>
      <c r="V352"/>
      <c r="W352"/>
      <c r="X352"/>
      <c r="Y352"/>
      <c r="Z352"/>
      <c r="AA352"/>
    </row>
    <row r="353" spans="1:27" s="23" customFormat="1" x14ac:dyDescent="0.25">
      <c r="A353"/>
      <c r="B353" s="24" t="str">
        <f t="shared" si="597"/>
        <v>-</v>
      </c>
      <c r="C353" s="24"/>
      <c r="D353" s="24"/>
      <c r="E353" s="24"/>
      <c r="F353" s="24"/>
      <c r="G353"/>
      <c r="H353"/>
      <c r="J353" s="2"/>
      <c r="K353"/>
      <c r="L353"/>
      <c r="N353"/>
      <c r="O353"/>
      <c r="P353"/>
      <c r="Q353"/>
      <c r="R353"/>
      <c r="S353"/>
      <c r="T353"/>
      <c r="U353"/>
      <c r="V353"/>
      <c r="W353"/>
      <c r="X353"/>
      <c r="Y353"/>
      <c r="Z353"/>
      <c r="AA353"/>
    </row>
    <row r="354" spans="1:27" s="23" customFormat="1" x14ac:dyDescent="0.25">
      <c r="A354"/>
      <c r="B354" s="24" t="str">
        <f t="shared" si="597"/>
        <v>-</v>
      </c>
      <c r="C354" s="24"/>
      <c r="D354" s="24"/>
      <c r="E354" s="24"/>
      <c r="F354" s="24"/>
      <c r="G354"/>
      <c r="H354"/>
      <c r="J354" s="2"/>
      <c r="K354"/>
      <c r="L354"/>
      <c r="N354"/>
      <c r="O354"/>
      <c r="P354"/>
      <c r="Q354"/>
      <c r="R354"/>
      <c r="S354"/>
      <c r="T354"/>
      <c r="U354"/>
      <c r="V354"/>
      <c r="W354"/>
      <c r="X354"/>
      <c r="Y354"/>
      <c r="Z354"/>
      <c r="AA354"/>
    </row>
    <row r="355" spans="1:27" s="23" customFormat="1" x14ac:dyDescent="0.25">
      <c r="A355"/>
      <c r="B355" s="24" t="str">
        <f t="shared" si="597"/>
        <v>-</v>
      </c>
      <c r="C355" s="24"/>
      <c r="D355" s="24"/>
      <c r="E355" s="24"/>
      <c r="F355" s="24"/>
      <c r="G355"/>
      <c r="H355"/>
      <c r="J355" s="2"/>
      <c r="K355"/>
      <c r="L355"/>
      <c r="N355"/>
      <c r="O355"/>
      <c r="P355"/>
      <c r="Q355"/>
      <c r="R355"/>
      <c r="S355"/>
      <c r="T355"/>
      <c r="U355"/>
      <c r="V355"/>
      <c r="W355"/>
      <c r="X355"/>
      <c r="Y355"/>
      <c r="Z355"/>
      <c r="AA355"/>
    </row>
    <row r="356" spans="1:27" s="23" customFormat="1" x14ac:dyDescent="0.25">
      <c r="A356"/>
      <c r="B356" s="24" t="str">
        <f t="shared" si="597"/>
        <v>-</v>
      </c>
      <c r="C356" s="24"/>
      <c r="D356" s="24"/>
      <c r="E356" s="24"/>
      <c r="F356" s="24"/>
      <c r="G356"/>
      <c r="H356"/>
      <c r="J356" s="2"/>
      <c r="K356"/>
      <c r="L356"/>
      <c r="N356"/>
      <c r="O356"/>
      <c r="P356"/>
      <c r="Q356"/>
      <c r="R356"/>
      <c r="S356"/>
      <c r="T356"/>
      <c r="U356"/>
      <c r="V356"/>
      <c r="W356"/>
      <c r="X356"/>
      <c r="Y356"/>
      <c r="Z356"/>
      <c r="AA356"/>
    </row>
    <row r="357" spans="1:27" s="23" customFormat="1" x14ac:dyDescent="0.25">
      <c r="A357"/>
      <c r="B357" s="24" t="str">
        <f t="shared" si="597"/>
        <v>-</v>
      </c>
      <c r="C357" s="24"/>
      <c r="D357" s="24"/>
      <c r="E357" s="24"/>
      <c r="F357" s="24"/>
      <c r="G357"/>
      <c r="H357"/>
      <c r="J357" s="2"/>
      <c r="K357"/>
      <c r="L357"/>
      <c r="N357"/>
      <c r="O357"/>
      <c r="P357"/>
      <c r="Q357"/>
      <c r="R357"/>
      <c r="S357"/>
      <c r="T357"/>
      <c r="U357"/>
      <c r="V357"/>
      <c r="W357"/>
      <c r="X357"/>
      <c r="Y357"/>
      <c r="Z357"/>
      <c r="AA357"/>
    </row>
    <row r="358" spans="1:27" s="23" customFormat="1" x14ac:dyDescent="0.25">
      <c r="A358"/>
      <c r="B358" s="24" t="str">
        <f t="shared" si="597"/>
        <v>-</v>
      </c>
      <c r="C358" s="24"/>
      <c r="D358" s="24"/>
      <c r="E358" s="24"/>
      <c r="F358" s="24"/>
      <c r="G358"/>
      <c r="H358"/>
      <c r="J358" s="2"/>
      <c r="K358"/>
      <c r="L358"/>
      <c r="N358"/>
      <c r="O358"/>
      <c r="P358"/>
      <c r="Q358"/>
      <c r="R358"/>
      <c r="S358"/>
      <c r="T358"/>
      <c r="U358"/>
      <c r="V358"/>
      <c r="W358"/>
      <c r="X358"/>
      <c r="Y358"/>
      <c r="Z358"/>
      <c r="AA358"/>
    </row>
    <row r="359" spans="1:27" s="23" customFormat="1" x14ac:dyDescent="0.25">
      <c r="A359"/>
      <c r="B359" s="24" t="str">
        <f t="shared" si="597"/>
        <v>-</v>
      </c>
      <c r="C359" s="24"/>
      <c r="D359" s="24"/>
      <c r="E359" s="24"/>
      <c r="F359" s="24"/>
      <c r="G359"/>
      <c r="H359"/>
      <c r="J359" s="2"/>
      <c r="K359"/>
      <c r="L359"/>
      <c r="N359"/>
      <c r="O359"/>
      <c r="P359"/>
      <c r="Q359"/>
      <c r="R359"/>
      <c r="S359"/>
      <c r="T359"/>
      <c r="U359"/>
      <c r="V359"/>
      <c r="W359"/>
      <c r="X359"/>
      <c r="Y359"/>
      <c r="Z359"/>
      <c r="AA359"/>
    </row>
    <row r="360" spans="1:27" s="23" customFormat="1" x14ac:dyDescent="0.25">
      <c r="A360"/>
      <c r="B360" s="24" t="str">
        <f t="shared" si="597"/>
        <v>-</v>
      </c>
      <c r="C360" s="24"/>
      <c r="D360" s="24"/>
      <c r="E360" s="24"/>
      <c r="F360" s="24"/>
      <c r="G360"/>
      <c r="H360"/>
      <c r="J360" s="2"/>
      <c r="K360"/>
      <c r="L360"/>
      <c r="N360"/>
      <c r="O360"/>
      <c r="P360"/>
      <c r="Q360"/>
      <c r="R360"/>
      <c r="S360"/>
      <c r="T360"/>
      <c r="U360"/>
      <c r="V360"/>
      <c r="W360"/>
      <c r="X360"/>
      <c r="Y360"/>
      <c r="Z360"/>
      <c r="AA360"/>
    </row>
    <row r="361" spans="1:27" s="23" customFormat="1" x14ac:dyDescent="0.25">
      <c r="A361"/>
      <c r="B361" s="24" t="str">
        <f t="shared" si="597"/>
        <v>-</v>
      </c>
      <c r="C361" s="24"/>
      <c r="D361" s="24"/>
      <c r="E361" s="24"/>
      <c r="F361" s="24"/>
      <c r="G361"/>
      <c r="H361"/>
      <c r="J361" s="2"/>
      <c r="K361"/>
      <c r="L361"/>
      <c r="N361"/>
      <c r="O361"/>
      <c r="P361"/>
      <c r="Q361"/>
      <c r="R361"/>
      <c r="S361"/>
      <c r="T361"/>
      <c r="U361"/>
      <c r="V361"/>
      <c r="W361"/>
      <c r="X361"/>
      <c r="Y361"/>
      <c r="Z361"/>
      <c r="AA361"/>
    </row>
    <row r="362" spans="1:27" s="23" customFormat="1" x14ac:dyDescent="0.25">
      <c r="A362"/>
      <c r="B362" s="24" t="str">
        <f t="shared" si="597"/>
        <v>-</v>
      </c>
      <c r="C362" s="24"/>
      <c r="D362" s="24"/>
      <c r="E362" s="24"/>
      <c r="F362" s="24"/>
      <c r="G362"/>
      <c r="H362"/>
      <c r="J362" s="2"/>
      <c r="K362"/>
      <c r="L362"/>
      <c r="N362"/>
      <c r="O362"/>
      <c r="P362"/>
      <c r="Q362"/>
      <c r="R362"/>
      <c r="S362"/>
      <c r="T362"/>
      <c r="U362"/>
      <c r="V362"/>
      <c r="W362"/>
      <c r="X362"/>
      <c r="Y362"/>
      <c r="Z362"/>
      <c r="AA362"/>
    </row>
    <row r="363" spans="1:27" s="23" customFormat="1" x14ac:dyDescent="0.25">
      <c r="A363"/>
      <c r="B363" s="24" t="str">
        <f t="shared" si="597"/>
        <v>-</v>
      </c>
      <c r="C363" s="24"/>
      <c r="D363" s="24"/>
      <c r="E363" s="24"/>
      <c r="F363" s="24"/>
      <c r="G363"/>
      <c r="H363"/>
      <c r="J363" s="2"/>
      <c r="K363"/>
      <c r="L363"/>
      <c r="N363"/>
      <c r="O363"/>
      <c r="P363"/>
      <c r="Q363"/>
      <c r="R363"/>
      <c r="S363"/>
      <c r="T363"/>
      <c r="U363"/>
      <c r="V363"/>
      <c r="W363"/>
      <c r="X363"/>
      <c r="Y363"/>
      <c r="Z363"/>
      <c r="AA363"/>
    </row>
    <row r="364" spans="1:27" s="23" customFormat="1" x14ac:dyDescent="0.25">
      <c r="A364"/>
      <c r="B364" s="24" t="str">
        <f t="shared" si="597"/>
        <v>-</v>
      </c>
      <c r="C364" s="24"/>
      <c r="D364" s="24"/>
      <c r="E364" s="24"/>
      <c r="F364" s="24"/>
      <c r="G364"/>
      <c r="H364"/>
      <c r="J364" s="2"/>
      <c r="K364"/>
      <c r="L364"/>
      <c r="N364"/>
      <c r="O364"/>
      <c r="P364"/>
      <c r="Q364"/>
      <c r="R364"/>
      <c r="S364"/>
      <c r="T364"/>
      <c r="U364"/>
      <c r="V364"/>
      <c r="W364"/>
      <c r="X364"/>
      <c r="Y364"/>
      <c r="Z364"/>
      <c r="AA364"/>
    </row>
    <row r="365" spans="1:27" s="23" customFormat="1" x14ac:dyDescent="0.25">
      <c r="A365"/>
      <c r="B365" s="24" t="str">
        <f t="shared" si="597"/>
        <v>-</v>
      </c>
      <c r="C365" s="24"/>
      <c r="D365" s="24"/>
      <c r="E365" s="24"/>
      <c r="F365" s="24"/>
      <c r="G365"/>
      <c r="H365"/>
      <c r="J365" s="2"/>
      <c r="K365"/>
      <c r="L365"/>
      <c r="N365"/>
      <c r="O365"/>
      <c r="P365"/>
      <c r="Q365"/>
      <c r="R365"/>
      <c r="S365"/>
      <c r="T365"/>
      <c r="U365"/>
      <c r="V365"/>
      <c r="W365"/>
      <c r="X365"/>
      <c r="Y365"/>
      <c r="Z365"/>
      <c r="AA365"/>
    </row>
    <row r="366" spans="1:27" s="23" customFormat="1" x14ac:dyDescent="0.25">
      <c r="A366"/>
      <c r="B366" s="24" t="str">
        <f t="shared" si="597"/>
        <v>-</v>
      </c>
      <c r="C366" s="24"/>
      <c r="D366" s="24"/>
      <c r="E366" s="24"/>
      <c r="F366" s="24"/>
      <c r="G366"/>
      <c r="H366"/>
      <c r="J366" s="2"/>
      <c r="K366"/>
      <c r="L366"/>
      <c r="N366"/>
      <c r="O366"/>
      <c r="P366"/>
      <c r="Q366"/>
      <c r="R366"/>
      <c r="S366"/>
      <c r="T366"/>
      <c r="U366"/>
      <c r="V366"/>
      <c r="W366"/>
      <c r="X366"/>
      <c r="Y366"/>
      <c r="Z366"/>
      <c r="AA366"/>
    </row>
    <row r="367" spans="1:27" s="23" customFormat="1" x14ac:dyDescent="0.25">
      <c r="A367"/>
      <c r="B367" s="24" t="str">
        <f t="shared" si="597"/>
        <v>-</v>
      </c>
      <c r="C367" s="24"/>
      <c r="D367" s="24"/>
      <c r="E367" s="24"/>
      <c r="F367" s="24"/>
      <c r="G367"/>
      <c r="H367"/>
      <c r="J367" s="2"/>
      <c r="K367"/>
      <c r="L367"/>
      <c r="N367"/>
      <c r="O367"/>
      <c r="P367"/>
      <c r="Q367"/>
      <c r="R367"/>
      <c r="S367"/>
      <c r="T367"/>
      <c r="U367"/>
      <c r="V367"/>
      <c r="W367"/>
      <c r="X367"/>
      <c r="Y367"/>
      <c r="Z367"/>
      <c r="AA367"/>
    </row>
    <row r="368" spans="1:27" s="23" customFormat="1" x14ac:dyDescent="0.25">
      <c r="A368"/>
      <c r="B368" s="24" t="str">
        <f t="shared" si="597"/>
        <v>-</v>
      </c>
      <c r="C368" s="24"/>
      <c r="D368" s="24"/>
      <c r="E368" s="24"/>
      <c r="F368" s="24"/>
      <c r="G368"/>
      <c r="H368"/>
      <c r="J368" s="2"/>
      <c r="K368"/>
      <c r="L368"/>
      <c r="N368"/>
      <c r="O368"/>
      <c r="P368"/>
      <c r="Q368"/>
      <c r="R368"/>
      <c r="S368"/>
      <c r="T368"/>
      <c r="U368"/>
      <c r="V368"/>
      <c r="W368"/>
      <c r="X368"/>
      <c r="Y368"/>
      <c r="Z368"/>
      <c r="AA368"/>
    </row>
    <row r="369" spans="1:27" s="23" customFormat="1" x14ac:dyDescent="0.25">
      <c r="A369"/>
      <c r="B369" s="24" t="str">
        <f t="shared" si="597"/>
        <v>-</v>
      </c>
      <c r="C369" s="24"/>
      <c r="D369" s="24"/>
      <c r="E369" s="24"/>
      <c r="F369" s="24"/>
      <c r="G369"/>
      <c r="H369"/>
      <c r="J369" s="2"/>
      <c r="K369"/>
      <c r="L369"/>
      <c r="N369"/>
      <c r="O369"/>
      <c r="P369"/>
      <c r="Q369"/>
      <c r="R369"/>
      <c r="S369"/>
      <c r="T369"/>
      <c r="U369"/>
      <c r="V369"/>
      <c r="W369"/>
      <c r="X369"/>
      <c r="Y369"/>
      <c r="Z369"/>
      <c r="AA369"/>
    </row>
    <row r="370" spans="1:27" s="23" customFormat="1" x14ac:dyDescent="0.25">
      <c r="A370"/>
      <c r="B370" s="24" t="str">
        <f t="shared" si="597"/>
        <v>-</v>
      </c>
      <c r="C370" s="24"/>
      <c r="D370" s="24"/>
      <c r="E370" s="24"/>
      <c r="F370" s="24"/>
      <c r="G370"/>
      <c r="H370"/>
      <c r="J370" s="2"/>
      <c r="K370"/>
      <c r="L370"/>
      <c r="N370"/>
      <c r="O370"/>
      <c r="P370"/>
      <c r="Q370"/>
      <c r="R370"/>
      <c r="S370"/>
      <c r="T370"/>
      <c r="U370"/>
      <c r="V370"/>
      <c r="W370"/>
      <c r="X370"/>
      <c r="Y370"/>
      <c r="Z370"/>
      <c r="AA370"/>
    </row>
    <row r="371" spans="1:27" s="23" customFormat="1" x14ac:dyDescent="0.25">
      <c r="A371"/>
      <c r="B371" s="24" t="str">
        <f t="shared" si="597"/>
        <v>-</v>
      </c>
      <c r="C371" s="24"/>
      <c r="D371" s="24"/>
      <c r="E371" s="24"/>
      <c r="F371" s="24"/>
      <c r="G371"/>
      <c r="H371"/>
      <c r="J371" s="2"/>
      <c r="K371"/>
      <c r="L371"/>
      <c r="N371"/>
      <c r="O371"/>
      <c r="P371"/>
      <c r="Q371"/>
      <c r="R371"/>
      <c r="S371"/>
      <c r="T371"/>
      <c r="U371"/>
      <c r="V371"/>
      <c r="W371"/>
      <c r="X371"/>
      <c r="Y371"/>
      <c r="Z371"/>
      <c r="AA371"/>
    </row>
    <row r="372" spans="1:27" s="23" customFormat="1" x14ac:dyDescent="0.25">
      <c r="A372"/>
      <c r="B372" s="24" t="str">
        <f t="shared" si="597"/>
        <v>-</v>
      </c>
      <c r="C372" s="24"/>
      <c r="D372" s="24"/>
      <c r="E372" s="24"/>
      <c r="F372" s="24"/>
      <c r="G372"/>
      <c r="H372"/>
      <c r="J372" s="2"/>
      <c r="K372"/>
      <c r="L372"/>
      <c r="N372"/>
      <c r="O372"/>
      <c r="P372"/>
      <c r="Q372"/>
      <c r="R372"/>
      <c r="S372"/>
      <c r="T372"/>
      <c r="U372"/>
      <c r="V372"/>
      <c r="W372"/>
      <c r="X372"/>
      <c r="Y372"/>
      <c r="Z372"/>
      <c r="AA372"/>
    </row>
    <row r="373" spans="1:27" s="23" customFormat="1" x14ac:dyDescent="0.25">
      <c r="A373"/>
      <c r="B373" s="24" t="str">
        <f t="shared" si="597"/>
        <v>-</v>
      </c>
      <c r="C373" s="24"/>
      <c r="D373" s="24"/>
      <c r="E373" s="24"/>
      <c r="F373" s="24"/>
      <c r="G373"/>
      <c r="H373"/>
      <c r="J373" s="2"/>
      <c r="K373"/>
      <c r="L373"/>
      <c r="N373"/>
      <c r="O373"/>
      <c r="P373"/>
      <c r="Q373"/>
      <c r="R373"/>
      <c r="S373"/>
      <c r="T373"/>
      <c r="U373"/>
      <c r="V373"/>
      <c r="W373"/>
      <c r="X373"/>
      <c r="Y373"/>
      <c r="Z373"/>
      <c r="AA373"/>
    </row>
    <row r="374" spans="1:27" s="23" customFormat="1" x14ac:dyDescent="0.25">
      <c r="A374"/>
      <c r="B374" s="24" t="str">
        <f t="shared" si="597"/>
        <v>-</v>
      </c>
      <c r="C374" s="24"/>
      <c r="D374" s="24"/>
      <c r="E374" s="24"/>
      <c r="F374" s="24"/>
      <c r="G374"/>
      <c r="H374"/>
      <c r="J374" s="2"/>
      <c r="K374"/>
      <c r="L374"/>
      <c r="N374"/>
      <c r="O374"/>
      <c r="P374"/>
      <c r="Q374"/>
      <c r="R374"/>
      <c r="S374"/>
      <c r="T374"/>
      <c r="U374"/>
      <c r="V374"/>
      <c r="W374"/>
      <c r="X374"/>
      <c r="Y374"/>
      <c r="Z374"/>
      <c r="AA374"/>
    </row>
    <row r="375" spans="1:27" s="23" customFormat="1" x14ac:dyDescent="0.25">
      <c r="A375"/>
      <c r="B375" s="24" t="str">
        <f t="shared" si="597"/>
        <v>-</v>
      </c>
      <c r="C375" s="24"/>
      <c r="D375" s="24"/>
      <c r="E375" s="24"/>
      <c r="F375" s="24"/>
      <c r="G375"/>
      <c r="H375"/>
      <c r="J375" s="2"/>
      <c r="K375"/>
      <c r="L375"/>
      <c r="N375"/>
      <c r="O375"/>
      <c r="P375"/>
      <c r="Q375"/>
      <c r="R375"/>
      <c r="S375"/>
      <c r="T375"/>
      <c r="U375"/>
      <c r="V375"/>
      <c r="W375"/>
      <c r="X375"/>
      <c r="Y375"/>
      <c r="Z375"/>
      <c r="AA375"/>
    </row>
    <row r="376" spans="1:27" s="23" customFormat="1" x14ac:dyDescent="0.25">
      <c r="A376"/>
      <c r="B376" s="24" t="str">
        <f t="shared" si="597"/>
        <v>-</v>
      </c>
      <c r="C376" s="24"/>
      <c r="D376" s="24"/>
      <c r="E376" s="24"/>
      <c r="F376" s="24"/>
      <c r="G376"/>
      <c r="H376"/>
      <c r="J376" s="2"/>
      <c r="K376"/>
      <c r="L376"/>
      <c r="N376"/>
      <c r="O376"/>
      <c r="P376"/>
      <c r="Q376"/>
      <c r="R376"/>
      <c r="S376"/>
      <c r="T376"/>
      <c r="U376"/>
      <c r="V376"/>
      <c r="W376"/>
      <c r="X376"/>
      <c r="Y376"/>
      <c r="Z376"/>
      <c r="AA376"/>
    </row>
    <row r="377" spans="1:27" s="23" customFormat="1" x14ac:dyDescent="0.25">
      <c r="A377"/>
      <c r="B377" s="24" t="str">
        <f t="shared" si="597"/>
        <v>-</v>
      </c>
      <c r="C377" s="24"/>
      <c r="D377" s="24"/>
      <c r="E377" s="24"/>
      <c r="F377" s="24"/>
      <c r="G377"/>
      <c r="H377"/>
      <c r="J377" s="2"/>
      <c r="K377"/>
      <c r="L377"/>
      <c r="N377"/>
      <c r="O377"/>
      <c r="P377"/>
      <c r="Q377"/>
      <c r="R377"/>
      <c r="S377"/>
      <c r="T377"/>
      <c r="U377"/>
      <c r="V377"/>
      <c r="W377"/>
      <c r="X377"/>
      <c r="Y377"/>
      <c r="Z377"/>
      <c r="AA377"/>
    </row>
    <row r="378" spans="1:27" s="23" customFormat="1" x14ac:dyDescent="0.25">
      <c r="A378"/>
      <c r="B378" s="24" t="str">
        <f t="shared" si="597"/>
        <v>-</v>
      </c>
      <c r="C378" s="24"/>
      <c r="D378" s="24"/>
      <c r="E378" s="24"/>
      <c r="F378" s="24"/>
      <c r="G378"/>
      <c r="H378"/>
      <c r="J378" s="2"/>
      <c r="K378"/>
      <c r="L378"/>
      <c r="N378"/>
      <c r="O378"/>
      <c r="P378"/>
      <c r="Q378"/>
      <c r="R378"/>
      <c r="S378"/>
      <c r="T378"/>
      <c r="U378"/>
      <c r="V378"/>
      <c r="W378"/>
      <c r="X378"/>
      <c r="Y378"/>
      <c r="Z378"/>
      <c r="AA378"/>
    </row>
    <row r="379" spans="1:27" s="23" customFormat="1" x14ac:dyDescent="0.25">
      <c r="A379"/>
      <c r="B379" s="24" t="str">
        <f t="shared" si="597"/>
        <v>-</v>
      </c>
      <c r="C379" s="24"/>
      <c r="D379" s="24"/>
      <c r="E379" s="24"/>
      <c r="F379" s="24"/>
      <c r="G379"/>
      <c r="H379"/>
      <c r="J379" s="2"/>
      <c r="K379"/>
      <c r="L379"/>
      <c r="N379"/>
      <c r="O379"/>
      <c r="P379"/>
      <c r="Q379"/>
      <c r="R379"/>
      <c r="S379"/>
      <c r="T379"/>
      <c r="U379"/>
      <c r="V379"/>
      <c r="W379"/>
      <c r="X379"/>
      <c r="Y379"/>
      <c r="Z379"/>
      <c r="AA379"/>
    </row>
    <row r="380" spans="1:27" s="23" customFormat="1" x14ac:dyDescent="0.25">
      <c r="A380"/>
      <c r="B380" s="24" t="str">
        <f t="shared" si="597"/>
        <v>-</v>
      </c>
      <c r="C380" s="24"/>
      <c r="D380" s="24"/>
      <c r="E380" s="24"/>
      <c r="F380" s="24"/>
      <c r="G380"/>
      <c r="H380"/>
      <c r="J380" s="2"/>
      <c r="K380"/>
      <c r="L380"/>
      <c r="N380"/>
      <c r="O380"/>
      <c r="P380"/>
      <c r="Q380"/>
      <c r="R380"/>
      <c r="S380"/>
      <c r="T380"/>
      <c r="U380"/>
      <c r="V380"/>
      <c r="W380"/>
      <c r="X380"/>
      <c r="Y380"/>
      <c r="Z380"/>
      <c r="AA380"/>
    </row>
    <row r="381" spans="1:27" s="23" customFormat="1" x14ac:dyDescent="0.25">
      <c r="A381"/>
      <c r="B381" s="24" t="str">
        <f t="shared" si="597"/>
        <v>-</v>
      </c>
      <c r="C381" s="24"/>
      <c r="D381" s="24"/>
      <c r="E381" s="24"/>
      <c r="F381" s="24"/>
      <c r="G381"/>
      <c r="H381"/>
      <c r="J381" s="2"/>
      <c r="K381"/>
      <c r="L381"/>
      <c r="N381"/>
      <c r="O381"/>
      <c r="P381"/>
      <c r="Q381"/>
      <c r="R381"/>
      <c r="S381"/>
      <c r="T381"/>
      <c r="U381"/>
      <c r="V381"/>
      <c r="W381"/>
      <c r="X381"/>
      <c r="Y381"/>
      <c r="Z381"/>
      <c r="AA381"/>
    </row>
    <row r="382" spans="1:27" s="23" customFormat="1" x14ac:dyDescent="0.25">
      <c r="A382"/>
      <c r="B382" s="24" t="str">
        <f t="shared" si="597"/>
        <v>-</v>
      </c>
      <c r="C382" s="24"/>
      <c r="D382" s="24"/>
      <c r="E382" s="24"/>
      <c r="F382" s="24"/>
      <c r="G382"/>
      <c r="H382"/>
      <c r="J382" s="2"/>
      <c r="K382"/>
      <c r="L382"/>
      <c r="N382"/>
      <c r="O382"/>
      <c r="P382"/>
      <c r="Q382"/>
      <c r="R382"/>
      <c r="S382"/>
      <c r="T382"/>
      <c r="U382"/>
      <c r="V382"/>
      <c r="W382"/>
      <c r="X382"/>
      <c r="Y382"/>
      <c r="Z382"/>
      <c r="AA382"/>
    </row>
    <row r="383" spans="1:27" s="23" customFormat="1" x14ac:dyDescent="0.25">
      <c r="A383"/>
      <c r="B383" s="24" t="str">
        <f t="shared" si="597"/>
        <v>-</v>
      </c>
      <c r="C383" s="24"/>
      <c r="D383" s="24"/>
      <c r="E383" s="24"/>
      <c r="F383" s="24"/>
      <c r="G383"/>
      <c r="H383"/>
      <c r="J383" s="2"/>
      <c r="K383"/>
      <c r="L383"/>
      <c r="N383"/>
      <c r="O383"/>
      <c r="P383"/>
      <c r="Q383"/>
      <c r="R383"/>
      <c r="S383"/>
      <c r="T383"/>
      <c r="U383"/>
      <c r="V383"/>
      <c r="W383"/>
      <c r="X383"/>
      <c r="Y383"/>
      <c r="Z383"/>
      <c r="AA383"/>
    </row>
    <row r="384" spans="1:27" s="23" customFormat="1" x14ac:dyDescent="0.25">
      <c r="A384"/>
      <c r="B384" s="24" t="str">
        <f t="shared" si="597"/>
        <v>-</v>
      </c>
      <c r="C384" s="24"/>
      <c r="D384" s="24"/>
      <c r="E384" s="24"/>
      <c r="F384" s="24"/>
      <c r="G384"/>
      <c r="H384"/>
      <c r="J384" s="2"/>
      <c r="K384"/>
      <c r="L384"/>
      <c r="N384"/>
      <c r="O384"/>
      <c r="P384"/>
      <c r="Q384"/>
      <c r="R384"/>
      <c r="S384"/>
      <c r="T384"/>
      <c r="U384"/>
      <c r="V384"/>
      <c r="W384"/>
      <c r="X384"/>
      <c r="Y384"/>
      <c r="Z384"/>
      <c r="AA384"/>
    </row>
    <row r="385" spans="1:27" s="23" customFormat="1" x14ac:dyDescent="0.25">
      <c r="A385"/>
      <c r="B385" s="24" t="str">
        <f t="shared" si="597"/>
        <v>-</v>
      </c>
      <c r="C385" s="24"/>
      <c r="D385" s="24"/>
      <c r="E385" s="24"/>
      <c r="F385" s="24"/>
      <c r="G385"/>
      <c r="H385"/>
      <c r="J385" s="2"/>
      <c r="K385"/>
      <c r="L385"/>
      <c r="N385"/>
      <c r="O385"/>
      <c r="P385"/>
      <c r="Q385"/>
      <c r="R385"/>
      <c r="S385"/>
      <c r="T385"/>
      <c r="U385"/>
      <c r="V385"/>
      <c r="W385"/>
      <c r="X385"/>
      <c r="Y385"/>
      <c r="Z385"/>
      <c r="AA385"/>
    </row>
    <row r="386" spans="1:27" s="23" customFormat="1" x14ac:dyDescent="0.25">
      <c r="A386"/>
      <c r="B386" s="24" t="str">
        <f t="shared" si="597"/>
        <v>-</v>
      </c>
      <c r="C386" s="24"/>
      <c r="D386" s="24"/>
      <c r="E386" s="24"/>
      <c r="F386" s="24"/>
      <c r="G386"/>
      <c r="H386"/>
      <c r="J386" s="2"/>
      <c r="K386"/>
      <c r="L386"/>
      <c r="N386"/>
      <c r="O386"/>
      <c r="P386"/>
      <c r="Q386"/>
      <c r="R386"/>
      <c r="S386"/>
      <c r="T386"/>
      <c r="U386"/>
      <c r="V386"/>
      <c r="W386"/>
      <c r="X386"/>
      <c r="Y386"/>
      <c r="Z386"/>
      <c r="AA386"/>
    </row>
    <row r="387" spans="1:27" s="23" customFormat="1" x14ac:dyDescent="0.25">
      <c r="A387"/>
      <c r="B387" s="24" t="str">
        <f t="shared" si="597"/>
        <v>-</v>
      </c>
      <c r="C387" s="24"/>
      <c r="D387" s="24"/>
      <c r="E387" s="24"/>
      <c r="F387" s="24"/>
      <c r="G387"/>
      <c r="H387"/>
      <c r="J387" s="2"/>
      <c r="K387"/>
      <c r="L387"/>
      <c r="N387"/>
      <c r="O387"/>
      <c r="P387"/>
      <c r="Q387"/>
      <c r="R387"/>
      <c r="S387"/>
      <c r="T387"/>
      <c r="U387"/>
      <c r="V387"/>
      <c r="W387"/>
      <c r="X387"/>
      <c r="Y387"/>
      <c r="Z387"/>
      <c r="AA387"/>
    </row>
    <row r="388" spans="1:27" s="23" customFormat="1" x14ac:dyDescent="0.25">
      <c r="A388"/>
      <c r="B388" s="24" t="str">
        <f t="shared" si="597"/>
        <v>-</v>
      </c>
      <c r="C388" s="24"/>
      <c r="D388" s="24"/>
      <c r="E388" s="24"/>
      <c r="F388" s="24"/>
      <c r="G388"/>
      <c r="H388"/>
      <c r="J388" s="2"/>
      <c r="K388"/>
      <c r="L388"/>
      <c r="N388"/>
      <c r="O388"/>
      <c r="P388"/>
      <c r="Q388"/>
      <c r="R388"/>
      <c r="S388"/>
      <c r="T388"/>
      <c r="U388"/>
      <c r="V388"/>
      <c r="W388"/>
      <c r="X388"/>
      <c r="Y388"/>
      <c r="Z388"/>
      <c r="AA388"/>
    </row>
    <row r="389" spans="1:27" s="23" customFormat="1" x14ac:dyDescent="0.25">
      <c r="A389"/>
      <c r="B389" s="24" t="str">
        <f t="shared" si="597"/>
        <v>-</v>
      </c>
      <c r="C389" s="24"/>
      <c r="D389" s="24"/>
      <c r="E389" s="24"/>
      <c r="F389" s="24"/>
      <c r="G389"/>
      <c r="H389"/>
      <c r="J389" s="2"/>
      <c r="K389"/>
      <c r="L389"/>
      <c r="N389"/>
      <c r="O389"/>
      <c r="P389"/>
      <c r="Q389"/>
      <c r="R389"/>
      <c r="S389"/>
      <c r="T389"/>
      <c r="U389"/>
      <c r="V389"/>
      <c r="W389"/>
      <c r="X389"/>
      <c r="Y389"/>
      <c r="Z389"/>
      <c r="AA389"/>
    </row>
    <row r="390" spans="1:27" s="23" customFormat="1" x14ac:dyDescent="0.25">
      <c r="A390"/>
      <c r="B390" s="24" t="str">
        <f t="shared" si="597"/>
        <v>-</v>
      </c>
      <c r="C390" s="24"/>
      <c r="D390" s="24"/>
      <c r="E390" s="24"/>
      <c r="F390" s="24"/>
      <c r="G390"/>
      <c r="H390"/>
      <c r="J390" s="2"/>
      <c r="K390"/>
      <c r="L390"/>
      <c r="N390"/>
      <c r="O390"/>
      <c r="P390"/>
      <c r="Q390"/>
      <c r="R390"/>
      <c r="S390"/>
      <c r="T390"/>
      <c r="U390"/>
      <c r="V390"/>
      <c r="W390"/>
      <c r="X390"/>
      <c r="Y390"/>
      <c r="Z390"/>
      <c r="AA390"/>
    </row>
    <row r="391" spans="1:27" s="23" customFormat="1" x14ac:dyDescent="0.25">
      <c r="A391"/>
      <c r="B391" s="24" t="str">
        <f t="shared" si="597"/>
        <v>-</v>
      </c>
      <c r="C391" s="24"/>
      <c r="D391" s="24"/>
      <c r="E391" s="24"/>
      <c r="F391" s="24"/>
      <c r="G391"/>
      <c r="H391"/>
      <c r="J391" s="2"/>
      <c r="K391"/>
      <c r="L391"/>
      <c r="N391"/>
      <c r="O391"/>
      <c r="P391"/>
      <c r="Q391"/>
      <c r="R391"/>
      <c r="S391"/>
      <c r="T391"/>
      <c r="U391"/>
      <c r="V391"/>
      <c r="W391"/>
      <c r="X391"/>
      <c r="Y391"/>
      <c r="Z391"/>
      <c r="AA391"/>
    </row>
    <row r="392" spans="1:27" s="23" customFormat="1" x14ac:dyDescent="0.25">
      <c r="A392"/>
      <c r="B392" s="24" t="str">
        <f t="shared" si="597"/>
        <v>-</v>
      </c>
      <c r="C392" s="24"/>
      <c r="D392" s="24"/>
      <c r="E392" s="24"/>
      <c r="F392" s="24"/>
      <c r="G392"/>
      <c r="H392"/>
      <c r="J392" s="2"/>
      <c r="K392"/>
      <c r="L392"/>
      <c r="N392"/>
      <c r="O392"/>
      <c r="P392"/>
      <c r="Q392"/>
      <c r="R392"/>
      <c r="S392"/>
      <c r="T392"/>
      <c r="U392"/>
      <c r="V392"/>
      <c r="W392"/>
      <c r="X392"/>
      <c r="Y392"/>
      <c r="Z392"/>
      <c r="AA392"/>
    </row>
    <row r="393" spans="1:27" s="23" customFormat="1" x14ac:dyDescent="0.25">
      <c r="A393"/>
      <c r="B393" s="24" t="str">
        <f t="shared" si="597"/>
        <v>-</v>
      </c>
      <c r="C393" s="24"/>
      <c r="D393" s="24"/>
      <c r="E393" s="24"/>
      <c r="F393" s="24"/>
      <c r="G393"/>
      <c r="H393"/>
      <c r="J393" s="2"/>
      <c r="K393"/>
      <c r="L393"/>
      <c r="N393"/>
      <c r="O393"/>
      <c r="P393"/>
      <c r="Q393"/>
      <c r="R393"/>
      <c r="S393"/>
      <c r="T393"/>
      <c r="U393"/>
      <c r="V393"/>
      <c r="W393"/>
      <c r="X393"/>
      <c r="Y393"/>
      <c r="Z393"/>
      <c r="AA393"/>
    </row>
    <row r="394" spans="1:27" s="23" customFormat="1" x14ac:dyDescent="0.25">
      <c r="A394"/>
      <c r="B394" s="24" t="str">
        <f t="shared" si="597"/>
        <v>-</v>
      </c>
      <c r="C394" s="24"/>
      <c r="D394" s="24"/>
      <c r="E394" s="24"/>
      <c r="F394" s="24"/>
      <c r="G394"/>
      <c r="H394"/>
      <c r="J394" s="2"/>
      <c r="K394"/>
      <c r="L394"/>
      <c r="N394"/>
      <c r="O394"/>
      <c r="P394"/>
      <c r="Q394"/>
      <c r="R394"/>
      <c r="S394"/>
      <c r="T394"/>
      <c r="U394"/>
      <c r="V394"/>
      <c r="W394"/>
      <c r="X394"/>
      <c r="Y394"/>
      <c r="Z394"/>
      <c r="AA394"/>
    </row>
    <row r="395" spans="1:27" s="23" customFormat="1" x14ac:dyDescent="0.25">
      <c r="A395"/>
      <c r="B395" s="24" t="str">
        <f t="shared" si="597"/>
        <v>-</v>
      </c>
      <c r="C395" s="24"/>
      <c r="D395" s="24"/>
      <c r="E395" s="24"/>
      <c r="F395" s="24"/>
      <c r="G395"/>
      <c r="H395"/>
      <c r="J395" s="2"/>
      <c r="K395"/>
      <c r="L395"/>
      <c r="N395"/>
      <c r="O395"/>
      <c r="P395"/>
      <c r="Q395"/>
      <c r="R395"/>
      <c r="S395"/>
      <c r="T395"/>
      <c r="U395"/>
      <c r="V395"/>
      <c r="W395"/>
      <c r="X395"/>
      <c r="Y395"/>
      <c r="Z395"/>
      <c r="AA395"/>
    </row>
    <row r="396" spans="1:27" s="23" customFormat="1" x14ac:dyDescent="0.25">
      <c r="A396"/>
      <c r="B396" s="24" t="str">
        <f t="shared" si="597"/>
        <v>-</v>
      </c>
      <c r="C396" s="24"/>
      <c r="D396" s="24"/>
      <c r="E396" s="24"/>
      <c r="F396" s="24"/>
      <c r="G396"/>
      <c r="H396"/>
      <c r="J396" s="2"/>
      <c r="K396"/>
      <c r="L396"/>
      <c r="N396"/>
      <c r="O396"/>
      <c r="P396"/>
      <c r="Q396"/>
      <c r="R396"/>
      <c r="S396"/>
      <c r="T396"/>
      <c r="U396"/>
      <c r="V396"/>
      <c r="W396"/>
      <c r="X396"/>
      <c r="Y396"/>
      <c r="Z396"/>
      <c r="AA396"/>
    </row>
    <row r="397" spans="1:27" s="23" customFormat="1" x14ac:dyDescent="0.25">
      <c r="A397"/>
      <c r="B397" s="24" t="str">
        <f t="shared" si="597"/>
        <v>-</v>
      </c>
      <c r="C397" s="24"/>
      <c r="D397" s="24"/>
      <c r="E397" s="24"/>
      <c r="F397" s="24"/>
      <c r="G397"/>
      <c r="H397"/>
      <c r="J397" s="2"/>
      <c r="K397"/>
      <c r="L397"/>
      <c r="N397"/>
      <c r="O397"/>
      <c r="P397"/>
      <c r="Q397"/>
      <c r="R397"/>
      <c r="S397"/>
      <c r="T397"/>
      <c r="U397"/>
      <c r="V397"/>
      <c r="W397"/>
      <c r="X397"/>
      <c r="Y397"/>
      <c r="Z397"/>
      <c r="AA397"/>
    </row>
    <row r="398" spans="1:27" s="23" customFormat="1" x14ac:dyDescent="0.25">
      <c r="A398"/>
      <c r="B398" s="24" t="str">
        <f t="shared" si="597"/>
        <v>-</v>
      </c>
      <c r="C398" s="24"/>
      <c r="D398" s="24"/>
      <c r="E398" s="24"/>
      <c r="F398" s="24"/>
      <c r="G398"/>
      <c r="H398"/>
      <c r="J398" s="2"/>
      <c r="K398"/>
      <c r="L398"/>
      <c r="N398"/>
      <c r="O398"/>
      <c r="P398"/>
      <c r="Q398"/>
      <c r="R398"/>
      <c r="S398"/>
      <c r="T398"/>
      <c r="U398"/>
      <c r="V398"/>
      <c r="W398"/>
      <c r="X398"/>
      <c r="Y398"/>
      <c r="Z398"/>
      <c r="AA398"/>
    </row>
    <row r="399" spans="1:27" s="23" customFormat="1" x14ac:dyDescent="0.25">
      <c r="A399"/>
      <c r="B399" s="24" t="str">
        <f t="shared" si="597"/>
        <v>-</v>
      </c>
      <c r="C399" s="24"/>
      <c r="D399" s="24"/>
      <c r="E399" s="24"/>
      <c r="F399" s="24"/>
      <c r="G399"/>
      <c r="H399"/>
      <c r="J399" s="2"/>
      <c r="K399"/>
      <c r="L399"/>
      <c r="N399"/>
      <c r="O399"/>
      <c r="P399"/>
      <c r="Q399"/>
      <c r="R399"/>
      <c r="S399"/>
      <c r="T399"/>
      <c r="U399"/>
      <c r="V399"/>
      <c r="W399"/>
      <c r="X399"/>
      <c r="Y399"/>
      <c r="Z399"/>
      <c r="AA399"/>
    </row>
    <row r="400" spans="1:27" s="23" customFormat="1" x14ac:dyDescent="0.25">
      <c r="A400"/>
      <c r="B400" s="24" t="str">
        <f t="shared" si="597"/>
        <v>-</v>
      </c>
      <c r="C400" s="24"/>
      <c r="D400" s="24"/>
      <c r="E400" s="24"/>
      <c r="F400" s="24"/>
      <c r="G400"/>
      <c r="H400"/>
      <c r="J400" s="2"/>
      <c r="K400"/>
      <c r="L400"/>
      <c r="N400"/>
      <c r="O400"/>
      <c r="P400"/>
      <c r="Q400"/>
      <c r="R400"/>
      <c r="S400"/>
      <c r="T400"/>
      <c r="U400"/>
      <c r="V400"/>
      <c r="W400"/>
      <c r="X400"/>
      <c r="Y400"/>
      <c r="Z400"/>
      <c r="AA400"/>
    </row>
    <row r="401" spans="1:27" s="23" customFormat="1" x14ac:dyDescent="0.25">
      <c r="A401"/>
      <c r="B401" s="24" t="str">
        <f t="shared" si="597"/>
        <v>-</v>
      </c>
      <c r="C401" s="24"/>
      <c r="D401" s="24"/>
      <c r="E401" s="24"/>
      <c r="F401" s="24"/>
      <c r="G401"/>
      <c r="H401"/>
      <c r="J401" s="2"/>
      <c r="K401"/>
      <c r="L401"/>
      <c r="N401"/>
      <c r="O401"/>
      <c r="P401"/>
      <c r="Q401"/>
      <c r="R401"/>
      <c r="S401"/>
      <c r="T401"/>
      <c r="U401"/>
      <c r="V401"/>
      <c r="W401"/>
      <c r="X401"/>
      <c r="Y401"/>
      <c r="Z401"/>
      <c r="AA401"/>
    </row>
    <row r="402" spans="1:27" s="23" customFormat="1" x14ac:dyDescent="0.25">
      <c r="A402"/>
      <c r="B402" s="24" t="str">
        <f t="shared" si="597"/>
        <v>-</v>
      </c>
      <c r="C402" s="24"/>
      <c r="D402" s="24"/>
      <c r="E402" s="24"/>
      <c r="F402" s="24"/>
      <c r="G402"/>
      <c r="H402"/>
      <c r="J402" s="2"/>
      <c r="K402"/>
      <c r="L402"/>
      <c r="N402"/>
      <c r="O402"/>
      <c r="P402"/>
      <c r="Q402"/>
      <c r="R402"/>
      <c r="S402"/>
      <c r="T402"/>
      <c r="U402"/>
      <c r="V402"/>
      <c r="W402"/>
      <c r="X402"/>
      <c r="Y402"/>
      <c r="Z402"/>
      <c r="AA402"/>
    </row>
    <row r="403" spans="1:27" s="23" customFormat="1" x14ac:dyDescent="0.25">
      <c r="A403"/>
      <c r="B403" s="24" t="str">
        <f t="shared" ref="B403:B466" si="598">IF(A403&gt;A402,1+B402,"-")</f>
        <v>-</v>
      </c>
      <c r="C403" s="24"/>
      <c r="D403" s="24"/>
      <c r="E403" s="24"/>
      <c r="F403" s="24"/>
      <c r="G403"/>
      <c r="H403"/>
      <c r="J403" s="2"/>
      <c r="K403"/>
      <c r="L403"/>
      <c r="N403"/>
      <c r="O403"/>
      <c r="P403"/>
      <c r="Q403"/>
      <c r="R403"/>
      <c r="S403"/>
      <c r="T403"/>
      <c r="U403"/>
      <c r="V403"/>
      <c r="W403"/>
      <c r="X403"/>
      <c r="Y403"/>
      <c r="Z403"/>
      <c r="AA403"/>
    </row>
    <row r="404" spans="1:27" s="23" customFormat="1" x14ac:dyDescent="0.25">
      <c r="A404"/>
      <c r="B404" s="24" t="str">
        <f t="shared" si="598"/>
        <v>-</v>
      </c>
      <c r="C404" s="24"/>
      <c r="D404" s="24"/>
      <c r="E404" s="24"/>
      <c r="F404" s="24"/>
      <c r="G404"/>
      <c r="H404"/>
      <c r="J404" s="2"/>
      <c r="K404"/>
      <c r="L404"/>
      <c r="N404"/>
      <c r="O404"/>
      <c r="P404"/>
      <c r="Q404"/>
      <c r="R404"/>
      <c r="S404"/>
      <c r="T404"/>
      <c r="U404"/>
      <c r="V404"/>
      <c r="W404"/>
      <c r="X404"/>
      <c r="Y404"/>
      <c r="Z404"/>
      <c r="AA404"/>
    </row>
    <row r="405" spans="1:27" s="23" customFormat="1" x14ac:dyDescent="0.25">
      <c r="A405"/>
      <c r="B405" s="24" t="str">
        <f t="shared" si="598"/>
        <v>-</v>
      </c>
      <c r="C405" s="24"/>
      <c r="D405" s="24"/>
      <c r="E405" s="24"/>
      <c r="F405" s="24"/>
      <c r="G405"/>
      <c r="H405"/>
      <c r="J405" s="2"/>
      <c r="K405"/>
      <c r="L405"/>
      <c r="N405"/>
      <c r="O405"/>
      <c r="P405"/>
      <c r="Q405"/>
      <c r="R405"/>
      <c r="S405"/>
      <c r="T405"/>
      <c r="U405"/>
      <c r="V405"/>
      <c r="W405"/>
      <c r="X405"/>
      <c r="Y405"/>
      <c r="Z405"/>
      <c r="AA405"/>
    </row>
    <row r="406" spans="1:27" s="23" customFormat="1" x14ac:dyDescent="0.25">
      <c r="A406"/>
      <c r="B406" s="24" t="str">
        <f t="shared" si="598"/>
        <v>-</v>
      </c>
      <c r="C406" s="24"/>
      <c r="D406" s="24"/>
      <c r="E406" s="24"/>
      <c r="F406" s="24"/>
      <c r="G406"/>
      <c r="H406"/>
      <c r="J406" s="2"/>
      <c r="K406"/>
      <c r="L406"/>
      <c r="N406"/>
      <c r="O406"/>
      <c r="P406"/>
      <c r="Q406"/>
      <c r="R406"/>
      <c r="S406"/>
      <c r="T406"/>
      <c r="U406"/>
      <c r="V406"/>
      <c r="W406"/>
      <c r="X406"/>
      <c r="Y406"/>
      <c r="Z406"/>
      <c r="AA406"/>
    </row>
    <row r="407" spans="1:27" s="23" customFormat="1" x14ac:dyDescent="0.25">
      <c r="A407"/>
      <c r="B407" s="24" t="str">
        <f t="shared" si="598"/>
        <v>-</v>
      </c>
      <c r="C407" s="24"/>
      <c r="D407" s="24"/>
      <c r="E407" s="24"/>
      <c r="F407" s="24"/>
      <c r="G407"/>
      <c r="H407"/>
      <c r="J407" s="2"/>
      <c r="K407"/>
      <c r="L407"/>
      <c r="N407"/>
      <c r="O407"/>
      <c r="P407"/>
      <c r="Q407"/>
      <c r="R407"/>
      <c r="S407"/>
      <c r="T407"/>
      <c r="U407"/>
      <c r="V407"/>
      <c r="W407"/>
      <c r="X407"/>
      <c r="Y407"/>
      <c r="Z407"/>
      <c r="AA407"/>
    </row>
    <row r="408" spans="1:27" s="23" customFormat="1" x14ac:dyDescent="0.25">
      <c r="A408"/>
      <c r="B408" s="24" t="str">
        <f t="shared" si="598"/>
        <v>-</v>
      </c>
      <c r="C408" s="24"/>
      <c r="D408" s="24"/>
      <c r="E408" s="24"/>
      <c r="F408" s="24"/>
      <c r="G408"/>
      <c r="H408"/>
      <c r="J408" s="2"/>
      <c r="K408"/>
      <c r="L408"/>
      <c r="N408"/>
      <c r="O408"/>
      <c r="P408"/>
      <c r="Q408"/>
      <c r="R408"/>
      <c r="S408"/>
      <c r="T408"/>
      <c r="U408"/>
      <c r="V408"/>
      <c r="W408"/>
      <c r="X408"/>
      <c r="Y408"/>
      <c r="Z408"/>
      <c r="AA408"/>
    </row>
    <row r="409" spans="1:27" s="23" customFormat="1" x14ac:dyDescent="0.25">
      <c r="A409"/>
      <c r="B409" s="24" t="str">
        <f t="shared" si="598"/>
        <v>-</v>
      </c>
      <c r="C409" s="24"/>
      <c r="D409" s="24"/>
      <c r="E409" s="24"/>
      <c r="F409" s="24"/>
      <c r="G409"/>
      <c r="H409"/>
      <c r="J409" s="2"/>
      <c r="K409"/>
      <c r="L409"/>
      <c r="N409"/>
      <c r="O409"/>
      <c r="P409"/>
      <c r="Q409"/>
      <c r="R409"/>
      <c r="S409"/>
      <c r="T409"/>
      <c r="U409"/>
      <c r="V409"/>
      <c r="W409"/>
      <c r="X409"/>
      <c r="Y409"/>
      <c r="Z409"/>
      <c r="AA409"/>
    </row>
    <row r="410" spans="1:27" s="23" customFormat="1" x14ac:dyDescent="0.25">
      <c r="A410"/>
      <c r="B410" s="24" t="str">
        <f t="shared" si="598"/>
        <v>-</v>
      </c>
      <c r="C410" s="24"/>
      <c r="D410" s="24"/>
      <c r="E410" s="24"/>
      <c r="F410" s="24"/>
      <c r="G410"/>
      <c r="H410"/>
      <c r="J410" s="2"/>
      <c r="K410"/>
      <c r="L410"/>
      <c r="N410"/>
      <c r="O410"/>
      <c r="P410"/>
      <c r="Q410"/>
      <c r="R410"/>
      <c r="S410"/>
      <c r="T410"/>
      <c r="U410"/>
      <c r="V410"/>
      <c r="W410"/>
      <c r="X410"/>
      <c r="Y410"/>
      <c r="Z410"/>
      <c r="AA410"/>
    </row>
    <row r="411" spans="1:27" s="23" customFormat="1" x14ac:dyDescent="0.25">
      <c r="A411"/>
      <c r="B411" s="24" t="str">
        <f t="shared" si="598"/>
        <v>-</v>
      </c>
      <c r="C411" s="24"/>
      <c r="D411" s="24"/>
      <c r="E411" s="24"/>
      <c r="F411" s="24"/>
      <c r="G411"/>
      <c r="H411"/>
      <c r="J411" s="2"/>
      <c r="K411"/>
      <c r="L411"/>
      <c r="N411"/>
      <c r="O411"/>
      <c r="P411"/>
      <c r="Q411"/>
      <c r="R411"/>
      <c r="S411"/>
      <c r="T411"/>
      <c r="U411"/>
      <c r="V411"/>
      <c r="W411"/>
      <c r="X411"/>
      <c r="Y411"/>
      <c r="Z411"/>
      <c r="AA411"/>
    </row>
    <row r="412" spans="1:27" s="23" customFormat="1" x14ac:dyDescent="0.25">
      <c r="A412"/>
      <c r="B412" s="24" t="str">
        <f t="shared" si="598"/>
        <v>-</v>
      </c>
      <c r="C412" s="24"/>
      <c r="D412" s="24"/>
      <c r="E412" s="24"/>
      <c r="F412" s="24"/>
      <c r="G412"/>
      <c r="H412"/>
      <c r="J412" s="2"/>
      <c r="K412"/>
      <c r="L412"/>
      <c r="N412"/>
      <c r="O412"/>
      <c r="P412"/>
      <c r="Q412"/>
      <c r="R412"/>
      <c r="S412"/>
      <c r="T412"/>
      <c r="U412"/>
      <c r="V412"/>
      <c r="W412"/>
      <c r="X412"/>
      <c r="Y412"/>
      <c r="Z412"/>
      <c r="AA412"/>
    </row>
    <row r="413" spans="1:27" s="23" customFormat="1" x14ac:dyDescent="0.25">
      <c r="A413"/>
      <c r="B413" s="24" t="str">
        <f t="shared" si="598"/>
        <v>-</v>
      </c>
      <c r="C413" s="24"/>
      <c r="D413" s="24"/>
      <c r="E413" s="24"/>
      <c r="F413" s="24"/>
      <c r="G413"/>
      <c r="H413"/>
      <c r="J413" s="2"/>
      <c r="K413"/>
      <c r="L413"/>
      <c r="N413"/>
      <c r="O413"/>
      <c r="P413"/>
      <c r="Q413"/>
      <c r="R413"/>
      <c r="S413"/>
      <c r="T413"/>
      <c r="U413"/>
      <c r="V413"/>
      <c r="W413"/>
      <c r="X413"/>
      <c r="Y413"/>
      <c r="Z413"/>
      <c r="AA413"/>
    </row>
    <row r="414" spans="1:27" s="23" customFormat="1" x14ac:dyDescent="0.25">
      <c r="A414"/>
      <c r="B414" s="24" t="str">
        <f t="shared" si="598"/>
        <v>-</v>
      </c>
      <c r="C414" s="24"/>
      <c r="D414" s="24"/>
      <c r="E414" s="24"/>
      <c r="F414" s="24"/>
      <c r="G414"/>
      <c r="H414"/>
      <c r="J414" s="2"/>
      <c r="K414"/>
      <c r="L414"/>
      <c r="N414"/>
      <c r="O414"/>
      <c r="P414"/>
      <c r="Q414"/>
      <c r="R414"/>
      <c r="S414"/>
      <c r="T414"/>
      <c r="U414"/>
      <c r="V414"/>
      <c r="W414"/>
      <c r="X414"/>
      <c r="Y414"/>
      <c r="Z414"/>
      <c r="AA414"/>
    </row>
    <row r="415" spans="1:27" s="23" customFormat="1" x14ac:dyDescent="0.25">
      <c r="A415"/>
      <c r="B415" s="24" t="str">
        <f t="shared" si="598"/>
        <v>-</v>
      </c>
      <c r="C415" s="24"/>
      <c r="D415" s="24"/>
      <c r="E415" s="24"/>
      <c r="F415" s="24"/>
      <c r="G415"/>
      <c r="H415"/>
      <c r="J415" s="2"/>
      <c r="K415"/>
      <c r="L415"/>
      <c r="N415"/>
      <c r="O415"/>
      <c r="P415"/>
      <c r="Q415"/>
      <c r="R415"/>
      <c r="S415"/>
      <c r="T415"/>
      <c r="U415"/>
      <c r="V415"/>
      <c r="W415"/>
      <c r="X415"/>
      <c r="Y415"/>
      <c r="Z415"/>
      <c r="AA415"/>
    </row>
    <row r="416" spans="1:27" s="23" customFormat="1" x14ac:dyDescent="0.25">
      <c r="A416"/>
      <c r="B416" s="24" t="str">
        <f t="shared" si="598"/>
        <v>-</v>
      </c>
      <c r="C416" s="24"/>
      <c r="D416" s="24"/>
      <c r="E416" s="24"/>
      <c r="F416" s="24"/>
      <c r="G416"/>
      <c r="H416"/>
      <c r="J416" s="2"/>
      <c r="K416"/>
      <c r="L416"/>
      <c r="N416"/>
      <c r="O416"/>
      <c r="P416"/>
      <c r="Q416"/>
      <c r="R416"/>
      <c r="S416"/>
      <c r="T416"/>
      <c r="U416"/>
      <c r="V416"/>
      <c r="W416"/>
      <c r="X416"/>
      <c r="Y416"/>
      <c r="Z416"/>
      <c r="AA416"/>
    </row>
    <row r="417" spans="1:27" s="23" customFormat="1" x14ac:dyDescent="0.25">
      <c r="A417"/>
      <c r="B417" s="24" t="str">
        <f t="shared" si="598"/>
        <v>-</v>
      </c>
      <c r="C417" s="24"/>
      <c r="D417" s="24"/>
      <c r="E417" s="24"/>
      <c r="F417" s="24"/>
      <c r="G417"/>
      <c r="H417"/>
      <c r="J417" s="2"/>
      <c r="K417"/>
      <c r="L417"/>
      <c r="N417"/>
      <c r="O417"/>
      <c r="P417"/>
      <c r="Q417"/>
      <c r="R417"/>
      <c r="S417"/>
      <c r="T417"/>
      <c r="U417"/>
      <c r="V417"/>
      <c r="W417"/>
      <c r="X417"/>
      <c r="Y417"/>
      <c r="Z417"/>
      <c r="AA417"/>
    </row>
    <row r="418" spans="1:27" s="23" customFormat="1" x14ac:dyDescent="0.25">
      <c r="A418"/>
      <c r="B418" s="24" t="str">
        <f t="shared" si="598"/>
        <v>-</v>
      </c>
      <c r="C418" s="24"/>
      <c r="D418" s="24"/>
      <c r="E418" s="24"/>
      <c r="F418" s="24"/>
      <c r="G418"/>
      <c r="H418"/>
      <c r="J418" s="2"/>
      <c r="K418"/>
      <c r="L418"/>
      <c r="N418"/>
      <c r="O418"/>
      <c r="P418"/>
      <c r="Q418"/>
      <c r="R418"/>
      <c r="S418"/>
      <c r="T418"/>
      <c r="U418"/>
      <c r="V418"/>
      <c r="W418"/>
      <c r="X418"/>
      <c r="Y418"/>
      <c r="Z418"/>
      <c r="AA418"/>
    </row>
    <row r="419" spans="1:27" s="23" customFormat="1" x14ac:dyDescent="0.25">
      <c r="A419"/>
      <c r="B419" s="24" t="str">
        <f t="shared" si="598"/>
        <v>-</v>
      </c>
      <c r="C419" s="24"/>
      <c r="D419" s="24"/>
      <c r="E419" s="24"/>
      <c r="F419" s="24"/>
      <c r="G419"/>
      <c r="H419"/>
      <c r="J419" s="2"/>
      <c r="K419"/>
      <c r="L419"/>
      <c r="N419"/>
      <c r="O419"/>
      <c r="P419"/>
      <c r="Q419"/>
      <c r="R419"/>
      <c r="S419"/>
      <c r="T419"/>
      <c r="U419"/>
      <c r="V419"/>
      <c r="W419"/>
      <c r="X419"/>
      <c r="Y419"/>
      <c r="Z419"/>
      <c r="AA419"/>
    </row>
    <row r="420" spans="1:27" s="23" customFormat="1" x14ac:dyDescent="0.25">
      <c r="A420"/>
      <c r="B420" s="24" t="str">
        <f t="shared" si="598"/>
        <v>-</v>
      </c>
      <c r="C420" s="24"/>
      <c r="D420" s="24"/>
      <c r="E420" s="24"/>
      <c r="F420" s="24"/>
      <c r="G420"/>
      <c r="H420"/>
      <c r="J420" s="2"/>
      <c r="K420"/>
      <c r="L420"/>
      <c r="N420"/>
      <c r="O420"/>
      <c r="P420"/>
      <c r="Q420"/>
      <c r="R420"/>
      <c r="S420"/>
      <c r="T420"/>
      <c r="U420"/>
      <c r="V420"/>
      <c r="W420"/>
      <c r="X420"/>
      <c r="Y420"/>
      <c r="Z420"/>
      <c r="AA420"/>
    </row>
    <row r="421" spans="1:27" s="23" customFormat="1" x14ac:dyDescent="0.25">
      <c r="A421"/>
      <c r="B421" s="24" t="str">
        <f t="shared" si="598"/>
        <v>-</v>
      </c>
      <c r="C421" s="24"/>
      <c r="D421" s="24"/>
      <c r="E421" s="24"/>
      <c r="F421" s="24"/>
      <c r="G421"/>
      <c r="H421"/>
      <c r="J421" s="2"/>
      <c r="K421"/>
      <c r="L421"/>
      <c r="N421"/>
      <c r="O421"/>
      <c r="P421"/>
      <c r="Q421"/>
      <c r="R421"/>
      <c r="S421"/>
      <c r="T421"/>
      <c r="U421"/>
      <c r="V421"/>
      <c r="W421"/>
      <c r="X421"/>
      <c r="Y421"/>
      <c r="Z421"/>
      <c r="AA421"/>
    </row>
    <row r="422" spans="1:27" s="23" customFormat="1" x14ac:dyDescent="0.25">
      <c r="A422"/>
      <c r="B422" s="24" t="str">
        <f t="shared" si="598"/>
        <v>-</v>
      </c>
      <c r="C422" s="24"/>
      <c r="D422" s="24"/>
      <c r="E422" s="24"/>
      <c r="F422" s="24"/>
      <c r="G422"/>
      <c r="H422"/>
      <c r="J422" s="2"/>
      <c r="K422"/>
      <c r="L422"/>
      <c r="N422"/>
      <c r="O422"/>
      <c r="P422"/>
      <c r="Q422"/>
      <c r="R422"/>
      <c r="S422"/>
      <c r="T422"/>
      <c r="U422"/>
      <c r="V422"/>
      <c r="W422"/>
      <c r="X422"/>
      <c r="Y422"/>
      <c r="Z422"/>
      <c r="AA422"/>
    </row>
    <row r="423" spans="1:27" s="23" customFormat="1" x14ac:dyDescent="0.25">
      <c r="A423"/>
      <c r="B423" s="24" t="str">
        <f t="shared" si="598"/>
        <v>-</v>
      </c>
      <c r="C423" s="24"/>
      <c r="D423" s="24"/>
      <c r="E423" s="24"/>
      <c r="F423" s="24"/>
      <c r="G423"/>
      <c r="H423"/>
      <c r="J423" s="2"/>
      <c r="K423"/>
      <c r="L423"/>
      <c r="N423"/>
      <c r="O423"/>
      <c r="P423"/>
      <c r="Q423"/>
      <c r="R423"/>
      <c r="S423"/>
      <c r="T423"/>
      <c r="U423"/>
      <c r="V423"/>
      <c r="W423"/>
      <c r="X423"/>
      <c r="Y423"/>
      <c r="Z423"/>
      <c r="AA423"/>
    </row>
    <row r="424" spans="1:27" s="23" customFormat="1" x14ac:dyDescent="0.25">
      <c r="A424"/>
      <c r="B424" s="24" t="str">
        <f t="shared" si="598"/>
        <v>-</v>
      </c>
      <c r="C424" s="24"/>
      <c r="D424" s="24"/>
      <c r="E424" s="24"/>
      <c r="F424" s="24"/>
      <c r="G424"/>
      <c r="H424"/>
      <c r="J424" s="2"/>
      <c r="K424"/>
      <c r="L424"/>
      <c r="N424"/>
      <c r="O424"/>
      <c r="P424"/>
      <c r="Q424"/>
      <c r="R424"/>
      <c r="S424"/>
      <c r="T424"/>
      <c r="U424"/>
      <c r="V424"/>
      <c r="W424"/>
      <c r="X424"/>
      <c r="Y424"/>
      <c r="Z424"/>
      <c r="AA424"/>
    </row>
    <row r="425" spans="1:27" s="23" customFormat="1" x14ac:dyDescent="0.25">
      <c r="A425"/>
      <c r="B425" s="24" t="str">
        <f t="shared" si="598"/>
        <v>-</v>
      </c>
      <c r="C425" s="24"/>
      <c r="D425" s="24"/>
      <c r="E425" s="24"/>
      <c r="F425" s="24"/>
      <c r="G425"/>
      <c r="H425"/>
      <c r="J425" s="2"/>
      <c r="K425"/>
      <c r="L425"/>
      <c r="N425"/>
      <c r="O425"/>
      <c r="P425"/>
      <c r="Q425"/>
      <c r="R425"/>
      <c r="S425"/>
      <c r="T425"/>
      <c r="U425"/>
      <c r="V425"/>
      <c r="W425"/>
      <c r="X425"/>
      <c r="Y425"/>
      <c r="Z425"/>
      <c r="AA425"/>
    </row>
    <row r="426" spans="1:27" s="23" customFormat="1" x14ac:dyDescent="0.25">
      <c r="A426"/>
      <c r="B426" s="24" t="str">
        <f t="shared" si="598"/>
        <v>-</v>
      </c>
      <c r="C426" s="24"/>
      <c r="D426" s="24"/>
      <c r="E426" s="24"/>
      <c r="F426" s="24"/>
      <c r="G426"/>
      <c r="H426"/>
      <c r="J426" s="2"/>
      <c r="K426"/>
      <c r="L426"/>
      <c r="N426"/>
      <c r="O426"/>
      <c r="P426"/>
      <c r="Q426"/>
      <c r="R426"/>
      <c r="S426"/>
      <c r="T426"/>
      <c r="U426"/>
      <c r="V426"/>
      <c r="W426"/>
      <c r="X426"/>
      <c r="Y426"/>
      <c r="Z426"/>
      <c r="AA426"/>
    </row>
    <row r="427" spans="1:27" s="23" customFormat="1" x14ac:dyDescent="0.25">
      <c r="A427"/>
      <c r="B427" s="24" t="str">
        <f t="shared" si="598"/>
        <v>-</v>
      </c>
      <c r="C427" s="24"/>
      <c r="D427" s="24"/>
      <c r="E427" s="24"/>
      <c r="F427" s="24"/>
      <c r="G427"/>
      <c r="H427"/>
      <c r="J427" s="2"/>
      <c r="K427"/>
      <c r="L427"/>
      <c r="N427"/>
      <c r="O427"/>
      <c r="P427"/>
      <c r="Q427"/>
      <c r="R427"/>
      <c r="S427"/>
      <c r="T427"/>
      <c r="U427"/>
      <c r="V427"/>
      <c r="W427"/>
      <c r="X427"/>
      <c r="Y427"/>
      <c r="Z427"/>
      <c r="AA427"/>
    </row>
    <row r="428" spans="1:27" s="23" customFormat="1" x14ac:dyDescent="0.25">
      <c r="A428"/>
      <c r="B428" s="24" t="str">
        <f t="shared" si="598"/>
        <v>-</v>
      </c>
      <c r="C428" s="24"/>
      <c r="D428" s="24"/>
      <c r="E428" s="24"/>
      <c r="F428" s="24"/>
      <c r="G428"/>
      <c r="H428"/>
      <c r="J428" s="2"/>
      <c r="K428"/>
      <c r="L428"/>
      <c r="N428"/>
      <c r="O428"/>
      <c r="P428"/>
      <c r="Q428"/>
      <c r="R428"/>
      <c r="S428"/>
      <c r="T428"/>
      <c r="U428"/>
      <c r="V428"/>
      <c r="W428"/>
      <c r="X428"/>
      <c r="Y428"/>
      <c r="Z428"/>
      <c r="AA428"/>
    </row>
    <row r="429" spans="1:27" s="23" customFormat="1" x14ac:dyDescent="0.25">
      <c r="A429"/>
      <c r="B429" s="24" t="str">
        <f t="shared" si="598"/>
        <v>-</v>
      </c>
      <c r="C429" s="24"/>
      <c r="D429" s="24"/>
      <c r="E429" s="24"/>
      <c r="F429" s="24"/>
      <c r="G429"/>
      <c r="H429"/>
      <c r="J429" s="2"/>
      <c r="K429"/>
      <c r="L429"/>
      <c r="N429"/>
      <c r="O429"/>
      <c r="P429"/>
      <c r="Q429"/>
      <c r="R429"/>
      <c r="S429"/>
      <c r="T429"/>
      <c r="U429"/>
      <c r="V429"/>
      <c r="W429"/>
      <c r="X429"/>
      <c r="Y429"/>
      <c r="Z429"/>
      <c r="AA429"/>
    </row>
    <row r="430" spans="1:27" s="23" customFormat="1" x14ac:dyDescent="0.25">
      <c r="A430"/>
      <c r="B430" s="24" t="str">
        <f t="shared" si="598"/>
        <v>-</v>
      </c>
      <c r="C430" s="24"/>
      <c r="D430" s="24"/>
      <c r="E430" s="24"/>
      <c r="F430" s="24"/>
      <c r="G430"/>
      <c r="H430"/>
      <c r="J430" s="2"/>
      <c r="K430"/>
      <c r="L430"/>
      <c r="N430"/>
      <c r="O430"/>
      <c r="P430"/>
      <c r="Q430"/>
      <c r="R430"/>
      <c r="S430"/>
      <c r="T430"/>
      <c r="U430"/>
      <c r="V430"/>
      <c r="W430"/>
      <c r="X430"/>
      <c r="Y430"/>
      <c r="Z430"/>
      <c r="AA430"/>
    </row>
    <row r="431" spans="1:27" s="23" customFormat="1" x14ac:dyDescent="0.25">
      <c r="A431"/>
      <c r="B431" s="24" t="str">
        <f t="shared" si="598"/>
        <v>-</v>
      </c>
      <c r="C431" s="24"/>
      <c r="D431" s="24"/>
      <c r="E431" s="24"/>
      <c r="F431" s="24"/>
      <c r="G431"/>
      <c r="H431"/>
      <c r="J431" s="2"/>
      <c r="K431"/>
      <c r="L431"/>
      <c r="N431"/>
      <c r="O431"/>
      <c r="P431"/>
      <c r="Q431"/>
      <c r="R431"/>
      <c r="S431"/>
      <c r="T431"/>
      <c r="U431"/>
      <c r="V431"/>
      <c r="W431"/>
      <c r="X431"/>
      <c r="Y431"/>
      <c r="Z431"/>
      <c r="AA431"/>
    </row>
    <row r="432" spans="1:27" s="23" customFormat="1" x14ac:dyDescent="0.25">
      <c r="A432"/>
      <c r="B432" s="24" t="str">
        <f t="shared" si="598"/>
        <v>-</v>
      </c>
      <c r="C432" s="24"/>
      <c r="D432" s="24"/>
      <c r="E432" s="24"/>
      <c r="F432" s="24"/>
      <c r="G432"/>
      <c r="H432"/>
      <c r="J432" s="2"/>
      <c r="K432"/>
      <c r="L432"/>
      <c r="N432"/>
      <c r="O432"/>
      <c r="P432"/>
      <c r="Q432"/>
      <c r="R432"/>
      <c r="S432"/>
      <c r="T432"/>
      <c r="U432"/>
      <c r="V432"/>
      <c r="W432"/>
      <c r="X432"/>
      <c r="Y432"/>
      <c r="Z432"/>
      <c r="AA432"/>
    </row>
    <row r="433" spans="1:27" s="23" customFormat="1" x14ac:dyDescent="0.25">
      <c r="A433"/>
      <c r="B433" s="24" t="str">
        <f t="shared" si="598"/>
        <v>-</v>
      </c>
      <c r="C433" s="24"/>
      <c r="D433" s="24"/>
      <c r="E433" s="24"/>
      <c r="F433" s="24"/>
      <c r="G433"/>
      <c r="H433"/>
      <c r="J433" s="2"/>
      <c r="K433"/>
      <c r="L433"/>
      <c r="N433"/>
      <c r="O433"/>
      <c r="P433"/>
      <c r="Q433"/>
      <c r="R433"/>
      <c r="S433"/>
      <c r="T433"/>
      <c r="U433"/>
      <c r="V433"/>
      <c r="W433"/>
      <c r="X433"/>
      <c r="Y433"/>
      <c r="Z433"/>
      <c r="AA433"/>
    </row>
    <row r="434" spans="1:27" s="23" customFormat="1" x14ac:dyDescent="0.25">
      <c r="A434"/>
      <c r="B434" s="24" t="str">
        <f t="shared" si="598"/>
        <v>-</v>
      </c>
      <c r="C434" s="24"/>
      <c r="D434" s="24"/>
      <c r="E434" s="24"/>
      <c r="F434" s="24"/>
      <c r="G434"/>
      <c r="H434"/>
      <c r="J434" s="2"/>
      <c r="K434"/>
      <c r="L434"/>
      <c r="N434"/>
      <c r="O434"/>
      <c r="P434"/>
      <c r="Q434"/>
      <c r="R434"/>
      <c r="S434"/>
      <c r="T434"/>
      <c r="U434"/>
      <c r="V434"/>
      <c r="W434"/>
      <c r="X434"/>
      <c r="Y434"/>
      <c r="Z434"/>
      <c r="AA434"/>
    </row>
    <row r="435" spans="1:27" s="23" customFormat="1" x14ac:dyDescent="0.25">
      <c r="A435"/>
      <c r="B435" s="24" t="str">
        <f t="shared" si="598"/>
        <v>-</v>
      </c>
      <c r="C435" s="24"/>
      <c r="D435" s="24"/>
      <c r="E435" s="24"/>
      <c r="F435" s="24"/>
      <c r="G435"/>
      <c r="H435"/>
      <c r="J435" s="2"/>
      <c r="K435"/>
      <c r="L435"/>
      <c r="N435"/>
      <c r="O435"/>
      <c r="P435"/>
      <c r="Q435"/>
      <c r="R435"/>
      <c r="S435"/>
      <c r="T435"/>
      <c r="U435"/>
      <c r="V435"/>
      <c r="W435"/>
      <c r="X435"/>
      <c r="Y435"/>
      <c r="Z435"/>
      <c r="AA435"/>
    </row>
    <row r="436" spans="1:27" s="23" customFormat="1" x14ac:dyDescent="0.25">
      <c r="A436"/>
      <c r="B436" s="24" t="str">
        <f t="shared" si="598"/>
        <v>-</v>
      </c>
      <c r="C436" s="24"/>
      <c r="D436" s="24"/>
      <c r="E436" s="24"/>
      <c r="F436" s="24"/>
      <c r="G436"/>
      <c r="H436"/>
      <c r="J436" s="2"/>
      <c r="K436"/>
      <c r="L436"/>
      <c r="N436"/>
      <c r="O436"/>
      <c r="P436"/>
      <c r="Q436"/>
      <c r="R436"/>
      <c r="S436"/>
      <c r="T436"/>
      <c r="U436"/>
      <c r="V436"/>
      <c r="W436"/>
      <c r="X436"/>
      <c r="Y436"/>
      <c r="Z436"/>
      <c r="AA436"/>
    </row>
    <row r="437" spans="1:27" s="23" customFormat="1" x14ac:dyDescent="0.25">
      <c r="A437"/>
      <c r="B437" s="24" t="str">
        <f t="shared" si="598"/>
        <v>-</v>
      </c>
      <c r="C437" s="24"/>
      <c r="D437" s="24"/>
      <c r="E437" s="24"/>
      <c r="F437" s="24"/>
      <c r="G437"/>
      <c r="H437"/>
      <c r="J437" s="2"/>
      <c r="K437"/>
      <c r="L437"/>
      <c r="N437"/>
      <c r="O437"/>
      <c r="P437"/>
      <c r="Q437"/>
      <c r="R437"/>
      <c r="S437"/>
      <c r="T437"/>
      <c r="U437"/>
      <c r="V437"/>
      <c r="W437"/>
      <c r="X437"/>
      <c r="Y437"/>
      <c r="Z437"/>
      <c r="AA437"/>
    </row>
    <row r="438" spans="1:27" s="23" customFormat="1" x14ac:dyDescent="0.25">
      <c r="A438"/>
      <c r="B438" s="24" t="str">
        <f t="shared" si="598"/>
        <v>-</v>
      </c>
      <c r="C438" s="24"/>
      <c r="D438" s="24"/>
      <c r="E438" s="24"/>
      <c r="F438" s="24"/>
      <c r="G438"/>
      <c r="H438"/>
      <c r="J438" s="2"/>
      <c r="K438"/>
      <c r="L438"/>
      <c r="N438"/>
      <c r="O438"/>
      <c r="P438"/>
      <c r="Q438"/>
      <c r="R438"/>
      <c r="S438"/>
      <c r="T438"/>
      <c r="U438"/>
      <c r="V438"/>
      <c r="W438"/>
      <c r="X438"/>
      <c r="Y438"/>
      <c r="Z438"/>
      <c r="AA438"/>
    </row>
    <row r="439" spans="1:27" s="23" customFormat="1" x14ac:dyDescent="0.25">
      <c r="A439"/>
      <c r="B439" s="24" t="str">
        <f t="shared" si="598"/>
        <v>-</v>
      </c>
      <c r="C439" s="24"/>
      <c r="D439" s="24"/>
      <c r="E439" s="24"/>
      <c r="F439" s="24"/>
      <c r="G439"/>
      <c r="H439"/>
      <c r="J439" s="2"/>
      <c r="K439"/>
      <c r="L439"/>
      <c r="N439"/>
      <c r="O439"/>
      <c r="P439"/>
      <c r="Q439"/>
      <c r="R439"/>
      <c r="S439"/>
      <c r="T439"/>
      <c r="U439"/>
      <c r="V439"/>
      <c r="W439"/>
      <c r="X439"/>
      <c r="Y439"/>
      <c r="Z439"/>
      <c r="AA439"/>
    </row>
    <row r="440" spans="1:27" s="23" customFormat="1" x14ac:dyDescent="0.25">
      <c r="A440"/>
      <c r="B440" s="24" t="str">
        <f t="shared" si="598"/>
        <v>-</v>
      </c>
      <c r="C440" s="24"/>
      <c r="D440" s="24"/>
      <c r="E440" s="24"/>
      <c r="F440" s="24"/>
      <c r="G440"/>
      <c r="H440"/>
      <c r="J440" s="2"/>
      <c r="K440"/>
      <c r="L440"/>
      <c r="N440"/>
      <c r="O440"/>
      <c r="P440"/>
      <c r="Q440"/>
      <c r="R440"/>
      <c r="S440"/>
      <c r="T440"/>
      <c r="U440"/>
      <c r="V440"/>
      <c r="W440"/>
      <c r="X440"/>
      <c r="Y440"/>
      <c r="Z440"/>
      <c r="AA440"/>
    </row>
    <row r="441" spans="1:27" s="23" customFormat="1" x14ac:dyDescent="0.25">
      <c r="A441"/>
      <c r="B441" s="24" t="str">
        <f t="shared" si="598"/>
        <v>-</v>
      </c>
      <c r="C441" s="24"/>
      <c r="D441" s="24"/>
      <c r="E441" s="24"/>
      <c r="F441" s="24"/>
      <c r="G441"/>
      <c r="H441"/>
      <c r="J441" s="2"/>
      <c r="K441"/>
      <c r="L441"/>
      <c r="N441"/>
      <c r="O441"/>
      <c r="P441"/>
      <c r="Q441"/>
      <c r="R441"/>
      <c r="S441"/>
      <c r="T441"/>
      <c r="U441"/>
      <c r="V441"/>
      <c r="W441"/>
      <c r="X441"/>
      <c r="Y441"/>
      <c r="Z441"/>
      <c r="AA441"/>
    </row>
    <row r="442" spans="1:27" s="23" customFormat="1" x14ac:dyDescent="0.25">
      <c r="A442"/>
      <c r="B442" s="24" t="str">
        <f t="shared" si="598"/>
        <v>-</v>
      </c>
      <c r="C442" s="24"/>
      <c r="D442" s="24"/>
      <c r="E442" s="24"/>
      <c r="F442" s="24"/>
      <c r="G442"/>
      <c r="H442"/>
      <c r="J442" s="2"/>
      <c r="K442"/>
      <c r="L442"/>
      <c r="N442"/>
      <c r="O442"/>
      <c r="P442"/>
      <c r="Q442"/>
      <c r="R442"/>
      <c r="S442"/>
      <c r="T442"/>
      <c r="U442"/>
      <c r="V442"/>
      <c r="W442"/>
      <c r="X442"/>
      <c r="Y442"/>
      <c r="Z442"/>
      <c r="AA442"/>
    </row>
    <row r="443" spans="1:27" s="23" customFormat="1" x14ac:dyDescent="0.25">
      <c r="A443"/>
      <c r="B443" s="24" t="str">
        <f t="shared" si="598"/>
        <v>-</v>
      </c>
      <c r="C443" s="24"/>
      <c r="D443" s="24"/>
      <c r="E443" s="24"/>
      <c r="F443" s="24"/>
      <c r="G443"/>
      <c r="H443"/>
      <c r="J443" s="2"/>
      <c r="K443"/>
      <c r="L443"/>
      <c r="N443"/>
      <c r="O443"/>
      <c r="P443"/>
      <c r="Q443"/>
      <c r="R443"/>
      <c r="S443"/>
      <c r="T443"/>
      <c r="U443"/>
      <c r="V443"/>
      <c r="W443"/>
      <c r="X443"/>
      <c r="Y443"/>
      <c r="Z443"/>
      <c r="AA443"/>
    </row>
    <row r="444" spans="1:27" s="23" customFormat="1" x14ac:dyDescent="0.25">
      <c r="A444"/>
      <c r="B444" s="24" t="str">
        <f t="shared" si="598"/>
        <v>-</v>
      </c>
      <c r="C444" s="24"/>
      <c r="D444" s="24"/>
      <c r="E444" s="24"/>
      <c r="F444" s="24"/>
      <c r="G444"/>
      <c r="H444"/>
      <c r="J444" s="2"/>
      <c r="K444"/>
      <c r="L444"/>
      <c r="N444"/>
      <c r="O444"/>
      <c r="P444"/>
      <c r="Q444"/>
      <c r="R444"/>
      <c r="S444"/>
      <c r="T444"/>
      <c r="U444"/>
      <c r="V444"/>
      <c r="W444"/>
      <c r="X444"/>
      <c r="Y444"/>
      <c r="Z444"/>
      <c r="AA444"/>
    </row>
    <row r="445" spans="1:27" s="23" customFormat="1" x14ac:dyDescent="0.25">
      <c r="A445"/>
      <c r="B445" s="24" t="str">
        <f t="shared" si="598"/>
        <v>-</v>
      </c>
      <c r="C445" s="24"/>
      <c r="D445" s="24"/>
      <c r="E445" s="24"/>
      <c r="F445" s="24"/>
      <c r="G445"/>
      <c r="H445"/>
      <c r="J445" s="2"/>
      <c r="K445"/>
      <c r="L445"/>
      <c r="N445"/>
      <c r="O445"/>
      <c r="P445"/>
      <c r="Q445"/>
      <c r="R445"/>
      <c r="S445"/>
      <c r="T445"/>
      <c r="U445"/>
      <c r="V445"/>
      <c r="W445"/>
      <c r="X445"/>
      <c r="Y445"/>
      <c r="Z445"/>
      <c r="AA445"/>
    </row>
    <row r="446" spans="1:27" s="23" customFormat="1" x14ac:dyDescent="0.25">
      <c r="A446"/>
      <c r="B446" s="24" t="str">
        <f t="shared" si="598"/>
        <v>-</v>
      </c>
      <c r="C446" s="24"/>
      <c r="D446" s="24"/>
      <c r="E446" s="24"/>
      <c r="F446" s="24"/>
      <c r="G446"/>
      <c r="H446"/>
      <c r="J446" s="2"/>
      <c r="K446"/>
      <c r="L446"/>
      <c r="N446"/>
      <c r="O446"/>
      <c r="P446"/>
      <c r="Q446"/>
      <c r="R446"/>
      <c r="S446"/>
      <c r="T446"/>
      <c r="U446"/>
      <c r="V446"/>
      <c r="W446"/>
      <c r="X446"/>
      <c r="Y446"/>
      <c r="Z446"/>
      <c r="AA446"/>
    </row>
    <row r="447" spans="1:27" s="23" customFormat="1" x14ac:dyDescent="0.25">
      <c r="A447"/>
      <c r="B447" s="24" t="str">
        <f t="shared" si="598"/>
        <v>-</v>
      </c>
      <c r="C447" s="24"/>
      <c r="D447" s="24"/>
      <c r="E447" s="24"/>
      <c r="F447" s="24"/>
      <c r="G447"/>
      <c r="H447"/>
      <c r="J447" s="2"/>
      <c r="K447"/>
      <c r="L447"/>
      <c r="N447"/>
      <c r="O447"/>
      <c r="P447"/>
      <c r="Q447"/>
      <c r="R447"/>
      <c r="S447"/>
      <c r="T447"/>
      <c r="U447"/>
      <c r="V447"/>
      <c r="W447"/>
      <c r="X447"/>
      <c r="Y447"/>
      <c r="Z447"/>
      <c r="AA447"/>
    </row>
    <row r="448" spans="1:27" s="23" customFormat="1" x14ac:dyDescent="0.25">
      <c r="A448"/>
      <c r="B448" s="24" t="str">
        <f t="shared" si="598"/>
        <v>-</v>
      </c>
      <c r="C448" s="24"/>
      <c r="D448" s="24"/>
      <c r="E448" s="24"/>
      <c r="F448" s="24"/>
      <c r="G448"/>
      <c r="H448"/>
      <c r="J448" s="2"/>
      <c r="K448"/>
      <c r="L448"/>
      <c r="N448"/>
      <c r="O448"/>
      <c r="P448"/>
      <c r="Q448"/>
      <c r="R448"/>
      <c r="S448"/>
      <c r="T448"/>
      <c r="U448"/>
      <c r="V448"/>
      <c r="W448"/>
      <c r="X448"/>
      <c r="Y448"/>
      <c r="Z448"/>
      <c r="AA448"/>
    </row>
    <row r="449" spans="1:27" s="23" customFormat="1" x14ac:dyDescent="0.25">
      <c r="A449"/>
      <c r="B449" s="24" t="str">
        <f t="shared" si="598"/>
        <v>-</v>
      </c>
      <c r="C449" s="24"/>
      <c r="D449" s="24"/>
      <c r="E449" s="24"/>
      <c r="F449" s="24"/>
      <c r="G449"/>
      <c r="H449"/>
      <c r="J449" s="2"/>
      <c r="K449"/>
      <c r="L449"/>
      <c r="N449"/>
      <c r="O449"/>
      <c r="P449"/>
      <c r="Q449"/>
      <c r="R449"/>
      <c r="S449"/>
      <c r="T449"/>
      <c r="U449"/>
      <c r="V449"/>
      <c r="W449"/>
      <c r="X449"/>
      <c r="Y449"/>
      <c r="Z449"/>
      <c r="AA449"/>
    </row>
    <row r="450" spans="1:27" s="23" customFormat="1" x14ac:dyDescent="0.25">
      <c r="A450"/>
      <c r="B450" s="24" t="str">
        <f t="shared" si="598"/>
        <v>-</v>
      </c>
      <c r="C450" s="24"/>
      <c r="D450" s="24"/>
      <c r="E450" s="24"/>
      <c r="F450" s="24"/>
      <c r="G450"/>
      <c r="H450"/>
      <c r="J450" s="2"/>
      <c r="K450"/>
      <c r="L450"/>
      <c r="N450"/>
      <c r="O450"/>
      <c r="P450"/>
      <c r="Q450"/>
      <c r="R450"/>
      <c r="S450"/>
      <c r="T450"/>
      <c r="U450"/>
      <c r="V450"/>
      <c r="W450"/>
      <c r="X450"/>
      <c r="Y450"/>
      <c r="Z450"/>
      <c r="AA450"/>
    </row>
    <row r="451" spans="1:27" s="23" customFormat="1" x14ac:dyDescent="0.25">
      <c r="A451"/>
      <c r="B451" s="24" t="str">
        <f t="shared" si="598"/>
        <v>-</v>
      </c>
      <c r="C451" s="24"/>
      <c r="D451" s="24"/>
      <c r="E451" s="24"/>
      <c r="F451" s="24"/>
      <c r="G451"/>
      <c r="H451"/>
      <c r="J451" s="2"/>
      <c r="K451"/>
      <c r="L451"/>
      <c r="N451"/>
      <c r="O451"/>
      <c r="P451"/>
      <c r="Q451"/>
      <c r="R451"/>
      <c r="S451"/>
      <c r="T451"/>
      <c r="U451"/>
      <c r="V451"/>
      <c r="W451"/>
      <c r="X451"/>
      <c r="Y451"/>
      <c r="Z451"/>
      <c r="AA451"/>
    </row>
    <row r="452" spans="1:27" s="23" customFormat="1" x14ac:dyDescent="0.25">
      <c r="A452"/>
      <c r="B452" s="24" t="str">
        <f t="shared" si="598"/>
        <v>-</v>
      </c>
      <c r="C452" s="24"/>
      <c r="D452" s="24"/>
      <c r="E452" s="24"/>
      <c r="F452" s="24"/>
      <c r="G452"/>
      <c r="H452"/>
      <c r="J452" s="2"/>
      <c r="K452"/>
      <c r="L452"/>
      <c r="N452"/>
      <c r="O452"/>
      <c r="P452"/>
      <c r="Q452"/>
      <c r="R452"/>
      <c r="S452"/>
      <c r="T452"/>
      <c r="U452"/>
      <c r="V452"/>
      <c r="W452"/>
      <c r="X452"/>
      <c r="Y452"/>
      <c r="Z452"/>
      <c r="AA452"/>
    </row>
    <row r="453" spans="1:27" s="23" customFormat="1" x14ac:dyDescent="0.25">
      <c r="A453"/>
      <c r="B453" s="24" t="str">
        <f t="shared" si="598"/>
        <v>-</v>
      </c>
      <c r="C453" s="24"/>
      <c r="D453" s="24"/>
      <c r="E453" s="24"/>
      <c r="F453" s="24"/>
      <c r="G453"/>
      <c r="H453"/>
      <c r="J453" s="2"/>
      <c r="K453"/>
      <c r="L453"/>
      <c r="N453"/>
      <c r="O453"/>
      <c r="P453"/>
      <c r="Q453"/>
      <c r="R453"/>
      <c r="S453"/>
      <c r="T453"/>
      <c r="U453"/>
      <c r="V453"/>
      <c r="W453"/>
      <c r="X453"/>
      <c r="Y453"/>
      <c r="Z453"/>
      <c r="AA453"/>
    </row>
    <row r="454" spans="1:27" s="23" customFormat="1" x14ac:dyDescent="0.25">
      <c r="A454"/>
      <c r="B454" s="24" t="str">
        <f t="shared" si="598"/>
        <v>-</v>
      </c>
      <c r="C454" s="24"/>
      <c r="D454" s="24"/>
      <c r="E454" s="24"/>
      <c r="F454" s="24"/>
      <c r="G454"/>
      <c r="H454"/>
      <c r="J454" s="2"/>
      <c r="K454"/>
      <c r="L454"/>
      <c r="N454"/>
      <c r="O454"/>
      <c r="P454"/>
      <c r="Q454"/>
      <c r="R454"/>
      <c r="S454"/>
      <c r="T454"/>
      <c r="U454"/>
      <c r="V454"/>
      <c r="W454"/>
      <c r="X454"/>
      <c r="Y454"/>
      <c r="Z454"/>
      <c r="AA454"/>
    </row>
    <row r="455" spans="1:27" s="23" customFormat="1" x14ac:dyDescent="0.25">
      <c r="A455"/>
      <c r="B455" s="24" t="str">
        <f t="shared" si="598"/>
        <v>-</v>
      </c>
      <c r="C455" s="24"/>
      <c r="D455" s="24"/>
      <c r="E455" s="24"/>
      <c r="F455" s="24"/>
      <c r="G455"/>
      <c r="H455"/>
      <c r="J455" s="2"/>
      <c r="K455"/>
      <c r="L455"/>
      <c r="N455"/>
      <c r="O455"/>
      <c r="P455"/>
      <c r="Q455"/>
      <c r="R455"/>
      <c r="S455"/>
      <c r="T455"/>
      <c r="U455"/>
      <c r="V455"/>
      <c r="W455"/>
      <c r="X455"/>
      <c r="Y455"/>
      <c r="Z455"/>
      <c r="AA455"/>
    </row>
    <row r="456" spans="1:27" s="23" customFormat="1" x14ac:dyDescent="0.25">
      <c r="A456"/>
      <c r="B456" s="24" t="str">
        <f t="shared" si="598"/>
        <v>-</v>
      </c>
      <c r="C456" s="24"/>
      <c r="D456" s="24"/>
      <c r="E456" s="24"/>
      <c r="F456" s="24"/>
      <c r="G456"/>
      <c r="H456"/>
      <c r="J456" s="2"/>
      <c r="K456"/>
      <c r="L456"/>
      <c r="N456"/>
      <c r="O456"/>
      <c r="P456"/>
      <c r="Q456"/>
      <c r="R456"/>
      <c r="S456"/>
      <c r="T456"/>
      <c r="U456"/>
      <c r="V456"/>
      <c r="W456"/>
      <c r="X456"/>
      <c r="Y456"/>
      <c r="Z456"/>
      <c r="AA456"/>
    </row>
    <row r="457" spans="1:27" s="23" customFormat="1" x14ac:dyDescent="0.25">
      <c r="A457"/>
      <c r="B457" s="24" t="str">
        <f t="shared" si="598"/>
        <v>-</v>
      </c>
      <c r="C457" s="24"/>
      <c r="D457" s="24"/>
      <c r="E457" s="24"/>
      <c r="F457" s="24"/>
      <c r="G457"/>
      <c r="H457"/>
      <c r="J457" s="2"/>
      <c r="K457"/>
      <c r="L457"/>
      <c r="N457"/>
      <c r="O457"/>
      <c r="P457"/>
      <c r="Q457"/>
      <c r="R457"/>
      <c r="S457"/>
      <c r="T457"/>
      <c r="U457"/>
      <c r="V457"/>
      <c r="W457"/>
      <c r="X457"/>
      <c r="Y457"/>
      <c r="Z457"/>
      <c r="AA457"/>
    </row>
    <row r="458" spans="1:27" s="23" customFormat="1" x14ac:dyDescent="0.25">
      <c r="A458"/>
      <c r="B458" s="24" t="str">
        <f t="shared" si="598"/>
        <v>-</v>
      </c>
      <c r="C458" s="24"/>
      <c r="D458" s="24"/>
      <c r="E458" s="24"/>
      <c r="F458" s="24"/>
      <c r="G458"/>
      <c r="H458"/>
      <c r="J458" s="2"/>
      <c r="K458"/>
      <c r="L458"/>
      <c r="N458"/>
      <c r="O458"/>
      <c r="P458"/>
      <c r="Q458"/>
      <c r="R458"/>
      <c r="S458"/>
      <c r="T458"/>
      <c r="U458"/>
      <c r="V458"/>
      <c r="W458"/>
      <c r="X458"/>
      <c r="Y458"/>
      <c r="Z458"/>
      <c r="AA458"/>
    </row>
    <row r="459" spans="1:27" s="23" customFormat="1" x14ac:dyDescent="0.25">
      <c r="A459"/>
      <c r="B459" s="24" t="str">
        <f t="shared" si="598"/>
        <v>-</v>
      </c>
      <c r="C459" s="24"/>
      <c r="D459" s="24"/>
      <c r="E459" s="24"/>
      <c r="F459" s="24"/>
      <c r="G459"/>
      <c r="H459"/>
      <c r="J459" s="2"/>
      <c r="K459"/>
      <c r="L459"/>
      <c r="N459"/>
      <c r="O459"/>
      <c r="P459"/>
      <c r="Q459"/>
      <c r="R459"/>
      <c r="S459"/>
      <c r="T459"/>
      <c r="U459"/>
      <c r="V459"/>
      <c r="W459"/>
      <c r="X459"/>
      <c r="Y459"/>
      <c r="Z459"/>
      <c r="AA459"/>
    </row>
    <row r="460" spans="1:27" s="23" customFormat="1" x14ac:dyDescent="0.25">
      <c r="A460"/>
      <c r="B460" s="24" t="str">
        <f t="shared" si="598"/>
        <v>-</v>
      </c>
      <c r="C460" s="24"/>
      <c r="D460" s="24"/>
      <c r="E460" s="24"/>
      <c r="F460" s="24"/>
      <c r="G460"/>
      <c r="H460"/>
      <c r="J460" s="2"/>
      <c r="K460"/>
      <c r="L460"/>
      <c r="N460"/>
      <c r="O460"/>
      <c r="P460"/>
      <c r="Q460"/>
      <c r="R460"/>
      <c r="S460"/>
      <c r="T460"/>
      <c r="U460"/>
      <c r="V460"/>
      <c r="W460"/>
      <c r="X460"/>
      <c r="Y460"/>
      <c r="Z460"/>
      <c r="AA460"/>
    </row>
    <row r="461" spans="1:27" s="23" customFormat="1" x14ac:dyDescent="0.25">
      <c r="A461"/>
      <c r="B461" s="24" t="str">
        <f t="shared" si="598"/>
        <v>-</v>
      </c>
      <c r="C461" s="24"/>
      <c r="D461" s="24"/>
      <c r="E461" s="24"/>
      <c r="F461" s="24"/>
      <c r="G461"/>
      <c r="H461"/>
      <c r="J461" s="2"/>
      <c r="K461"/>
      <c r="L461"/>
      <c r="N461"/>
      <c r="O461"/>
      <c r="P461"/>
      <c r="Q461"/>
      <c r="R461"/>
      <c r="S461"/>
      <c r="T461"/>
      <c r="U461"/>
      <c r="V461"/>
      <c r="W461"/>
      <c r="X461"/>
      <c r="Y461"/>
      <c r="Z461"/>
      <c r="AA461"/>
    </row>
    <row r="462" spans="1:27" s="23" customFormat="1" x14ac:dyDescent="0.25">
      <c r="A462"/>
      <c r="B462" s="24" t="str">
        <f t="shared" si="598"/>
        <v>-</v>
      </c>
      <c r="C462" s="24"/>
      <c r="D462" s="24"/>
      <c r="E462" s="24"/>
      <c r="F462" s="24"/>
      <c r="G462"/>
      <c r="H462"/>
      <c r="J462" s="2"/>
      <c r="K462"/>
      <c r="L462"/>
      <c r="N462"/>
      <c r="O462"/>
      <c r="P462"/>
      <c r="Q462"/>
      <c r="R462"/>
      <c r="S462"/>
      <c r="T462"/>
      <c r="U462"/>
      <c r="V462"/>
      <c r="W462"/>
      <c r="X462"/>
      <c r="Y462"/>
      <c r="Z462"/>
      <c r="AA462"/>
    </row>
    <row r="463" spans="1:27" s="23" customFormat="1" x14ac:dyDescent="0.25">
      <c r="A463"/>
      <c r="B463" s="24" t="str">
        <f t="shared" si="598"/>
        <v>-</v>
      </c>
      <c r="C463" s="24"/>
      <c r="D463" s="24"/>
      <c r="E463" s="24"/>
      <c r="F463" s="24"/>
      <c r="G463"/>
      <c r="H463"/>
      <c r="J463" s="2"/>
      <c r="K463"/>
      <c r="L463"/>
      <c r="N463"/>
      <c r="O463"/>
      <c r="P463"/>
      <c r="Q463"/>
      <c r="R463"/>
      <c r="S463"/>
      <c r="T463"/>
      <c r="U463"/>
      <c r="V463"/>
      <c r="W463"/>
      <c r="X463"/>
      <c r="Y463"/>
      <c r="Z463"/>
      <c r="AA463"/>
    </row>
    <row r="464" spans="1:27" s="23" customFormat="1" x14ac:dyDescent="0.25">
      <c r="A464"/>
      <c r="B464" s="24" t="str">
        <f t="shared" si="598"/>
        <v>-</v>
      </c>
      <c r="C464" s="24"/>
      <c r="D464" s="24"/>
      <c r="E464" s="24"/>
      <c r="F464" s="24"/>
      <c r="G464"/>
      <c r="H464"/>
      <c r="J464" s="2"/>
      <c r="K464"/>
      <c r="L464"/>
      <c r="N464"/>
      <c r="O464"/>
      <c r="P464"/>
      <c r="Q464"/>
      <c r="R464"/>
      <c r="S464"/>
      <c r="T464"/>
      <c r="U464"/>
      <c r="V464"/>
      <c r="W464"/>
      <c r="X464"/>
      <c r="Y464"/>
      <c r="Z464"/>
      <c r="AA464"/>
    </row>
    <row r="465" spans="1:27" s="23" customFormat="1" x14ac:dyDescent="0.25">
      <c r="A465"/>
      <c r="B465" s="24" t="str">
        <f t="shared" si="598"/>
        <v>-</v>
      </c>
      <c r="C465" s="24"/>
      <c r="D465" s="24"/>
      <c r="E465" s="24"/>
      <c r="F465" s="24"/>
      <c r="G465"/>
      <c r="H465"/>
      <c r="J465" s="2"/>
      <c r="K465"/>
      <c r="L465"/>
      <c r="N465"/>
      <c r="O465"/>
      <c r="P465"/>
      <c r="Q465"/>
      <c r="R465"/>
      <c r="S465"/>
      <c r="T465"/>
      <c r="U465"/>
      <c r="V465"/>
      <c r="W465"/>
      <c r="X465"/>
      <c r="Y465"/>
      <c r="Z465"/>
      <c r="AA465"/>
    </row>
    <row r="466" spans="1:27" s="23" customFormat="1" x14ac:dyDescent="0.25">
      <c r="A466"/>
      <c r="B466" s="24" t="str">
        <f t="shared" si="598"/>
        <v>-</v>
      </c>
      <c r="C466" s="24"/>
      <c r="D466" s="24"/>
      <c r="E466" s="24"/>
      <c r="F466" s="24"/>
      <c r="G466"/>
      <c r="H466"/>
      <c r="J466" s="2"/>
      <c r="K466"/>
      <c r="L466"/>
      <c r="N466"/>
      <c r="O466"/>
      <c r="P466"/>
      <c r="Q466"/>
      <c r="R466"/>
      <c r="S466"/>
      <c r="T466"/>
      <c r="U466"/>
      <c r="V466"/>
      <c r="W466"/>
      <c r="X466"/>
      <c r="Y466"/>
      <c r="Z466"/>
      <c r="AA466"/>
    </row>
    <row r="467" spans="1:27" s="23" customFormat="1" x14ac:dyDescent="0.25">
      <c r="A467"/>
      <c r="B467" s="24" t="str">
        <f t="shared" ref="B467:B505" si="599">IF(A467&gt;A466,1+B466,"-")</f>
        <v>-</v>
      </c>
      <c r="C467" s="24"/>
      <c r="D467" s="24"/>
      <c r="E467" s="24"/>
      <c r="F467" s="24"/>
      <c r="G467"/>
      <c r="H467"/>
      <c r="J467" s="2"/>
      <c r="K467"/>
      <c r="L467"/>
      <c r="N467"/>
      <c r="O467"/>
      <c r="P467"/>
      <c r="Q467"/>
      <c r="R467"/>
      <c r="S467"/>
      <c r="T467"/>
      <c r="U467"/>
      <c r="V467"/>
      <c r="W467"/>
      <c r="X467"/>
      <c r="Y467"/>
      <c r="Z467"/>
      <c r="AA467"/>
    </row>
    <row r="468" spans="1:27" s="23" customFormat="1" x14ac:dyDescent="0.25">
      <c r="A468"/>
      <c r="B468" s="24" t="str">
        <f t="shared" si="599"/>
        <v>-</v>
      </c>
      <c r="C468" s="24"/>
      <c r="D468" s="24"/>
      <c r="E468" s="24"/>
      <c r="F468" s="24"/>
      <c r="G468"/>
      <c r="H468"/>
      <c r="J468" s="2"/>
      <c r="K468"/>
      <c r="L468"/>
      <c r="N468"/>
      <c r="O468"/>
      <c r="P468"/>
      <c r="Q468"/>
      <c r="R468"/>
      <c r="S468"/>
      <c r="T468"/>
      <c r="U468"/>
      <c r="V468"/>
      <c r="W468"/>
      <c r="X468"/>
      <c r="Y468"/>
      <c r="Z468"/>
      <c r="AA468"/>
    </row>
    <row r="469" spans="1:27" s="23" customFormat="1" x14ac:dyDescent="0.25">
      <c r="A469"/>
      <c r="B469" s="24" t="str">
        <f t="shared" si="599"/>
        <v>-</v>
      </c>
      <c r="C469" s="24"/>
      <c r="D469" s="24"/>
      <c r="E469" s="24"/>
      <c r="F469" s="24"/>
      <c r="G469"/>
      <c r="H469"/>
      <c r="J469" s="2"/>
      <c r="K469"/>
      <c r="L469"/>
      <c r="N469"/>
      <c r="O469"/>
      <c r="P469"/>
      <c r="Q469"/>
      <c r="R469"/>
      <c r="S469"/>
      <c r="T469"/>
      <c r="U469"/>
      <c r="V469"/>
      <c r="W469"/>
      <c r="X469"/>
      <c r="Y469"/>
      <c r="Z469"/>
      <c r="AA469"/>
    </row>
    <row r="470" spans="1:27" s="23" customFormat="1" x14ac:dyDescent="0.25">
      <c r="A470"/>
      <c r="B470" s="24" t="str">
        <f t="shared" si="599"/>
        <v>-</v>
      </c>
      <c r="C470" s="24"/>
      <c r="D470" s="24"/>
      <c r="E470" s="24"/>
      <c r="F470" s="24"/>
      <c r="G470"/>
      <c r="H470"/>
      <c r="J470" s="2"/>
      <c r="K470"/>
      <c r="L470"/>
      <c r="N470"/>
      <c r="O470"/>
      <c r="P470"/>
      <c r="Q470"/>
      <c r="R470"/>
      <c r="S470"/>
      <c r="T470"/>
      <c r="U470"/>
      <c r="V470"/>
      <c r="W470"/>
      <c r="X470"/>
      <c r="Y470"/>
      <c r="Z470"/>
      <c r="AA470"/>
    </row>
    <row r="471" spans="1:27" s="23" customFormat="1" x14ac:dyDescent="0.25">
      <c r="A471"/>
      <c r="B471" s="24" t="str">
        <f t="shared" si="599"/>
        <v>-</v>
      </c>
      <c r="C471" s="24"/>
      <c r="D471" s="24"/>
      <c r="E471" s="24"/>
      <c r="F471" s="24"/>
      <c r="G471"/>
      <c r="H471"/>
      <c r="J471" s="2"/>
      <c r="K471"/>
      <c r="L471"/>
      <c r="N471"/>
      <c r="O471"/>
      <c r="P471"/>
      <c r="Q471"/>
      <c r="R471"/>
      <c r="S471"/>
      <c r="T471"/>
      <c r="U471"/>
      <c r="V471"/>
      <c r="W471"/>
      <c r="X471"/>
      <c r="Y471"/>
      <c r="Z471"/>
      <c r="AA471"/>
    </row>
    <row r="472" spans="1:27" s="23" customFormat="1" x14ac:dyDescent="0.25">
      <c r="A472"/>
      <c r="B472" s="24" t="str">
        <f t="shared" si="599"/>
        <v>-</v>
      </c>
      <c r="C472" s="24"/>
      <c r="D472" s="24"/>
      <c r="E472" s="24"/>
      <c r="F472" s="24"/>
      <c r="G472"/>
      <c r="H472"/>
      <c r="J472" s="2"/>
      <c r="K472"/>
      <c r="L472"/>
      <c r="N472"/>
      <c r="O472"/>
      <c r="P472"/>
      <c r="Q472"/>
      <c r="R472"/>
      <c r="S472"/>
      <c r="T472"/>
      <c r="U472"/>
      <c r="V472"/>
      <c r="W472"/>
      <c r="X472"/>
      <c r="Y472"/>
      <c r="Z472"/>
      <c r="AA472"/>
    </row>
    <row r="473" spans="1:27" s="23" customFormat="1" x14ac:dyDescent="0.25">
      <c r="A473"/>
      <c r="B473" s="24" t="str">
        <f t="shared" si="599"/>
        <v>-</v>
      </c>
      <c r="C473" s="24"/>
      <c r="D473" s="24"/>
      <c r="E473" s="24"/>
      <c r="F473" s="24"/>
      <c r="G473"/>
      <c r="H473"/>
      <c r="J473" s="2"/>
      <c r="K473"/>
      <c r="L473"/>
      <c r="N473"/>
      <c r="O473"/>
      <c r="P473"/>
      <c r="Q473"/>
      <c r="R473"/>
      <c r="S473"/>
      <c r="T473"/>
      <c r="U473"/>
      <c r="V473"/>
      <c r="W473"/>
      <c r="X473"/>
      <c r="Y473"/>
      <c r="Z473"/>
      <c r="AA473"/>
    </row>
    <row r="474" spans="1:27" s="23" customFormat="1" x14ac:dyDescent="0.25">
      <c r="A474"/>
      <c r="B474" s="24" t="str">
        <f t="shared" si="599"/>
        <v>-</v>
      </c>
      <c r="C474" s="24"/>
      <c r="D474" s="24"/>
      <c r="E474" s="24"/>
      <c r="F474" s="24"/>
      <c r="G474"/>
      <c r="H474"/>
      <c r="J474" s="2"/>
      <c r="K474"/>
      <c r="L474"/>
      <c r="N474"/>
      <c r="O474"/>
      <c r="P474"/>
      <c r="Q474"/>
      <c r="R474"/>
      <c r="S474"/>
      <c r="T474"/>
      <c r="U474"/>
      <c r="V474"/>
      <c r="W474"/>
      <c r="X474"/>
      <c r="Y474"/>
      <c r="Z474"/>
      <c r="AA474"/>
    </row>
    <row r="475" spans="1:27" s="23" customFormat="1" x14ac:dyDescent="0.25">
      <c r="A475"/>
      <c r="B475" s="24" t="str">
        <f t="shared" si="599"/>
        <v>-</v>
      </c>
      <c r="C475" s="24"/>
      <c r="D475" s="24"/>
      <c r="E475" s="24"/>
      <c r="F475" s="24"/>
      <c r="G475"/>
      <c r="H475"/>
      <c r="J475" s="2"/>
      <c r="K475"/>
      <c r="L475"/>
      <c r="N475"/>
      <c r="O475"/>
      <c r="P475"/>
      <c r="Q475"/>
      <c r="R475"/>
      <c r="S475"/>
      <c r="T475"/>
      <c r="U475"/>
      <c r="V475"/>
      <c r="W475"/>
      <c r="X475"/>
      <c r="Y475"/>
      <c r="Z475"/>
      <c r="AA475"/>
    </row>
    <row r="476" spans="1:27" s="23" customFormat="1" x14ac:dyDescent="0.25">
      <c r="A476"/>
      <c r="B476" s="24" t="str">
        <f t="shared" si="599"/>
        <v>-</v>
      </c>
      <c r="C476" s="24"/>
      <c r="D476" s="24"/>
      <c r="E476" s="24"/>
      <c r="F476" s="24"/>
      <c r="G476"/>
      <c r="H476"/>
      <c r="J476" s="2"/>
      <c r="K476"/>
      <c r="L476"/>
      <c r="N476"/>
      <c r="O476"/>
      <c r="P476"/>
      <c r="Q476"/>
      <c r="R476"/>
      <c r="S476"/>
      <c r="T476"/>
      <c r="U476"/>
      <c r="V476"/>
      <c r="W476"/>
      <c r="X476"/>
      <c r="Y476"/>
      <c r="Z476"/>
      <c r="AA476"/>
    </row>
    <row r="477" spans="1:27" s="23" customFormat="1" x14ac:dyDescent="0.25">
      <c r="A477"/>
      <c r="B477" s="24" t="str">
        <f t="shared" si="599"/>
        <v>-</v>
      </c>
      <c r="C477" s="24"/>
      <c r="D477" s="24"/>
      <c r="E477" s="24"/>
      <c r="F477" s="24"/>
      <c r="G477"/>
      <c r="H477"/>
      <c r="J477" s="2"/>
      <c r="K477"/>
      <c r="L477"/>
      <c r="N477"/>
      <c r="O477"/>
      <c r="P477"/>
      <c r="Q477"/>
      <c r="R477"/>
      <c r="S477"/>
      <c r="T477"/>
      <c r="U477"/>
      <c r="V477"/>
      <c r="W477"/>
      <c r="X477"/>
      <c r="Y477"/>
      <c r="Z477"/>
      <c r="AA477"/>
    </row>
    <row r="478" spans="1:27" s="23" customFormat="1" x14ac:dyDescent="0.25">
      <c r="A478"/>
      <c r="B478" s="24" t="str">
        <f t="shared" si="599"/>
        <v>-</v>
      </c>
      <c r="C478" s="24"/>
      <c r="D478" s="24"/>
      <c r="E478" s="24"/>
      <c r="F478" s="24"/>
      <c r="G478"/>
      <c r="H478"/>
      <c r="J478" s="2"/>
      <c r="K478"/>
      <c r="L478"/>
      <c r="N478"/>
      <c r="O478"/>
      <c r="P478"/>
      <c r="Q478"/>
      <c r="R478"/>
      <c r="S478"/>
      <c r="T478"/>
      <c r="U478"/>
      <c r="V478"/>
      <c r="W478"/>
      <c r="X478"/>
      <c r="Y478"/>
      <c r="Z478"/>
      <c r="AA478"/>
    </row>
    <row r="479" spans="1:27" s="23" customFormat="1" x14ac:dyDescent="0.25">
      <c r="A479"/>
      <c r="B479" s="24" t="str">
        <f t="shared" si="599"/>
        <v>-</v>
      </c>
      <c r="C479" s="24"/>
      <c r="D479" s="24"/>
      <c r="E479" s="24"/>
      <c r="F479" s="24"/>
      <c r="G479"/>
      <c r="H479"/>
      <c r="J479" s="2"/>
      <c r="K479"/>
      <c r="L479"/>
      <c r="N479"/>
      <c r="O479"/>
      <c r="P479"/>
      <c r="Q479"/>
      <c r="R479"/>
      <c r="S479"/>
      <c r="T479"/>
      <c r="U479"/>
      <c r="V479"/>
      <c r="W479"/>
      <c r="X479"/>
      <c r="Y479"/>
      <c r="Z479"/>
      <c r="AA479"/>
    </row>
    <row r="480" spans="1:27" s="23" customFormat="1" x14ac:dyDescent="0.25">
      <c r="A480"/>
      <c r="B480" s="24" t="str">
        <f t="shared" si="599"/>
        <v>-</v>
      </c>
      <c r="C480" s="24"/>
      <c r="D480" s="24"/>
      <c r="E480" s="24"/>
      <c r="F480" s="24"/>
      <c r="G480"/>
      <c r="H480"/>
      <c r="J480" s="2"/>
      <c r="K480"/>
      <c r="L480"/>
      <c r="N480"/>
      <c r="O480"/>
      <c r="P480"/>
      <c r="Q480"/>
      <c r="R480"/>
      <c r="S480"/>
      <c r="T480"/>
      <c r="U480"/>
      <c r="V480"/>
      <c r="W480"/>
      <c r="X480"/>
      <c r="Y480"/>
      <c r="Z480"/>
      <c r="AA480"/>
    </row>
    <row r="481" spans="1:27" s="23" customFormat="1" x14ac:dyDescent="0.25">
      <c r="A481"/>
      <c r="B481" s="24" t="str">
        <f t="shared" si="599"/>
        <v>-</v>
      </c>
      <c r="C481" s="24"/>
      <c r="D481" s="24"/>
      <c r="E481" s="24"/>
      <c r="F481" s="24"/>
      <c r="G481"/>
      <c r="H481"/>
      <c r="J481" s="2"/>
      <c r="K481"/>
      <c r="L481"/>
      <c r="N481"/>
      <c r="O481"/>
      <c r="P481"/>
      <c r="Q481"/>
      <c r="R481"/>
      <c r="S481"/>
      <c r="T481"/>
      <c r="U481"/>
      <c r="V481"/>
      <c r="W481"/>
      <c r="X481"/>
      <c r="Y481"/>
      <c r="Z481"/>
      <c r="AA481"/>
    </row>
    <row r="482" spans="1:27" s="23" customFormat="1" x14ac:dyDescent="0.25">
      <c r="A482"/>
      <c r="B482" s="24" t="str">
        <f t="shared" si="599"/>
        <v>-</v>
      </c>
      <c r="C482" s="24"/>
      <c r="D482" s="24"/>
      <c r="E482" s="24"/>
      <c r="F482" s="24"/>
      <c r="G482"/>
      <c r="H482"/>
      <c r="J482" s="2"/>
      <c r="K482"/>
      <c r="L482"/>
      <c r="N482"/>
      <c r="O482"/>
      <c r="P482"/>
      <c r="Q482"/>
      <c r="R482"/>
      <c r="S482"/>
      <c r="T482"/>
      <c r="U482"/>
      <c r="V482"/>
      <c r="W482"/>
      <c r="X482"/>
      <c r="Y482"/>
      <c r="Z482"/>
      <c r="AA482"/>
    </row>
    <row r="483" spans="1:27" s="23" customFormat="1" x14ac:dyDescent="0.25">
      <c r="A483"/>
      <c r="B483" s="24" t="str">
        <f t="shared" si="599"/>
        <v>-</v>
      </c>
      <c r="C483" s="24"/>
      <c r="D483" s="24"/>
      <c r="E483" s="24"/>
      <c r="F483" s="24"/>
      <c r="G483"/>
      <c r="H483"/>
      <c r="J483" s="2"/>
      <c r="K483"/>
      <c r="L483"/>
      <c r="N483"/>
      <c r="O483"/>
      <c r="P483"/>
      <c r="Q483"/>
      <c r="R483"/>
      <c r="S483"/>
      <c r="T483"/>
      <c r="U483"/>
      <c r="V483"/>
      <c r="W483"/>
      <c r="X483"/>
      <c r="Y483"/>
      <c r="Z483"/>
      <c r="AA483"/>
    </row>
    <row r="484" spans="1:27" s="23" customFormat="1" x14ac:dyDescent="0.25">
      <c r="A484"/>
      <c r="B484" s="24" t="str">
        <f t="shared" si="599"/>
        <v>-</v>
      </c>
      <c r="C484" s="24"/>
      <c r="D484" s="24"/>
      <c r="E484" s="24"/>
      <c r="F484" s="24"/>
      <c r="G484"/>
      <c r="H484"/>
      <c r="J484" s="2"/>
      <c r="K484"/>
      <c r="L484"/>
      <c r="N484"/>
      <c r="O484"/>
      <c r="P484"/>
      <c r="Q484"/>
      <c r="R484"/>
      <c r="S484"/>
      <c r="T484"/>
      <c r="U484"/>
      <c r="V484"/>
      <c r="W484"/>
      <c r="X484"/>
      <c r="Y484"/>
      <c r="Z484"/>
      <c r="AA484"/>
    </row>
    <row r="485" spans="1:27" s="23" customFormat="1" x14ac:dyDescent="0.25">
      <c r="A485"/>
      <c r="B485" s="24" t="str">
        <f t="shared" si="599"/>
        <v>-</v>
      </c>
      <c r="C485" s="24"/>
      <c r="D485" s="24"/>
      <c r="E485" s="24"/>
      <c r="F485" s="24"/>
      <c r="G485"/>
      <c r="H485"/>
      <c r="J485" s="2"/>
      <c r="K485"/>
      <c r="L485"/>
      <c r="N485"/>
      <c r="O485"/>
      <c r="P485"/>
      <c r="Q485"/>
      <c r="R485"/>
      <c r="S485"/>
      <c r="T485"/>
      <c r="U485"/>
      <c r="V485"/>
      <c r="W485"/>
      <c r="X485"/>
      <c r="Y485"/>
      <c r="Z485"/>
      <c r="AA485"/>
    </row>
    <row r="486" spans="1:27" s="23" customFormat="1" x14ac:dyDescent="0.25">
      <c r="A486"/>
      <c r="B486" s="24" t="str">
        <f t="shared" si="599"/>
        <v>-</v>
      </c>
      <c r="C486" s="24"/>
      <c r="D486" s="24"/>
      <c r="E486" s="24"/>
      <c r="F486" s="24"/>
      <c r="G486"/>
      <c r="H486"/>
      <c r="J486" s="2"/>
      <c r="K486"/>
      <c r="L486"/>
      <c r="N486"/>
      <c r="O486"/>
      <c r="P486"/>
      <c r="Q486"/>
      <c r="R486"/>
      <c r="S486"/>
      <c r="T486"/>
      <c r="U486"/>
      <c r="V486"/>
      <c r="W486"/>
      <c r="X486"/>
      <c r="Y486"/>
      <c r="Z486"/>
      <c r="AA486"/>
    </row>
    <row r="487" spans="1:27" s="23" customFormat="1" x14ac:dyDescent="0.25">
      <c r="A487"/>
      <c r="B487" s="24" t="str">
        <f t="shared" si="599"/>
        <v>-</v>
      </c>
      <c r="C487" s="24"/>
      <c r="D487" s="24"/>
      <c r="E487" s="24"/>
      <c r="F487" s="24"/>
      <c r="G487"/>
      <c r="H487"/>
      <c r="J487" s="2"/>
      <c r="K487"/>
      <c r="L487"/>
      <c r="N487"/>
      <c r="O487"/>
      <c r="P487"/>
      <c r="Q487"/>
      <c r="R487"/>
      <c r="S487"/>
      <c r="T487"/>
      <c r="U487"/>
      <c r="V487"/>
      <c r="W487"/>
      <c r="X487"/>
      <c r="Y487"/>
      <c r="Z487"/>
      <c r="AA487"/>
    </row>
    <row r="488" spans="1:27" s="23" customFormat="1" x14ac:dyDescent="0.25">
      <c r="A488"/>
      <c r="B488" s="24" t="str">
        <f t="shared" si="599"/>
        <v>-</v>
      </c>
      <c r="C488" s="24"/>
      <c r="D488" s="24"/>
      <c r="E488" s="24"/>
      <c r="F488" s="24"/>
      <c r="G488"/>
      <c r="H488"/>
      <c r="J488" s="2"/>
      <c r="K488"/>
      <c r="L488"/>
      <c r="N488"/>
      <c r="O488"/>
      <c r="P488"/>
      <c r="Q488"/>
      <c r="R488"/>
      <c r="S488"/>
      <c r="T488"/>
      <c r="U488"/>
      <c r="V488"/>
      <c r="W488"/>
      <c r="X488"/>
      <c r="Y488"/>
      <c r="Z488"/>
      <c r="AA488"/>
    </row>
    <row r="489" spans="1:27" s="23" customFormat="1" x14ac:dyDescent="0.25">
      <c r="A489"/>
      <c r="B489" s="24" t="str">
        <f t="shared" si="599"/>
        <v>-</v>
      </c>
      <c r="C489" s="24"/>
      <c r="D489" s="24"/>
      <c r="E489" s="24"/>
      <c r="F489" s="24"/>
      <c r="G489"/>
      <c r="H489"/>
      <c r="J489" s="2"/>
      <c r="K489"/>
      <c r="L489"/>
      <c r="N489"/>
      <c r="O489"/>
      <c r="P489"/>
      <c r="Q489"/>
      <c r="R489"/>
      <c r="S489"/>
      <c r="T489"/>
      <c r="U489"/>
      <c r="V489"/>
      <c r="W489"/>
      <c r="X489"/>
      <c r="Y489"/>
      <c r="Z489"/>
      <c r="AA489"/>
    </row>
    <row r="490" spans="1:27" s="23" customFormat="1" x14ac:dyDescent="0.25">
      <c r="A490"/>
      <c r="B490" s="24" t="str">
        <f t="shared" si="599"/>
        <v>-</v>
      </c>
      <c r="C490" s="24"/>
      <c r="D490" s="24"/>
      <c r="E490" s="24"/>
      <c r="F490" s="24"/>
      <c r="G490"/>
      <c r="H490"/>
      <c r="J490" s="2"/>
      <c r="K490"/>
      <c r="L490"/>
      <c r="N490"/>
      <c r="O490"/>
      <c r="P490"/>
      <c r="Q490"/>
      <c r="R490"/>
      <c r="S490"/>
      <c r="T490"/>
      <c r="U490"/>
      <c r="V490"/>
      <c r="W490"/>
      <c r="X490"/>
      <c r="Y490"/>
      <c r="Z490"/>
      <c r="AA490"/>
    </row>
    <row r="491" spans="1:27" s="23" customFormat="1" x14ac:dyDescent="0.25">
      <c r="A491"/>
      <c r="B491" s="24" t="str">
        <f t="shared" si="599"/>
        <v>-</v>
      </c>
      <c r="C491" s="24"/>
      <c r="D491" s="24"/>
      <c r="E491" s="24"/>
      <c r="F491" s="24"/>
      <c r="G491"/>
      <c r="H491"/>
      <c r="J491" s="2"/>
      <c r="K491"/>
      <c r="L491"/>
      <c r="N491"/>
      <c r="O491"/>
      <c r="P491"/>
      <c r="Q491"/>
      <c r="R491"/>
      <c r="S491"/>
      <c r="T491"/>
      <c r="U491"/>
      <c r="V491"/>
      <c r="W491"/>
      <c r="X491"/>
      <c r="Y491"/>
      <c r="Z491"/>
      <c r="AA491"/>
    </row>
    <row r="492" spans="1:27" s="23" customFormat="1" x14ac:dyDescent="0.25">
      <c r="A492"/>
      <c r="B492" s="24" t="str">
        <f t="shared" si="599"/>
        <v>-</v>
      </c>
      <c r="C492" s="24"/>
      <c r="D492" s="24"/>
      <c r="E492" s="24"/>
      <c r="F492" s="24"/>
      <c r="G492"/>
      <c r="H492"/>
      <c r="J492" s="2"/>
      <c r="K492"/>
      <c r="L492"/>
      <c r="N492"/>
      <c r="O492"/>
      <c r="P492"/>
      <c r="Q492"/>
      <c r="R492"/>
      <c r="S492"/>
      <c r="T492"/>
      <c r="U492"/>
      <c r="V492"/>
      <c r="W492"/>
      <c r="X492"/>
      <c r="Y492"/>
      <c r="Z492"/>
      <c r="AA492"/>
    </row>
    <row r="493" spans="1:27" s="23" customFormat="1" x14ac:dyDescent="0.25">
      <c r="A493"/>
      <c r="B493" s="24" t="str">
        <f t="shared" si="599"/>
        <v>-</v>
      </c>
      <c r="C493" s="24"/>
      <c r="D493" s="24"/>
      <c r="E493" s="24"/>
      <c r="F493" s="24"/>
      <c r="G493"/>
      <c r="H493"/>
      <c r="J493" s="2"/>
      <c r="K493"/>
      <c r="L493"/>
      <c r="N493"/>
      <c r="O493"/>
      <c r="P493"/>
      <c r="Q493"/>
      <c r="R493"/>
      <c r="S493"/>
      <c r="T493"/>
      <c r="U493"/>
      <c r="V493"/>
      <c r="W493"/>
      <c r="X493"/>
      <c r="Y493"/>
      <c r="Z493"/>
      <c r="AA493"/>
    </row>
    <row r="494" spans="1:27" s="23" customFormat="1" x14ac:dyDescent="0.25">
      <c r="A494"/>
      <c r="B494" s="24" t="str">
        <f t="shared" si="599"/>
        <v>-</v>
      </c>
      <c r="C494" s="24"/>
      <c r="D494" s="24"/>
      <c r="E494" s="24"/>
      <c r="F494" s="24"/>
      <c r="G494"/>
      <c r="H494"/>
      <c r="J494" s="2"/>
      <c r="K494"/>
      <c r="L494"/>
      <c r="N494"/>
      <c r="O494"/>
      <c r="P494"/>
      <c r="Q494"/>
      <c r="R494"/>
      <c r="S494"/>
      <c r="T494"/>
      <c r="U494"/>
      <c r="V494"/>
      <c r="W494"/>
      <c r="X494"/>
      <c r="Y494"/>
      <c r="Z494"/>
      <c r="AA494"/>
    </row>
    <row r="495" spans="1:27" s="23" customFormat="1" x14ac:dyDescent="0.25">
      <c r="A495"/>
      <c r="B495" s="24" t="str">
        <f t="shared" si="599"/>
        <v>-</v>
      </c>
      <c r="C495" s="24"/>
      <c r="D495" s="24"/>
      <c r="E495" s="24"/>
      <c r="F495" s="24"/>
      <c r="G495"/>
      <c r="H495"/>
      <c r="J495" s="2"/>
      <c r="K495"/>
      <c r="L495"/>
      <c r="N495"/>
      <c r="O495"/>
      <c r="P495"/>
      <c r="Q495"/>
      <c r="R495"/>
      <c r="S495"/>
      <c r="T495"/>
      <c r="U495"/>
      <c r="V495"/>
      <c r="W495"/>
      <c r="X495"/>
      <c r="Y495"/>
      <c r="Z495"/>
      <c r="AA495"/>
    </row>
    <row r="496" spans="1:27" s="23" customFormat="1" x14ac:dyDescent="0.25">
      <c r="A496"/>
      <c r="B496" s="24" t="str">
        <f t="shared" si="599"/>
        <v>-</v>
      </c>
      <c r="C496" s="24"/>
      <c r="D496" s="24"/>
      <c r="E496" s="24"/>
      <c r="F496" s="24"/>
      <c r="G496"/>
      <c r="H496"/>
      <c r="J496" s="2"/>
      <c r="K496"/>
      <c r="L496"/>
      <c r="N496"/>
      <c r="O496"/>
      <c r="P496"/>
      <c r="Q496"/>
      <c r="R496"/>
      <c r="S496"/>
      <c r="T496"/>
      <c r="U496"/>
      <c r="V496"/>
      <c r="W496"/>
      <c r="X496"/>
      <c r="Y496"/>
      <c r="Z496"/>
      <c r="AA496"/>
    </row>
    <row r="497" spans="1:27" s="23" customFormat="1" x14ac:dyDescent="0.25">
      <c r="A497"/>
      <c r="B497" s="24" t="str">
        <f t="shared" si="599"/>
        <v>-</v>
      </c>
      <c r="C497" s="24"/>
      <c r="D497" s="24"/>
      <c r="E497" s="24"/>
      <c r="F497" s="24"/>
      <c r="G497"/>
      <c r="H497"/>
      <c r="J497" s="2"/>
      <c r="K497"/>
      <c r="L497"/>
      <c r="N497"/>
      <c r="O497"/>
      <c r="P497"/>
      <c r="Q497"/>
      <c r="R497"/>
      <c r="S497"/>
      <c r="T497"/>
      <c r="U497"/>
      <c r="V497"/>
      <c r="W497"/>
      <c r="X497"/>
      <c r="Y497"/>
      <c r="Z497"/>
      <c r="AA497"/>
    </row>
    <row r="498" spans="1:27" s="23" customFormat="1" x14ac:dyDescent="0.25">
      <c r="A498"/>
      <c r="B498" s="24" t="str">
        <f t="shared" si="599"/>
        <v>-</v>
      </c>
      <c r="C498" s="24"/>
      <c r="D498" s="24"/>
      <c r="E498" s="24"/>
      <c r="F498" s="24"/>
      <c r="G498"/>
      <c r="H498"/>
      <c r="J498" s="2"/>
      <c r="K498"/>
      <c r="L498"/>
      <c r="N498"/>
      <c r="O498"/>
      <c r="P498"/>
      <c r="Q498"/>
      <c r="R498"/>
      <c r="S498"/>
      <c r="T498"/>
      <c r="U498"/>
      <c r="V498"/>
      <c r="W498"/>
      <c r="X498"/>
      <c r="Y498"/>
      <c r="Z498"/>
      <c r="AA498"/>
    </row>
    <row r="499" spans="1:27" s="23" customFormat="1" x14ac:dyDescent="0.25">
      <c r="A499"/>
      <c r="B499" s="24" t="str">
        <f t="shared" si="599"/>
        <v>-</v>
      </c>
      <c r="C499" s="24"/>
      <c r="D499" s="24"/>
      <c r="E499" s="24"/>
      <c r="F499" s="24"/>
      <c r="G499"/>
      <c r="H499"/>
      <c r="J499" s="2"/>
      <c r="K499"/>
      <c r="L499"/>
      <c r="N499"/>
      <c r="O499"/>
      <c r="P499"/>
      <c r="Q499"/>
      <c r="R499"/>
      <c r="S499"/>
      <c r="T499"/>
      <c r="U499"/>
      <c r="V499"/>
      <c r="W499"/>
      <c r="X499"/>
      <c r="Y499"/>
      <c r="Z499"/>
      <c r="AA499"/>
    </row>
    <row r="500" spans="1:27" s="23" customFormat="1" x14ac:dyDescent="0.25">
      <c r="A500"/>
      <c r="B500" s="24" t="str">
        <f t="shared" si="599"/>
        <v>-</v>
      </c>
      <c r="C500" s="24"/>
      <c r="D500" s="24"/>
      <c r="E500" s="24"/>
      <c r="F500" s="24"/>
      <c r="G500"/>
      <c r="H500"/>
      <c r="J500" s="2"/>
      <c r="K500"/>
      <c r="L500"/>
      <c r="N500"/>
      <c r="O500"/>
      <c r="P500"/>
      <c r="Q500"/>
      <c r="R500"/>
      <c r="S500"/>
      <c r="T500"/>
      <c r="U500"/>
      <c r="V500"/>
      <c r="W500"/>
      <c r="X500"/>
      <c r="Y500"/>
      <c r="Z500"/>
      <c r="AA500"/>
    </row>
    <row r="501" spans="1:27" s="23" customFormat="1" x14ac:dyDescent="0.25">
      <c r="A501"/>
      <c r="B501" s="24" t="str">
        <f t="shared" si="599"/>
        <v>-</v>
      </c>
      <c r="C501" s="24"/>
      <c r="D501" s="24"/>
      <c r="E501" s="24"/>
      <c r="F501" s="24"/>
      <c r="G501"/>
      <c r="H501"/>
      <c r="J501" s="2"/>
      <c r="K501"/>
      <c r="L501"/>
      <c r="N501"/>
      <c r="O501"/>
      <c r="P501"/>
      <c r="Q501"/>
      <c r="R501"/>
      <c r="S501"/>
      <c r="T501"/>
      <c r="U501"/>
      <c r="V501"/>
      <c r="W501"/>
      <c r="X501"/>
      <c r="Y501"/>
      <c r="Z501"/>
      <c r="AA501"/>
    </row>
    <row r="502" spans="1:27" s="23" customFormat="1" x14ac:dyDescent="0.25">
      <c r="A502"/>
      <c r="B502" s="24" t="str">
        <f t="shared" si="599"/>
        <v>-</v>
      </c>
      <c r="C502" s="24"/>
      <c r="D502" s="24"/>
      <c r="E502" s="24"/>
      <c r="F502" s="24"/>
      <c r="G502"/>
      <c r="H502"/>
      <c r="J502" s="2"/>
      <c r="K502"/>
      <c r="L502"/>
      <c r="N502"/>
      <c r="O502"/>
      <c r="P502"/>
      <c r="Q502"/>
      <c r="R502"/>
      <c r="S502"/>
      <c r="T502"/>
      <c r="U502"/>
      <c r="V502"/>
      <c r="W502"/>
      <c r="X502"/>
      <c r="Y502"/>
      <c r="Z502"/>
      <c r="AA502"/>
    </row>
    <row r="503" spans="1:27" s="23" customFormat="1" x14ac:dyDescent="0.25">
      <c r="A503"/>
      <c r="B503" s="24" t="str">
        <f t="shared" si="599"/>
        <v>-</v>
      </c>
      <c r="C503" s="24"/>
      <c r="D503" s="24"/>
      <c r="E503" s="24"/>
      <c r="F503" s="24"/>
      <c r="G503"/>
      <c r="H503"/>
      <c r="J503" s="2"/>
      <c r="K503"/>
      <c r="L503"/>
      <c r="N503"/>
      <c r="O503"/>
      <c r="P503"/>
      <c r="Q503"/>
      <c r="R503"/>
      <c r="S503"/>
      <c r="T503"/>
      <c r="U503"/>
      <c r="V503"/>
      <c r="W503"/>
      <c r="X503"/>
      <c r="Y503"/>
      <c r="Z503"/>
      <c r="AA503"/>
    </row>
    <row r="504" spans="1:27" s="23" customFormat="1" x14ac:dyDescent="0.25">
      <c r="A504"/>
      <c r="B504" s="24" t="str">
        <f t="shared" si="599"/>
        <v>-</v>
      </c>
      <c r="C504" s="24"/>
      <c r="D504" s="24"/>
      <c r="E504" s="24"/>
      <c r="F504" s="24"/>
      <c r="G504"/>
      <c r="H504"/>
      <c r="J504" s="2"/>
      <c r="K504"/>
      <c r="L504"/>
      <c r="N504"/>
      <c r="O504"/>
      <c r="P504"/>
      <c r="Q504"/>
      <c r="R504"/>
      <c r="S504"/>
      <c r="T504"/>
      <c r="U504"/>
      <c r="V504"/>
      <c r="W504"/>
      <c r="X504"/>
      <c r="Y504"/>
      <c r="Z504"/>
      <c r="AA504"/>
    </row>
    <row r="505" spans="1:27" s="23" customFormat="1" x14ac:dyDescent="0.25">
      <c r="A505"/>
      <c r="B505" s="24" t="str">
        <f t="shared" si="599"/>
        <v>-</v>
      </c>
      <c r="C505" s="24"/>
      <c r="D505" s="24"/>
      <c r="E505" s="24"/>
      <c r="F505" s="24"/>
      <c r="G505"/>
      <c r="H505"/>
      <c r="J505" s="2"/>
      <c r="K505"/>
      <c r="L505"/>
      <c r="N505"/>
      <c r="O505"/>
      <c r="P505"/>
      <c r="Q505"/>
      <c r="R505"/>
      <c r="S505"/>
      <c r="T505"/>
      <c r="U505"/>
      <c r="V505"/>
      <c r="W505"/>
      <c r="X505"/>
      <c r="Y505"/>
      <c r="Z505"/>
      <c r="AA50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3720-57AE-1346-91BE-FBA8AEE8CEFE}">
  <dimension ref="A1:AD79"/>
  <sheetViews>
    <sheetView zoomScaleNormal="100" workbookViewId="0">
      <pane ySplit="15" topLeftCell="A44" activePane="bottomLeft" state="frozen"/>
      <selection pane="bottomLeft" activeCell="M48" sqref="M48"/>
    </sheetView>
  </sheetViews>
  <sheetFormatPr defaultColWidth="11" defaultRowHeight="15.75" x14ac:dyDescent="0.25"/>
  <cols>
    <col min="2" max="2" width="3.125" bestFit="1" customWidth="1"/>
    <col min="3" max="3" width="14" bestFit="1" customWidth="1"/>
    <col min="4" max="4" width="11.625" bestFit="1" customWidth="1"/>
    <col min="5" max="5" width="13.625" bestFit="1" customWidth="1"/>
    <col min="6" max="6" width="6.625" bestFit="1" customWidth="1"/>
    <col min="7" max="7" width="9" bestFit="1" customWidth="1"/>
    <col min="8" max="8" width="6.5" bestFit="1" customWidth="1"/>
    <col min="9" max="9" width="2" customWidth="1"/>
    <col min="11" max="11" width="3.125" bestFit="1" customWidth="1"/>
    <col min="12" max="12" width="12.125" bestFit="1" customWidth="1"/>
    <col min="13" max="13" width="11.625" bestFit="1" customWidth="1"/>
    <col min="14" max="14" width="13.625" bestFit="1" customWidth="1"/>
    <col min="15" max="15" width="6.625" bestFit="1" customWidth="1"/>
    <col min="16" max="16" width="9" bestFit="1" customWidth="1"/>
    <col min="17" max="17" width="6.5" bestFit="1" customWidth="1"/>
    <col min="18" max="18" width="2" customWidth="1"/>
    <col min="20" max="20" width="8.625" customWidth="1"/>
    <col min="21" max="21" width="11.5" bestFit="1" customWidth="1"/>
    <col min="24" max="24" width="2" customWidth="1"/>
    <col min="26" max="26" width="8.625" customWidth="1"/>
    <col min="27" max="27" width="11.5" bestFit="1" customWidth="1"/>
    <col min="28" max="28" width="11.125" bestFit="1" customWidth="1"/>
  </cols>
  <sheetData>
    <row r="1" spans="1:29" x14ac:dyDescent="0.25">
      <c r="B1" s="23"/>
      <c r="C1" s="74" t="s">
        <v>388</v>
      </c>
      <c r="D1" s="13"/>
      <c r="E1" s="14"/>
      <c r="F1" s="15"/>
      <c r="I1" s="39"/>
      <c r="K1" s="23"/>
      <c r="L1" s="74" t="s">
        <v>183</v>
      </c>
      <c r="M1" s="13"/>
      <c r="N1" s="14"/>
      <c r="O1" s="15"/>
      <c r="R1" s="39"/>
      <c r="S1" s="7"/>
      <c r="T1" s="97" t="s">
        <v>390</v>
      </c>
      <c r="U1" s="13"/>
      <c r="V1" s="14"/>
      <c r="W1" s="15"/>
      <c r="X1" s="39"/>
      <c r="Y1" s="7"/>
      <c r="Z1" s="97" t="s">
        <v>151</v>
      </c>
      <c r="AA1" s="13"/>
      <c r="AB1" s="14"/>
      <c r="AC1" s="15"/>
    </row>
    <row r="2" spans="1:29" x14ac:dyDescent="0.25">
      <c r="A2" s="7"/>
      <c r="B2" s="23"/>
      <c r="C2" s="36"/>
      <c r="D2" s="16"/>
      <c r="E2" s="16"/>
      <c r="F2" s="16"/>
      <c r="G2" s="16"/>
      <c r="H2" s="16"/>
      <c r="I2" s="39"/>
      <c r="J2" s="7"/>
      <c r="K2" s="23"/>
      <c r="L2" s="36"/>
      <c r="M2" s="16"/>
      <c r="N2" s="16"/>
      <c r="O2" s="16"/>
      <c r="P2" s="16"/>
      <c r="Q2" s="16"/>
      <c r="R2" s="39"/>
      <c r="T2" s="16"/>
      <c r="U2" s="36"/>
      <c r="V2" s="16"/>
      <c r="W2" s="16"/>
      <c r="X2" s="39"/>
      <c r="Z2" s="16"/>
      <c r="AA2" s="36"/>
      <c r="AB2" s="16"/>
      <c r="AC2" s="16"/>
    </row>
    <row r="3" spans="1:29" x14ac:dyDescent="0.25">
      <c r="B3" s="23"/>
      <c r="C3" s="7"/>
      <c r="D3" s="191"/>
      <c r="E3" s="16"/>
      <c r="F3" s="16"/>
      <c r="G3" s="16"/>
      <c r="H3" s="16"/>
      <c r="I3" s="39"/>
      <c r="K3" s="23"/>
      <c r="L3" s="7"/>
      <c r="M3" s="191"/>
      <c r="N3" s="16"/>
      <c r="O3" s="16"/>
      <c r="P3" s="16"/>
      <c r="Q3" s="16"/>
      <c r="R3" s="39"/>
      <c r="T3" s="16"/>
      <c r="U3" s="16"/>
      <c r="V3" s="16"/>
      <c r="W3" s="16"/>
      <c r="X3" s="39"/>
      <c r="Z3" s="16"/>
      <c r="AA3" s="16"/>
      <c r="AB3" s="16"/>
      <c r="AC3" s="16"/>
    </row>
    <row r="4" spans="1:29" x14ac:dyDescent="0.25">
      <c r="A4" s="7"/>
      <c r="B4" s="23"/>
      <c r="C4" s="23"/>
      <c r="D4" s="16" t="s">
        <v>41</v>
      </c>
      <c r="E4" s="23" t="s">
        <v>42</v>
      </c>
      <c r="F4" s="17" t="s">
        <v>43</v>
      </c>
      <c r="G4" s="35" t="s">
        <v>44</v>
      </c>
      <c r="H4" s="17" t="s">
        <v>45</v>
      </c>
      <c r="I4" s="39"/>
      <c r="J4" s="7"/>
      <c r="K4" s="23"/>
      <c r="L4" s="23"/>
      <c r="M4" s="16" t="s">
        <v>41</v>
      </c>
      <c r="N4" s="23" t="s">
        <v>42</v>
      </c>
      <c r="O4" s="17" t="s">
        <v>43</v>
      </c>
      <c r="P4" s="35" t="s">
        <v>44</v>
      </c>
      <c r="Q4" s="17" t="s">
        <v>45</v>
      </c>
      <c r="R4" s="39"/>
      <c r="T4" s="23" t="s">
        <v>41</v>
      </c>
      <c r="U4" s="17" t="s">
        <v>43</v>
      </c>
      <c r="V4" s="17" t="s">
        <v>45</v>
      </c>
      <c r="W4" s="35"/>
      <c r="X4" s="39"/>
      <c r="Z4" s="23" t="s">
        <v>41</v>
      </c>
      <c r="AA4" s="17" t="s">
        <v>43</v>
      </c>
      <c r="AB4" s="17" t="s">
        <v>45</v>
      </c>
      <c r="AC4" s="35"/>
    </row>
    <row r="5" spans="1:29" x14ac:dyDescent="0.25">
      <c r="B5" s="23">
        <v>12</v>
      </c>
      <c r="C5" s="7" t="s">
        <v>7</v>
      </c>
      <c r="D5" s="16">
        <f t="array" aca="1" ref="D5" ca="1">IFERROR((GEOMEAN(1+OFFSET(D$16,MAX($B$16:$B$509)-$B$5+1,0,$B$5,1)/100)^$B$5-1)*100,"N/A")</f>
        <v>8.1363331325115631</v>
      </c>
      <c r="E5" s="36">
        <f t="shared" ref="E5:E12" ca="1" si="0">IFERROR(D5-$T5,"N/A")</f>
        <v>-7.1268300879597142</v>
      </c>
      <c r="F5" s="16">
        <f ca="1">IFERROR(SLOPE(OFFSET(D$16,MAX($B$16:$B$509)-$B$5+1,0,$B$5,1),OFFSET($T$16,MAX($B$16:$B$509)-$B$5+1,0,$B$5,1)),"N/A")</f>
        <v>0.47682119642306448</v>
      </c>
      <c r="G5" s="16">
        <f t="array" aca="1" ref="G5" ca="1">IFERROR(INTERCEPT(OFFSET(D$16,MAX($B$16:$B$509)-$B$5+1,0,$B$5,1),OFFSET($T$16,MAX($B$16:$B$509)-$B$5+1,0,$B$5,1))*12,"N/A")</f>
        <v>0.99085925023561394</v>
      </c>
      <c r="H5" s="16">
        <f ca="1">IFERROR(STDEVP(OFFSET(D$16,MAX($B$16:$B$509)-$B$5+1,0,$B$5,1))*SQRT(12),"N/A")</f>
        <v>4.575123122590453</v>
      </c>
      <c r="I5" s="39"/>
      <c r="K5" s="23">
        <f ca="1">MAX(K16:K506)-VLOOKUP(DATE(YEAR(TODAY())-1,12,31),J:K,2,0)</f>
        <v>0</v>
      </c>
      <c r="L5" s="7" t="s">
        <v>7</v>
      </c>
      <c r="M5" s="16">
        <f t="array" aca="1" ref="M5" ca="1">IFERROR((GEOMEAN(1+OFFSET(M$16,MAX($B$16:$B$509)-$B$5+1,0,$B$5,1)/100)^$B$5-1)*100,"N/A")</f>
        <v>7.1200277220824226</v>
      </c>
      <c r="N5" s="36">
        <f t="shared" ref="N5:N12" ca="1" si="1">IFERROR(M5-$T5,"N/A")</f>
        <v>-8.1431354983888546</v>
      </c>
      <c r="O5" s="16">
        <f ca="1">IFERROR(SLOPE(OFFSET(M$16,MAX($B$16:$B$509)-$B$5+1,0,$B$5,1),OFFSET($T$16,MAX($B$16:$B$509)-$B$5+1,0,$B$5,1)),"N/A")</f>
        <v>0.47682119642306442</v>
      </c>
      <c r="P5" s="16">
        <f t="array" aca="1" ref="P5" ca="1">IFERROR(INTERCEPT(OFFSET(M$16,MAX($B$16:$B$509)-$B$5+1,0,$B$5,1),OFFSET($T$16,MAX($B$16:$B$509)-$B$5+1,0,$B$5,1))*12,"N/A")</f>
        <v>4.085925023561332E-2</v>
      </c>
      <c r="Q5" s="16">
        <f ca="1">IFERROR(STDEVP(OFFSET(M$16,MAX($B$16:$B$509)-$B$5+1,0,$B$5,1))*SQRT(12),"N/A")</f>
        <v>4.5751231225904521</v>
      </c>
      <c r="R5" s="39"/>
      <c r="S5" s="7" t="s">
        <v>7</v>
      </c>
      <c r="T5" s="16">
        <f t="array" aca="1" ref="T5" ca="1">IFERROR((GEOMEAN(1+OFFSET(T$16,MAX($B$16:$B$509)-$B$5+1,0,$B$5,1)/100)^$B$5-1)*100,"N/A")</f>
        <v>15.263163220471277</v>
      </c>
      <c r="U5" s="16">
        <f ca="1">IFERROR(SLOPE(OFFSET(T$16,MAX($B$16:$B$509)-$B$5+1,0,$B$5,1),OFFSET($T$16,MAX($B$16:$B$509)-$B$5+1,0,$B$5,1)),"N/A")</f>
        <v>1</v>
      </c>
      <c r="V5" s="16">
        <f ca="1">IFERROR(STDEVP(OFFSET(T$16,MAX($B$16:$B$509)-$B$5+1,0,$B$5,1))*SQRT(12),"N/A")</f>
        <v>7.8898549569919663</v>
      </c>
      <c r="W5" s="16"/>
      <c r="X5" s="39"/>
      <c r="Y5" s="7" t="s">
        <v>7</v>
      </c>
      <c r="Z5" s="16">
        <f t="array" aca="1" ref="Z5" ca="1">IFERROR((GEOMEAN(1+OFFSET(Z$16,MAX($B$16:$B$509)-$B$5+1,0,$B$5,1)/100)^$B$5-1)*100,"N/A")</f>
        <v>17.859983918730183</v>
      </c>
      <c r="AA5" s="16">
        <f ca="1">IFERROR(SLOPE(OFFSET(Z$16,MAX($B$16:$B$509)-$B$5+1,0,$B$5,1),OFFSET($T$16,MAX($B$16:$B$509)-$B$5+1,0,$B$5,1)),"N/A")</f>
        <v>1.3285085122531304</v>
      </c>
      <c r="AB5" s="16">
        <f ca="1">IFERROR(STDEVP(OFFSET(Z$16,MAX($B$16:$B$509)-$B$5+1,0,$B$5,1))*SQRT(12),"N/A")</f>
        <v>10.521018926463862</v>
      </c>
      <c r="AC5" s="16"/>
    </row>
    <row r="6" spans="1:29" x14ac:dyDescent="0.25">
      <c r="B6" s="23"/>
      <c r="C6" s="7" t="s">
        <v>46</v>
      </c>
      <c r="D6" s="16">
        <f t="array" aca="1" ref="D6" ca="1">IFERROR((GEOMEAN(1+OFFSET(D$16,MAX($B$16:$B$509)-11,0,12,1)/100)^12-1)*100,"N/A")</f>
        <v>8.1363331325115631</v>
      </c>
      <c r="E6" s="36">
        <f t="shared" ca="1" si="0"/>
        <v>-7.1268300879597142</v>
      </c>
      <c r="F6" s="16">
        <f ca="1">IFERROR(SLOPE(OFFSET(D$16,MAX($B$16:$B$509)-11,0,12,1),OFFSET($T$16,MAX($B$16:$B$509)-11,0,12,1)),"N/A")</f>
        <v>0.47682119642306448</v>
      </c>
      <c r="G6" s="16">
        <f ca="1">IFERROR(INTERCEPT(OFFSET(D$16,MAX($B$16:$B$509)-11,0,12,1),OFFSET($T$16,MAX($B$16:$B$509)-11,0,12,1))*12,"N/A")</f>
        <v>0.99085925023561394</v>
      </c>
      <c r="H6" s="16">
        <f ca="1">IFERROR(STDEVP(OFFSET(D$16,MAX($B$16:$B$509)-11,0,12,1))*SQRT(12),"N/A")</f>
        <v>4.575123122590453</v>
      </c>
      <c r="I6" s="39"/>
      <c r="K6" s="23"/>
      <c r="L6" s="7" t="s">
        <v>46</v>
      </c>
      <c r="M6" s="16">
        <f t="array" aca="1" ref="M6" ca="1">IFERROR((GEOMEAN(1+OFFSET(M$16,MAX($B$16:$B$509)-11,0,12,1)/100)^12-1)*100,"N/A")</f>
        <v>7.1200277220824226</v>
      </c>
      <c r="N6" s="36">
        <f t="shared" ca="1" si="1"/>
        <v>-8.1431354983888546</v>
      </c>
      <c r="O6" s="16">
        <f ca="1">IFERROR(SLOPE(OFFSET(M$16,MAX($B$16:$B$509)-11,0,12,1),OFFSET($T$16,MAX($B$16:$B$509)-11,0,12,1)),"N/A")</f>
        <v>0.47682119642306442</v>
      </c>
      <c r="P6" s="16">
        <f ca="1">IFERROR(INTERCEPT(OFFSET(M$16,MAX($B$16:$B$509)-11,0,12,1),OFFSET($T$16,MAX($B$16:$B$509)-11,0,12,1))*12,"N/A")</f>
        <v>4.085925023561332E-2</v>
      </c>
      <c r="Q6" s="16">
        <f ca="1">IFERROR(STDEVP(OFFSET(M$16,MAX($B$16:$B$509)-11,0,12,1))*SQRT(12),"N/A")</f>
        <v>4.5751231225904521</v>
      </c>
      <c r="R6" s="39"/>
      <c r="S6" s="7" t="s">
        <v>46</v>
      </c>
      <c r="T6" s="16">
        <f t="array" aca="1" ref="T6" ca="1">IFERROR((GEOMEAN(1+OFFSET(T$16,MAX($B$16:$B$509)-11,0,12,1)/100)^12-1)*100,"N/A")</f>
        <v>15.263163220471277</v>
      </c>
      <c r="U6" s="16">
        <f ca="1">IFERROR(SLOPE(OFFSET(T$16,MAX($B$16:$B$509)-11,0,12,1),OFFSET($T$16,MAX($B$16:$B$509)-11,0,12,1)),"N/A")</f>
        <v>1</v>
      </c>
      <c r="V6" s="16">
        <f ca="1">IFERROR(STDEVP(OFFSET(T$16,MAX($B$16:$B$509)-11,0,12,1))*SQRT(12),"N/A")</f>
        <v>7.8898549569919663</v>
      </c>
      <c r="W6" s="16"/>
      <c r="X6" s="39"/>
      <c r="Y6" s="7" t="s">
        <v>46</v>
      </c>
      <c r="Z6" s="16">
        <f t="array" aca="1" ref="Z6" ca="1">IFERROR((GEOMEAN(1+OFFSET(Z$16,MAX($B$16:$B$509)-11,0,12,1)/100)^12-1)*100,"N/A")</f>
        <v>17.859983918730183</v>
      </c>
      <c r="AA6" s="16">
        <f ca="1">IFERROR(SLOPE(OFFSET(Z$16,MAX($B$16:$B$509)-11,0,12,1),OFFSET($T$16,MAX($B$16:$B$509)-11,0,12,1)),"N/A")</f>
        <v>1.3285085122531304</v>
      </c>
      <c r="AB6" s="16">
        <f ca="1">IFERROR(STDEVP(OFFSET(Z$16,MAX($B$16:$B$509)-11,0,12,1))*SQRT(12),"N/A")</f>
        <v>10.521018926463862</v>
      </c>
      <c r="AC6" s="16"/>
    </row>
    <row r="7" spans="1:29" x14ac:dyDescent="0.25">
      <c r="B7" s="23"/>
      <c r="C7" s="7" t="s">
        <v>47</v>
      </c>
      <c r="D7" s="16">
        <f t="array" aca="1" ref="D7" ca="1">IFERROR((GEOMEAN(1+OFFSET(D$16,MAX($B$16:$B$509)-23,0,24,1)/100)^12-1)*100,"N/A")</f>
        <v>11.19729539890848</v>
      </c>
      <c r="E7" s="36">
        <f t="shared" ca="1" si="0"/>
        <v>-5.7684467222721452</v>
      </c>
      <c r="F7" s="16">
        <f ca="1">IFERROR(SLOPE(OFFSET(D$16,MAX($B$16:$B$509)-23,0,24,1),OFFSET($T$16,MAX($B$16:$B$509)-23,0,24,1)),"N/A")</f>
        <v>0.87670170317109686</v>
      </c>
      <c r="G7" s="16">
        <f ca="1">IFERROR(INTERCEPT(OFFSET(D$16,MAX($B$16:$B$509)-23,0,24,1),OFFSET($T$16,MAX($B$16:$B$509)-23,0,24,1))*12,"N/A")</f>
        <v>-3.1299141598072171</v>
      </c>
      <c r="H7" s="16">
        <f ca="1">IFERROR(STDEVP(OFFSET(D$16,MAX($B$16:$B$509)-23,0,24,1))*SQRT(12),"N/A")</f>
        <v>8.2334359188851014</v>
      </c>
      <c r="I7" s="39"/>
      <c r="K7" s="23"/>
      <c r="L7" s="7" t="s">
        <v>47</v>
      </c>
      <c r="M7" s="16">
        <f t="array" aca="1" ref="M7" ca="1">IFERROR((GEOMEAN(1+OFFSET(M$16,MAX($B$16:$B$509)-23,0,24,1)/100)^12-1)*100,"N/A")</f>
        <v>10.15443814187198</v>
      </c>
      <c r="N7" s="36">
        <f t="shared" ca="1" si="1"/>
        <v>-6.8113039793086454</v>
      </c>
      <c r="O7" s="16">
        <f ca="1">IFERROR(SLOPE(OFFSET(M$16,MAX($B$16:$B$509)-23,0,24,1),OFFSET($T$16,MAX($B$16:$B$509)-23,0,24,1)),"N/A")</f>
        <v>0.87670170317109675</v>
      </c>
      <c r="P7" s="16">
        <f ca="1">IFERROR(INTERCEPT(OFFSET(M$16,MAX($B$16:$B$509)-23,0,24,1),OFFSET($T$16,MAX($B$16:$B$509)-23,0,24,1))*12,"N/A")</f>
        <v>-4.0799141598072204</v>
      </c>
      <c r="Q7" s="16">
        <f ca="1">IFERROR(STDEVP(OFFSET(M$16,MAX($B$16:$B$509)-23,0,24,1))*SQRT(12),"N/A")</f>
        <v>8.2334359188851032</v>
      </c>
      <c r="R7" s="39"/>
      <c r="S7" s="7" t="s">
        <v>47</v>
      </c>
      <c r="T7" s="16">
        <f t="array" aca="1" ref="T7" ca="1">IFERROR((GEOMEAN(1+OFFSET(T$16,MAX($B$16:$B$509)-23,0,24,1)/100)^12-1)*100,"N/A")</f>
        <v>16.965742121180625</v>
      </c>
      <c r="U7" s="16">
        <f ca="1">IFERROR(SLOPE(OFFSET(T$16,MAX($B$16:$B$509)-23,0,24,1),OFFSET($T$16,MAX($B$16:$B$509)-23,0,24,1)),"N/A")</f>
        <v>1</v>
      </c>
      <c r="V7" s="16">
        <f ca="1">IFERROR(STDEVP(OFFSET(T$16,MAX($B$16:$B$509)-23,0,24,1))*SQRT(12),"N/A")</f>
        <v>8.2742676920763767</v>
      </c>
      <c r="W7" s="16"/>
      <c r="X7" s="39"/>
      <c r="Y7" s="7" t="s">
        <v>47</v>
      </c>
      <c r="Z7" s="16">
        <f t="array" aca="1" ref="Z7" ca="1">IFERROR((GEOMEAN(1+OFFSET(Z$16,MAX($B$16:$B$509)-23,0,24,1)/100)^12-1)*100,"N/A")</f>
        <v>21.376272089348426</v>
      </c>
      <c r="AA7" s="16">
        <f ca="1">IFERROR(SLOPE(OFFSET(Z$16,MAX($B$16:$B$509)-23,0,24,1),OFFSET($T$16,MAX($B$16:$B$509)-23,0,24,1)),"N/A")</f>
        <v>1.2476436999929814</v>
      </c>
      <c r="AB7" s="16">
        <f ca="1">IFERROR(STDEVP(OFFSET(Z$16,MAX($B$16:$B$509)-23,0,24,1))*SQRT(12),"N/A")</f>
        <v>10.408855144412358</v>
      </c>
      <c r="AC7" s="16"/>
    </row>
    <row r="8" spans="1:29" x14ac:dyDescent="0.25">
      <c r="B8" s="23"/>
      <c r="C8" s="7" t="s">
        <v>48</v>
      </c>
      <c r="D8" s="16">
        <f t="array" aca="1" ref="D8" ca="1">IFERROR((GEOMEAN(1+OFFSET(D$16,MAX($B$16:$B$509)-35,0,36,1)/100)^12-1)*100,"N/A")</f>
        <v>11.294514850041072</v>
      </c>
      <c r="E8" s="36">
        <f t="shared" ca="1" si="0"/>
        <v>-6.9453543114831966</v>
      </c>
      <c r="F8" s="16">
        <f ca="1">IFERROR(SLOPE(OFFSET(D$16,MAX($B$16:$B$509)-35,0,36,1),OFFSET($T$16,MAX($B$16:$B$509)-35,0,36,1)),"N/A")</f>
        <v>0.8645229434515237</v>
      </c>
      <c r="G8" s="16">
        <f ca="1">IFERROR(INTERCEPT(OFFSET(D$16,MAX($B$16:$B$509)-35,0,36,1),OFFSET($T$16,MAX($B$16:$B$509)-35,0,36,1))*12,"N/A")</f>
        <v>-3.8306031800243177</v>
      </c>
      <c r="H8" s="16">
        <f ca="1">IFERROR(STDEVP(OFFSET(D$16,MAX($B$16:$B$509)-35,0,36,1))*SQRT(12),"N/A")</f>
        <v>9.2015027984628048</v>
      </c>
      <c r="I8" s="39"/>
      <c r="K8" s="23"/>
      <c r="L8" s="7" t="s">
        <v>48</v>
      </c>
      <c r="M8" s="16">
        <f t="array" aca="1" ref="M8" ca="1">IFERROR((GEOMEAN(1+OFFSET(M$16,MAX($B$16:$B$509)-35,0,36,1)/100)^12-1)*100,"N/A")</f>
        <v>10.261497431969202</v>
      </c>
      <c r="N8" s="36">
        <f t="shared" ca="1" si="1"/>
        <v>-7.9783717295550662</v>
      </c>
      <c r="O8" s="16">
        <f ca="1">IFERROR(SLOPE(OFFSET(M$16,MAX($B$16:$B$509)-35,0,36,1),OFFSET($T$16,MAX($B$16:$B$509)-35,0,36,1)),"N/A")</f>
        <v>0.86441681097088885</v>
      </c>
      <c r="P8" s="16">
        <f ca="1">IFERROR(INTERCEPT(OFFSET(M$16,MAX($B$16:$B$509)-35,0,36,1),OFFSET($T$16,MAX($B$16:$B$509)-35,0,36,1))*12,"N/A")</f>
        <v>-4.7690647541138205</v>
      </c>
      <c r="Q8" s="16">
        <f ca="1">IFERROR(STDEVP(OFFSET(M$16,MAX($B$16:$B$509)-35,0,36,1))*SQRT(12),"N/A")</f>
        <v>9.2001444679270605</v>
      </c>
      <c r="R8" s="39"/>
      <c r="S8" s="7" t="s">
        <v>48</v>
      </c>
      <c r="T8" s="16">
        <f t="array" aca="1" ref="T8" ca="1">IFERROR((GEOMEAN(1+OFFSET(T$16,MAX($B$16:$B$509)-35,0,36,1)/100)^12-1)*100,"N/A")</f>
        <v>18.239869161524268</v>
      </c>
      <c r="U8" s="16">
        <f ca="1">IFERROR(SLOPE(OFFSET(T$16,MAX($B$16:$B$509)-35,0,36,1),OFFSET($T$16,MAX($B$16:$B$509)-35,0,36,1)),"N/A")</f>
        <v>1</v>
      </c>
      <c r="V8" s="16">
        <f ca="1">IFERROR(STDEVP(OFFSET(T$16,MAX($B$16:$B$509)-35,0,36,1))*SQRT(12),"N/A")</f>
        <v>9.8305437532228925</v>
      </c>
      <c r="W8" s="16"/>
      <c r="X8" s="39"/>
      <c r="Y8" s="7" t="s">
        <v>48</v>
      </c>
      <c r="Z8" s="16">
        <f t="array" aca="1" ref="Z8" ca="1">IFERROR((GEOMEAN(1+OFFSET(Z$16,MAX($B$16:$B$509)-35,0,36,1)/100)^12-1)*100,"N/A")</f>
        <v>22.982388961227262</v>
      </c>
      <c r="AA8" s="16">
        <f ca="1">IFERROR(SLOPE(OFFSET(Z$16,MAX($B$16:$B$509)-35,0,36,1),OFFSET($T$16,MAX($B$16:$B$509)-35,0,36,1)),"N/A")</f>
        <v>1.1904484196500675</v>
      </c>
      <c r="AB8" s="16">
        <f ca="1">IFERROR(STDEVP(OFFSET(Z$16,MAX($B$16:$B$509)-35,0,36,1))*SQRT(12),"N/A")</f>
        <v>11.787718554142021</v>
      </c>
      <c r="AC8" s="16"/>
    </row>
    <row r="9" spans="1:29" x14ac:dyDescent="0.25">
      <c r="B9" s="23"/>
      <c r="C9" s="7" t="s">
        <v>49</v>
      </c>
      <c r="D9" s="16">
        <f t="array" aca="1" ref="D9" ca="1">IFERROR((GEOMEAN(1+OFFSET(D$16,MAX($B$16:$B$509)-47,0,48,1)/100)^12-1)*100,"N/A")</f>
        <v>4.6359332069854764</v>
      </c>
      <c r="E9" s="36">
        <f t="shared" ca="1" si="0"/>
        <v>-3.7118513835975095</v>
      </c>
      <c r="F9" s="16">
        <f ca="1">IFERROR(SLOPE(OFFSET(D$16,MAX($B$16:$B$509)-47,0,48,1),OFFSET($T$16,MAX($B$16:$B$509)-47,0,48,1)),"N/A")</f>
        <v>0.71355213506872384</v>
      </c>
      <c r="G9" s="16">
        <f ca="1">IFERROR(INTERCEPT(OFFSET(D$16,MAX($B$16:$B$509)-47,0,48,1),OFFSET($T$16,MAX($B$16:$B$509)-47,0,48,1))*12,"N/A")</f>
        <v>-1.28337357248265</v>
      </c>
      <c r="H9" s="16">
        <f ca="1">IFERROR(STDEVP(OFFSET(D$16,MAX($B$16:$B$509)-47,0,48,1))*SQRT(12),"N/A")</f>
        <v>10.271977962379413</v>
      </c>
      <c r="I9" s="39"/>
      <c r="K9" s="23"/>
      <c r="L9" s="7" t="s">
        <v>49</v>
      </c>
      <c r="M9" s="16">
        <f t="array" aca="1" ref="M9" ca="1">IFERROR((GEOMEAN(1+OFFSET(M$16,MAX($B$16:$B$509)-47,0,48,1)/100)^12-1)*100,"N/A")</f>
        <v>3.7099851064048561</v>
      </c>
      <c r="N9" s="36">
        <f t="shared" ca="1" si="1"/>
        <v>-4.6377994841781298</v>
      </c>
      <c r="O9" s="16">
        <f ca="1">IFERROR(SLOPE(OFFSET(M$16,MAX($B$16:$B$509)-47,0,48,1),OFFSET($T$16,MAX($B$16:$B$509)-47,0,48,1)),"N/A")</f>
        <v>0.71234178024352712</v>
      </c>
      <c r="P9" s="16">
        <f ca="1">IFERROR(INTERCEPT(OFFSET(M$16,MAX($B$16:$B$509)-47,0,48,1),OFFSET($T$16,MAX($B$16:$B$509)-47,0,48,1))*12,"N/A")</f>
        <v>-2.1654361257350447</v>
      </c>
      <c r="Q9" s="16">
        <f ca="1">IFERROR(STDEVP(OFFSET(M$16,MAX($B$16:$B$509)-47,0,48,1))*SQRT(12),"N/A")</f>
        <v>10.259085368700278</v>
      </c>
      <c r="R9" s="39"/>
      <c r="S9" s="7" t="s">
        <v>49</v>
      </c>
      <c r="T9" s="16">
        <f t="array" aca="1" ref="T9" ca="1">IFERROR((GEOMEAN(1+OFFSET(T$16,MAX($B$16:$B$509)-47,0,48,1)/100)^12-1)*100,"N/A")</f>
        <v>8.3477845905829859</v>
      </c>
      <c r="U9" s="16">
        <f ca="1">IFERROR(SLOPE(OFFSET(T$16,MAX($B$16:$B$509)-47,0,48,1),OFFSET($T$16,MAX($B$16:$B$509)-47,0,48,1)),"N/A")</f>
        <v>1</v>
      </c>
      <c r="V9" s="16">
        <f ca="1">IFERROR(STDEVP(OFFSET(T$16,MAX($B$16:$B$509)-47,0,48,1))*SQRT(12),"N/A")</f>
        <v>13.059694726630287</v>
      </c>
      <c r="W9" s="16"/>
      <c r="X9" s="39"/>
      <c r="Y9" s="7" t="s">
        <v>49</v>
      </c>
      <c r="Z9" s="16">
        <f t="array" aca="1" ref="Z9" ca="1">IFERROR((GEOMEAN(1+OFFSET(Z$16,MAX($B$16:$B$509)-47,0,48,1)/100)^12-1)*100,"N/A")</f>
        <v>11.085465970777797</v>
      </c>
      <c r="AA9" s="16">
        <f ca="1">IFERROR(SLOPE(OFFSET(Z$16,MAX($B$16:$B$509)-47,0,48,1),OFFSET($T$16,MAX($B$16:$B$509)-47,0,48,1)),"N/A")</f>
        <v>1.2030067649915128</v>
      </c>
      <c r="AB9" s="16">
        <f ca="1">IFERROR(STDEVP(OFFSET(Z$16,MAX($B$16:$B$509)-47,0,48,1))*SQRT(12),"N/A")</f>
        <v>15.787972455589738</v>
      </c>
      <c r="AC9" s="16"/>
    </row>
    <row r="10" spans="1:29" x14ac:dyDescent="0.25">
      <c r="B10" s="23"/>
      <c r="C10" s="7" t="s">
        <v>50</v>
      </c>
      <c r="D10" s="16">
        <f t="array" aca="1" ref="D10" ca="1">IFERROR((GEOMEAN(1+OFFSET(D$16,MAX($B$16:$B$509)-59,0,60,1)/100)^12-1)*100,"N/A")</f>
        <v>6.5405438553817197</v>
      </c>
      <c r="E10" s="36">
        <f t="shared" ca="1" si="0"/>
        <v>-4.1418675696297091</v>
      </c>
      <c r="F10" s="16">
        <f ca="1">IFERROR(SLOPE(OFFSET(D$16,MAX($B$16:$B$509)-59,0,60,1),OFFSET($T$16,MAX($B$16:$B$509)-59,0,60,1)),"N/A")</f>
        <v>0.74450316151242169</v>
      </c>
      <c r="G10" s="16">
        <f ca="1">IFERROR(INTERCEPT(OFFSET(D$16,MAX($B$16:$B$509)-59,0,60,1),OFFSET($T$16,MAX($B$16:$B$509)-59,0,60,1))*12,"N/A")</f>
        <v>-1.2906382304075095</v>
      </c>
      <c r="H10" s="16">
        <f ca="1">IFERROR(STDEVP(OFFSET(D$16,MAX($B$16:$B$509)-59,0,60,1))*SQRT(12),"N/A")</f>
        <v>10.100618549565919</v>
      </c>
      <c r="I10" s="39"/>
      <c r="K10" s="23"/>
      <c r="L10" s="7" t="s">
        <v>50</v>
      </c>
      <c r="M10" s="16">
        <f t="array" aca="1" ref="M10" ca="1">IFERROR((GEOMEAN(1+OFFSET(M$16,MAX($B$16:$B$509)-59,0,60,1)/100)^12-1)*100,"N/A")</f>
        <v>5.5763555235876172</v>
      </c>
      <c r="N10" s="36">
        <f t="shared" ca="1" si="1"/>
        <v>-5.1060559014238116</v>
      </c>
      <c r="O10" s="16">
        <f ca="1">IFERROR(SLOPE(OFFSET(M$16,MAX($B$16:$B$509)-59,0,60,1),OFFSET($T$16,MAX($B$16:$B$509)-59,0,60,1)),"N/A")</f>
        <v>0.74357016285721633</v>
      </c>
      <c r="P10" s="16">
        <f ca="1">IFERROR(INTERCEPT(OFFSET(M$16,MAX($B$16:$B$509)-59,0,60,1),OFFSET($T$16,MAX($B$16:$B$509)-59,0,60,1))*12,"N/A")</f>
        <v>-2.1946271710921743</v>
      </c>
      <c r="Q10" s="16">
        <f ca="1">IFERROR(STDEVP(OFFSET(M$16,MAX($B$16:$B$509)-59,0,60,1))*SQRT(12),"N/A")</f>
        <v>10.090551588731948</v>
      </c>
      <c r="R10" s="39"/>
      <c r="S10" s="7" t="s">
        <v>50</v>
      </c>
      <c r="T10" s="16">
        <f t="array" aca="1" ref="T10" ca="1">IFERROR((GEOMEAN(1+OFFSET(T$16,MAX($B$16:$B$509)-59,0,60,1)/100)^12-1)*100,"N/A")</f>
        <v>10.682411425011429</v>
      </c>
      <c r="U10" s="16">
        <f ca="1">IFERROR(SLOPE(OFFSET(T$16,MAX($B$16:$B$509)-59,0,60,1),OFFSET($T$16,MAX($B$16:$B$509)-59,0,60,1)),"N/A")</f>
        <v>1</v>
      </c>
      <c r="V10" s="16">
        <f ca="1">IFERROR(STDEVP(OFFSET(T$16,MAX($B$16:$B$509)-59,0,60,1))*SQRT(12),"N/A")</f>
        <v>12.284589976611416</v>
      </c>
      <c r="W10" s="16"/>
      <c r="X10" s="39"/>
      <c r="Y10" s="7" t="s">
        <v>50</v>
      </c>
      <c r="Z10" s="16" cm="1">
        <f t="array" aca="1" ref="Z10" ca="1">IFERROR((GEOMEAN(1+OFFSET(Z$16,MAX($B$16:$B$509)-59,0,60,1)/100)^12-1)*100,"N/A")</f>
        <v>14.40023564398658</v>
      </c>
      <c r="AA10" s="16">
        <f ca="1">IFERROR(SLOPE(OFFSET(Z$16,MAX($B$16:$B$509)-59,0,60,1),OFFSET($T$16,MAX($B$16:$B$509)-59,0,60,1)),"N/A")</f>
        <v>1.213466698769861</v>
      </c>
      <c r="AB10" s="16">
        <f ca="1">IFERROR(STDEVP(OFFSET(Z$16,MAX($B$16:$B$509)-59,0,60,1))*SQRT(12),"N/A")</f>
        <v>14.982539708393594</v>
      </c>
      <c r="AC10" s="16"/>
    </row>
    <row r="11" spans="1:29" x14ac:dyDescent="0.25">
      <c r="B11" s="23"/>
      <c r="C11" s="7" t="s">
        <v>51</v>
      </c>
      <c r="D11" s="16" t="str">
        <f t="array" aca="1" ref="D11" ca="1">IFERROR((GEOMEAN(1+OFFSET(D$16,MAX($B$16:$B$509)-119,0,120,1)/100)^12-1)*100,"N/A")</f>
        <v>N/A</v>
      </c>
      <c r="E11" s="36" t="str">
        <f t="shared" ca="1" si="0"/>
        <v>N/A</v>
      </c>
      <c r="F11" s="16" t="str">
        <f ca="1">IFERROR(SLOPE(OFFSET(D$16,MAX($B$16:$B$509)-119,0,120,1),OFFSET($T$16,MAX($B$16:$B$509)-119,0,120,1)),"N/A")</f>
        <v>N/A</v>
      </c>
      <c r="G11" s="16" t="str">
        <f ca="1">IFERROR(INTERCEPT(OFFSET(D$16,MAX($B$16:$B$509)-119,0,120,1),OFFSET($T$16,MAX($B$16:$B$509)-119,0,120,1))*12,"N/A")</f>
        <v>N/A</v>
      </c>
      <c r="H11" s="16" t="str">
        <f ca="1">IFERROR(STDEVP(OFFSET(D$16,MAX($B$16:$B$509)-119,0,120,1))*SQRT(12),"N/A")</f>
        <v>N/A</v>
      </c>
      <c r="I11" s="39"/>
      <c r="K11" s="23"/>
      <c r="L11" s="7" t="s">
        <v>51</v>
      </c>
      <c r="M11" s="16" t="str">
        <f t="array" aca="1" ref="M11" ca="1">IFERROR((GEOMEAN(1+OFFSET(M$16,MAX($B$16:$B$509)-119,0,120,1)/100)^12-1)*100,"N/A")</f>
        <v>N/A</v>
      </c>
      <c r="N11" s="36" t="str">
        <f t="shared" ca="1" si="1"/>
        <v>N/A</v>
      </c>
      <c r="O11" s="16" t="str">
        <f ca="1">IFERROR(SLOPE(OFFSET(M$16,MAX($B$16:$B$509)-119,0,120,1),OFFSET($T$16,MAX($B$16:$B$509)-119,0,120,1)),"N/A")</f>
        <v>N/A</v>
      </c>
      <c r="P11" s="16" t="str">
        <f ca="1">IFERROR(INTERCEPT(OFFSET(M$16,MAX($B$16:$B$509)-119,0,120,1),OFFSET($T$16,MAX($B$16:$B$509)-119,0,120,1))*12,"N/A")</f>
        <v>N/A</v>
      </c>
      <c r="Q11" s="16" t="str">
        <f ca="1">IFERROR(STDEVP(OFFSET(M$16,MAX($B$16:$B$509)-119,0,120,1))*SQRT(12),"N/A")</f>
        <v>N/A</v>
      </c>
      <c r="R11" s="39"/>
      <c r="S11" s="7" t="s">
        <v>51</v>
      </c>
      <c r="T11" s="16" t="str">
        <f t="array" aca="1" ref="T11" ca="1">IFERROR((GEOMEAN(1+OFFSET(T$16,MAX($B$16:$B$509)-119,0,120,1)/100)^12-1)*100,"N/A")</f>
        <v>N/A</v>
      </c>
      <c r="U11" s="16" t="str">
        <f ca="1">IFERROR(SLOPE(OFFSET(T$16,MAX($B$16:$B$509)-119,0,120,1),OFFSET($T$16,MAX($B$16:$B$509)-119,0,120,1)),"N/A")</f>
        <v>N/A</v>
      </c>
      <c r="V11" s="16" t="str">
        <f ca="1">IFERROR(STDEVP(OFFSET(T$16,MAX($B$16:$B$509)-119,0,120,1))*SQRT(12),"N/A")</f>
        <v>N/A</v>
      </c>
      <c r="W11" s="16"/>
      <c r="X11" s="39"/>
      <c r="Y11" s="7" t="s">
        <v>51</v>
      </c>
      <c r="Z11" s="16" t="str">
        <f t="array" aca="1" ref="Z11" ca="1">IFERROR((GEOMEAN(1+OFFSET(Z$16,MAX($B$16:$B$509)-119,0,120,1)/100)^12-1)*100,"N/A")</f>
        <v>N/A</v>
      </c>
      <c r="AA11" s="16" t="str">
        <f ca="1">IFERROR(SLOPE(OFFSET(Z$16,MAX($B$16:$B$509)-119,0,120,1),OFFSET($T$16,MAX($B$16:$B$509)-119,0,120,1)),"N/A")</f>
        <v>N/A</v>
      </c>
      <c r="AB11" s="16" t="str">
        <f ca="1">IFERROR(STDEVP(OFFSET(Z$16,MAX($B$16:$B$509)-119,0,120,1))*SQRT(12),"N/A")</f>
        <v>N/A</v>
      </c>
      <c r="AC11" s="16"/>
    </row>
    <row r="12" spans="1:29" x14ac:dyDescent="0.25">
      <c r="B12" s="23"/>
      <c r="C12" s="7" t="s">
        <v>52</v>
      </c>
      <c r="D12" s="16" cm="1">
        <f t="array" aca="1" ref="D12" ca="1">IFERROR((GEOMEAN(1+OFFSET(D$16,1,0,MAX($B$16:$B$509),1)/100)^12-1)*100,"N/A")</f>
        <v>7.0751469123136568</v>
      </c>
      <c r="E12" s="36">
        <f t="shared" ca="1" si="0"/>
        <v>-4.0497006375633804</v>
      </c>
      <c r="F12" s="16">
        <f ca="1">IFERROR(SLOPE(OFFSET(D$16,1,0,MAX($B$16:$B$509),1),OFFSET($T$16,1,0,MAX($B$16:$B$509),1)),"N/A")</f>
        <v>0.74724856212095225</v>
      </c>
      <c r="G12" s="16">
        <f ca="1">IFERROR(INTERCEPT(OFFSET(D$16,1,0,MAX($B$16:$B$509),1),OFFSET($T$16,1,0,MAX($B$16:$B$509),1))*12,"N/A")</f>
        <v>-1.1138447151325419</v>
      </c>
      <c r="H12" s="16">
        <f ca="1">IFERROR(STDEVP(OFFSET(D$16,1,0,MAX($B$16:$B$509),1))*SQRT(12),"N/A")</f>
        <v>10.080000514824974</v>
      </c>
      <c r="I12" s="39"/>
      <c r="K12" s="23"/>
      <c r="L12" s="7" t="s">
        <v>52</v>
      </c>
      <c r="M12" s="16">
        <f t="array" aca="1" ref="M12" ca="1">IFERROR((GEOMEAN(1+OFFSET(M$16,1,0,MAX($B$16:$B$509),1)/100)^12-1)*100,"N/A")</f>
        <v>6.1219351989148851</v>
      </c>
      <c r="N12" s="36">
        <f t="shared" ca="1" si="1"/>
        <v>-5.002912350962152</v>
      </c>
      <c r="O12" s="16">
        <f ca="1">IFERROR(SLOPE(OFFSET(M$16,1,0,MAX($B$16:$B$509),1),OFFSET($T$16,1,0,MAX($B$16:$B$509),1)),"N/A")</f>
        <v>0.74651828976119938</v>
      </c>
      <c r="P12" s="16">
        <f ca="1">IFERROR(INTERCEPT(OFFSET(M$16,1,0,MAX($B$16:$B$509),1),OFFSET($T$16,1,0,MAX($B$16:$B$509),1))*12,"N/A")</f>
        <v>-2.0047788417764352</v>
      </c>
      <c r="Q12" s="16">
        <f ca="1">IFERROR(STDEVP(OFFSET(M$16,1,0,MAX($B$16:$B$509),1))*SQRT(12),"N/A")</f>
        <v>10.07386364895822</v>
      </c>
      <c r="R12" s="39"/>
      <c r="S12" s="7" t="s">
        <v>53</v>
      </c>
      <c r="T12" s="16">
        <f t="array" aca="1" ref="T12" ca="1">IFERROR((GEOMEAN(1+OFFSET(T$16,1,0,MAX($B$16:$B$509),1)/100)^12-1)*100,"N/A")</f>
        <v>11.124847549877037</v>
      </c>
      <c r="U12" s="16">
        <f ca="1">IFERROR(SLOPE(OFFSET(T$16,1,0,MAX($B$16:$B$509),1),OFFSET($T$16,1,0,MAX($B$16:$B$509),1)),"N/A")</f>
        <v>1</v>
      </c>
      <c r="V12" s="16">
        <f ca="1">IFERROR(STDEVP(OFFSET(T$16,1,0,MAX($B$16:$B$509),1))*SQRT(12),"N/A")</f>
        <v>12.215294764452507</v>
      </c>
      <c r="W12" s="16"/>
      <c r="X12" s="39"/>
      <c r="Y12" s="7" t="s">
        <v>53</v>
      </c>
      <c r="Z12" s="16">
        <f t="array" aca="1" ref="Z12" ca="1">IFERROR((GEOMEAN(1+OFFSET(Z$16,1,0,MAX($B$16:$B$509),1)/100)^12-1)*100,"N/A")</f>
        <v>14.997780626599777</v>
      </c>
      <c r="AA12" s="16">
        <f ca="1">IFERROR(SLOPE(OFFSET(Z$16,1,0,MAX($B$16:$B$509),1),OFFSET($T$16,1,0,MAX($B$16:$B$509),1)),"N/A")</f>
        <v>1.2139591113566919</v>
      </c>
      <c r="AB12" s="16">
        <f ca="1">IFERROR(STDEVP(OFFSET(Z$16,1,0,MAX($B$16:$B$509),1))*SQRT(12),"N/A")</f>
        <v>14.903852654063009</v>
      </c>
      <c r="AC12" s="16"/>
    </row>
    <row r="13" spans="1:29" x14ac:dyDescent="0.25">
      <c r="B13" s="23"/>
      <c r="C13" s="7"/>
      <c r="D13" s="33"/>
      <c r="E13" s="42"/>
      <c r="F13" s="33"/>
      <c r="G13" s="33"/>
      <c r="H13" s="33"/>
      <c r="I13" s="39"/>
      <c r="K13" s="23"/>
      <c r="L13" s="7"/>
      <c r="M13" s="33"/>
      <c r="N13" s="42"/>
      <c r="O13" s="33"/>
      <c r="P13" s="33"/>
      <c r="Q13" s="33"/>
      <c r="R13" s="39"/>
      <c r="S13" s="7"/>
      <c r="T13" s="16"/>
      <c r="U13" s="16"/>
      <c r="V13" s="16"/>
      <c r="W13" s="16"/>
      <c r="X13" s="39"/>
      <c r="Y13" s="7"/>
      <c r="Z13" s="16"/>
      <c r="AA13" s="16"/>
      <c r="AB13" s="16"/>
      <c r="AC13" s="16"/>
    </row>
    <row r="14" spans="1:29" x14ac:dyDescent="0.25">
      <c r="A14" s="7"/>
      <c r="B14" s="23"/>
      <c r="C14" s="17"/>
      <c r="D14" s="16"/>
      <c r="E14" s="18"/>
      <c r="F14" s="16"/>
      <c r="I14" s="39"/>
      <c r="J14" s="7"/>
      <c r="K14" s="23"/>
      <c r="L14" s="17"/>
      <c r="M14" s="16"/>
      <c r="N14" s="18"/>
      <c r="O14" s="16"/>
      <c r="R14" s="39"/>
      <c r="S14" s="7"/>
      <c r="T14" s="16"/>
      <c r="U14" s="16"/>
      <c r="V14" s="16"/>
      <c r="W14" s="10"/>
      <c r="X14" s="39"/>
      <c r="Y14" s="7"/>
      <c r="Z14" s="16"/>
      <c r="AA14" s="16"/>
      <c r="AB14" s="16"/>
      <c r="AC14" s="10"/>
    </row>
    <row r="15" spans="1:29" x14ac:dyDescent="0.25">
      <c r="A15" s="13" t="s">
        <v>69</v>
      </c>
      <c r="B15" s="23" t="s">
        <v>70</v>
      </c>
      <c r="C15" s="13" t="s">
        <v>71</v>
      </c>
      <c r="D15" s="33" t="s">
        <v>72</v>
      </c>
      <c r="E15" s="13" t="s">
        <v>73</v>
      </c>
      <c r="F15" s="13" t="s">
        <v>74</v>
      </c>
      <c r="G15" s="13" t="s">
        <v>75</v>
      </c>
      <c r="H15" s="33"/>
      <c r="I15" s="44"/>
      <c r="J15" s="13" t="s">
        <v>69</v>
      </c>
      <c r="K15" s="23" t="s">
        <v>70</v>
      </c>
      <c r="L15" s="13" t="s">
        <v>71</v>
      </c>
      <c r="M15" s="33" t="s">
        <v>72</v>
      </c>
      <c r="N15" s="13" t="s">
        <v>73</v>
      </c>
      <c r="O15" s="13" t="s">
        <v>74</v>
      </c>
      <c r="P15" s="13" t="s">
        <v>75</v>
      </c>
      <c r="Q15" s="33"/>
      <c r="R15" s="44"/>
      <c r="S15" s="13" t="s">
        <v>69</v>
      </c>
      <c r="T15" s="33" t="s">
        <v>41</v>
      </c>
      <c r="U15" s="13" t="s">
        <v>73</v>
      </c>
      <c r="V15" s="13" t="s">
        <v>74</v>
      </c>
      <c r="W15" s="13" t="s">
        <v>75</v>
      </c>
      <c r="X15" s="44"/>
      <c r="Y15" s="13" t="s">
        <v>69</v>
      </c>
      <c r="Z15" s="33" t="s">
        <v>41</v>
      </c>
      <c r="AA15" s="13" t="s">
        <v>73</v>
      </c>
      <c r="AB15" s="13" t="s">
        <v>74</v>
      </c>
      <c r="AC15" s="13" t="s">
        <v>75</v>
      </c>
    </row>
    <row r="16" spans="1:29" x14ac:dyDescent="0.25">
      <c r="A16" s="20">
        <v>44165</v>
      </c>
      <c r="B16" s="23">
        <v>0</v>
      </c>
      <c r="C16" s="17"/>
      <c r="D16" s="16"/>
      <c r="E16" s="46">
        <v>1000000</v>
      </c>
      <c r="F16" s="8"/>
      <c r="I16" s="39"/>
      <c r="J16" s="20">
        <f>A16</f>
        <v>44165</v>
      </c>
      <c r="K16" s="23">
        <v>0</v>
      </c>
      <c r="L16" s="17"/>
      <c r="M16" s="16"/>
      <c r="N16" s="46">
        <v>1000000</v>
      </c>
      <c r="O16" s="8"/>
      <c r="R16" s="39"/>
      <c r="S16" s="20">
        <f>$A16</f>
        <v>44165</v>
      </c>
      <c r="T16" s="16"/>
      <c r="U16" s="46">
        <v>1000000</v>
      </c>
      <c r="V16" s="8"/>
      <c r="X16" s="39"/>
      <c r="Y16" s="20">
        <f>$A16</f>
        <v>44165</v>
      </c>
      <c r="Z16" s="16"/>
      <c r="AA16" s="46">
        <v>1000000</v>
      </c>
      <c r="AB16" s="8"/>
    </row>
    <row r="17" spans="1:29" x14ac:dyDescent="0.25">
      <c r="A17" s="21">
        <v>44196</v>
      </c>
      <c r="B17" s="24">
        <f>IF(A17&gt;A16,1+B16,"-")</f>
        <v>1</v>
      </c>
      <c r="C17" s="96" t="s">
        <v>387</v>
      </c>
      <c r="D17" s="27">
        <v>3.12</v>
      </c>
      <c r="E17" s="46">
        <f>E16*D17/100+E16</f>
        <v>1031200</v>
      </c>
      <c r="F17" s="12">
        <f>((E17-$E$16)/$E$16)*100</f>
        <v>3.1199999999999997</v>
      </c>
      <c r="I17" s="39"/>
      <c r="J17" s="21">
        <f t="shared" ref="J17:J33" si="2">A17</f>
        <v>44196</v>
      </c>
      <c r="K17" s="24">
        <f>IF(J17&gt;J16,1+K16,"-")</f>
        <v>1</v>
      </c>
      <c r="L17" s="96" t="s">
        <v>389</v>
      </c>
      <c r="M17" s="27">
        <v>3.12</v>
      </c>
      <c r="N17" s="46">
        <f>N16*M17/100+N16</f>
        <v>1031200</v>
      </c>
      <c r="O17" s="12">
        <f>((N17-$N$16)/$N$16)*100</f>
        <v>3.1199999999999997</v>
      </c>
      <c r="P17" s="5">
        <f>(N17/N16-1)*100</f>
        <v>3.1199999999999894</v>
      </c>
      <c r="R17" s="39"/>
      <c r="S17" s="20">
        <f t="shared" ref="S17:S77" si="3">$A17</f>
        <v>44196</v>
      </c>
      <c r="T17" s="315">
        <f>(0.75*'LC (Gross)'!K268)+(0.25*'CRA (Gross)'!E106)</f>
        <v>2.9154142750000003</v>
      </c>
      <c r="U17" s="46">
        <f>U16*T17/100+U16</f>
        <v>1029154.14275</v>
      </c>
      <c r="V17" s="12">
        <f>((U17-$U$16)/$U$16)*100</f>
        <v>2.9154142749999998</v>
      </c>
      <c r="W17" s="5">
        <f>(U17/U16-1)*100</f>
        <v>2.9154142749999945</v>
      </c>
      <c r="X17" s="39"/>
      <c r="Y17" s="20">
        <f t="shared" ref="Y17:Y77" si="4">$A17</f>
        <v>44196</v>
      </c>
      <c r="Z17" s="315">
        <f>'LC (Gross)'!K268</f>
        <v>3.8413089999999999</v>
      </c>
      <c r="AA17" s="46">
        <f>AA16*Z17/100+AA16</f>
        <v>1038413.09</v>
      </c>
      <c r="AB17" s="12">
        <f>((AA17-$AA$16)/$AA$16)*100</f>
        <v>3.8413089999999968</v>
      </c>
      <c r="AC17" s="5">
        <f>(AA17/AA16-1)*100</f>
        <v>3.8413089999999928</v>
      </c>
    </row>
    <row r="18" spans="1:29" x14ac:dyDescent="0.25">
      <c r="A18" s="21">
        <v>44227</v>
      </c>
      <c r="B18" s="24">
        <f t="shared" ref="B18:B65" si="5">IF(A18&gt;A17,1+B17,"-")</f>
        <v>2</v>
      </c>
      <c r="C18" s="96" t="s">
        <v>387</v>
      </c>
      <c r="D18" s="27">
        <v>-1.0647915130541972</v>
      </c>
      <c r="E18" s="46">
        <f t="shared" ref="E18:E35" si="6">E17*D18/100+E17</f>
        <v>1020219.8699173852</v>
      </c>
      <c r="F18" s="10"/>
      <c r="I18" s="39"/>
      <c r="J18" s="21">
        <f t="shared" si="2"/>
        <v>44227</v>
      </c>
      <c r="K18" s="24">
        <f t="shared" ref="K18:K33" si="7">IF(J18&gt;J17,1+K17,"-")</f>
        <v>2</v>
      </c>
      <c r="L18" s="96" t="s">
        <v>389</v>
      </c>
      <c r="M18" s="27">
        <v>-1.168562854479372</v>
      </c>
      <c r="N18" s="46">
        <f t="shared" ref="N18:N35" si="8">N17*M18/100+N17</f>
        <v>1019149.7798446087</v>
      </c>
      <c r="O18" s="10"/>
      <c r="R18" s="39"/>
      <c r="S18" s="20">
        <f t="shared" si="3"/>
        <v>44227</v>
      </c>
      <c r="T18" s="315">
        <f>(0.75*'LC (Gross)'!K269)+(0.25*'CRA (Gross)'!E107)</f>
        <v>-0.94254905</v>
      </c>
      <c r="U18" s="46">
        <f>U17*T18/100+U17</f>
        <v>1019453.8601544743</v>
      </c>
      <c r="V18" s="10"/>
      <c r="X18" s="39"/>
      <c r="Y18" s="20">
        <f t="shared" si="4"/>
        <v>44227</v>
      </c>
      <c r="Z18" s="315">
        <f>'LC (Gross)'!K269</f>
        <v>-1.0177430000000001</v>
      </c>
      <c r="AA18" s="46">
        <f>AA17*Z18/100+AA17</f>
        <v>1027844.7134654413</v>
      </c>
      <c r="AB18" s="10"/>
    </row>
    <row r="19" spans="1:29" x14ac:dyDescent="0.25">
      <c r="A19" s="21">
        <v>44255</v>
      </c>
      <c r="B19" s="24">
        <f t="shared" si="5"/>
        <v>3</v>
      </c>
      <c r="C19" s="96" t="s">
        <v>387</v>
      </c>
      <c r="D19" s="27">
        <v>0.61235268328963832</v>
      </c>
      <c r="E19" s="46">
        <f t="shared" si="6"/>
        <v>1026467.2136662783</v>
      </c>
      <c r="F19" s="10"/>
      <c r="I19" s="39"/>
      <c r="J19" s="21">
        <f t="shared" si="2"/>
        <v>44255</v>
      </c>
      <c r="K19" s="24">
        <f t="shared" si="7"/>
        <v>3</v>
      </c>
      <c r="L19" s="96" t="s">
        <v>389</v>
      </c>
      <c r="M19" s="27">
        <v>0.61235268328963832</v>
      </c>
      <c r="N19" s="46">
        <f t="shared" si="8"/>
        <v>1025390.5708682276</v>
      </c>
      <c r="O19" s="10"/>
      <c r="R19" s="39"/>
      <c r="S19" s="20">
        <f t="shared" si="3"/>
        <v>44255</v>
      </c>
      <c r="T19" s="315">
        <f>(0.75*'LC (Gross)'!K270)+(0.25*'CRA (Gross)'!E108)</f>
        <v>1.7072124999999996</v>
      </c>
      <c r="U19" s="46">
        <f t="shared" ref="U19:U35" si="9">U18*T19/100+U18</f>
        <v>1036858.1038867639</v>
      </c>
      <c r="V19" s="10"/>
      <c r="X19" s="39"/>
      <c r="Y19" s="20">
        <f t="shared" si="4"/>
        <v>44255</v>
      </c>
      <c r="Z19" s="315">
        <f>'LC (Gross)'!K270</f>
        <v>2.7575729999999998</v>
      </c>
      <c r="AA19" s="46">
        <f t="shared" ref="AA19:AA35" si="10">AA18*Z19/100+AA18</f>
        <v>1056188.2817658917</v>
      </c>
      <c r="AB19" s="10"/>
    </row>
    <row r="20" spans="1:29" x14ac:dyDescent="0.25">
      <c r="A20" s="21">
        <v>44286</v>
      </c>
      <c r="B20" s="24">
        <f t="shared" si="5"/>
        <v>4</v>
      </c>
      <c r="C20" s="96" t="s">
        <v>387</v>
      </c>
      <c r="D20" s="27">
        <v>3.3939211174697013</v>
      </c>
      <c r="E20" s="46">
        <f t="shared" si="6"/>
        <v>1061304.7011948009</v>
      </c>
      <c r="F20" s="10"/>
      <c r="G20" s="5">
        <f>(E20/E17-1)*100</f>
        <v>2.9193852981769686</v>
      </c>
      <c r="I20" s="39"/>
      <c r="J20" s="21">
        <f t="shared" si="2"/>
        <v>44286</v>
      </c>
      <c r="K20" s="24">
        <f t="shared" si="7"/>
        <v>4</v>
      </c>
      <c r="L20" s="96" t="s">
        <v>389</v>
      </c>
      <c r="M20" s="27">
        <v>3.3939211174697013</v>
      </c>
      <c r="N20" s="46">
        <f t="shared" si="8"/>
        <v>1060191.5179894676</v>
      </c>
      <c r="O20" s="10"/>
      <c r="P20" s="5">
        <f>(N20/N17-1)*100</f>
        <v>2.8114350261314591</v>
      </c>
      <c r="R20" s="39"/>
      <c r="S20" s="20">
        <f t="shared" si="3"/>
        <v>44286</v>
      </c>
      <c r="T20" s="315">
        <f>(0.75*'LC (Gross)'!K271)+(0.25*'CRA (Gross)'!E109)</f>
        <v>2.9721535000000001</v>
      </c>
      <c r="U20" s="46">
        <f t="shared" si="9"/>
        <v>1067675.118311468</v>
      </c>
      <c r="V20" s="10"/>
      <c r="W20" s="5">
        <f>(U20/U17-1)*100</f>
        <v>3.7429743477042532</v>
      </c>
      <c r="X20" s="39"/>
      <c r="Y20" s="20">
        <f t="shared" si="4"/>
        <v>44286</v>
      </c>
      <c r="Z20" s="315">
        <f>'LC (Gross)'!K271</f>
        <v>4.3791500000000001</v>
      </c>
      <c r="AA20" s="46">
        <f t="shared" si="10"/>
        <v>1102440.3509068429</v>
      </c>
      <c r="AB20" s="10"/>
      <c r="AC20" s="5">
        <f>(AA20/AA17-1)*100</f>
        <v>6.1658757505496098</v>
      </c>
    </row>
    <row r="21" spans="1:29" x14ac:dyDescent="0.25">
      <c r="A21" s="21">
        <v>44316</v>
      </c>
      <c r="B21" s="24">
        <f t="shared" si="5"/>
        <v>5</v>
      </c>
      <c r="C21" s="96" t="s">
        <v>387</v>
      </c>
      <c r="D21" s="27">
        <v>3.6159516931505014</v>
      </c>
      <c r="E21" s="46">
        <f t="shared" si="6"/>
        <v>1099680.9665071401</v>
      </c>
      <c r="F21" s="8"/>
      <c r="G21" s="5"/>
      <c r="I21" s="39"/>
      <c r="J21" s="21">
        <f t="shared" si="2"/>
        <v>44316</v>
      </c>
      <c r="K21" s="24">
        <f t="shared" si="7"/>
        <v>5</v>
      </c>
      <c r="L21" s="96" t="s">
        <v>389</v>
      </c>
      <c r="M21" s="27">
        <v>3.591225987055914</v>
      </c>
      <c r="N21" s="46">
        <f t="shared" si="8"/>
        <v>1098265.391296068</v>
      </c>
      <c r="O21" s="8"/>
      <c r="P21" s="5"/>
      <c r="R21" s="39"/>
      <c r="S21" s="20">
        <f t="shared" si="3"/>
        <v>44316</v>
      </c>
      <c r="T21" s="315">
        <f>(0.75*'LC (Gross)'!K272)+(0.25*'CRA (Gross)'!E110)</f>
        <v>4.200112625</v>
      </c>
      <c r="U21" s="46">
        <f t="shared" si="9"/>
        <v>1112518.6757496516</v>
      </c>
      <c r="V21" s="8"/>
      <c r="W21" s="5"/>
      <c r="X21" s="39"/>
      <c r="Y21" s="20">
        <f t="shared" si="4"/>
        <v>44316</v>
      </c>
      <c r="Z21" s="315">
        <f>'LC (Gross)'!K272</f>
        <v>5.3368120000000001</v>
      </c>
      <c r="AA21" s="46">
        <f t="shared" si="10"/>
        <v>1161275.5198468813</v>
      </c>
      <c r="AB21" s="8"/>
      <c r="AC21" s="5"/>
    </row>
    <row r="22" spans="1:29" x14ac:dyDescent="0.25">
      <c r="A22" s="21">
        <v>44347</v>
      </c>
      <c r="B22" s="24">
        <f t="shared" si="5"/>
        <v>6</v>
      </c>
      <c r="C22" s="96" t="s">
        <v>387</v>
      </c>
      <c r="D22" s="27">
        <v>0.25259029171646225</v>
      </c>
      <c r="E22" s="46">
        <f t="shared" si="6"/>
        <v>1102458.6538683909</v>
      </c>
      <c r="F22" s="37"/>
      <c r="G22" s="5"/>
      <c r="H22" s="5"/>
      <c r="I22" s="39"/>
      <c r="J22" s="21">
        <f t="shared" si="2"/>
        <v>44347</v>
      </c>
      <c r="K22" s="24">
        <f t="shared" si="7"/>
        <v>6</v>
      </c>
      <c r="L22" s="96" t="s">
        <v>389</v>
      </c>
      <c r="M22" s="27">
        <v>0.22707998179467304</v>
      </c>
      <c r="N22" s="46">
        <f t="shared" si="8"/>
        <v>1100759.3321466802</v>
      </c>
      <c r="O22" s="37"/>
      <c r="P22" s="5"/>
      <c r="Q22" s="5"/>
      <c r="R22" s="39"/>
      <c r="S22" s="20">
        <f t="shared" si="3"/>
        <v>44347</v>
      </c>
      <c r="T22" s="315">
        <f>(0.75*'LC (Gross)'!K273)+(0.25*'CRA (Gross)'!E111)</f>
        <v>0.60528339999999992</v>
      </c>
      <c r="U22" s="46">
        <f t="shared" si="9"/>
        <v>1119252.5666158642</v>
      </c>
      <c r="V22" s="37"/>
      <c r="W22" s="5"/>
      <c r="X22" s="39"/>
      <c r="Y22" s="20">
        <f t="shared" si="4"/>
        <v>44347</v>
      </c>
      <c r="Z22" s="315">
        <f>'LC (Gross)'!K273</f>
        <v>0.69815649999999996</v>
      </c>
      <c r="AA22" s="46">
        <f t="shared" si="10"/>
        <v>1169383.040371601</v>
      </c>
      <c r="AB22" s="37"/>
      <c r="AC22" s="5"/>
    </row>
    <row r="23" spans="1:29" x14ac:dyDescent="0.25">
      <c r="A23" s="21">
        <v>44377</v>
      </c>
      <c r="B23" s="24">
        <f t="shared" si="5"/>
        <v>7</v>
      </c>
      <c r="C23" s="96" t="s">
        <v>387</v>
      </c>
      <c r="D23" s="27">
        <v>2.8654669427645096</v>
      </c>
      <c r="E23" s="46">
        <f t="shared" si="6"/>
        <v>1134049.2421526364</v>
      </c>
      <c r="G23" s="5">
        <f>(E23/E20-1)*100</f>
        <v>6.8542559809582349</v>
      </c>
      <c r="I23" s="39"/>
      <c r="J23" s="21">
        <f t="shared" si="2"/>
        <v>44377</v>
      </c>
      <c r="K23" s="24">
        <f t="shared" si="7"/>
        <v>7</v>
      </c>
      <c r="L23" s="96" t="s">
        <v>389</v>
      </c>
      <c r="M23" s="27">
        <v>2.6642334198931672</v>
      </c>
      <c r="N23" s="46">
        <f t="shared" si="8"/>
        <v>1130086.1301463249</v>
      </c>
      <c r="O23" s="37"/>
      <c r="P23" s="5">
        <f>(N23/N20-1)*100</f>
        <v>6.5926401948022129</v>
      </c>
      <c r="R23" s="39"/>
      <c r="S23" s="20">
        <f t="shared" si="3"/>
        <v>44377</v>
      </c>
      <c r="T23" s="315">
        <f>(0.75*'LC (Gross)'!K274)+(0.25*'CRA (Gross)'!E112)</f>
        <v>1.9262747500000001</v>
      </c>
      <c r="U23" s="46">
        <f t="shared" si="9"/>
        <v>1140812.4461953125</v>
      </c>
      <c r="V23" s="37"/>
      <c r="W23" s="5">
        <f>(U23/U20-1)*100</f>
        <v>6.8501481985935531</v>
      </c>
      <c r="X23" s="39"/>
      <c r="Y23" s="20">
        <f t="shared" si="4"/>
        <v>44377</v>
      </c>
      <c r="Z23" s="315">
        <f>'LC (Gross)'!K274</f>
        <v>2.3341850000000002</v>
      </c>
      <c r="AA23" s="46">
        <f t="shared" si="10"/>
        <v>1196678.6038924989</v>
      </c>
      <c r="AB23" s="37"/>
      <c r="AC23" s="5">
        <f>(AA23/AA20-1)*100</f>
        <v>8.5481498303411776</v>
      </c>
    </row>
    <row r="24" spans="1:29" x14ac:dyDescent="0.25">
      <c r="A24" s="21">
        <v>44408</v>
      </c>
      <c r="B24" s="24">
        <f t="shared" si="5"/>
        <v>8</v>
      </c>
      <c r="C24" s="96" t="s">
        <v>387</v>
      </c>
      <c r="D24" s="27">
        <v>-0.42334681895117265</v>
      </c>
      <c r="E24" s="46">
        <f t="shared" si="6"/>
        <v>1129248.2807606433</v>
      </c>
      <c r="I24" s="39"/>
      <c r="J24" s="21">
        <f t="shared" si="2"/>
        <v>44408</v>
      </c>
      <c r="K24" s="24">
        <f t="shared" si="7"/>
        <v>8</v>
      </c>
      <c r="L24" s="96" t="s">
        <v>389</v>
      </c>
      <c r="M24" s="27">
        <v>-0.52812114578699509</v>
      </c>
      <c r="N24" s="46">
        <f t="shared" si="8"/>
        <v>1124117.9063274162</v>
      </c>
      <c r="R24" s="39"/>
      <c r="S24" s="20">
        <f t="shared" si="3"/>
        <v>44408</v>
      </c>
      <c r="T24" s="315">
        <f>(0.75*'LC (Gross)'!K275)+(0.25*'CRA (Gross)'!E113)</f>
        <v>2.0610547186103245</v>
      </c>
      <c r="U24" s="46">
        <f t="shared" si="9"/>
        <v>1164325.2149481149</v>
      </c>
      <c r="X24" s="39"/>
      <c r="Y24" s="20">
        <f t="shared" si="4"/>
        <v>44408</v>
      </c>
      <c r="Z24" s="315">
        <f>'LC (Gross)'!K275</f>
        <v>2.3753169999999999</v>
      </c>
      <c r="AA24" s="46">
        <f t="shared" si="10"/>
        <v>1225103.51420612</v>
      </c>
    </row>
    <row r="25" spans="1:29" x14ac:dyDescent="0.25">
      <c r="A25" s="21">
        <v>44439</v>
      </c>
      <c r="B25" s="24">
        <f t="shared" si="5"/>
        <v>9</v>
      </c>
      <c r="C25" s="96" t="s">
        <v>387</v>
      </c>
      <c r="D25" s="27">
        <v>2.4150137688429338</v>
      </c>
      <c r="E25" s="46">
        <f t="shared" si="6"/>
        <v>1156519.7822254349</v>
      </c>
      <c r="I25" s="39"/>
      <c r="J25" s="21">
        <f t="shared" si="2"/>
        <v>44439</v>
      </c>
      <c r="K25" s="24">
        <f t="shared" si="7"/>
        <v>9</v>
      </c>
      <c r="L25" s="96" t="s">
        <v>389</v>
      </c>
      <c r="M25" s="27">
        <v>2.3044611801179036</v>
      </c>
      <c r="N25" s="46">
        <f t="shared" si="8"/>
        <v>1150022.7670974857</v>
      </c>
      <c r="R25" s="39"/>
      <c r="S25" s="20">
        <f t="shared" si="3"/>
        <v>44439</v>
      </c>
      <c r="T25" s="315">
        <f>(0.75*'LC (Gross)'!K276)+(0.25*'CRA (Gross)'!E114)</f>
        <v>2.2329071749999998</v>
      </c>
      <c r="U25" s="46">
        <f t="shared" si="9"/>
        <v>1190323.5162130257</v>
      </c>
      <c r="X25" s="39"/>
      <c r="Y25" s="20">
        <f t="shared" si="4"/>
        <v>44439</v>
      </c>
      <c r="Z25" s="315">
        <f>'LC (Gross)'!K276</f>
        <v>3.0406559999999998</v>
      </c>
      <c r="AA25" s="46">
        <f t="shared" si="10"/>
        <v>1262354.6977170394</v>
      </c>
    </row>
    <row r="26" spans="1:29" x14ac:dyDescent="0.25">
      <c r="A26" s="21">
        <v>44469</v>
      </c>
      <c r="B26" s="24">
        <f t="shared" si="5"/>
        <v>10</v>
      </c>
      <c r="C26" s="96" t="s">
        <v>387</v>
      </c>
      <c r="D26" s="27">
        <v>-3.8554617223618131</v>
      </c>
      <c r="E26" s="46">
        <f t="shared" si="6"/>
        <v>1111930.604710191</v>
      </c>
      <c r="G26" s="5">
        <f>(E26/E23-1)*100</f>
        <v>-1.9504124353947883</v>
      </c>
      <c r="I26" s="39"/>
      <c r="J26" s="21">
        <f t="shared" si="2"/>
        <v>44469</v>
      </c>
      <c r="K26" s="24">
        <f t="shared" si="7"/>
        <v>10</v>
      </c>
      <c r="L26" s="96" t="s">
        <v>389</v>
      </c>
      <c r="M26" s="27">
        <v>-3.9579473023977241</v>
      </c>
      <c r="N26" s="46">
        <f t="shared" si="8"/>
        <v>1104505.4720101911</v>
      </c>
      <c r="P26" s="5">
        <f>(N26/N23-1)*100</f>
        <v>-2.263602521413266</v>
      </c>
      <c r="R26" s="39"/>
      <c r="S26" s="20">
        <f t="shared" si="3"/>
        <v>44469</v>
      </c>
      <c r="T26" s="315">
        <f>(0.75*'LC (Gross)'!K277)+(0.25*'CRA (Gross)'!E115)</f>
        <v>-3.7057773749999998</v>
      </c>
      <c r="U26" s="46">
        <f t="shared" si="9"/>
        <v>1146212.7766598989</v>
      </c>
      <c r="W26" s="5">
        <f>(U26/U23-1)*100</f>
        <v>0.47337583689561757</v>
      </c>
      <c r="X26" s="39"/>
      <c r="Y26" s="20">
        <f t="shared" si="4"/>
        <v>44469</v>
      </c>
      <c r="Z26" s="315">
        <f>'LC (Gross)'!K277</f>
        <v>-4.6523870000000001</v>
      </c>
      <c r="AA26" s="46">
        <f t="shared" si="10"/>
        <v>1203625.0718665626</v>
      </c>
      <c r="AC26" s="5">
        <f>(AA26/AA23-1)*100</f>
        <v>0.58047899841013884</v>
      </c>
    </row>
    <row r="27" spans="1:29" x14ac:dyDescent="0.25">
      <c r="A27" s="21">
        <v>44500</v>
      </c>
      <c r="B27" s="24">
        <f t="shared" si="5"/>
        <v>11</v>
      </c>
      <c r="C27" s="96" t="s">
        <v>387</v>
      </c>
      <c r="D27" s="27">
        <v>5.8209877699821035</v>
      </c>
      <c r="E27" s="46">
        <f t="shared" si="6"/>
        <v>1176655.9492210592</v>
      </c>
      <c r="I27" s="39"/>
      <c r="J27" s="21">
        <f t="shared" si="2"/>
        <v>44500</v>
      </c>
      <c r="K27" s="24">
        <f t="shared" si="7"/>
        <v>11</v>
      </c>
      <c r="L27" s="96" t="s">
        <v>389</v>
      </c>
      <c r="M27" s="27">
        <v>5.708312837587731</v>
      </c>
      <c r="N27" s="46">
        <f t="shared" si="8"/>
        <v>1167554.0996608078</v>
      </c>
      <c r="R27" s="39"/>
      <c r="S27" s="20">
        <f t="shared" si="3"/>
        <v>44500</v>
      </c>
      <c r="T27" s="315">
        <f>(0.75*'LC (Gross)'!K278)+(0.25*'CRA (Gross)'!E116)</f>
        <v>5.2469438774999997</v>
      </c>
      <c r="U27" s="46">
        <f t="shared" si="9"/>
        <v>1206353.9177679783</v>
      </c>
      <c r="X27" s="39"/>
      <c r="Y27" s="20">
        <f t="shared" si="4"/>
        <v>44500</v>
      </c>
      <c r="Z27" s="315">
        <f>'LC (Gross)'!K278</f>
        <v>7.0051259999999997</v>
      </c>
      <c r="AA27" s="46">
        <f t="shared" si="10"/>
        <v>1287940.5247184059</v>
      </c>
    </row>
    <row r="28" spans="1:29" x14ac:dyDescent="0.25">
      <c r="A28" s="21">
        <v>44530</v>
      </c>
      <c r="B28" s="24">
        <f t="shared" si="5"/>
        <v>12</v>
      </c>
      <c r="C28" s="96" t="s">
        <v>387</v>
      </c>
      <c r="D28" s="27">
        <v>-2.021821210614227</v>
      </c>
      <c r="E28" s="46">
        <f t="shared" si="6"/>
        <v>1152866.0696637537</v>
      </c>
      <c r="I28" s="39"/>
      <c r="J28" s="21">
        <f t="shared" si="2"/>
        <v>44530</v>
      </c>
      <c r="K28" s="24">
        <f t="shared" si="7"/>
        <v>12</v>
      </c>
      <c r="L28" s="96" t="s">
        <v>389</v>
      </c>
      <c r="M28" s="27">
        <v>-2.1253689668750471</v>
      </c>
      <c r="N28" s="46">
        <f t="shared" si="8"/>
        <v>1142739.2671551395</v>
      </c>
      <c r="R28" s="39"/>
      <c r="S28" s="20">
        <f t="shared" si="3"/>
        <v>44530</v>
      </c>
      <c r="T28" s="315">
        <f>(0.75*'LC (Gross)'!K279)+(0.25*'CRA (Gross)'!E117)</f>
        <v>-0.44725332500000003</v>
      </c>
      <c r="U28" s="46">
        <f t="shared" si="9"/>
        <v>1200958.4597594931</v>
      </c>
      <c r="X28" s="39"/>
      <c r="Y28" s="20">
        <f t="shared" si="4"/>
        <v>44530</v>
      </c>
      <c r="Z28" s="315">
        <f>'LC (Gross)'!K279</f>
        <v>-0.69502620000000004</v>
      </c>
      <c r="AA28" s="46">
        <f t="shared" si="10"/>
        <v>1278989.0006311955</v>
      </c>
    </row>
    <row r="29" spans="1:29" x14ac:dyDescent="0.25">
      <c r="A29" s="21">
        <v>44561</v>
      </c>
      <c r="B29" s="24">
        <f t="shared" si="5"/>
        <v>13</v>
      </c>
      <c r="C29" s="96" t="s">
        <v>387</v>
      </c>
      <c r="D29" s="27">
        <v>2.4271729032485885</v>
      </c>
      <c r="E29" s="46">
        <f t="shared" si="6"/>
        <v>1180848.1225173795</v>
      </c>
      <c r="F29" s="12">
        <f>((E29-$E$17)/$E$17)*100</f>
        <v>14.512036706495293</v>
      </c>
      <c r="G29" s="5">
        <f>(E29/E26-1)*100</f>
        <v>6.1980052995439294</v>
      </c>
      <c r="I29" s="39"/>
      <c r="J29" s="21">
        <f t="shared" si="2"/>
        <v>44561</v>
      </c>
      <c r="K29" s="24">
        <f t="shared" si="7"/>
        <v>13</v>
      </c>
      <c r="L29" s="96" t="s">
        <v>389</v>
      </c>
      <c r="M29" s="27">
        <v>2.3167640999682257</v>
      </c>
      <c r="N29" s="46">
        <f t="shared" si="8"/>
        <v>1169213.8402528297</v>
      </c>
      <c r="O29" s="12">
        <f>((N29-$N$17)/$N$17)*100</f>
        <v>13.383809178901252</v>
      </c>
      <c r="P29" s="5">
        <f>(N29/N26-1)*100</f>
        <v>5.8585828574366339</v>
      </c>
      <c r="R29" s="39"/>
      <c r="S29" s="20">
        <f t="shared" si="3"/>
        <v>44561</v>
      </c>
      <c r="T29" s="315">
        <f>(0.75*'LC (Gross)'!K280)+(0.25*'CRA (Gross)'!E118)</f>
        <v>3.2916846749999999</v>
      </c>
      <c r="U29" s="46">
        <f t="shared" si="9"/>
        <v>1240490.2253325125</v>
      </c>
      <c r="V29" s="12">
        <f>((U29-$U$17)/$U$17)*100</f>
        <v>20.534929978302564</v>
      </c>
      <c r="W29" s="5">
        <f>(U29/U26-1)*100</f>
        <v>8.225126310957819</v>
      </c>
      <c r="X29" s="39"/>
      <c r="Y29" s="20">
        <f t="shared" si="4"/>
        <v>44561</v>
      </c>
      <c r="Z29" s="315">
        <f>'LC (Gross)'!K280</f>
        <v>4.4741809999999997</v>
      </c>
      <c r="AA29" s="46">
        <f t="shared" si="10"/>
        <v>1336213.2834895262</v>
      </c>
      <c r="AB29" s="12">
        <f>((AA29-$AA$17)/$AA$17)*100</f>
        <v>28.678393633262683</v>
      </c>
      <c r="AC29" s="5">
        <f>(AA29/AA26-1)*100</f>
        <v>11.015740260158257</v>
      </c>
    </row>
    <row r="30" spans="1:29" x14ac:dyDescent="0.25">
      <c r="A30" s="21">
        <v>44592</v>
      </c>
      <c r="B30" s="24">
        <f t="shared" si="5"/>
        <v>14</v>
      </c>
      <c r="C30" s="96" t="s">
        <v>387</v>
      </c>
      <c r="D30" s="27">
        <v>-6.1857307163460424</v>
      </c>
      <c r="E30" s="46">
        <f t="shared" si="6"/>
        <v>1107804.0374894263</v>
      </c>
      <c r="I30" s="39"/>
      <c r="J30" s="21">
        <f t="shared" si="2"/>
        <v>44592</v>
      </c>
      <c r="K30" s="24">
        <f t="shared" si="7"/>
        <v>14</v>
      </c>
      <c r="L30" s="96" t="s">
        <v>389</v>
      </c>
      <c r="M30" s="27">
        <v>-6.2885867620952247</v>
      </c>
      <c r="N30" s="46">
        <f t="shared" si="8"/>
        <v>1095686.813474105</v>
      </c>
      <c r="R30" s="39"/>
      <c r="S30" s="20">
        <f t="shared" si="3"/>
        <v>44592</v>
      </c>
      <c r="T30" s="315">
        <f>(0.75*'LC (Gross)'!K281)+(0.25*'CRA (Gross)'!E119)</f>
        <v>-4.4197534999999997</v>
      </c>
      <c r="U30" s="46">
        <f t="shared" si="9"/>
        <v>1185663.6151812209</v>
      </c>
      <c r="X30" s="39"/>
      <c r="Y30" s="20">
        <f t="shared" si="4"/>
        <v>44592</v>
      </c>
      <c r="Z30" s="315">
        <f>'LC (Gross)'!K281</f>
        <v>-5.1748589999999997</v>
      </c>
      <c r="AA30" s="46">
        <f t="shared" si="10"/>
        <v>1267066.1301296731</v>
      </c>
    </row>
    <row r="31" spans="1:29" x14ac:dyDescent="0.25">
      <c r="A31" s="21">
        <v>44620</v>
      </c>
      <c r="B31" s="24">
        <f t="shared" si="5"/>
        <v>15</v>
      </c>
      <c r="C31" s="96" t="s">
        <v>387</v>
      </c>
      <c r="D31" s="27">
        <v>-0.50347582757006515</v>
      </c>
      <c r="E31" s="46">
        <f t="shared" si="6"/>
        <v>1102226.5119438218</v>
      </c>
      <c r="I31" s="39"/>
      <c r="J31" s="21">
        <f t="shared" si="2"/>
        <v>44620</v>
      </c>
      <c r="K31" s="24">
        <f t="shared" si="7"/>
        <v>15</v>
      </c>
      <c r="L31" s="96" t="s">
        <v>389</v>
      </c>
      <c r="M31" s="27">
        <v>-0.60138879794030176</v>
      </c>
      <c r="N31" s="46">
        <f t="shared" si="8"/>
        <v>1089097.4757173627</v>
      </c>
      <c r="R31" s="39"/>
      <c r="S31" s="20">
        <f t="shared" si="3"/>
        <v>44620</v>
      </c>
      <c r="T31" s="315">
        <f>(0.75*'LC (Gross)'!K282)+(0.25*'CRA (Gross)'!E120)</f>
        <v>-2.5266864999999998</v>
      </c>
      <c r="U31" s="46">
        <f t="shared" si="9"/>
        <v>1155705.6126810252</v>
      </c>
      <c r="X31" s="39"/>
      <c r="Y31" s="20">
        <f t="shared" si="4"/>
        <v>44620</v>
      </c>
      <c r="Z31" s="315">
        <f>'LC (Gross)'!K282</f>
        <v>-2.9970180000000002</v>
      </c>
      <c r="AA31" s="46">
        <f t="shared" si="10"/>
        <v>1229091.9301377833</v>
      </c>
    </row>
    <row r="32" spans="1:29" x14ac:dyDescent="0.25">
      <c r="A32" s="21">
        <v>44651</v>
      </c>
      <c r="B32" s="24">
        <f t="shared" si="5"/>
        <v>16</v>
      </c>
      <c r="C32" s="96" t="s">
        <v>387</v>
      </c>
      <c r="D32" s="27">
        <v>0.66804159589402978</v>
      </c>
      <c r="E32" s="46">
        <f t="shared" si="6"/>
        <v>1109589.8435245785</v>
      </c>
      <c r="G32" s="5">
        <f>(E32/E29-1)*100</f>
        <v>-6.0344999186592858</v>
      </c>
      <c r="I32" s="39"/>
      <c r="J32" s="21">
        <f t="shared" si="2"/>
        <v>44651</v>
      </c>
      <c r="K32" s="24">
        <f t="shared" si="7"/>
        <v>16</v>
      </c>
      <c r="L32" s="96" t="s">
        <v>389</v>
      </c>
      <c r="M32" s="27">
        <v>0.55848941241021544</v>
      </c>
      <c r="N32" s="46">
        <f t="shared" si="8"/>
        <v>1095179.9698100712</v>
      </c>
      <c r="P32" s="5">
        <f>(N32/N29-1)*100</f>
        <v>-6.3319358610012255</v>
      </c>
      <c r="R32" s="39"/>
      <c r="S32" s="20">
        <f t="shared" si="3"/>
        <v>44651</v>
      </c>
      <c r="T32" s="315">
        <f>(0.75*'LC (Gross)'!K283)+(0.25*'CRA (Gross)'!E121)</f>
        <v>2.0892712500000004</v>
      </c>
      <c r="U32" s="46">
        <f t="shared" si="9"/>
        <v>1179851.4377814061</v>
      </c>
      <c r="W32" s="5">
        <f>(U32/U29-1)*100</f>
        <v>-4.8882922503361348</v>
      </c>
      <c r="X32" s="39"/>
      <c r="Y32" s="20">
        <f t="shared" si="4"/>
        <v>44651</v>
      </c>
      <c r="Z32" s="315">
        <f>'LC (Gross)'!K283</f>
        <v>3.7118120000000001</v>
      </c>
      <c r="AA32" s="46">
        <f t="shared" si="10"/>
        <v>1274713.5118916691</v>
      </c>
      <c r="AC32" s="5">
        <f>(AA32/AA29-1)*100</f>
        <v>-4.602541552142803</v>
      </c>
    </row>
    <row r="33" spans="1:30" x14ac:dyDescent="0.25">
      <c r="A33" s="21">
        <v>44681</v>
      </c>
      <c r="B33" s="24">
        <f t="shared" si="5"/>
        <v>17</v>
      </c>
      <c r="C33" s="96" t="s">
        <v>387</v>
      </c>
      <c r="D33" s="27">
        <v>-4.1635150000000003</v>
      </c>
      <c r="E33" s="46">
        <f t="shared" si="6"/>
        <v>1063391.9039509562</v>
      </c>
      <c r="I33" s="39"/>
      <c r="J33" s="21">
        <f t="shared" si="2"/>
        <v>44681</v>
      </c>
      <c r="K33" s="24">
        <f t="shared" si="7"/>
        <v>17</v>
      </c>
      <c r="L33" s="96" t="s">
        <v>389</v>
      </c>
      <c r="M33" s="27">
        <v>-4.1881420004732126</v>
      </c>
      <c r="N33" s="46">
        <f t="shared" si="8"/>
        <v>1049312.2775136856</v>
      </c>
      <c r="R33" s="39"/>
      <c r="S33" s="20">
        <f t="shared" si="3"/>
        <v>44681</v>
      </c>
      <c r="T33" s="315">
        <f>(0.75*'LC (Gross)'!K284)+(0.25*'CRA (Gross)'!E122)</f>
        <v>-7.4887340000000009</v>
      </c>
      <c r="U33" s="46">
        <f t="shared" si="9"/>
        <v>1091495.5020107811</v>
      </c>
      <c r="X33" s="39"/>
      <c r="Y33" s="20">
        <f t="shared" si="4"/>
        <v>44681</v>
      </c>
      <c r="Z33" s="315">
        <f>'LC (Gross)'!K284</f>
        <v>-8.7200340000000001</v>
      </c>
      <c r="AA33" s="46">
        <f t="shared" si="10"/>
        <v>1163558.0602521216</v>
      </c>
    </row>
    <row r="34" spans="1:30" x14ac:dyDescent="0.25">
      <c r="A34" s="21">
        <v>44712</v>
      </c>
      <c r="B34" s="24">
        <f t="shared" si="5"/>
        <v>18</v>
      </c>
      <c r="C34" s="96" t="s">
        <v>387</v>
      </c>
      <c r="D34" s="27">
        <v>0.79480099999999998</v>
      </c>
      <c r="E34" s="46">
        <f t="shared" si="6"/>
        <v>1071843.7534374774</v>
      </c>
      <c r="I34" s="39"/>
      <c r="J34" s="21">
        <f t="shared" ref="J34:J40" si="11">A34</f>
        <v>44712</v>
      </c>
      <c r="K34" s="24">
        <f t="shared" ref="K34:K40" si="12">IF(J34&gt;J33,1+K33,"-")</f>
        <v>18</v>
      </c>
      <c r="L34" s="96" t="s">
        <v>389</v>
      </c>
      <c r="M34" s="27">
        <v>0.76965899999999998</v>
      </c>
      <c r="N34" s="46">
        <f t="shared" si="8"/>
        <v>1057388.4038956747</v>
      </c>
      <c r="R34" s="39"/>
      <c r="S34" s="20">
        <f t="shared" si="3"/>
        <v>44712</v>
      </c>
      <c r="T34" s="315">
        <f>(0.75*'LC (Gross)'!K285)+(0.25*'CRA (Gross)'!E123)</f>
        <v>0.29881597500000001</v>
      </c>
      <c r="U34" s="46">
        <f t="shared" si="9"/>
        <v>1094757.0649371957</v>
      </c>
      <c r="X34" s="39"/>
      <c r="Y34" s="20">
        <f t="shared" si="4"/>
        <v>44712</v>
      </c>
      <c r="Z34" s="315">
        <f>'LC (Gross)'!K285</f>
        <v>0.18353</v>
      </c>
      <c r="AA34" s="46">
        <f t="shared" si="10"/>
        <v>1165693.5383601023</v>
      </c>
    </row>
    <row r="35" spans="1:30" x14ac:dyDescent="0.25">
      <c r="A35" s="21">
        <v>44742</v>
      </c>
      <c r="B35" s="24">
        <f t="shared" si="5"/>
        <v>19</v>
      </c>
      <c r="C35" s="96" t="s">
        <v>387</v>
      </c>
      <c r="D35" s="27">
        <v>-4.2071329999999998</v>
      </c>
      <c r="E35" s="46">
        <f t="shared" si="6"/>
        <v>1026749.8611781707</v>
      </c>
      <c r="F35" s="37"/>
      <c r="G35" s="5">
        <f>(E35/E32-1)*100</f>
        <v>-7.4658201703855838</v>
      </c>
      <c r="I35" s="39"/>
      <c r="J35" s="21">
        <f t="shared" si="11"/>
        <v>44742</v>
      </c>
      <c r="K35" s="24">
        <f t="shared" si="12"/>
        <v>19</v>
      </c>
      <c r="L35" s="96" t="s">
        <v>389</v>
      </c>
      <c r="M35" s="27">
        <v>-4.2316850000000006</v>
      </c>
      <c r="N35" s="46">
        <f t="shared" si="8"/>
        <v>1012643.057416282</v>
      </c>
      <c r="O35" s="37"/>
      <c r="P35" s="5">
        <f>(N35/N32-1)*100</f>
        <v>-7.5363789211834176</v>
      </c>
      <c r="R35" s="39"/>
      <c r="S35" s="20">
        <f t="shared" si="3"/>
        <v>44742</v>
      </c>
      <c r="T35" s="315">
        <f>(0.75*'LC (Gross)'!K286)+(0.25*'CRA (Gross)'!E124)</f>
        <v>-6.5872779999999995</v>
      </c>
      <c r="U35" s="46">
        <f t="shared" si="9"/>
        <v>1022642.3736451422</v>
      </c>
      <c r="V35" s="12"/>
      <c r="W35" s="5">
        <f>(U35/U32-1)*100</f>
        <v>-13.324479599896065</v>
      </c>
      <c r="X35" s="39"/>
      <c r="Y35" s="20">
        <f t="shared" si="4"/>
        <v>44742</v>
      </c>
      <c r="Z35" s="315">
        <f>'LC (Gross)'!K286</f>
        <v>-8.2601279999999999</v>
      </c>
      <c r="AA35" s="46">
        <f t="shared" si="10"/>
        <v>1069405.7600038289</v>
      </c>
      <c r="AB35" s="37"/>
      <c r="AC35" s="5">
        <f>(AA35/AA32-1)*100</f>
        <v>-16.106187780434244</v>
      </c>
      <c r="AD35" s="1"/>
    </row>
    <row r="36" spans="1:30" x14ac:dyDescent="0.25">
      <c r="A36" s="21">
        <v>44773</v>
      </c>
      <c r="B36" s="24">
        <f t="shared" si="5"/>
        <v>20</v>
      </c>
      <c r="C36" s="96" t="s">
        <v>387</v>
      </c>
      <c r="D36" s="27">
        <v>1.5188668000000001</v>
      </c>
      <c r="E36" s="46">
        <f t="shared" ref="E36:E37" si="13">E35*D36/100+E35</f>
        <v>1042344.8239386519</v>
      </c>
      <c r="F36" s="12"/>
      <c r="I36" s="39"/>
      <c r="J36" s="21">
        <f t="shared" si="11"/>
        <v>44773</v>
      </c>
      <c r="K36" s="24">
        <f t="shared" si="12"/>
        <v>20</v>
      </c>
      <c r="L36" s="96" t="s">
        <v>389</v>
      </c>
      <c r="M36" s="27">
        <v>1.4936524561250299</v>
      </c>
      <c r="N36" s="46">
        <f t="shared" ref="N36" si="14">N35*M36/100+N35</f>
        <v>1027768.42531516</v>
      </c>
      <c r="O36" s="12"/>
      <c r="R36" s="39"/>
      <c r="S36" s="20">
        <f t="shared" si="3"/>
        <v>44773</v>
      </c>
      <c r="T36" s="315">
        <f>(0.75*'LC (Gross)'!K287)+(0.25*'CRA (Gross)'!E125)</f>
        <v>7.5263732499999989</v>
      </c>
      <c r="U36" s="46">
        <f t="shared" ref="U36" si="15">U35*T36/100+U35</f>
        <v>1099610.2556983351</v>
      </c>
      <c r="V36" s="12"/>
      <c r="X36" s="39"/>
      <c r="Y36" s="20">
        <f t="shared" si="4"/>
        <v>44773</v>
      </c>
      <c r="Z36" s="315">
        <f>'LC (Gross)'!K287</f>
        <v>9.2206969999999995</v>
      </c>
      <c r="AA36" s="46">
        <f t="shared" ref="AA36" si="16">AA35*Z36/100+AA35</f>
        <v>1168012.4248343292</v>
      </c>
      <c r="AB36" s="12"/>
    </row>
    <row r="37" spans="1:30" x14ac:dyDescent="0.25">
      <c r="A37" s="21">
        <v>44804</v>
      </c>
      <c r="B37" s="24">
        <f t="shared" si="5"/>
        <v>21</v>
      </c>
      <c r="C37" s="96" t="s">
        <v>387</v>
      </c>
      <c r="D37" s="27">
        <v>-2.5132501</v>
      </c>
      <c r="E37" s="46">
        <f t="shared" si="13"/>
        <v>1016148.0916086689</v>
      </c>
      <c r="F37" s="12"/>
      <c r="I37" s="39"/>
      <c r="J37" s="21">
        <f t="shared" si="11"/>
        <v>44804</v>
      </c>
      <c r="K37" s="24">
        <f t="shared" si="12"/>
        <v>21</v>
      </c>
      <c r="L37" s="96" t="s">
        <v>389</v>
      </c>
      <c r="M37" s="27">
        <v>-2.53838278888741</v>
      </c>
      <c r="N37" s="46">
        <f t="shared" ref="N37" si="17">N36*M37/100+N36</f>
        <v>1001679.7284973408</v>
      </c>
      <c r="O37" s="12"/>
      <c r="R37" s="39"/>
      <c r="S37" s="20">
        <f t="shared" si="3"/>
        <v>44804</v>
      </c>
      <c r="T37" s="315">
        <f>(0.75*'LC (Gross)'!K288)+(0.25*'CRA (Gross)'!E126)</f>
        <v>-3.7650104999999998</v>
      </c>
      <c r="U37" s="46">
        <f t="shared" ref="U37" si="18">U36*T37/100+U36</f>
        <v>1058209.814112216</v>
      </c>
      <c r="V37" s="12"/>
      <c r="X37" s="39"/>
      <c r="Y37" s="20">
        <f t="shared" si="4"/>
        <v>44804</v>
      </c>
      <c r="Z37" s="315">
        <f>'LC (Gross)'!K288</f>
        <v>-4.0782619999999996</v>
      </c>
      <c r="AA37" s="46">
        <f t="shared" ref="AA37" si="19">AA36*Z37/100+AA36</f>
        <v>1120377.8179570322</v>
      </c>
      <c r="AB37" s="12"/>
    </row>
    <row r="38" spans="1:30" x14ac:dyDescent="0.25">
      <c r="A38" s="21">
        <v>44834</v>
      </c>
      <c r="B38" s="24">
        <f t="shared" si="5"/>
        <v>22</v>
      </c>
      <c r="C38" s="96" t="s">
        <v>387</v>
      </c>
      <c r="D38" s="27">
        <v>-4.3837363532790254</v>
      </c>
      <c r="E38" s="46">
        <f t="shared" ref="E38" si="20">E37*D38/100+E37</f>
        <v>971602.83831366862</v>
      </c>
      <c r="F38" s="12"/>
      <c r="G38" s="5">
        <f>(E38/E35-1)*100</f>
        <v>-5.3710280322046611</v>
      </c>
      <c r="I38" s="39"/>
      <c r="J38" s="21">
        <f t="shared" si="11"/>
        <v>44834</v>
      </c>
      <c r="K38" s="24">
        <f t="shared" si="12"/>
        <v>22</v>
      </c>
      <c r="L38" s="96" t="s">
        <v>389</v>
      </c>
      <c r="M38" s="27">
        <v>-4.436576212555245</v>
      </c>
      <c r="N38" s="46">
        <f t="shared" ref="N38" si="21">N37*M38/100+N37</f>
        <v>957239.44393683982</v>
      </c>
      <c r="O38" s="12"/>
      <c r="P38" s="5">
        <f>(N38/N35-1)*100</f>
        <v>-5.4711887938877819</v>
      </c>
      <c r="R38" s="39"/>
      <c r="S38" s="20">
        <f t="shared" si="3"/>
        <v>44834</v>
      </c>
      <c r="T38" s="315">
        <f>(0.75*'LC (Gross)'!K289)+(0.25*'CRA (Gross)'!E127)</f>
        <v>-7.9933987499999999</v>
      </c>
      <c r="U38" s="46">
        <f t="shared" ref="U38" si="22">U37*T38/100+U37</f>
        <v>973622.88405859284</v>
      </c>
      <c r="V38" s="12"/>
      <c r="W38" s="5">
        <f>(U38/U35-1)*100</f>
        <v>-4.7934146726017808</v>
      </c>
      <c r="X38" s="39"/>
      <c r="Y38" s="20">
        <f t="shared" si="4"/>
        <v>44834</v>
      </c>
      <c r="Z38" s="315">
        <f>'LC (Gross)'!K289</f>
        <v>-9.2175670000000007</v>
      </c>
      <c r="AA38" s="46">
        <f t="shared" ref="AA38" si="23">AA37*Z38/100+AA37</f>
        <v>1017106.2419337048</v>
      </c>
      <c r="AB38" s="12"/>
      <c r="AC38" s="5">
        <f>(AA38/AA35-1)*100</f>
        <v>-4.8905214490276183</v>
      </c>
    </row>
    <row r="39" spans="1:30" x14ac:dyDescent="0.25">
      <c r="A39" s="21">
        <v>44865</v>
      </c>
      <c r="B39" s="24">
        <f t="shared" si="5"/>
        <v>23</v>
      </c>
      <c r="C39" s="96" t="s">
        <v>387</v>
      </c>
      <c r="D39" s="27">
        <v>4.8297191455539128</v>
      </c>
      <c r="E39" s="46">
        <f t="shared" ref="E39" si="24">E38*D39/100+E38</f>
        <v>1018528.5266144491</v>
      </c>
      <c r="F39" s="12"/>
      <c r="G39" s="5"/>
      <c r="I39" s="39"/>
      <c r="J39" s="21">
        <f t="shared" si="11"/>
        <v>44865</v>
      </c>
      <c r="K39" s="24">
        <f t="shared" si="12"/>
        <v>23</v>
      </c>
      <c r="L39" s="96" t="s">
        <v>389</v>
      </c>
      <c r="M39" s="27">
        <v>4.7731558664758795</v>
      </c>
      <c r="N39" s="46">
        <f t="shared" ref="N39" si="25">N38*M39/100+N38</f>
        <v>1002929.9746113322</v>
      </c>
      <c r="O39" s="12"/>
      <c r="P39" s="5"/>
      <c r="R39" s="39"/>
      <c r="S39" s="20">
        <f t="shared" si="3"/>
        <v>44865</v>
      </c>
      <c r="T39" s="315">
        <f>(0.75*'LC (Gross)'!K290)+(0.25*'CRA (Gross)'!E128)</f>
        <v>5.7484185000000005</v>
      </c>
      <c r="U39" s="46">
        <f t="shared" ref="U39" si="26">U38*T39/100+U38</f>
        <v>1029590.8020460506</v>
      </c>
      <c r="V39" s="12"/>
      <c r="X39" s="39"/>
      <c r="Y39" s="20">
        <f t="shared" si="4"/>
        <v>44865</v>
      </c>
      <c r="Z39" s="315">
        <f>'LC (Gross)'!K290</f>
        <v>8.0963370000000001</v>
      </c>
      <c r="AA39" s="46">
        <f t="shared" ref="AA39" si="27">AA38*Z39/100+AA38</f>
        <v>1099454.5909286928</v>
      </c>
      <c r="AB39" s="12"/>
    </row>
    <row r="40" spans="1:30" x14ac:dyDescent="0.25">
      <c r="A40" s="21">
        <v>44895</v>
      </c>
      <c r="B40" s="24">
        <f t="shared" si="5"/>
        <v>24</v>
      </c>
      <c r="C40" s="96" t="s">
        <v>387</v>
      </c>
      <c r="D40" s="27">
        <v>3.5538009025949511</v>
      </c>
      <c r="E40" s="46">
        <f t="shared" ref="E40:E46" si="28">E39*D40/100+E39</f>
        <v>1054725.0025864604</v>
      </c>
      <c r="F40" s="12"/>
      <c r="G40" s="5"/>
      <c r="I40" s="39"/>
      <c r="J40" s="21">
        <f t="shared" si="11"/>
        <v>44895</v>
      </c>
      <c r="K40" s="24">
        <f t="shared" si="12"/>
        <v>24</v>
      </c>
      <c r="L40" s="96" t="s">
        <v>389</v>
      </c>
      <c r="M40" s="27">
        <v>3.4392533791975737</v>
      </c>
      <c r="N40" s="46">
        <f t="shared" ref="N40:N46" si="29">N39*M40/100+N39</f>
        <v>1037423.2776541378</v>
      </c>
      <c r="O40" s="12"/>
      <c r="P40" s="5"/>
      <c r="R40" s="39"/>
      <c r="S40" s="20">
        <f t="shared" si="3"/>
        <v>44895</v>
      </c>
      <c r="T40" s="315">
        <f>(0.75*'LC (Gross)'!K291)+(0.25*'CRA (Gross)'!E129)</f>
        <v>5.1107027499999997</v>
      </c>
      <c r="U40" s="46">
        <f t="shared" ref="U40:U46" si="30">U39*T40/100+U39</f>
        <v>1082210.1274799651</v>
      </c>
      <c r="V40" s="12"/>
      <c r="X40" s="39"/>
      <c r="Y40" s="20">
        <f t="shared" si="4"/>
        <v>44895</v>
      </c>
      <c r="Z40" s="315">
        <f>'LC (Gross)'!K291</f>
        <v>5.5884159999999996</v>
      </c>
      <c r="AA40" s="46">
        <f t="shared" ref="AA40:AA46" si="31">AA39*Z40/100+AA39</f>
        <v>1160896.6872008864</v>
      </c>
      <c r="AB40" s="12"/>
    </row>
    <row r="41" spans="1:30" x14ac:dyDescent="0.25">
      <c r="A41" s="21">
        <v>44926</v>
      </c>
      <c r="B41" s="24">
        <f t="shared" si="5"/>
        <v>25</v>
      </c>
      <c r="C41" s="96" t="s">
        <v>387</v>
      </c>
      <c r="D41" s="27">
        <v>-2.6452988201490788</v>
      </c>
      <c r="E41" s="46">
        <f t="shared" si="28"/>
        <v>1026824.3745372235</v>
      </c>
      <c r="F41" s="12">
        <f>((E41-$E$29)/$E$29)*100</f>
        <v>-13.043485020901924</v>
      </c>
      <c r="G41" s="5">
        <f>(E41/E38-1)*100</f>
        <v>5.6835503197374626</v>
      </c>
      <c r="I41" s="39"/>
      <c r="J41" s="21">
        <f t="shared" ref="J41:J46" si="32">A41</f>
        <v>44926</v>
      </c>
      <c r="K41" s="24">
        <f t="shared" ref="K41:K46" si="33">IF(J41&gt;J40,1+K40,"-")</f>
        <v>25</v>
      </c>
      <c r="L41" s="96" t="s">
        <v>389</v>
      </c>
      <c r="M41" s="27">
        <v>-2.7367923654741619</v>
      </c>
      <c r="N41" s="46">
        <f t="shared" si="29"/>
        <v>1009031.1565936476</v>
      </c>
      <c r="O41" s="12">
        <f>((N41-$N$29)/$N$29)*100</f>
        <v>-13.700033145737004</v>
      </c>
      <c r="P41" s="5">
        <f>(N41/N38-1)*100</f>
        <v>5.4105284717274049</v>
      </c>
      <c r="R41" s="39"/>
      <c r="S41" s="20">
        <f t="shared" si="3"/>
        <v>44926</v>
      </c>
      <c r="T41" s="315">
        <f>(0.75*'LC (Gross)'!K292)+(0.25*'CRA (Gross)'!E130)</f>
        <v>-4.4413350000000005</v>
      </c>
      <c r="U41" s="46">
        <f t="shared" si="30"/>
        <v>1034145.5503146527</v>
      </c>
      <c r="V41" s="12">
        <f>((U41-$U$29)/$U$29)*100</f>
        <v>-16.634123413793869</v>
      </c>
      <c r="W41" s="5">
        <f>(U41/U38-1)*100</f>
        <v>6.2162329221113088</v>
      </c>
      <c r="X41" s="39"/>
      <c r="Y41" s="20">
        <f t="shared" si="4"/>
        <v>44926</v>
      </c>
      <c r="Z41" s="315">
        <f>'LC (Gross)'!K292</f>
        <v>-5.7714730000000003</v>
      </c>
      <c r="AA41" s="46">
        <f t="shared" si="31"/>
        <v>1093895.8483411928</v>
      </c>
      <c r="AB41" s="12">
        <f>((AA41-$AA$29)/$AA$29)*100</f>
        <v>-18.134637497055898</v>
      </c>
      <c r="AC41" s="5">
        <f>(AA41/AA38-1)*100</f>
        <v>7.5498117346617599</v>
      </c>
    </row>
    <row r="42" spans="1:30" x14ac:dyDescent="0.25">
      <c r="A42" s="21">
        <v>44957</v>
      </c>
      <c r="B42" s="24">
        <f t="shared" si="5"/>
        <v>26</v>
      </c>
      <c r="C42" s="96" t="s">
        <v>387</v>
      </c>
      <c r="D42" s="27">
        <v>3.6398194122962626</v>
      </c>
      <c r="E42" s="46">
        <f t="shared" si="28"/>
        <v>1064198.9274518189</v>
      </c>
      <c r="F42" s="12"/>
      <c r="G42" s="5"/>
      <c r="I42" s="39"/>
      <c r="J42" s="21">
        <f t="shared" si="32"/>
        <v>44957</v>
      </c>
      <c r="K42" s="24">
        <f t="shared" si="33"/>
        <v>26</v>
      </c>
      <c r="L42" s="96" t="s">
        <v>389</v>
      </c>
      <c r="M42" s="27">
        <v>3.5663676446310069</v>
      </c>
      <c r="N42" s="46">
        <f t="shared" si="29"/>
        <v>1045016.9172866495</v>
      </c>
      <c r="O42" s="12"/>
      <c r="P42" s="5"/>
      <c r="R42" s="39"/>
      <c r="S42" s="20">
        <f t="shared" si="3"/>
        <v>44957</v>
      </c>
      <c r="T42" s="315">
        <f>(0.75*'LC (Gross)'!K293)+(0.25*'CRA (Gross)'!E131)</f>
        <v>5.4812890000000003</v>
      </c>
      <c r="U42" s="46">
        <f t="shared" si="30"/>
        <v>1090830.0566080392</v>
      </c>
      <c r="V42" s="12"/>
      <c r="X42" s="39"/>
      <c r="Y42" s="20">
        <f t="shared" si="4"/>
        <v>44957</v>
      </c>
      <c r="Z42" s="315">
        <f>'LC (Gross)'!K293</f>
        <v>6.2828720000000002</v>
      </c>
      <c r="AA42" s="46">
        <f t="shared" si="31"/>
        <v>1162623.9243057841</v>
      </c>
      <c r="AB42" s="12"/>
    </row>
    <row r="43" spans="1:30" x14ac:dyDescent="0.25">
      <c r="A43" s="21">
        <v>44985</v>
      </c>
      <c r="B43" s="24">
        <f t="shared" si="5"/>
        <v>27</v>
      </c>
      <c r="C43" s="96" t="s">
        <v>387</v>
      </c>
      <c r="D43" s="27">
        <v>-2.5199007748046443</v>
      </c>
      <c r="E43" s="46">
        <f t="shared" si="28"/>
        <v>1037382.1704334979</v>
      </c>
      <c r="F43" s="12"/>
      <c r="G43" s="5"/>
      <c r="I43" s="39"/>
      <c r="J43" s="21">
        <f t="shared" si="32"/>
        <v>44985</v>
      </c>
      <c r="K43" s="24">
        <f t="shared" si="33"/>
        <v>27</v>
      </c>
      <c r="L43" s="96" t="s">
        <v>389</v>
      </c>
      <c r="M43" s="27">
        <v>-2.5822696556682163</v>
      </c>
      <c r="N43" s="46">
        <f t="shared" si="29"/>
        <v>1018031.7625349569</v>
      </c>
      <c r="O43" s="12"/>
      <c r="P43" s="5"/>
      <c r="R43" s="39"/>
      <c r="S43" s="20">
        <f t="shared" si="3"/>
        <v>44985</v>
      </c>
      <c r="T43" s="315">
        <f>(0.75*'LC (Gross)'!K294)+(0.25*'CRA (Gross)'!E132)</f>
        <v>-2.4831835</v>
      </c>
      <c r="U43" s="46">
        <f t="shared" si="30"/>
        <v>1063742.7446293077</v>
      </c>
      <c r="V43" s="12"/>
      <c r="X43" s="39"/>
      <c r="Y43" s="20">
        <f t="shared" si="4"/>
        <v>44985</v>
      </c>
      <c r="Z43" s="315">
        <f>'LC (Gross)'!K294</f>
        <v>-2.449071</v>
      </c>
      <c r="AA43" s="46">
        <f t="shared" si="31"/>
        <v>1134150.4389365492</v>
      </c>
      <c r="AB43" s="12"/>
    </row>
    <row r="44" spans="1:30" x14ac:dyDescent="0.25">
      <c r="A44" s="21">
        <v>45016</v>
      </c>
      <c r="B44" s="24">
        <f t="shared" si="5"/>
        <v>28</v>
      </c>
      <c r="C44" s="96" t="s">
        <v>387</v>
      </c>
      <c r="D44" s="27">
        <v>1.7306922549006638</v>
      </c>
      <c r="E44" s="46">
        <f t="shared" si="28"/>
        <v>1055336.0633109107</v>
      </c>
      <c r="F44" s="12"/>
      <c r="G44" s="5">
        <f>(E44/E41-1)*100</f>
        <v>2.7766860118155101</v>
      </c>
      <c r="I44" s="39"/>
      <c r="J44" s="21">
        <f t="shared" si="32"/>
        <v>45016</v>
      </c>
      <c r="K44" s="24">
        <f t="shared" si="33"/>
        <v>28</v>
      </c>
      <c r="L44" s="96" t="s">
        <v>389</v>
      </c>
      <c r="M44" s="27">
        <v>1.6578369457452466</v>
      </c>
      <c r="N44" s="46">
        <f t="shared" si="29"/>
        <v>1034909.0692136829</v>
      </c>
      <c r="O44" s="12"/>
      <c r="P44" s="5">
        <f>(N44/N41-1)*100</f>
        <v>2.5646296896713938</v>
      </c>
      <c r="R44" s="39"/>
      <c r="S44" s="20">
        <f t="shared" si="3"/>
        <v>45016</v>
      </c>
      <c r="T44" s="315">
        <f>(0.75*'LC (Gross)'!K295)+(0.25*'CRA (Gross)'!E133)</f>
        <v>3.3871652499999998</v>
      </c>
      <c r="U44" s="46">
        <f t="shared" si="30"/>
        <v>1099773.4692247878</v>
      </c>
      <c r="V44" s="12"/>
      <c r="W44" s="5">
        <f>(U44/U41-1)*100</f>
        <v>6.346100787279596</v>
      </c>
      <c r="X44" s="39"/>
      <c r="Y44" s="20">
        <f t="shared" si="4"/>
        <v>45016</v>
      </c>
      <c r="Z44" s="315">
        <f>'LC (Gross)'!K295</f>
        <v>3.669584</v>
      </c>
      <c r="AA44" s="46">
        <f t="shared" si="31"/>
        <v>1175769.0419796945</v>
      </c>
      <c r="AB44" s="12"/>
      <c r="AC44" s="5">
        <f>(AA44/AA41-1)*100</f>
        <v>7.4845510898186474</v>
      </c>
    </row>
    <row r="45" spans="1:30" x14ac:dyDescent="0.25">
      <c r="A45" s="21">
        <v>45046</v>
      </c>
      <c r="B45" s="24">
        <f t="shared" si="5"/>
        <v>29</v>
      </c>
      <c r="C45" s="96" t="s">
        <v>387</v>
      </c>
      <c r="D45" s="27">
        <v>0.236043414925383</v>
      </c>
      <c r="E45" s="46">
        <f t="shared" si="28"/>
        <v>1057827.1145936889</v>
      </c>
      <c r="F45" s="12"/>
      <c r="G45" s="5"/>
      <c r="I45" s="39"/>
      <c r="J45" s="21">
        <f t="shared" si="32"/>
        <v>45046</v>
      </c>
      <c r="K45" s="24">
        <f t="shared" si="33"/>
        <v>29</v>
      </c>
      <c r="L45" s="96" t="s">
        <v>389</v>
      </c>
      <c r="M45" s="27">
        <v>0.15710312568143614</v>
      </c>
      <c r="N45" s="46">
        <f t="shared" si="29"/>
        <v>1036534.9437093782</v>
      </c>
      <c r="O45" s="12"/>
      <c r="P45" s="5"/>
      <c r="R45" s="39"/>
      <c r="S45" s="20">
        <f t="shared" si="3"/>
        <v>45046</v>
      </c>
      <c r="T45" s="315">
        <f>(0.75*'LC (Gross)'!K296)+(0.25*'CRA (Gross)'!E134)</f>
        <v>1.3222366750000001</v>
      </c>
      <c r="U45" s="46">
        <f t="shared" si="30"/>
        <v>1114315.0773767978</v>
      </c>
      <c r="V45" s="12"/>
      <c r="X45" s="39"/>
      <c r="Y45" s="20">
        <f t="shared" si="4"/>
        <v>45046</v>
      </c>
      <c r="Z45" s="315">
        <f>'LC (Gross)'!K296</f>
        <v>1.560872</v>
      </c>
      <c r="AA45" s="46">
        <f t="shared" si="31"/>
        <v>1194121.2917406238</v>
      </c>
      <c r="AB45" s="12"/>
    </row>
    <row r="46" spans="1:30" x14ac:dyDescent="0.25">
      <c r="A46" s="21">
        <v>45077</v>
      </c>
      <c r="B46" s="24">
        <f t="shared" si="5"/>
        <v>30</v>
      </c>
      <c r="C46" s="96" t="s">
        <v>387</v>
      </c>
      <c r="D46" s="27">
        <v>-0.75517088081640604</v>
      </c>
      <c r="E46" s="46">
        <f t="shared" si="28"/>
        <v>1049838.712254897</v>
      </c>
      <c r="F46" s="12"/>
      <c r="G46" s="5"/>
      <c r="I46" s="39"/>
      <c r="J46" s="21">
        <f t="shared" si="32"/>
        <v>45077</v>
      </c>
      <c r="K46" s="24">
        <f t="shared" si="33"/>
        <v>30</v>
      </c>
      <c r="L46" s="96" t="s">
        <v>389</v>
      </c>
      <c r="M46" s="27">
        <v>-0.83429706158391603</v>
      </c>
      <c r="N46" s="46">
        <f t="shared" si="29"/>
        <v>1027887.1631317204</v>
      </c>
      <c r="O46" s="12"/>
      <c r="P46" s="5"/>
      <c r="R46" s="39"/>
      <c r="S46" s="20">
        <f t="shared" si="3"/>
        <v>45077</v>
      </c>
      <c r="T46" s="315">
        <f>(0.75*'LC (Gross)'!K297)+(0.25*'CRA (Gross)'!E135)</f>
        <v>5.3907224999999948E-2</v>
      </c>
      <c r="U46" s="46">
        <f t="shared" si="30"/>
        <v>1114915.7737127682</v>
      </c>
      <c r="V46" s="12"/>
      <c r="X46" s="39"/>
      <c r="Y46" s="20">
        <f t="shared" si="4"/>
        <v>45077</v>
      </c>
      <c r="Z46" s="315">
        <f>'LC (Gross)'!K297</f>
        <v>0.43486429999999998</v>
      </c>
      <c r="AA46" s="46">
        <f t="shared" si="31"/>
        <v>1199314.0989371026</v>
      </c>
      <c r="AB46" s="12"/>
    </row>
    <row r="47" spans="1:30" x14ac:dyDescent="0.25">
      <c r="A47" s="21">
        <v>45107</v>
      </c>
      <c r="B47" s="24">
        <f t="shared" si="5"/>
        <v>31</v>
      </c>
      <c r="C47" s="96" t="s">
        <v>387</v>
      </c>
      <c r="D47" s="27">
        <v>3.1553926666666667</v>
      </c>
      <c r="E47" s="46">
        <f t="shared" ref="E47" si="34">E46*D47/100+E46</f>
        <v>1082965.2459932158</v>
      </c>
      <c r="F47" s="12"/>
      <c r="G47" s="5">
        <f>(E47/E44-1)*100</f>
        <v>2.6180459137939316</v>
      </c>
      <c r="I47" s="39"/>
      <c r="J47" s="21">
        <f t="shared" ref="J47" si="35">A47</f>
        <v>45107</v>
      </c>
      <c r="K47" s="24">
        <f t="shared" ref="K47" si="36">IF(J47&gt;J46,1+K46,"-")</f>
        <v>31</v>
      </c>
      <c r="L47" s="96" t="s">
        <v>389</v>
      </c>
      <c r="M47" s="27">
        <v>3.0762260000000001</v>
      </c>
      <c r="N47" s="46">
        <f t="shared" ref="N47" si="37">N46*M47/100+N46</f>
        <v>1059507.2952946408</v>
      </c>
      <c r="O47" s="12"/>
      <c r="P47" s="5">
        <f>(N47/N44-1)*100</f>
        <v>2.3768490211074855</v>
      </c>
      <c r="R47" s="39"/>
      <c r="S47" s="20">
        <f t="shared" si="3"/>
        <v>45107</v>
      </c>
      <c r="T47" s="315">
        <f>(0.75*'LC (Gross)'!K298)+(0.25*'CRA (Gross)'!E136)</f>
        <v>4.8663296750000002</v>
      </c>
      <c r="U47" s="46">
        <f t="shared" ref="U47" si="38">U46*T47/100+U46</f>
        <v>1169171.2508602084</v>
      </c>
      <c r="V47" s="12"/>
      <c r="W47" s="5">
        <f>(U47/U44-1)*100</f>
        <v>6.3101887413539837</v>
      </c>
      <c r="X47" s="39"/>
      <c r="Y47" s="20">
        <f t="shared" si="4"/>
        <v>45107</v>
      </c>
      <c r="Z47" s="315">
        <f>'LC (Gross)'!K298</f>
        <v>6.60738</v>
      </c>
      <c r="AA47" s="46">
        <f t="shared" ref="AA47" si="39">AA46*Z47/100+AA46</f>
        <v>1278557.338847453</v>
      </c>
      <c r="AB47" s="12"/>
      <c r="AC47" s="5">
        <f>(AA47/AA44-1)*100</f>
        <v>8.7422183437224419</v>
      </c>
    </row>
    <row r="48" spans="1:30" x14ac:dyDescent="0.25">
      <c r="A48" s="21">
        <v>45138</v>
      </c>
      <c r="B48" s="24">
        <f t="shared" si="5"/>
        <v>32</v>
      </c>
      <c r="C48" s="96" t="s">
        <v>387</v>
      </c>
      <c r="D48" s="27">
        <v>2.4118996666666668</v>
      </c>
      <c r="E48" s="46">
        <f t="shared" ref="E48" si="40">E47*D48/100+E47</f>
        <v>1109085.2811514421</v>
      </c>
      <c r="F48" s="12"/>
      <c r="G48" s="5"/>
      <c r="I48" s="39"/>
      <c r="J48" s="21">
        <f t="shared" ref="J48" si="41">A48</f>
        <v>45138</v>
      </c>
      <c r="K48" s="24">
        <f t="shared" ref="K48" si="42">IF(J48&gt;J47,1+K47,"-")</f>
        <v>32</v>
      </c>
      <c r="L48" s="96" t="s">
        <v>389</v>
      </c>
      <c r="M48" s="27">
        <v>2.3327330000000002</v>
      </c>
      <c r="N48" s="46">
        <f t="shared" ref="N48" si="43">N47*M48/100+N47</f>
        <v>1084222.7716093864</v>
      </c>
      <c r="O48" s="12"/>
      <c r="P48" s="5"/>
      <c r="R48" s="39"/>
      <c r="S48" s="20">
        <f t="shared" si="3"/>
        <v>45138</v>
      </c>
      <c r="T48" s="315">
        <f>(0.75*'LC (Gross)'!K299)+(0.25*'CRA (Gross)'!E137)</f>
        <v>2.3920437699999999</v>
      </c>
      <c r="U48" s="46">
        <f t="shared" ref="U48" si="44">U47*T48/100+U47</f>
        <v>1197138.338927041</v>
      </c>
      <c r="V48" s="12"/>
      <c r="W48" s="5"/>
      <c r="X48" s="39"/>
      <c r="Y48" s="20">
        <f t="shared" si="4"/>
        <v>45138</v>
      </c>
      <c r="Z48" s="315">
        <f>'LC (Gross)'!K299</f>
        <v>3.2124999999999999</v>
      </c>
      <c r="AA48" s="46">
        <f t="shared" ref="AA48" si="45">AA47*Z48/100+AA47</f>
        <v>1319630.9933579275</v>
      </c>
      <c r="AB48" s="12"/>
      <c r="AC48" s="5"/>
    </row>
    <row r="49" spans="1:29" x14ac:dyDescent="0.25">
      <c r="A49" s="21">
        <v>45169</v>
      </c>
      <c r="B49" s="24">
        <f t="shared" si="5"/>
        <v>33</v>
      </c>
      <c r="C49" s="96" t="s">
        <v>387</v>
      </c>
      <c r="D49" s="27">
        <v>-2.0975793333333335</v>
      </c>
      <c r="E49" s="46">
        <f t="shared" ref="E49" si="46">E48*D49/100+E48</f>
        <v>1085821.3375049676</v>
      </c>
      <c r="F49" s="12"/>
      <c r="G49" s="5"/>
      <c r="I49" s="39"/>
      <c r="J49" s="21">
        <f t="shared" ref="J49" si="47">A49</f>
        <v>45169</v>
      </c>
      <c r="K49" s="24">
        <f t="shared" ref="K49" si="48">IF(J49&gt;J48,1+K48,"-")</f>
        <v>33</v>
      </c>
      <c r="L49" s="96" t="s">
        <v>389</v>
      </c>
      <c r="M49" s="27">
        <v>-2.1767460000000001</v>
      </c>
      <c r="N49" s="46">
        <f t="shared" ref="N49" si="49">N48*M49/100+N48</f>
        <v>1060621.99579729</v>
      </c>
      <c r="O49" s="12"/>
      <c r="P49" s="5"/>
      <c r="R49" s="39"/>
      <c r="S49" s="20">
        <f t="shared" si="3"/>
        <v>45169</v>
      </c>
      <c r="T49" s="315">
        <f>(0.75*'LC (Gross)'!K300)+(0.25*'CRA (Gross)'!E138)</f>
        <v>-1.353803525</v>
      </c>
      <c r="U49" s="46">
        <f t="shared" ref="U49" si="50">U48*T49/100+U48</f>
        <v>1180931.4378955204</v>
      </c>
      <c r="V49" s="12"/>
      <c r="W49" s="5"/>
      <c r="X49" s="39"/>
      <c r="Y49" s="20">
        <f t="shared" si="4"/>
        <v>45169</v>
      </c>
      <c r="Z49" s="315">
        <f>'LC (Gross)'!K300</f>
        <v>-1.592168</v>
      </c>
      <c r="AA49" s="46">
        <f t="shared" ref="AA49" si="51">AA48*Z49/100+AA48</f>
        <v>1298620.2509636006</v>
      </c>
      <c r="AB49" s="12"/>
      <c r="AC49" s="5"/>
    </row>
    <row r="50" spans="1:29" x14ac:dyDescent="0.25">
      <c r="A50" s="21">
        <v>45199</v>
      </c>
      <c r="B50" s="24">
        <f t="shared" si="5"/>
        <v>34</v>
      </c>
      <c r="C50" s="96" t="s">
        <v>387</v>
      </c>
      <c r="D50" s="27">
        <v>-3.9446403333333331</v>
      </c>
      <c r="E50" s="46">
        <f t="shared" ref="E50" si="52">E49*D50/100+E49</f>
        <v>1042989.5910778071</v>
      </c>
      <c r="F50" s="12"/>
      <c r="G50" s="5">
        <f>(E50/E47-1)*100</f>
        <v>-3.6913146625260351</v>
      </c>
      <c r="I50" s="39"/>
      <c r="J50" s="21">
        <f t="shared" ref="J50" si="53">A50</f>
        <v>45199</v>
      </c>
      <c r="K50" s="24">
        <f t="shared" ref="K50" si="54">IF(J50&gt;J49,1+K49,"-")</f>
        <v>34</v>
      </c>
      <c r="L50" s="96" t="s">
        <v>389</v>
      </c>
      <c r="M50" s="27">
        <v>-4.0238069999999997</v>
      </c>
      <c r="N50" s="46">
        <f t="shared" ref="N50" si="55">N49*M50/100+N49</f>
        <v>1017944.6136868589</v>
      </c>
      <c r="O50" s="12"/>
      <c r="P50" s="5">
        <f>(N50/N47-1)*100</f>
        <v>-3.9228310925620957</v>
      </c>
      <c r="R50" s="39"/>
      <c r="S50" s="20">
        <f t="shared" si="3"/>
        <v>45199</v>
      </c>
      <c r="T50" s="315">
        <f>(0.75*'LC (Gross)'!K301)+(0.25*'CRA (Gross)'!E139)</f>
        <v>-4.2112362499999998</v>
      </c>
      <c r="U50" s="46">
        <f t="shared" ref="U50" si="56">U49*T50/100+U49</f>
        <v>1131199.625095218</v>
      </c>
      <c r="V50" s="12"/>
      <c r="W50" s="5">
        <f>(U50/U47-1)*100</f>
        <v>-3.2477385786772617</v>
      </c>
      <c r="X50" s="39"/>
      <c r="Y50" s="20">
        <f t="shared" si="4"/>
        <v>45199</v>
      </c>
      <c r="Z50" s="315">
        <f>'LC (Gross)'!K301</f>
        <v>-4.7678450000000003</v>
      </c>
      <c r="AA50" s="46">
        <f t="shared" ref="AA50" si="57">AA49*Z50/100+AA49</f>
        <v>1236704.0502590451</v>
      </c>
      <c r="AB50" s="12"/>
      <c r="AC50" s="5">
        <f>(AA50/AA47-1)*100</f>
        <v>-3.2734776389564457</v>
      </c>
    </row>
    <row r="51" spans="1:29" x14ac:dyDescent="0.25">
      <c r="A51" s="21">
        <v>45230</v>
      </c>
      <c r="B51" s="24">
        <f t="shared" si="5"/>
        <v>35</v>
      </c>
      <c r="C51" s="96" t="s">
        <v>387</v>
      </c>
      <c r="D51" s="27">
        <v>-1.8791003333333334</v>
      </c>
      <c r="E51" s="46">
        <f t="shared" ref="E51:E53" si="58">E50*D51/100+E50</f>
        <v>1023390.7701952321</v>
      </c>
      <c r="F51" s="12"/>
      <c r="G51" s="5"/>
      <c r="I51" s="39"/>
      <c r="J51" s="21">
        <f t="shared" ref="J51:J53" si="59">A51</f>
        <v>45230</v>
      </c>
      <c r="K51" s="24">
        <f t="shared" ref="K51:K53" si="60">IF(J51&gt;J50,1+K50,"-")</f>
        <v>35</v>
      </c>
      <c r="L51" s="96" t="s">
        <v>389</v>
      </c>
      <c r="M51" s="27">
        <v>-1.958267</v>
      </c>
      <c r="N51" s="46">
        <f t="shared" ref="N51:N54" si="61">N50*M51/100+N50</f>
        <v>998010.54023875168</v>
      </c>
      <c r="O51" s="12"/>
      <c r="P51" s="5"/>
      <c r="R51" s="39"/>
      <c r="S51" s="20">
        <f t="shared" si="3"/>
        <v>45230</v>
      </c>
      <c r="T51" s="315">
        <f>(0.75*'LC (Gross)'!K302)+(0.25*'CRA (Gross)'!E140)</f>
        <v>-1.9714484999999999</v>
      </c>
      <c r="U51" s="46">
        <f t="shared" ref="U51:U53" si="62">U50*T51/100+U50</f>
        <v>1108898.6070542727</v>
      </c>
      <c r="V51" s="12"/>
      <c r="W51" s="5"/>
      <c r="X51" s="39"/>
      <c r="Y51" s="20">
        <f t="shared" si="4"/>
        <v>45230</v>
      </c>
      <c r="Z51" s="315">
        <f>'LC (Gross)'!K302</f>
        <v>-2.102582</v>
      </c>
      <c r="AA51" s="46">
        <f t="shared" ref="AA51:AA53" si="63">AA50*Z51/100+AA50</f>
        <v>1210701.3335050275</v>
      </c>
      <c r="AB51" s="12"/>
      <c r="AC51" s="5"/>
    </row>
    <row r="52" spans="1:29" x14ac:dyDescent="0.25">
      <c r="A52" s="21">
        <v>45260</v>
      </c>
      <c r="B52" s="24">
        <f t="shared" si="5"/>
        <v>36</v>
      </c>
      <c r="C52" s="96" t="s">
        <v>387</v>
      </c>
      <c r="D52" s="27">
        <v>6.2464196666666671</v>
      </c>
      <c r="E52" s="46">
        <f t="shared" si="58"/>
        <v>1087316.0525315586</v>
      </c>
      <c r="F52" s="12"/>
      <c r="G52" s="5"/>
      <c r="I52" s="39"/>
      <c r="J52" s="21">
        <f t="shared" si="59"/>
        <v>45260</v>
      </c>
      <c r="K52" s="24">
        <f t="shared" si="60"/>
        <v>36</v>
      </c>
      <c r="L52" s="96" t="s">
        <v>389</v>
      </c>
      <c r="M52" s="27">
        <v>6.1672529999999997</v>
      </c>
      <c r="N52" s="46">
        <f t="shared" si="61"/>
        <v>1059560.3752219423</v>
      </c>
      <c r="O52" s="12"/>
      <c r="P52" s="5"/>
      <c r="R52" s="39"/>
      <c r="S52" s="20">
        <f t="shared" si="3"/>
        <v>45260</v>
      </c>
      <c r="T52" s="315">
        <f>(0.75*'LC (Gross)'!K303)+(0.25*'CRA (Gross)'!E141)</f>
        <v>7.9815567499999993</v>
      </c>
      <c r="U52" s="46">
        <f t="shared" si="62"/>
        <v>1197405.9786762688</v>
      </c>
      <c r="V52" s="12"/>
      <c r="W52" s="5"/>
      <c r="X52" s="39"/>
      <c r="Y52" s="20">
        <f t="shared" si="4"/>
        <v>45260</v>
      </c>
      <c r="Z52" s="315">
        <f>'LC (Gross)'!K303</f>
        <v>9.1325979999999998</v>
      </c>
      <c r="AA52" s="46">
        <f t="shared" si="63"/>
        <v>1321269.8192746809</v>
      </c>
      <c r="AB52" s="12"/>
      <c r="AC52" s="5"/>
    </row>
    <row r="53" spans="1:29" x14ac:dyDescent="0.25">
      <c r="A53" s="21">
        <v>45291</v>
      </c>
      <c r="B53" s="24">
        <f t="shared" si="5"/>
        <v>37</v>
      </c>
      <c r="C53" s="96" t="s">
        <v>387</v>
      </c>
      <c r="D53" s="27">
        <v>5.2866246666666674</v>
      </c>
      <c r="E53" s="46">
        <f t="shared" si="58"/>
        <v>1144798.3711693182</v>
      </c>
      <c r="F53" s="12">
        <f t="shared" ref="F53" si="64">((E53-$E$41)/$E$41)*100</f>
        <v>11.489208822615268</v>
      </c>
      <c r="G53" s="5">
        <f t="shared" ref="G53" si="65">(E53/E50-1)*100</f>
        <v>9.7612460337503251</v>
      </c>
      <c r="I53" s="39"/>
      <c r="J53" s="21">
        <f t="shared" si="59"/>
        <v>45291</v>
      </c>
      <c r="K53" s="24">
        <f t="shared" si="60"/>
        <v>37</v>
      </c>
      <c r="L53" s="96" t="s">
        <v>389</v>
      </c>
      <c r="M53" s="27">
        <v>5.2074579999999999</v>
      </c>
      <c r="N53" s="46">
        <f t="shared" si="61"/>
        <v>1114736.5367462675</v>
      </c>
      <c r="O53" s="12">
        <f>((N53-$N$41)/$N$41)*100</f>
        <v>10.475928266622306</v>
      </c>
      <c r="P53" s="5">
        <f t="shared" ref="P53" si="66">(N53/N50-1)*100</f>
        <v>9.5085647841724139</v>
      </c>
      <c r="R53" s="39"/>
      <c r="S53" s="20">
        <f t="shared" si="3"/>
        <v>45291</v>
      </c>
      <c r="T53" s="315">
        <f>(0.75*'LC (Gross)'!K304)+(0.25*'CRA (Gross)'!E142)</f>
        <v>4.3553467499999998</v>
      </c>
      <c r="U53" s="46">
        <f t="shared" si="62"/>
        <v>1249557.1610528515</v>
      </c>
      <c r="V53" s="12">
        <f t="shared" ref="V53" si="67">((U53-$U$41)/$U$41)*100</f>
        <v>20.829912256805326</v>
      </c>
      <c r="W53" s="5">
        <f t="shared" ref="W53" si="68">(U53/U50-1)*100</f>
        <v>10.463010536064399</v>
      </c>
      <c r="X53" s="39"/>
      <c r="Y53" s="20">
        <f t="shared" si="4"/>
        <v>45291</v>
      </c>
      <c r="Z53" s="315">
        <f>'LC (Gross)'!K304</f>
        <v>4.5311300000000001</v>
      </c>
      <c r="AA53" s="46">
        <f t="shared" si="63"/>
        <v>1381138.2724367818</v>
      </c>
      <c r="AB53" s="12">
        <f t="shared" ref="AB53" si="69">((AA53-$AA$41)/$AA$41)*100</f>
        <v>26.258662973368953</v>
      </c>
      <c r="AC53" s="5">
        <f t="shared" ref="AC53" si="70">(AA53/AA50-1)*100</f>
        <v>11.678964110086243</v>
      </c>
    </row>
    <row r="54" spans="1:29" x14ac:dyDescent="0.25">
      <c r="A54" s="21">
        <v>45322</v>
      </c>
      <c r="B54" s="24">
        <f t="shared" si="5"/>
        <v>38</v>
      </c>
      <c r="C54" s="96" t="s">
        <v>387</v>
      </c>
      <c r="D54" s="27">
        <f>M54+(0.95/12)</f>
        <v>0.83244696666666673</v>
      </c>
      <c r="E54" s="46">
        <f t="shared" ref="E54" si="71">E53*D54/100+E53</f>
        <v>1154328.2104845666</v>
      </c>
      <c r="F54" s="12"/>
      <c r="G54" s="5"/>
      <c r="I54" s="39"/>
      <c r="J54" s="21">
        <f t="shared" ref="J54" si="72">A54</f>
        <v>45322</v>
      </c>
      <c r="K54" s="24">
        <f t="shared" ref="K54" si="73">IF(J54&gt;J53,1+K53,"-")</f>
        <v>38</v>
      </c>
      <c r="L54" s="96" t="s">
        <v>389</v>
      </c>
      <c r="M54" s="27">
        <v>0.75328030000000001</v>
      </c>
      <c r="N54" s="46">
        <f t="shared" si="61"/>
        <v>1123133.6274744794</v>
      </c>
      <c r="R54" s="39"/>
      <c r="S54" s="20">
        <f t="shared" si="3"/>
        <v>45322</v>
      </c>
      <c r="T54" s="315">
        <f>(0.75*'LC (Gross)'!K305)+(0.25*'CRA (Gross)'!E143)</f>
        <v>1.19083435</v>
      </c>
      <c r="U54" s="46">
        <f t="shared" ref="U54" si="74">U53*T54/100+U53</f>
        <v>1264437.3169495536</v>
      </c>
      <c r="X54" s="39"/>
      <c r="Y54" s="20">
        <f t="shared" si="4"/>
        <v>45322</v>
      </c>
      <c r="Z54" s="315">
        <f>'LC (Gross)'!K305</f>
        <v>1.6793610000000001</v>
      </c>
      <c r="AA54" s="46">
        <f t="shared" ref="AA54" si="75">AA53*Z54/100+AA53</f>
        <v>1404332.5699401589</v>
      </c>
    </row>
    <row r="55" spans="1:29" x14ac:dyDescent="0.25">
      <c r="A55" s="21">
        <v>45351</v>
      </c>
      <c r="B55" s="24">
        <f t="shared" si="5"/>
        <v>39</v>
      </c>
      <c r="C55" s="96" t="s">
        <v>387</v>
      </c>
      <c r="D55" s="27">
        <f t="shared" ref="D55:D68" si="76">M55+(0.95/12)</f>
        <v>4.0954846666666667</v>
      </c>
      <c r="E55" s="46">
        <f t="shared" ref="E55:E56" si="77">E54*D55/100+E54</f>
        <v>1201603.5453479697</v>
      </c>
      <c r="F55" s="12"/>
      <c r="G55" s="5"/>
      <c r="I55" s="39"/>
      <c r="J55" s="21">
        <f t="shared" ref="J55:J56" si="78">A55</f>
        <v>45351</v>
      </c>
      <c r="K55" s="24">
        <f t="shared" ref="K55:K56" si="79">IF(J55&gt;J54,1+K54,"-")</f>
        <v>39</v>
      </c>
      <c r="L55" s="96" t="s">
        <v>389</v>
      </c>
      <c r="M55" s="27">
        <v>4.0163180000000001</v>
      </c>
      <c r="N55" s="46">
        <f t="shared" ref="N55:N56" si="80">N54*M55/100+N54</f>
        <v>1168242.2455187899</v>
      </c>
      <c r="R55" s="39"/>
      <c r="S55" s="20">
        <f t="shared" si="3"/>
        <v>45351</v>
      </c>
      <c r="T55" s="315">
        <f>(0.75*'LC (Gross)'!K306)+(0.25*'CRA (Gross)'!E144)</f>
        <v>3.6514419999999994</v>
      </c>
      <c r="U55" s="46">
        <f t="shared" ref="U55:U56" si="81">U54*T55/100+U54</f>
        <v>1310607.5122043227</v>
      </c>
      <c r="X55" s="39"/>
      <c r="Y55" s="20">
        <f t="shared" si="4"/>
        <v>45351</v>
      </c>
      <c r="Z55" s="315">
        <f>'LC (Gross)'!K306</f>
        <v>5.3395099999999998</v>
      </c>
      <c r="AA55" s="46">
        <f t="shared" ref="AA55:AA56" si="82">AA54*Z55/100+AA54</f>
        <v>1479317.0479453707</v>
      </c>
    </row>
    <row r="56" spans="1:29" x14ac:dyDescent="0.25">
      <c r="A56" s="21">
        <v>45382</v>
      </c>
      <c r="B56" s="24">
        <f t="shared" si="5"/>
        <v>40</v>
      </c>
      <c r="C56" s="96" t="s">
        <v>387</v>
      </c>
      <c r="D56" s="27">
        <f t="shared" si="76"/>
        <v>2.8005146666666665</v>
      </c>
      <c r="E56" s="46">
        <f t="shared" si="77"/>
        <v>1235254.6288706262</v>
      </c>
      <c r="F56" s="12"/>
      <c r="G56" s="5">
        <f t="shared" ref="G56" si="83">(E56/E53-1)*100</f>
        <v>7.9015012581572952</v>
      </c>
      <c r="I56" s="39"/>
      <c r="J56" s="21">
        <f t="shared" si="78"/>
        <v>45382</v>
      </c>
      <c r="K56" s="24">
        <f t="shared" si="79"/>
        <v>40</v>
      </c>
      <c r="L56" s="96" t="s">
        <v>389</v>
      </c>
      <c r="M56" s="27">
        <v>2.7213479999999999</v>
      </c>
      <c r="N56" s="46">
        <f t="shared" si="80"/>
        <v>1200034.1825023706</v>
      </c>
      <c r="O56" s="12"/>
      <c r="P56" s="5">
        <f>(N56/N53-1)*100</f>
        <v>7.6518211204481545</v>
      </c>
      <c r="R56" s="39"/>
      <c r="S56" s="20">
        <f t="shared" si="3"/>
        <v>45382</v>
      </c>
      <c r="T56" s="315">
        <f>(0.75*'LC (Gross)'!K307)+(0.25*'CRA (Gross)'!E145)</f>
        <v>2.6438982499999999</v>
      </c>
      <c r="U56" s="46">
        <f t="shared" si="81"/>
        <v>1345258.6412838614</v>
      </c>
      <c r="V56" s="12"/>
      <c r="W56" s="5">
        <f t="shared" ref="W56" si="84">(U56/U53-1)*100</f>
        <v>7.6588317216615964</v>
      </c>
      <c r="X56" s="39"/>
      <c r="Y56" s="20">
        <f t="shared" si="4"/>
        <v>45382</v>
      </c>
      <c r="Z56" s="315">
        <f>'LC (Gross)'!K307</f>
        <v>3.2173630000000002</v>
      </c>
      <c r="AA56" s="46">
        <f t="shared" si="82"/>
        <v>1526912.0472986572</v>
      </c>
      <c r="AB56" s="12"/>
      <c r="AC56" s="5">
        <f>(AA56/AA53-1)*100</f>
        <v>10.554611205196895</v>
      </c>
    </row>
    <row r="57" spans="1:29" x14ac:dyDescent="0.25">
      <c r="A57" s="21">
        <v>45412</v>
      </c>
      <c r="B57" s="24">
        <f t="shared" si="5"/>
        <v>41</v>
      </c>
      <c r="C57" s="96" t="s">
        <v>387</v>
      </c>
      <c r="D57" s="27">
        <f t="shared" si="76"/>
        <v>-4.0526503333333332</v>
      </c>
      <c r="E57" s="46">
        <f t="shared" ref="E57:E59" si="85">E56*D57/100+E56</f>
        <v>1185194.0780361854</v>
      </c>
      <c r="F57" s="12"/>
      <c r="G57" s="5"/>
      <c r="I57" s="39"/>
      <c r="J57" s="21">
        <f t="shared" ref="J57:J59" si="86">A57</f>
        <v>45412</v>
      </c>
      <c r="K57" s="24">
        <f t="shared" ref="K57:K59" si="87">IF(J57&gt;J56,1+K56,"-")</f>
        <v>41</v>
      </c>
      <c r="L57" s="96" t="s">
        <v>389</v>
      </c>
      <c r="M57" s="27">
        <v>-4.1318169999999999</v>
      </c>
      <c r="N57" s="46">
        <f t="shared" ref="N57:N59" si="88">N56*M57/100+N56</f>
        <v>1150450.9661439266</v>
      </c>
      <c r="O57" s="12"/>
      <c r="P57" s="5"/>
      <c r="R57" s="39"/>
      <c r="S57" s="20">
        <f t="shared" si="3"/>
        <v>45412</v>
      </c>
      <c r="T57" s="315">
        <f>(0.75*'LC (Gross)'!K308)+(0.25*'CRA (Gross)'!E146)</f>
        <v>-3.6948224999999999</v>
      </c>
      <c r="U57" s="46">
        <f t="shared" ref="U57:U59" si="89">U56*T57/100+U56</f>
        <v>1295553.722322511</v>
      </c>
      <c r="V57" s="12"/>
      <c r="W57" s="5"/>
      <c r="X57" s="39"/>
      <c r="Y57" s="20">
        <f t="shared" si="4"/>
        <v>45412</v>
      </c>
      <c r="Z57" s="315">
        <f>'LC (Gross)'!K308</f>
        <v>-4.0844069999999997</v>
      </c>
      <c r="AA57" s="46">
        <f t="shared" ref="AA57:AA59" si="90">AA56*Z57/100+AA56</f>
        <v>1464546.7447549475</v>
      </c>
      <c r="AB57" s="12"/>
      <c r="AC57" s="5"/>
    </row>
    <row r="58" spans="1:29" x14ac:dyDescent="0.25">
      <c r="A58" s="21">
        <v>45443</v>
      </c>
      <c r="B58" s="24">
        <f t="shared" si="5"/>
        <v>42</v>
      </c>
      <c r="C58" s="96" t="s">
        <v>387</v>
      </c>
      <c r="D58" s="27">
        <f t="shared" si="76"/>
        <v>4.8997726666666663</v>
      </c>
      <c r="E58" s="46">
        <f t="shared" si="85"/>
        <v>1243265.8935187543</v>
      </c>
      <c r="F58" s="12"/>
      <c r="G58" s="5"/>
      <c r="I58" s="39"/>
      <c r="J58" s="21">
        <f t="shared" si="86"/>
        <v>45443</v>
      </c>
      <c r="K58" s="24">
        <f t="shared" si="87"/>
        <v>42</v>
      </c>
      <c r="L58" s="96" t="s">
        <v>389</v>
      </c>
      <c r="M58" s="27">
        <v>4.8206059999999997</v>
      </c>
      <c r="N58" s="46">
        <f t="shared" si="88"/>
        <v>1205909.6744449188</v>
      </c>
      <c r="O58" s="12"/>
      <c r="P58" s="5"/>
      <c r="R58" s="39"/>
      <c r="S58" s="20">
        <f t="shared" si="3"/>
        <v>45443</v>
      </c>
      <c r="T58" s="315">
        <f>(0.75*'LC (Gross)'!K309)+(0.25*'CRA (Gross)'!E147)</f>
        <v>4.1427484999999997</v>
      </c>
      <c r="U58" s="46">
        <f t="shared" si="89"/>
        <v>1349225.2547207209</v>
      </c>
      <c r="V58" s="12"/>
      <c r="W58" s="5"/>
      <c r="X58" s="39"/>
      <c r="Y58" s="20">
        <f t="shared" si="4"/>
        <v>45443</v>
      </c>
      <c r="Z58" s="315">
        <f>'LC (Gross)'!K309</f>
        <v>4.9585549999999996</v>
      </c>
      <c r="AA58" s="46">
        <f t="shared" si="90"/>
        <v>1537167.100594331</v>
      </c>
      <c r="AB58" s="12"/>
      <c r="AC58" s="5"/>
    </row>
    <row r="59" spans="1:29" x14ac:dyDescent="0.25">
      <c r="A59" s="21">
        <v>45473</v>
      </c>
      <c r="B59" s="24">
        <f t="shared" si="5"/>
        <v>43</v>
      </c>
      <c r="C59" s="96" t="s">
        <v>387</v>
      </c>
      <c r="D59" s="27">
        <f t="shared" si="76"/>
        <v>2.8200626666666668</v>
      </c>
      <c r="E59" s="46">
        <f t="shared" si="85"/>
        <v>1278326.7708292764</v>
      </c>
      <c r="F59" s="12"/>
      <c r="G59" s="5">
        <f t="shared" ref="G59" si="91">(E59/E56-1)*100</f>
        <v>3.4869039104941768</v>
      </c>
      <c r="I59" s="39"/>
      <c r="J59" s="21">
        <f t="shared" si="86"/>
        <v>45473</v>
      </c>
      <c r="K59" s="24">
        <f t="shared" si="87"/>
        <v>43</v>
      </c>
      <c r="L59" s="96" t="s">
        <v>389</v>
      </c>
      <c r="M59" s="27">
        <v>2.7408960000000002</v>
      </c>
      <c r="N59" s="46">
        <f t="shared" si="88"/>
        <v>1238962.4044753925</v>
      </c>
      <c r="O59" s="12"/>
      <c r="P59" s="5">
        <f t="shared" ref="P59" si="92">(N59/N56-1)*100</f>
        <v>3.2439260931590219</v>
      </c>
      <c r="R59" s="39"/>
      <c r="S59" s="20">
        <f t="shared" si="3"/>
        <v>45473</v>
      </c>
      <c r="T59" s="315">
        <f>(0.75*'LC (Gross)'!K310)+(0.25*'CRA (Gross)'!E148)</f>
        <v>2.9276844</v>
      </c>
      <c r="U59" s="46">
        <f t="shared" si="89"/>
        <v>1388726.3120240397</v>
      </c>
      <c r="V59" s="12"/>
      <c r="W59" s="5">
        <f t="shared" ref="W59" si="93">(U59/U56-1)*100</f>
        <v>3.2311757312849965</v>
      </c>
      <c r="X59" s="39"/>
      <c r="Y59" s="20">
        <f t="shared" si="4"/>
        <v>45473</v>
      </c>
      <c r="Z59" s="315">
        <f>'LC (Gross)'!K310</f>
        <v>3.587879</v>
      </c>
      <c r="AA59" s="46">
        <f t="shared" si="90"/>
        <v>1592318.7961914639</v>
      </c>
      <c r="AB59" s="12"/>
      <c r="AC59" s="5">
        <f t="shared" ref="AC59" si="94">(AA59/AA56-1)*100</f>
        <v>4.2835963609378469</v>
      </c>
    </row>
    <row r="60" spans="1:29" x14ac:dyDescent="0.25">
      <c r="A60" s="21">
        <v>45504</v>
      </c>
      <c r="B60" s="24">
        <f t="shared" si="5"/>
        <v>44</v>
      </c>
      <c r="C60" s="96" t="s">
        <v>387</v>
      </c>
      <c r="D60" s="27">
        <f t="shared" si="76"/>
        <v>0.99635986666666665</v>
      </c>
      <c r="E60" s="46">
        <f t="shared" ref="E60:E62" si="95">E59*D60/100+E59</f>
        <v>1291063.5057386754</v>
      </c>
      <c r="F60" s="12"/>
      <c r="G60" s="5"/>
      <c r="I60" s="39"/>
      <c r="J60" s="21">
        <f t="shared" ref="J60:J62" si="96">A60</f>
        <v>45504</v>
      </c>
      <c r="K60" s="24">
        <f t="shared" ref="K60:K62" si="97">IF(J60&gt;J59,1+K59,"-")</f>
        <v>44</v>
      </c>
      <c r="L60" s="96" t="s">
        <v>389</v>
      </c>
      <c r="M60" s="27">
        <v>0.91719320000000004</v>
      </c>
      <c r="N60" s="46">
        <f t="shared" ref="N60:N62" si="98">N59*M60/100+N59</f>
        <v>1250326.0833997973</v>
      </c>
      <c r="O60" s="12"/>
      <c r="P60" s="5"/>
      <c r="R60" s="39"/>
      <c r="S60" s="20">
        <f t="shared" si="3"/>
        <v>45504</v>
      </c>
      <c r="T60" s="315">
        <f>(0.75*'LC (Gross)'!K311)+(0.25*'CRA (Gross)'!E149)</f>
        <v>1.49687825</v>
      </c>
      <c r="U60" s="46">
        <f t="shared" ref="U60:U62" si="99">U59*T60/100+U59</f>
        <v>1409513.8541407546</v>
      </c>
      <c r="V60" s="12"/>
      <c r="W60" s="5"/>
      <c r="X60" s="39"/>
      <c r="Y60" s="20">
        <f t="shared" si="4"/>
        <v>45504</v>
      </c>
      <c r="Z60" s="315">
        <f>'LC (Gross)'!K311</f>
        <v>1.2172529999999999</v>
      </c>
      <c r="AA60" s="46">
        <f t="shared" ref="AA60:AA62" si="100">AA59*Z60/100+AA59</f>
        <v>1611701.3445076684</v>
      </c>
      <c r="AB60" s="12"/>
      <c r="AC60" s="5"/>
    </row>
    <row r="61" spans="1:29" x14ac:dyDescent="0.25">
      <c r="A61" s="21">
        <v>45535</v>
      </c>
      <c r="B61" s="24">
        <f t="shared" si="5"/>
        <v>45</v>
      </c>
      <c r="C61" s="96" t="s">
        <v>387</v>
      </c>
      <c r="D61" s="27">
        <f t="shared" si="76"/>
        <v>0.81337046666666657</v>
      </c>
      <c r="E61" s="46">
        <f t="shared" si="95"/>
        <v>1301564.635000265</v>
      </c>
      <c r="F61" s="12"/>
      <c r="G61" s="5"/>
      <c r="I61" s="39"/>
      <c r="J61" s="21">
        <f t="shared" si="96"/>
        <v>45535</v>
      </c>
      <c r="K61" s="24">
        <f t="shared" si="97"/>
        <v>45</v>
      </c>
      <c r="L61" s="96" t="s">
        <v>389</v>
      </c>
      <c r="M61" s="27">
        <v>0.73420379999999996</v>
      </c>
      <c r="N61" s="46">
        <f t="shared" si="98"/>
        <v>1259506.0250165097</v>
      </c>
      <c r="O61" s="12"/>
      <c r="P61" s="5"/>
      <c r="R61" s="39"/>
      <c r="S61" s="20">
        <f t="shared" si="3"/>
        <v>45535</v>
      </c>
      <c r="T61" s="315">
        <f>(0.75*'LC (Gross)'!K312)+(0.25*'CRA (Gross)'!E150)</f>
        <v>2.1784792500000001</v>
      </c>
      <c r="U61" s="46">
        <f t="shared" si="99"/>
        <v>1440219.8209790862</v>
      </c>
      <c r="V61" s="12"/>
      <c r="W61" s="5"/>
      <c r="X61" s="39"/>
      <c r="Y61" s="20">
        <f t="shared" si="4"/>
        <v>45535</v>
      </c>
      <c r="Z61" s="315">
        <f>'LC (Gross)'!K312</f>
        <v>2.425754</v>
      </c>
      <c r="AA61" s="46">
        <f t="shared" si="100"/>
        <v>1650797.2543401169</v>
      </c>
      <c r="AB61" s="12"/>
      <c r="AC61" s="5"/>
    </row>
    <row r="62" spans="1:29" x14ac:dyDescent="0.25">
      <c r="A62" s="21">
        <v>45565</v>
      </c>
      <c r="B62" s="24">
        <f t="shared" si="5"/>
        <v>46</v>
      </c>
      <c r="C62" s="96" t="s">
        <v>387</v>
      </c>
      <c r="D62" s="27">
        <f t="shared" si="76"/>
        <v>1.3019896666666666</v>
      </c>
      <c r="E62" s="46">
        <f t="shared" si="95"/>
        <v>1318510.8720529561</v>
      </c>
      <c r="F62" s="12"/>
      <c r="G62" s="5">
        <f t="shared" ref="G62" si="101">(E62/E59-1)*100</f>
        <v>3.1434921133358884</v>
      </c>
      <c r="I62" s="39"/>
      <c r="J62" s="21">
        <f t="shared" si="96"/>
        <v>45565</v>
      </c>
      <c r="K62" s="24">
        <f t="shared" si="97"/>
        <v>46</v>
      </c>
      <c r="L62" s="96" t="s">
        <v>389</v>
      </c>
      <c r="M62" s="27">
        <v>1.222823</v>
      </c>
      <c r="N62" s="46">
        <f t="shared" si="98"/>
        <v>1274907.5543767973</v>
      </c>
      <c r="O62" s="12"/>
      <c r="P62" s="5">
        <f t="shared" ref="P62" si="102">(N62/N59-1)*100</f>
        <v>2.9012300753891607</v>
      </c>
      <c r="R62" s="39"/>
      <c r="S62" s="20">
        <f t="shared" si="3"/>
        <v>45565</v>
      </c>
      <c r="T62" s="315">
        <f>(0.75*'LC (Gross)'!K313)+(0.25*'CRA (Gross)'!E151)</f>
        <v>1.9363410000000001</v>
      </c>
      <c r="U62" s="46">
        <f t="shared" si="99"/>
        <v>1468107.3878628309</v>
      </c>
      <c r="V62" s="12"/>
      <c r="W62" s="5">
        <f t="shared" ref="W62" si="103">(U62/U59-1)*100</f>
        <v>5.7161065612053585</v>
      </c>
      <c r="X62" s="39"/>
      <c r="Y62" s="20">
        <f t="shared" si="4"/>
        <v>45565</v>
      </c>
      <c r="Z62" s="315">
        <f>'LC (Gross)'!K313</f>
        <v>2.1354150000000001</v>
      </c>
      <c r="AA62" s="46">
        <f t="shared" si="100"/>
        <v>1686048.6265288838</v>
      </c>
      <c r="AB62" s="12"/>
      <c r="AC62" s="5">
        <f t="shared" ref="AC62" si="104">(AA62/AA59-1)*100</f>
        <v>5.8863734172833082</v>
      </c>
    </row>
    <row r="63" spans="1:29" x14ac:dyDescent="0.25">
      <c r="A63" s="21">
        <v>45596</v>
      </c>
      <c r="B63" s="24">
        <f t="shared" si="5"/>
        <v>47</v>
      </c>
      <c r="C63" s="96" t="s">
        <v>387</v>
      </c>
      <c r="D63" s="27">
        <f t="shared" si="76"/>
        <v>-1.5732583333333334</v>
      </c>
      <c r="E63" s="46">
        <f t="shared" ref="E63:E65" si="105">E62*D63/100+E62</f>
        <v>1297767.2898824769</v>
      </c>
      <c r="F63" s="12"/>
      <c r="G63" s="5"/>
      <c r="I63" s="39"/>
      <c r="J63" s="21">
        <f t="shared" ref="J63:J65" si="106">A63</f>
        <v>45596</v>
      </c>
      <c r="K63" s="24">
        <f t="shared" ref="K63:K65" si="107">IF(J63&gt;J62,1+K62,"-")</f>
        <v>47</v>
      </c>
      <c r="L63" s="96" t="s">
        <v>389</v>
      </c>
      <c r="M63" s="27">
        <v>-1.652425</v>
      </c>
      <c r="N63" s="46">
        <f t="shared" ref="N63:N65" si="108">N62*M63/100+N62</f>
        <v>1253840.6632213865</v>
      </c>
      <c r="O63" s="12"/>
      <c r="P63" s="5"/>
      <c r="R63" s="39"/>
      <c r="S63" s="20">
        <f t="shared" si="3"/>
        <v>45596</v>
      </c>
      <c r="T63" s="315">
        <f>(0.75*'LC (Gross)'!K314)+(0.25*'CRA (Gross)'!E152)</f>
        <v>-1.3064591249999999</v>
      </c>
      <c r="U63" s="46">
        <f t="shared" ref="U63:U65" si="109">U62*T63/100+U62</f>
        <v>1448927.1649292978</v>
      </c>
      <c r="V63" s="12"/>
      <c r="W63" s="5"/>
      <c r="X63" s="39"/>
      <c r="Y63" s="20">
        <f t="shared" si="4"/>
        <v>45596</v>
      </c>
      <c r="Z63" s="315">
        <f>'LC (Gross)'!K314</f>
        <v>-0.91531750000000001</v>
      </c>
      <c r="AA63" s="46">
        <f t="shared" ref="AA63:AA65" si="110">AA62*Z63/100+AA62</f>
        <v>1670615.9283917553</v>
      </c>
      <c r="AB63" s="12"/>
      <c r="AC63" s="5"/>
    </row>
    <row r="64" spans="1:29" x14ac:dyDescent="0.25">
      <c r="A64" s="21">
        <v>45626</v>
      </c>
      <c r="B64" s="24">
        <f t="shared" si="5"/>
        <v>48</v>
      </c>
      <c r="C64" s="96" t="s">
        <v>387</v>
      </c>
      <c r="D64" s="27">
        <f t="shared" si="76"/>
        <v>5.5255686666666666</v>
      </c>
      <c r="E64" s="46">
        <f t="shared" si="105"/>
        <v>1369476.3126184721</v>
      </c>
      <c r="F64" s="12"/>
      <c r="G64" s="5"/>
      <c r="I64" s="39"/>
      <c r="J64" s="21">
        <f t="shared" si="106"/>
        <v>45626</v>
      </c>
      <c r="K64" s="24">
        <f t="shared" si="107"/>
        <v>48</v>
      </c>
      <c r="L64" s="96" t="s">
        <v>389</v>
      </c>
      <c r="M64" s="27">
        <v>5.446402</v>
      </c>
      <c r="N64" s="46">
        <f t="shared" si="108"/>
        <v>1322129.8661798893</v>
      </c>
      <c r="O64" s="12"/>
      <c r="P64" s="5"/>
      <c r="R64" s="39"/>
      <c r="S64" s="20">
        <f t="shared" si="3"/>
        <v>45626</v>
      </c>
      <c r="T64" s="315">
        <f>(0.75*'LC (Gross)'!K315)+(0.25*'CRA (Gross)'!E153)</f>
        <v>4.6667832499999999</v>
      </c>
      <c r="U64" s="46">
        <f t="shared" si="109"/>
        <v>1516545.455166918</v>
      </c>
      <c r="V64" s="12"/>
      <c r="W64" s="5"/>
      <c r="X64" s="39"/>
      <c r="Y64" s="20">
        <f t="shared" si="4"/>
        <v>45626</v>
      </c>
      <c r="Z64" s="315">
        <f>'LC (Gross)'!K315</f>
        <v>5.8699979999999998</v>
      </c>
      <c r="AA64" s="46">
        <f t="shared" si="110"/>
        <v>1768681.0499760327</v>
      </c>
      <c r="AB64" s="12"/>
      <c r="AC64" s="5"/>
    </row>
    <row r="65" spans="1:29" x14ac:dyDescent="0.25">
      <c r="A65" s="21">
        <v>45657</v>
      </c>
      <c r="B65" s="24">
        <f t="shared" si="5"/>
        <v>49</v>
      </c>
      <c r="C65" s="96" t="s">
        <v>387</v>
      </c>
      <c r="D65" s="27">
        <f t="shared" si="76"/>
        <v>-4.414660333333333</v>
      </c>
      <c r="E65" s="46">
        <f t="shared" si="105"/>
        <v>1309018.5850709085</v>
      </c>
      <c r="F65" s="12">
        <f t="shared" ref="F65" si="111">((E65-$E$53)/$E$53)*100</f>
        <v>14.34490282632502</v>
      </c>
      <c r="G65" s="5">
        <f t="shared" ref="G65" si="112">(E65/E62-1)*100</f>
        <v>-0.71992481694654886</v>
      </c>
      <c r="I65" s="39"/>
      <c r="J65" s="21">
        <f t="shared" si="106"/>
        <v>45657</v>
      </c>
      <c r="K65" s="24">
        <f t="shared" si="107"/>
        <v>49</v>
      </c>
      <c r="L65" s="96" t="s">
        <v>389</v>
      </c>
      <c r="M65" s="27">
        <v>-4.4938269999999996</v>
      </c>
      <c r="N65" s="46">
        <f t="shared" si="108"/>
        <v>1262715.6372784337</v>
      </c>
      <c r="O65" s="12">
        <f t="shared" ref="O65" si="113">((N65-$N$53)/$N$53)*100</f>
        <v>13.274804911669339</v>
      </c>
      <c r="P65" s="5">
        <f t="shared" ref="P65" si="114">(N65/N62-1)*100</f>
        <v>-0.95629812973563322</v>
      </c>
      <c r="R65" s="39"/>
      <c r="S65" s="20">
        <f t="shared" si="3"/>
        <v>45657</v>
      </c>
      <c r="T65" s="315">
        <f>(0.75*'LC (Gross)'!K316)+(0.25*'CRA (Gross)'!E154)</f>
        <v>-2.20255175</v>
      </c>
      <c r="U65" s="46">
        <f t="shared" si="109"/>
        <v>1483142.7567045935</v>
      </c>
      <c r="V65" s="12">
        <f t="shared" ref="V65" si="115">((U65-$U$53)/$U$53)*100</f>
        <v>18.693470209472256</v>
      </c>
      <c r="W65" s="5">
        <f t="shared" ref="W65" si="116">(U65/U62-1)*100</f>
        <v>1.024132768901187</v>
      </c>
      <c r="X65" s="39"/>
      <c r="Y65" s="20">
        <f t="shared" si="4"/>
        <v>45657</v>
      </c>
      <c r="Z65" s="315">
        <f>'LC (Gross)'!K316</f>
        <v>-2.3912279999999999</v>
      </c>
      <c r="AA65" s="46">
        <f t="shared" si="110"/>
        <v>1726387.8534783118</v>
      </c>
      <c r="AB65" s="12">
        <f t="shared" ref="AB65" si="117">((AA65-$AA$53)/$AA$53)*100</f>
        <v>24.997466794718264</v>
      </c>
      <c r="AC65" s="5">
        <f t="shared" ref="AC65" si="118">(AA65/AA62-1)*100</f>
        <v>2.3925304593661378</v>
      </c>
    </row>
    <row r="66" spans="1:29" x14ac:dyDescent="0.25">
      <c r="A66" s="21">
        <v>45688</v>
      </c>
      <c r="B66" s="24">
        <f t="shared" ref="B66:B68" si="119">IF(A66&gt;A65,1+B65,"-")</f>
        <v>50</v>
      </c>
      <c r="C66" s="96" t="s">
        <v>387</v>
      </c>
      <c r="D66" s="27">
        <f t="shared" si="76"/>
        <v>2.6840446666666664</v>
      </c>
      <c r="E66" s="46">
        <f t="shared" ref="E66:E68" si="120">E65*D66/100+E65</f>
        <v>1344153.2285891797</v>
      </c>
      <c r="F66" s="12"/>
      <c r="G66" s="5"/>
      <c r="I66" s="39"/>
      <c r="J66" s="21">
        <f t="shared" ref="J66:J68" si="121">A66</f>
        <v>45688</v>
      </c>
      <c r="K66" s="24">
        <f t="shared" ref="K66:K68" si="122">IF(J66&gt;J65,1+K65,"-")</f>
        <v>50</v>
      </c>
      <c r="L66" s="96" t="s">
        <v>389</v>
      </c>
      <c r="M66" s="27">
        <v>2.6048779999999998</v>
      </c>
      <c r="N66" s="46">
        <f t="shared" ref="N66:N68" si="123">N65*M66/100+N65</f>
        <v>1295607.8391164595</v>
      </c>
      <c r="O66" s="12"/>
      <c r="P66" s="5"/>
      <c r="R66" s="39"/>
      <c r="S66" s="20">
        <f t="shared" si="3"/>
        <v>45688</v>
      </c>
      <c r="T66" s="315">
        <f>(0.75*'LC (Gross)'!K317)+(0.25*'CRA (Gross)'!E155)</f>
        <v>2.2170514750000003</v>
      </c>
      <c r="U66" s="46">
        <f t="shared" ref="U66:U68" si="124">U65*T66/100+U65</f>
        <v>1516024.7950684684</v>
      </c>
      <c r="V66" s="12"/>
      <c r="W66" s="5"/>
      <c r="X66" s="39"/>
      <c r="Y66" s="20">
        <f t="shared" si="4"/>
        <v>45688</v>
      </c>
      <c r="Z66" s="315">
        <f>'LC (Gross)'!K317</f>
        <v>2.7792780000000001</v>
      </c>
      <c r="AA66" s="46">
        <f t="shared" ref="AA66:AA68" si="125">AA65*Z66/100+AA65</f>
        <v>1774368.9712847068</v>
      </c>
      <c r="AB66" s="12"/>
      <c r="AC66" s="5"/>
    </row>
    <row r="67" spans="1:29" x14ac:dyDescent="0.25">
      <c r="A67" s="21">
        <v>45716</v>
      </c>
      <c r="B67" s="24">
        <f t="shared" si="119"/>
        <v>51</v>
      </c>
      <c r="C67" s="96" t="s">
        <v>387</v>
      </c>
      <c r="D67" s="27">
        <f t="shared" si="76"/>
        <v>-3.5718333333333338E-2</v>
      </c>
      <c r="E67" s="46">
        <f t="shared" si="120"/>
        <v>1343673.1194584814</v>
      </c>
      <c r="F67" s="12"/>
      <c r="G67" s="5"/>
      <c r="I67" s="39"/>
      <c r="J67" s="21">
        <f t="shared" si="121"/>
        <v>45716</v>
      </c>
      <c r="K67" s="24">
        <f t="shared" si="122"/>
        <v>51</v>
      </c>
      <c r="L67" s="96" t="s">
        <v>389</v>
      </c>
      <c r="M67" s="27">
        <v>-0.114885</v>
      </c>
      <c r="N67" s="46">
        <f t="shared" si="123"/>
        <v>1294119.3800504906</v>
      </c>
      <c r="O67" s="12"/>
      <c r="P67" s="5"/>
      <c r="R67" s="39"/>
      <c r="S67" s="20">
        <f t="shared" si="3"/>
        <v>45716</v>
      </c>
      <c r="T67" s="315">
        <f>(0.75*'LC (Gross)'!K318)+(0.25*'CRA (Gross)'!E156)</f>
        <v>-0.42865125000000004</v>
      </c>
      <c r="U67" s="46">
        <f t="shared" si="124"/>
        <v>1509526.3358340976</v>
      </c>
      <c r="V67" s="12"/>
      <c r="W67" s="5"/>
      <c r="X67" s="39"/>
      <c r="Y67" s="20">
        <f t="shared" si="4"/>
        <v>45716</v>
      </c>
      <c r="Z67" s="315">
        <f>'LC (Gross)'!K318</f>
        <v>-1.3049580000000001</v>
      </c>
      <c r="AA67" s="46">
        <f t="shared" si="125"/>
        <v>1751214.2014444093</v>
      </c>
      <c r="AB67" s="12"/>
      <c r="AC67" s="5"/>
    </row>
    <row r="68" spans="1:29" x14ac:dyDescent="0.25">
      <c r="A68" s="21">
        <v>45747</v>
      </c>
      <c r="B68" s="24">
        <f t="shared" si="119"/>
        <v>52</v>
      </c>
      <c r="C68" s="96" t="s">
        <v>387</v>
      </c>
      <c r="D68" s="27">
        <f t="shared" si="76"/>
        <v>-2.3580673333333335</v>
      </c>
      <c r="E68" s="46">
        <f t="shared" si="120"/>
        <v>1311988.40256175</v>
      </c>
      <c r="F68" s="12"/>
      <c r="G68" s="5">
        <f>(E68/E65-1)*100</f>
        <v>0.22687359253044104</v>
      </c>
      <c r="I68" s="39"/>
      <c r="J68" s="21">
        <f t="shared" si="121"/>
        <v>45747</v>
      </c>
      <c r="K68" s="24">
        <f t="shared" si="122"/>
        <v>52</v>
      </c>
      <c r="L68" s="96" t="s">
        <v>389</v>
      </c>
      <c r="M68" s="27">
        <v>-2.4372340000000001</v>
      </c>
      <c r="N68" s="46">
        <f t="shared" si="123"/>
        <v>1262578.6625193108</v>
      </c>
      <c r="O68" s="12"/>
      <c r="P68" s="5">
        <f>(N68/N65-1)*100</f>
        <v>-1.0847633075805607E-2</v>
      </c>
      <c r="R68" s="39"/>
      <c r="S68" s="20">
        <f t="shared" si="3"/>
        <v>45747</v>
      </c>
      <c r="T68" s="315">
        <f>(0.75*'LC (Gross)'!K319)+(0.25*'CRA (Gross)'!E157)</f>
        <v>-4.2163478574999997</v>
      </c>
      <c r="U68" s="46">
        <f t="shared" si="124"/>
        <v>1445879.4545147584</v>
      </c>
      <c r="V68" s="12"/>
      <c r="W68" s="5">
        <f>(U68/U65-1)*100</f>
        <v>-2.5124555287335038</v>
      </c>
      <c r="X68" s="39"/>
      <c r="Y68" s="20">
        <f t="shared" si="4"/>
        <v>45747</v>
      </c>
      <c r="Z68" s="315">
        <f>'LC (Gross)'!K319</f>
        <v>-5.6343949999999996</v>
      </c>
      <c r="AA68" s="46">
        <f t="shared" si="125"/>
        <v>1652543.8760389355</v>
      </c>
      <c r="AB68" s="12"/>
      <c r="AC68" s="5">
        <f>(AA68/AA65-1)*100</f>
        <v>-4.2773689174536393</v>
      </c>
    </row>
    <row r="69" spans="1:29" x14ac:dyDescent="0.25">
      <c r="A69" s="21">
        <v>45777</v>
      </c>
      <c r="B69" s="24">
        <f t="shared" ref="B69:B71" si="126">IF(A69&gt;A68,1+B68,"-")</f>
        <v>53</v>
      </c>
      <c r="C69" s="96" t="s">
        <v>387</v>
      </c>
      <c r="D69" s="27">
        <f t="shared" ref="D69:D71" si="127">M69+(0.95/12)</f>
        <v>-1.2002693333333334</v>
      </c>
      <c r="E69" s="46">
        <f t="shared" ref="E69:E71" si="128">E68*D69/100+E68</f>
        <v>1296241.0081089116</v>
      </c>
      <c r="F69" s="12"/>
      <c r="G69" s="5"/>
      <c r="I69" s="39"/>
      <c r="J69" s="21">
        <f t="shared" ref="J69:J71" si="129">A69</f>
        <v>45777</v>
      </c>
      <c r="K69" s="24">
        <f t="shared" ref="K69:K71" si="130">IF(J69&gt;J68,1+K68,"-")</f>
        <v>53</v>
      </c>
      <c r="L69" s="96" t="s">
        <v>389</v>
      </c>
      <c r="M69" s="27">
        <v>-1.279436</v>
      </c>
      <c r="N69" s="46">
        <f t="shared" ref="N69:N71" si="131">N68*M69/100+N68</f>
        <v>1246424.7765827202</v>
      </c>
      <c r="O69" s="12"/>
      <c r="P69" s="5"/>
      <c r="R69" s="39"/>
      <c r="S69" s="20">
        <f t="shared" si="3"/>
        <v>45777</v>
      </c>
      <c r="T69" s="315">
        <f>(0.75*'LC (Gross)'!K320)+(0.25*'CRA (Gross)'!E158)</f>
        <v>-0.41037179999999995</v>
      </c>
      <c r="U69" s="46">
        <f t="shared" ref="U69:U71" si="132">U68*T69/100+U68</f>
        <v>1439945.9729714361</v>
      </c>
      <c r="V69" s="12"/>
      <c r="W69" s="5"/>
      <c r="X69" s="39"/>
      <c r="Y69" s="20">
        <f t="shared" si="4"/>
        <v>45777</v>
      </c>
      <c r="Z69" s="315">
        <f>'LC (Gross)'!K320</f>
        <v>-0.67813060000000003</v>
      </c>
      <c r="AA69" s="46">
        <f t="shared" ref="AA69:AA71" si="133">AA68*Z69/100+AA68</f>
        <v>1641337.4703370894</v>
      </c>
      <c r="AB69" s="12"/>
      <c r="AC69" s="5"/>
    </row>
    <row r="70" spans="1:29" x14ac:dyDescent="0.25">
      <c r="A70" s="21">
        <v>45808</v>
      </c>
      <c r="B70" s="24">
        <f t="shared" si="126"/>
        <v>54</v>
      </c>
      <c r="C70" s="96" t="s">
        <v>387</v>
      </c>
      <c r="D70" s="27">
        <f t="shared" si="127"/>
        <v>1.3444146666666665</v>
      </c>
      <c r="E70" s="46">
        <f t="shared" si="128"/>
        <v>1313667.8623372756</v>
      </c>
      <c r="F70" s="12"/>
      <c r="G70" s="5"/>
      <c r="I70" s="39"/>
      <c r="J70" s="21">
        <f t="shared" si="129"/>
        <v>45808</v>
      </c>
      <c r="K70" s="24">
        <f t="shared" si="130"/>
        <v>54</v>
      </c>
      <c r="L70" s="96" t="s">
        <v>389</v>
      </c>
      <c r="M70" s="27">
        <v>1.2652479999999999</v>
      </c>
      <c r="N70" s="46">
        <f t="shared" si="131"/>
        <v>1262195.1411399376</v>
      </c>
      <c r="O70" s="12"/>
      <c r="P70" s="5"/>
      <c r="R70" s="39"/>
      <c r="S70" s="20">
        <f t="shared" si="3"/>
        <v>45808</v>
      </c>
      <c r="T70" s="315">
        <f>(0.75*'LC (Gross)'!K321)+(0.25*'CRA (Gross)'!E159)</f>
        <v>4.5419935749999993</v>
      </c>
      <c r="U70" s="46">
        <f t="shared" si="132"/>
        <v>1505348.2265472698</v>
      </c>
      <c r="V70" s="12"/>
      <c r="W70" s="5"/>
      <c r="X70" s="39"/>
      <c r="Y70" s="20">
        <f t="shared" si="4"/>
        <v>45808</v>
      </c>
      <c r="Z70" s="315">
        <f>'LC (Gross)'!K321</f>
        <v>6.294619</v>
      </c>
      <c r="AA70" s="46">
        <f t="shared" si="133"/>
        <v>1744653.4105990471</v>
      </c>
      <c r="AB70" s="12"/>
      <c r="AC70" s="5"/>
    </row>
    <row r="71" spans="1:29" x14ac:dyDescent="0.25">
      <c r="A71" s="21">
        <v>45838</v>
      </c>
      <c r="B71" s="24">
        <f t="shared" si="126"/>
        <v>55</v>
      </c>
      <c r="C71" s="96" t="s">
        <v>387</v>
      </c>
      <c r="D71" s="27">
        <f t="shared" si="127"/>
        <v>1.4566606666666666</v>
      </c>
      <c r="E71" s="46">
        <f t="shared" si="128"/>
        <v>1332803.5453785835</v>
      </c>
      <c r="F71" s="12"/>
      <c r="G71" s="5">
        <f>(E71/E68-1)*100</f>
        <v>1.5865340559558572</v>
      </c>
      <c r="I71" s="39"/>
      <c r="J71" s="21">
        <f t="shared" si="129"/>
        <v>45838</v>
      </c>
      <c r="K71" s="24">
        <f t="shared" si="130"/>
        <v>55</v>
      </c>
      <c r="L71" s="96" t="s">
        <v>389</v>
      </c>
      <c r="M71" s="27">
        <v>1.377494</v>
      </c>
      <c r="N71" s="46">
        <f t="shared" si="131"/>
        <v>1279581.8034774316</v>
      </c>
      <c r="O71" s="12"/>
      <c r="P71" s="5">
        <f>(N71/N68-1)*100</f>
        <v>1.3466995334922904</v>
      </c>
      <c r="R71" s="39"/>
      <c r="S71" s="20">
        <f t="shared" si="3"/>
        <v>45838</v>
      </c>
      <c r="T71" s="315">
        <f>(0.75*'LC (Gross)'!K322)+(0.25*'CRA (Gross)'!E160)</f>
        <v>4.1980012499999999</v>
      </c>
      <c r="U71" s="46">
        <f t="shared" si="132"/>
        <v>1568542.763914577</v>
      </c>
      <c r="V71" s="12"/>
      <c r="W71" s="5">
        <f>(U71/U68-1)*100</f>
        <v>8.4836470299652245</v>
      </c>
      <c r="X71" s="39"/>
      <c r="Y71" s="20">
        <f t="shared" si="4"/>
        <v>45838</v>
      </c>
      <c r="Z71" s="315">
        <f>'LC (Gross)'!K322</f>
        <v>5.0848300000000002</v>
      </c>
      <c r="AA71" s="46">
        <f t="shared" si="133"/>
        <v>1833366.0706172106</v>
      </c>
      <c r="AB71" s="12"/>
      <c r="AC71" s="5">
        <f>(AA71/AA68-1)*100</f>
        <v>10.942051052326484</v>
      </c>
    </row>
    <row r="72" spans="1:29" x14ac:dyDescent="0.25">
      <c r="A72" s="21">
        <v>45869</v>
      </c>
      <c r="B72" s="24">
        <f t="shared" ref="B72:B74" si="134">IF(A72&gt;A71,1+B71,"-")</f>
        <v>56</v>
      </c>
      <c r="C72" s="96" t="s">
        <v>387</v>
      </c>
      <c r="D72" s="27">
        <f t="shared" ref="D72:D74" si="135">M72+(0.95/12)</f>
        <v>0.31145756666666669</v>
      </c>
      <c r="E72" s="46">
        <f t="shared" ref="E72:E74" si="136">E71*D72/100+E71</f>
        <v>1336954.6628694667</v>
      </c>
      <c r="F72" s="12"/>
      <c r="G72" s="5"/>
      <c r="I72" s="39"/>
      <c r="J72" s="21">
        <f t="shared" ref="J72:J74" si="137">A72</f>
        <v>45869</v>
      </c>
      <c r="K72" s="24">
        <f t="shared" ref="K72:K74" si="138">IF(J72&gt;J71,1+K71,"-")</f>
        <v>56</v>
      </c>
      <c r="L72" s="96" t="s">
        <v>389</v>
      </c>
      <c r="M72" s="27">
        <v>0.23229089999999999</v>
      </c>
      <c r="N72" s="46">
        <f t="shared" ref="N72:N74" si="139">N71*M72/100+N71</f>
        <v>1282554.1555649657</v>
      </c>
      <c r="O72" s="12"/>
      <c r="P72" s="5"/>
      <c r="R72" s="39"/>
      <c r="S72" s="20">
        <f t="shared" si="3"/>
        <v>45869</v>
      </c>
      <c r="T72" s="315">
        <f>(0.75*'LC (Gross)'!K323)+(0.25*'CRA (Gross)'!E161)</f>
        <v>1.6172333000000001</v>
      </c>
      <c r="U72" s="46">
        <f t="shared" ref="U72:U74" si="140">U71*T72/100+U71</f>
        <v>1593909.7598173439</v>
      </c>
      <c r="V72" s="12"/>
      <c r="W72" s="5"/>
      <c r="X72" s="39"/>
      <c r="Y72" s="20">
        <f t="shared" si="4"/>
        <v>45869</v>
      </c>
      <c r="Z72" s="315">
        <f>'LC (Gross)'!K323</f>
        <v>2.2442899999999999</v>
      </c>
      <c r="AA72" s="46">
        <f t="shared" ref="AA72:AA74" si="141">AA71*Z72/100+AA71</f>
        <v>1874512.1220034657</v>
      </c>
      <c r="AB72" s="12"/>
      <c r="AC72" s="5"/>
    </row>
    <row r="73" spans="1:29" x14ac:dyDescent="0.25">
      <c r="A73" s="21">
        <v>45900</v>
      </c>
      <c r="B73" s="24">
        <f t="shared" si="134"/>
        <v>57</v>
      </c>
      <c r="C73" s="96" t="s">
        <v>387</v>
      </c>
      <c r="D73" s="27">
        <f t="shared" si="135"/>
        <v>1.4725306666666667</v>
      </c>
      <c r="E73" s="46">
        <f t="shared" si="136"/>
        <v>1356641.7302796496</v>
      </c>
      <c r="F73" s="12"/>
      <c r="G73" s="5"/>
      <c r="I73" s="39"/>
      <c r="J73" s="21">
        <f t="shared" si="137"/>
        <v>45900</v>
      </c>
      <c r="K73" s="24">
        <f t="shared" si="138"/>
        <v>57</v>
      </c>
      <c r="L73" s="96" t="s">
        <v>389</v>
      </c>
      <c r="M73" s="27">
        <v>1.393364</v>
      </c>
      <c r="N73" s="46">
        <f t="shared" si="139"/>
        <v>1300424.803449112</v>
      </c>
      <c r="O73" s="12"/>
      <c r="P73" s="5"/>
      <c r="R73" s="39"/>
      <c r="S73" s="20">
        <f t="shared" si="3"/>
        <v>45900</v>
      </c>
      <c r="T73" s="315">
        <f>(0.75*'LC (Gross)'!K324)+(0.25*'CRA (Gross)'!E162)</f>
        <v>1.8194772499999998</v>
      </c>
      <c r="U73" s="46">
        <f t="shared" si="140"/>
        <v>1622910.5852827502</v>
      </c>
      <c r="V73" s="12"/>
      <c r="W73" s="5"/>
      <c r="X73" s="39"/>
      <c r="Y73" s="20">
        <f t="shared" si="4"/>
        <v>45900</v>
      </c>
      <c r="Z73" s="315">
        <f>'LC (Gross)'!K324</f>
        <v>2.0271819999999998</v>
      </c>
      <c r="AA73" s="46">
        <f t="shared" si="141"/>
        <v>1912511.8943285379</v>
      </c>
      <c r="AB73" s="12"/>
      <c r="AC73" s="5"/>
    </row>
    <row r="74" spans="1:29" x14ac:dyDescent="0.25">
      <c r="A74" s="21">
        <v>45930</v>
      </c>
      <c r="B74" s="24">
        <f t="shared" si="134"/>
        <v>58</v>
      </c>
      <c r="C74" s="96" t="s">
        <v>387</v>
      </c>
      <c r="D74" s="27">
        <f t="shared" si="135"/>
        <v>1.9533526666666665</v>
      </c>
      <c r="E74" s="46">
        <f t="shared" si="136"/>
        <v>1383141.7276951799</v>
      </c>
      <c r="F74" s="12"/>
      <c r="G74" s="5">
        <f>(E74/E71-1)*100</f>
        <v>3.776864376684852</v>
      </c>
      <c r="I74" s="39"/>
      <c r="J74" s="21">
        <f t="shared" si="137"/>
        <v>45930</v>
      </c>
      <c r="K74" s="24">
        <f t="shared" si="138"/>
        <v>58</v>
      </c>
      <c r="L74" s="96" t="s">
        <v>389</v>
      </c>
      <c r="M74" s="27">
        <v>1.8741859999999999</v>
      </c>
      <c r="N74" s="46">
        <f t="shared" si="139"/>
        <v>1324797.1830558828</v>
      </c>
      <c r="O74" s="12"/>
      <c r="P74" s="5">
        <f>(N74/N71-1)*100</f>
        <v>3.5336060153069004</v>
      </c>
      <c r="R74" s="39"/>
      <c r="S74" s="20">
        <f t="shared" si="3"/>
        <v>45930</v>
      </c>
      <c r="T74" s="315">
        <f>(0.75*'LC (Gross)'!K325)+(0.25*'CRA (Gross)'!E163)</f>
        <v>3.0030395000000003</v>
      </c>
      <c r="U74" s="46">
        <f t="shared" si="140"/>
        <v>1671647.2312084723</v>
      </c>
      <c r="V74" s="12"/>
      <c r="W74" s="5">
        <f>(U74/U71-1)*100</f>
        <v>6.5732646674279804</v>
      </c>
      <c r="X74" s="39"/>
      <c r="Y74" s="20">
        <f t="shared" si="4"/>
        <v>45930</v>
      </c>
      <c r="Z74" s="315">
        <f>'LC (Gross)'!K325</f>
        <v>3.6404380000000001</v>
      </c>
      <c r="AA74" s="46">
        <f t="shared" si="141"/>
        <v>1982135.7040841938</v>
      </c>
      <c r="AB74" s="12"/>
      <c r="AC74" s="5">
        <f>(AA74/AA71-1)*100</f>
        <v>8.1145623807088008</v>
      </c>
    </row>
    <row r="75" spans="1:29" x14ac:dyDescent="0.25">
      <c r="A75" s="21">
        <v>45961</v>
      </c>
      <c r="B75" s="24">
        <f t="shared" ref="B75:B77" si="142">IF(A75&gt;A74,1+B74,"-")</f>
        <v>59</v>
      </c>
      <c r="C75" s="96" t="s">
        <v>387</v>
      </c>
      <c r="D75" s="27">
        <f t="shared" ref="D75:D77" si="143">M75+(0.95/12)</f>
        <v>0.6822925666666666</v>
      </c>
      <c r="E75" s="46">
        <f t="shared" ref="E75:E77" si="144">E74*D75/100+E74</f>
        <v>1392578.800889709</v>
      </c>
      <c r="F75" s="12"/>
      <c r="G75" s="5"/>
      <c r="I75" s="39"/>
      <c r="J75" s="21">
        <f t="shared" ref="J75:J77" si="145">A75</f>
        <v>45961</v>
      </c>
      <c r="K75" s="24">
        <f t="shared" ref="K75:K77" si="146">IF(J75&gt;J74,1+K74,"-")</f>
        <v>59</v>
      </c>
      <c r="L75" s="96" t="s">
        <v>389</v>
      </c>
      <c r="M75" s="27">
        <v>0.60312589999999999</v>
      </c>
      <c r="N75" s="46">
        <f t="shared" ref="N75:N77" si="147">N74*M75/100+N74</f>
        <v>1332787.3779893632</v>
      </c>
      <c r="O75" s="12"/>
      <c r="P75" s="5"/>
      <c r="R75" s="39"/>
      <c r="S75" s="20">
        <f t="shared" si="3"/>
        <v>45961</v>
      </c>
      <c r="T75" s="315">
        <f>(0.75*'LC (Gross)'!K326)+(0.25*'CRA (Gross)'!E164)</f>
        <v>1.9121593499999998</v>
      </c>
      <c r="U75" s="46">
        <f t="shared" ref="U75:U77" si="148">U74*T75/100+U74</f>
        <v>1703611.7900390411</v>
      </c>
      <c r="V75" s="12"/>
      <c r="W75" s="5"/>
      <c r="X75" s="39"/>
      <c r="Y75" s="20">
        <f t="shared" si="4"/>
        <v>45961</v>
      </c>
      <c r="Z75" s="315">
        <f>'LC (Gross)'!K326</f>
        <v>2.341364</v>
      </c>
      <c r="AA75" s="46">
        <f t="shared" ref="AA75:AA77" si="149">AA74*Z75/100+AA74</f>
        <v>2028544.7158907678</v>
      </c>
      <c r="AB75" s="12"/>
      <c r="AC75" s="5"/>
    </row>
    <row r="76" spans="1:29" x14ac:dyDescent="0.25">
      <c r="A76" s="21">
        <v>45991</v>
      </c>
      <c r="B76" s="24">
        <f t="shared" si="142"/>
        <v>60</v>
      </c>
      <c r="C76" s="96" t="s">
        <v>387</v>
      </c>
      <c r="D76" s="27">
        <f t="shared" si="143"/>
        <v>1.1140926666666666</v>
      </c>
      <c r="E76" s="46">
        <f t="shared" si="144"/>
        <v>1408093.4191879758</v>
      </c>
      <c r="F76" s="12"/>
      <c r="G76" s="5"/>
      <c r="I76" s="39"/>
      <c r="J76" s="21">
        <f t="shared" si="145"/>
        <v>45991</v>
      </c>
      <c r="K76" s="24">
        <f t="shared" si="146"/>
        <v>60</v>
      </c>
      <c r="L76" s="96" t="s">
        <v>389</v>
      </c>
      <c r="M76" s="27">
        <v>1.034926</v>
      </c>
      <c r="N76" s="46">
        <f t="shared" si="147"/>
        <v>1346580.7410888933</v>
      </c>
      <c r="O76" s="12"/>
      <c r="P76" s="5"/>
      <c r="R76" s="39"/>
      <c r="S76" s="20">
        <f t="shared" si="3"/>
        <v>45991</v>
      </c>
      <c r="T76" s="315">
        <f>(0.75*'LC (Gross)'!K327)+(0.25*'CRA (Gross)'!E165)</f>
        <v>0.33922135000000003</v>
      </c>
      <c r="U76" s="46">
        <f t="shared" si="148"/>
        <v>1709390.8049519707</v>
      </c>
      <c r="V76" s="12"/>
      <c r="W76" s="5"/>
      <c r="X76" s="39"/>
      <c r="Y76" s="20">
        <f t="shared" si="4"/>
        <v>45991</v>
      </c>
      <c r="Z76" s="315">
        <f>'LC (Gross)'!K327</f>
        <v>0.24512030000000001</v>
      </c>
      <c r="AA76" s="46">
        <f t="shared" si="149"/>
        <v>2033517.0907839932</v>
      </c>
      <c r="AB76" s="12"/>
      <c r="AC76" s="5"/>
    </row>
    <row r="77" spans="1:29" x14ac:dyDescent="0.25">
      <c r="A77" s="21">
        <v>46022</v>
      </c>
      <c r="B77" s="24">
        <f t="shared" si="142"/>
        <v>61</v>
      </c>
      <c r="C77" s="96" t="s">
        <v>387</v>
      </c>
      <c r="D77" s="27">
        <f t="shared" si="143"/>
        <v>0.52775466666666659</v>
      </c>
      <c r="E77" s="46">
        <f t="shared" si="144"/>
        <v>1415524.6979187666</v>
      </c>
      <c r="F77" s="12">
        <f>((E77-$E$65)/$E$65)*100</f>
        <v>8.1363331325115418</v>
      </c>
      <c r="G77" s="5">
        <f>(E77/E74-1)*100</f>
        <v>2.3412618949432362</v>
      </c>
      <c r="I77" s="39"/>
      <c r="J77" s="21">
        <f t="shared" si="145"/>
        <v>46022</v>
      </c>
      <c r="K77" s="24">
        <f t="shared" si="146"/>
        <v>61</v>
      </c>
      <c r="L77" s="96" t="s">
        <v>389</v>
      </c>
      <c r="M77" s="27">
        <v>0.44858799999999999</v>
      </c>
      <c r="N77" s="46">
        <f t="shared" si="147"/>
        <v>1352621.3407037291</v>
      </c>
      <c r="O77" s="12">
        <f>((N77-N$65)/N$65)*100</f>
        <v>7.1200277220825186</v>
      </c>
      <c r="P77" s="5">
        <f>(N77/N74-1)*100</f>
        <v>2.1002579114536513</v>
      </c>
      <c r="R77" s="39"/>
      <c r="S77" s="20">
        <f t="shared" si="3"/>
        <v>46022</v>
      </c>
      <c r="T77" s="315">
        <f>(0.75*'LC (Gross)'!K328)+(0.25*'CRA (Gross)'!E166)</f>
        <v>7.3974600000000015E-3</v>
      </c>
      <c r="U77" s="46">
        <f t="shared" si="148"/>
        <v>1709517.2564530107</v>
      </c>
      <c r="V77" s="12">
        <f>((U77-U$65)/U$65)*100</f>
        <v>15.263163220471132</v>
      </c>
      <c r="W77" s="5">
        <f>(U77/U74-1)*100</f>
        <v>2.265431637580706</v>
      </c>
      <c r="X77" s="39"/>
      <c r="Y77" s="20">
        <f t="shared" si="4"/>
        <v>46022</v>
      </c>
      <c r="Z77" s="315">
        <f>'LC (Gross)'!K328</f>
        <v>5.9176079999999999E-2</v>
      </c>
      <c r="AA77" s="46">
        <f t="shared" si="149"/>
        <v>2034720.4464844493</v>
      </c>
      <c r="AB77" s="12">
        <f>((AA77-AA$65)/AA$65)*100</f>
        <v>17.859983918730173</v>
      </c>
      <c r="AC77" s="5">
        <f>(AA77/AA74-1)*100</f>
        <v>2.6529335146884492</v>
      </c>
    </row>
    <row r="79" spans="1:29" x14ac:dyDescent="0.25">
      <c r="L79" t="s">
        <v>403</v>
      </c>
      <c r="M79" s="29">
        <f>_xll.BDP(L$79&amp;" US EQUITY","cust trr return holding per","cust trr start dt",TEXT($A68,"YYYYMMDD"),"cust trr end dt",TEXT($A69,"YYYYMMDD"))</f>
        <v>-1.279436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BA4F1-8D6E-9846-B7F2-AE808450190B}">
  <dimension ref="A1:AB66"/>
  <sheetViews>
    <sheetView workbookViewId="0">
      <pane ySplit="15" topLeftCell="A48" activePane="bottomLeft" state="frozen"/>
      <selection pane="bottomLeft" activeCell="J22" sqref="J22"/>
    </sheetView>
  </sheetViews>
  <sheetFormatPr defaultColWidth="11" defaultRowHeight="15.75" x14ac:dyDescent="0.25"/>
  <cols>
    <col min="2" max="2" width="3.125" bestFit="1" customWidth="1"/>
    <col min="4" max="4" width="11.625" bestFit="1" customWidth="1"/>
    <col min="5" max="5" width="13.625" bestFit="1" customWidth="1"/>
    <col min="6" max="6" width="6.625" bestFit="1" customWidth="1"/>
    <col min="7" max="7" width="9" bestFit="1" customWidth="1"/>
    <col min="9" max="9" width="2" customWidth="1"/>
    <col min="11" max="11" width="3.125" bestFit="1" customWidth="1"/>
    <col min="13" max="13" width="11.625" bestFit="1" customWidth="1"/>
    <col min="14" max="14" width="13.625" bestFit="1" customWidth="1"/>
    <col min="15" max="15" width="6.625" bestFit="1" customWidth="1"/>
    <col min="16" max="16" width="9" bestFit="1" customWidth="1"/>
    <col min="18" max="18" width="2" customWidth="1"/>
    <col min="20" max="20" width="7.625" customWidth="1"/>
    <col min="21" max="21" width="11.5" bestFit="1" customWidth="1"/>
    <col min="22" max="22" width="6.625" bestFit="1" customWidth="1"/>
    <col min="23" max="23" width="9" bestFit="1" customWidth="1"/>
    <col min="25" max="25" width="11.625" bestFit="1" customWidth="1"/>
    <col min="27" max="27" width="11.625" bestFit="1" customWidth="1"/>
  </cols>
  <sheetData>
    <row r="1" spans="1:26" x14ac:dyDescent="0.25">
      <c r="B1" s="23"/>
      <c r="C1" s="74" t="s">
        <v>388</v>
      </c>
      <c r="D1" s="13"/>
      <c r="E1" s="14"/>
      <c r="F1" s="15"/>
      <c r="I1" s="39"/>
      <c r="K1" s="23"/>
      <c r="L1" s="74" t="s">
        <v>183</v>
      </c>
      <c r="M1" s="13"/>
      <c r="N1" s="14"/>
      <c r="O1" s="15"/>
      <c r="R1" s="39"/>
      <c r="S1" s="7" t="s">
        <v>38</v>
      </c>
      <c r="T1" s="13"/>
      <c r="U1" s="13"/>
      <c r="V1" s="14"/>
      <c r="W1" s="15"/>
    </row>
    <row r="2" spans="1:26" x14ac:dyDescent="0.25">
      <c r="A2" s="7"/>
      <c r="B2" s="23"/>
      <c r="C2" s="36"/>
      <c r="D2" s="16"/>
      <c r="E2" s="16"/>
      <c r="F2" s="16"/>
      <c r="G2" s="16"/>
      <c r="H2" s="16"/>
      <c r="I2" s="39"/>
      <c r="J2" s="7"/>
      <c r="K2" s="23"/>
      <c r="L2" s="36"/>
      <c r="M2" s="16"/>
      <c r="N2" s="16"/>
      <c r="O2" s="16"/>
      <c r="P2" s="16"/>
      <c r="Q2" s="16"/>
      <c r="R2" s="39"/>
      <c r="T2" s="16"/>
      <c r="U2" s="36"/>
      <c r="V2" s="16"/>
      <c r="W2" s="16"/>
    </row>
    <row r="3" spans="1:26" x14ac:dyDescent="0.25">
      <c r="B3" s="23"/>
      <c r="C3" s="7"/>
      <c r="D3" s="191"/>
      <c r="E3" s="16"/>
      <c r="F3" s="16"/>
      <c r="G3" s="16"/>
      <c r="H3" s="16"/>
      <c r="I3" s="39"/>
      <c r="K3" s="23"/>
      <c r="L3" s="7"/>
      <c r="M3" s="191"/>
      <c r="N3" s="16"/>
      <c r="O3" s="16"/>
      <c r="P3" s="16"/>
      <c r="Q3" s="16"/>
      <c r="R3" s="39"/>
      <c r="T3" s="16"/>
      <c r="U3" s="16"/>
      <c r="V3" s="16"/>
      <c r="W3" s="16"/>
    </row>
    <row r="4" spans="1:26" x14ac:dyDescent="0.25">
      <c r="A4" s="7"/>
      <c r="B4" s="23"/>
      <c r="C4" s="23"/>
      <c r="D4" s="16" t="s">
        <v>41</v>
      </c>
      <c r="E4" s="23" t="s">
        <v>42</v>
      </c>
      <c r="F4" s="17" t="s">
        <v>43</v>
      </c>
      <c r="G4" s="35" t="s">
        <v>44</v>
      </c>
      <c r="H4" s="17" t="s">
        <v>45</v>
      </c>
      <c r="I4" s="39"/>
      <c r="K4" s="23"/>
      <c r="L4" s="23"/>
      <c r="M4" s="16" t="s">
        <v>41</v>
      </c>
      <c r="N4" s="23" t="s">
        <v>42</v>
      </c>
      <c r="O4" s="17" t="s">
        <v>43</v>
      </c>
      <c r="P4" s="35" t="s">
        <v>44</v>
      </c>
      <c r="Q4" s="17" t="s">
        <v>45</v>
      </c>
      <c r="R4" s="39"/>
      <c r="T4" s="23" t="s">
        <v>41</v>
      </c>
      <c r="U4" s="17" t="s">
        <v>43</v>
      </c>
      <c r="V4" s="17" t="s">
        <v>45</v>
      </c>
      <c r="W4" s="35"/>
    </row>
    <row r="5" spans="1:26" x14ac:dyDescent="0.25">
      <c r="B5" s="23">
        <v>12</v>
      </c>
      <c r="C5" s="7" t="s">
        <v>7</v>
      </c>
      <c r="D5" s="16">
        <f t="array" aca="1" ref="D5" ca="1">IFERROR((GEOMEAN(1+OFFSET(D$16,MAX($B$16:$B$509)-$B$5+1,0,$B$5,1)/100)^$B$5-1)*100,"N/A")</f>
        <v>18.447396743197906</v>
      </c>
      <c r="E5" s="36">
        <f t="shared" ref="E5:E12" ca="1" si="0">IFERROR(D5-$T5,"N/A")</f>
        <v>0.58741282446772303</v>
      </c>
      <c r="F5" s="16">
        <f ca="1">IFERROR(SLOPE(OFFSET(D$16,MAX($B$16:$B$509)-$B$5+1,0,$B$5,1),OFFSET($T$16,MAX($B$16:$B$509)-$B$5+1,0,$B$5,1)),"N/A")</f>
        <v>1.0019325827741081</v>
      </c>
      <c r="G5" s="16">
        <f t="array" aca="1" ref="G5" ca="1">IFERROR(INTERCEPT(OFFSET(D$16,MAX($B$16:$B$509)-$B$5+1,0,$B$5,1),OFFSET($T$16,MAX($B$16:$B$509)-$B$5+1,0,$B$5,1))*12,"N/A")</f>
        <v>0.50433914703108851</v>
      </c>
      <c r="H5" s="16">
        <f ca="1">IFERROR(STDEVP(OFFSET(D$16,MAX($B$16:$B$509)-$B$5+1,0,$B$5,1))*SQRT(12),"N/A")</f>
        <v>10.802944989730403</v>
      </c>
      <c r="I5" s="39"/>
      <c r="K5" s="23">
        <f ca="1">MAX(K16:K506)-VLOOKUP(DATE(YEAR(TODAY())-1,12,31),J:K,2,0)</f>
        <v>0</v>
      </c>
      <c r="L5" s="7" t="s">
        <v>7</v>
      </c>
      <c r="M5" s="16" cm="1">
        <f t="array" aca="1" ref="M5" ca="1">IFERROR((GEOMEAN(1+OFFSET(M$16,MAX($K$16:$K$509)-$B$5+1,0,$B$5,1)/100)^$B$5-1)*100,"N/A")</f>
        <v>17.458018192703008</v>
      </c>
      <c r="N5" s="36">
        <f t="shared" ref="N5:N12" ca="1" si="1">IFERROR(M5-$T5,"N/A")</f>
        <v>-0.40196572602717495</v>
      </c>
      <c r="O5" s="16">
        <f ca="1">IFERROR(SLOPE(OFFSET(M$16,MAX($K$16:$K$509)-$B$5+1,0,$B$5,1),OFFSET($T$16,MAX($K$16:$K$509)-$B$5+1,0,$B$5,1)),"N/A")</f>
        <v>1.0019325827741081</v>
      </c>
      <c r="P5" s="16">
        <f ca="1">IFERROR(INTERCEPT(OFFSET(M$16,MAX($K$16:$K$509)-$B$5+1,0,$B$5,1),OFFSET($T$16,MAX($K$16:$K$509)-$B$5+1,0,$B$5,1))*12,"N/A")</f>
        <v>-0.34566085296891114</v>
      </c>
      <c r="Q5" s="16">
        <f ca="1">IFERROR(STDEVP(OFFSET(M$16,MAX($K$16:$K$509)-$B$5+1,0,$B$5,1))*SQRT(12),"N/A")</f>
        <v>10.802944989730404</v>
      </c>
      <c r="R5" s="39"/>
      <c r="S5" s="7" t="s">
        <v>7</v>
      </c>
      <c r="T5" s="16">
        <f t="array" aca="1" ref="T5" ca="1">IFERROR((GEOMEAN(1+OFFSET(T$16,MAX($B$16:$B$509)-$B$5+1,0,$B$5,1)/100)^$B$5-1)*100,"N/A")</f>
        <v>17.859983918730183</v>
      </c>
      <c r="U5" s="16">
        <f ca="1">IFERROR(SLOPE(OFFSET(T$16,MAX($B$16:$B$509)-$B$5+1,0,$B$5,1),OFFSET($T$16,MAX($B$16:$B$509)-$B$5+1,0,$B$5,1)),"N/A")</f>
        <v>1</v>
      </c>
      <c r="V5" s="16">
        <f ca="1">IFERROR(STDEVP(OFFSET(T$16,MAX($B$16:$B$509)-$B$5+1,0,$B$5,1))*SQRT(12),"N/A")</f>
        <v>10.521018926463862</v>
      </c>
      <c r="W5" s="16"/>
    </row>
    <row r="6" spans="1:26" x14ac:dyDescent="0.25">
      <c r="B6" s="23"/>
      <c r="C6" s="7" t="s">
        <v>46</v>
      </c>
      <c r="D6" s="16">
        <f t="array" aca="1" ref="D6" ca="1">IFERROR((GEOMEAN(1+OFFSET(D$16,MAX($B$16:$B$509)-11,0,12,1)/100)^12-1)*100,"N/A")</f>
        <v>18.447396743197906</v>
      </c>
      <c r="E6" s="36">
        <f t="shared" ca="1" si="0"/>
        <v>0.58741282446772303</v>
      </c>
      <c r="F6" s="16">
        <f ca="1">IFERROR(SLOPE(OFFSET(D$16,MAX($B$16:$B$509)-11,0,12,1),OFFSET($T$16,MAX($B$16:$B$509)-11,0,12,1)),"N/A")</f>
        <v>1.0019325827741081</v>
      </c>
      <c r="G6" s="16">
        <f ca="1">IFERROR(INTERCEPT(OFFSET(D$16,MAX($B$16:$B$509)-11,0,12,1),OFFSET($T$16,MAX($B$16:$B$509)-11,0,12,1))*12,"N/A")</f>
        <v>0.50433914703108851</v>
      </c>
      <c r="H6" s="16">
        <f ca="1">IFERROR(STDEVP(OFFSET(D$16,MAX($B$16:$B$509)-11,0,12,1))*SQRT(12),"N/A")</f>
        <v>10.802944989730403</v>
      </c>
      <c r="I6" s="39"/>
      <c r="K6" s="23"/>
      <c r="L6" s="7" t="s">
        <v>46</v>
      </c>
      <c r="M6" s="16" cm="1">
        <f t="array" aca="1" ref="M6" ca="1">IFERROR((GEOMEAN(1+OFFSET(M$16,MAX($K$16:$K$509)-11,0,12,1)/100)^12-1)*100,"N/A")</f>
        <v>17.458018192703008</v>
      </c>
      <c r="N6" s="36">
        <f t="shared" ca="1" si="1"/>
        <v>-0.40196572602717495</v>
      </c>
      <c r="O6" s="16">
        <f ca="1">IFERROR(SLOPE(OFFSET(M$16,MAX($B$16:$B$509)-11,0,12,1),OFFSET($T$16,MAX($B$16:$B$509)-11,0,12,1)),"N/A")</f>
        <v>1.0019325827741081</v>
      </c>
      <c r="P6" s="16">
        <f ca="1">IFERROR(INTERCEPT(OFFSET(M$16,MAX($B$16:$B$509)-11,0,12,1),OFFSET($T$16,MAX($B$16:$B$509)-11,0,12,1))*12,"N/A")</f>
        <v>-0.34566085296891114</v>
      </c>
      <c r="Q6" s="16">
        <f ca="1">IFERROR(STDEVP(OFFSET(M$16,MAX($B$16:$B$509)-11,0,12,1))*SQRT(12),"N/A")</f>
        <v>10.802944989730404</v>
      </c>
      <c r="R6" s="39"/>
      <c r="S6" s="7" t="s">
        <v>46</v>
      </c>
      <c r="T6" s="16">
        <f t="array" aca="1" ref="T6" ca="1">IFERROR((GEOMEAN(1+OFFSET(T$16,MAX($B$16:$B$509)-11,0,12,1)/100)^12-1)*100,"N/A")</f>
        <v>17.859983918730183</v>
      </c>
      <c r="U6" s="16">
        <f ca="1">IFERROR(SLOPE(OFFSET(T$16,MAX($B$16:$B$509)-11,0,12,1),OFFSET($T$16,MAX($B$16:$B$509)-11,0,12,1)),"N/A")</f>
        <v>1</v>
      </c>
      <c r="V6" s="16">
        <f ca="1">IFERROR(STDEVP(OFFSET(T$16,MAX($B$16:$B$509)-11,0,12,1))*SQRT(12),"N/A")</f>
        <v>10.521018926463862</v>
      </c>
      <c r="W6" s="16"/>
    </row>
    <row r="7" spans="1:26" x14ac:dyDescent="0.25">
      <c r="B7" s="23"/>
      <c r="C7" s="7" t="s">
        <v>47</v>
      </c>
      <c r="D7" s="16" cm="1">
        <f t="array" aca="1" ref="D7" ca="1">IFERROR((GEOMEAN(1+OFFSET(D$16,MAX($B$16:$B$509)-23,0,24,1)/100)^12-1)*100,"N/A")</f>
        <v>19.657207505076848</v>
      </c>
      <c r="E7" s="36">
        <f t="shared" ca="1" si="0"/>
        <v>-1.7190645842715782</v>
      </c>
      <c r="F7" s="16">
        <f ca="1">IFERROR(SLOPE(OFFSET(D$16,MAX($B$16:$B$509)-23,0,24,1),OFFSET($T$16,MAX($B$16:$B$509)-23,0,24,1)),"N/A")</f>
        <v>1.0571560545486907</v>
      </c>
      <c r="G7" s="16">
        <f ca="1">IFERROR(INTERCEPT(OFFSET(D$16,MAX($B$16:$B$509)-23,0,24,1),OFFSET($T$16,MAX($B$16:$B$509)-23,0,24,1))*12,"N/A")</f>
        <v>-2.489528327287406</v>
      </c>
      <c r="H7" s="16">
        <f ca="1">IFERROR(STDEVP(OFFSET(D$16,MAX($B$16:$B$509)-23,0,24,1))*SQRT(12),"N/A")</f>
        <v>11.379793341381102</v>
      </c>
      <c r="I7" s="39"/>
      <c r="K7" s="23"/>
      <c r="L7" s="7" t="s">
        <v>47</v>
      </c>
      <c r="M7" s="16" cm="1">
        <f t="array" aca="1" ref="M7" ca="1">IFERROR((GEOMEAN(1+OFFSET(M$16,MAX($B$16:$B$509)-23,0,24,1)/100)^12-1)*100,"N/A")</f>
        <v>18.658520327917127</v>
      </c>
      <c r="N7" s="36">
        <f t="shared" ca="1" si="1"/>
        <v>-2.7177517614312983</v>
      </c>
      <c r="O7" s="16">
        <f ca="1">IFERROR(SLOPE(OFFSET(M$16,MAX($B$16:$B$509)-23,0,24,1),OFFSET($T$16,MAX($B$16:$B$509)-23,0,24,1)),"N/A")</f>
        <v>1.0571560545486904</v>
      </c>
      <c r="P7" s="16">
        <f ca="1">IFERROR(INTERCEPT(OFFSET(M$16,MAX($B$16:$B$509)-23,0,24,1),OFFSET($T$16,MAX($B$16:$B$509)-23,0,24,1))*12,"N/A")</f>
        <v>-3.3395283272874003</v>
      </c>
      <c r="Q7" s="16">
        <f ca="1">IFERROR(STDEVP(OFFSET(M$16,MAX($B$16:$B$509)-23,0,24,1))*SQRT(12),"N/A")</f>
        <v>11.379793341381104</v>
      </c>
      <c r="R7" s="39"/>
      <c r="S7" s="7" t="s">
        <v>47</v>
      </c>
      <c r="T7" s="16">
        <f t="array" aca="1" ref="T7" ca="1">IFERROR((GEOMEAN(1+OFFSET(T$16,MAX($B$16:$B$509)-23,0,24,1)/100)^12-1)*100,"N/A")</f>
        <v>21.376272089348426</v>
      </c>
      <c r="U7" s="16">
        <f ca="1">IFERROR(SLOPE(OFFSET(T$16,MAX($B$16:$B$509)-23,0,24,1),OFFSET($T$16,MAX($B$16:$B$509)-23,0,24,1)),"N/A")</f>
        <v>1</v>
      </c>
      <c r="V7" s="16">
        <f ca="1">IFERROR(STDEVP(OFFSET(T$16,MAX($B$16:$B$509)-23,0,24,1))*SQRT(12),"N/A")</f>
        <v>10.408855144412358</v>
      </c>
      <c r="W7" s="16"/>
    </row>
    <row r="8" spans="1:26" x14ac:dyDescent="0.25">
      <c r="B8" s="23"/>
      <c r="C8" s="7" t="s">
        <v>48</v>
      </c>
      <c r="D8" s="16">
        <f t="array" aca="1" ref="D8" ca="1">IFERROR((GEOMEAN(1+OFFSET(D$16,MAX($B$16:$B$509)-35,0,36,1)/100)^12-1)*100,"N/A")</f>
        <v>20.313078630813731</v>
      </c>
      <c r="E8" s="36">
        <f t="shared" ca="1" si="0"/>
        <v>-2.6693103304135306</v>
      </c>
      <c r="F8" s="16">
        <f ca="1">IFERROR(SLOPE(OFFSET(D$16,MAX($B$16:$B$509)-35,0,36,1),OFFSET($T$16,MAX($B$16:$B$509)-35,0,36,1)),"N/A")</f>
        <v>0.99914245766870047</v>
      </c>
      <c r="G8" s="16">
        <f ca="1">IFERROR(INTERCEPT(OFFSET(D$16,MAX($B$16:$B$509)-35,0,36,1),OFFSET($T$16,MAX($B$16:$B$509)-35,0,36,1))*12,"N/A")</f>
        <v>-2.1535444442806684</v>
      </c>
      <c r="H8" s="16">
        <f ca="1">IFERROR(STDEVP(OFFSET(D$16,MAX($B$16:$B$509)-35,0,36,1))*SQRT(12),"N/A")</f>
        <v>12.270738892888263</v>
      </c>
      <c r="I8" s="39"/>
      <c r="K8" s="23"/>
      <c r="L8" s="7" t="s">
        <v>48</v>
      </c>
      <c r="M8" s="16" cm="1">
        <f t="array" aca="1" ref="M8" ca="1">IFERROR((GEOMEAN(1+OFFSET(M$16,MAX($B$16:$B$509)-35,0,36,1)/100)^12-1)*100,"N/A")</f>
        <v>18.750496692087324</v>
      </c>
      <c r="N8" s="36">
        <f t="shared" ca="1" si="1"/>
        <v>-4.2318922691399372</v>
      </c>
      <c r="O8" s="16">
        <f ca="1">IFERROR(SLOPE(OFFSET(M$16,MAX($B$16:$B$509)-35,0,36,1),OFFSET($T$16,MAX($B$16:$B$509)-35,0,36,1)),"N/A")</f>
        <v>1.0170024660714474</v>
      </c>
      <c r="P8" s="16">
        <f ca="1">IFERROR(INTERCEPT(OFFSET(M$16,MAX($B$16:$B$509)-35,0,36,1),OFFSET($T$16,MAX($B$16:$B$509)-35,0,36,1))*12,"N/A")</f>
        <v>-1.5027237817804879</v>
      </c>
      <c r="Q8" s="16">
        <f ca="1">IFERROR(STDEVP(OFFSET(M$16,MAX($B$16:$B$509)-35,0,36,1))*SQRT(12),"N/A")</f>
        <v>12.22284712600778</v>
      </c>
      <c r="R8" s="39"/>
      <c r="S8" s="7" t="s">
        <v>48</v>
      </c>
      <c r="T8" s="16">
        <f t="array" aca="1" ref="T8" ca="1">IFERROR((GEOMEAN(1+OFFSET(T$16,MAX($B$16:$B$509)-35,0,36,1)/100)^12-1)*100,"N/A")</f>
        <v>22.982388961227262</v>
      </c>
      <c r="U8" s="16">
        <f ca="1">IFERROR(SLOPE(OFFSET(T$16,MAX($B$16:$B$509)-35,0,36,1),OFFSET($T$16,MAX($B$16:$B$509)-35,0,36,1)),"N/A")</f>
        <v>1</v>
      </c>
      <c r="V8" s="16">
        <f ca="1">IFERROR(STDEVP(OFFSET(T$16,MAX($B$16:$B$509)-35,0,36,1))*SQRT(12),"N/A")</f>
        <v>11.787718554142021</v>
      </c>
      <c r="W8" s="16"/>
    </row>
    <row r="9" spans="1:26" x14ac:dyDescent="0.25">
      <c r="B9" s="23"/>
      <c r="C9" s="7" t="s">
        <v>49</v>
      </c>
      <c r="D9" s="16">
        <f t="array" aca="1" ref="D9" ca="1">IFERROR((GEOMEAN(1+OFFSET(D$16,MAX($B$16:$B$509)-47,0,48,1)/100)^12-1)*100,"N/A")</f>
        <v>8.6377958883267159</v>
      </c>
      <c r="E9" s="36">
        <f t="shared" ca="1" si="0"/>
        <v>-2.4476700824510811</v>
      </c>
      <c r="F9" s="16">
        <f ca="1">IFERROR(SLOPE(OFFSET(D$16,MAX($B$16:$B$509)-47,0,48,1),OFFSET($T$16,MAX($B$16:$B$509)-47,0,48,1)),"N/A")</f>
        <v>1.0093186785180404</v>
      </c>
      <c r="G9" s="16">
        <f ca="1">IFERROR(INTERCEPT(OFFSET(D$16,MAX($B$16:$B$509)-47,0,48,1),OFFSET($T$16,MAX($B$16:$B$509)-47,0,48,1))*12,"N/A")</f>
        <v>-2.2744431972215691</v>
      </c>
      <c r="H9" s="16">
        <f ca="1">IFERROR(STDEVP(OFFSET(D$16,MAX($B$16:$B$509)-47,0,48,1))*SQRT(12),"N/A")</f>
        <v>16.279614772623262</v>
      </c>
      <c r="I9" s="39"/>
      <c r="K9" s="23"/>
      <c r="L9" s="7" t="s">
        <v>49</v>
      </c>
      <c r="M9" s="16" cm="1">
        <f t="array" aca="1" ref="M9" ca="1">IFERROR((GEOMEAN(1+OFFSET(M$16,MAX($B$16:$B$509)-47,0,48,1)/100)^12-1)*100,"N/A")</f>
        <v>13.756592896276842</v>
      </c>
      <c r="N9" s="36">
        <f t="shared" ca="1" si="1"/>
        <v>2.6711269254990455</v>
      </c>
      <c r="O9" s="16">
        <f ca="1">IFERROR(SLOPE(OFFSET(M$16,MAX($B$16:$B$509)-47,0,48,1),OFFSET($T$16,MAX($B$16:$B$509)-47,0,48,1)),"N/A")</f>
        <v>1.0170024660714474</v>
      </c>
      <c r="P9" s="16">
        <f ca="1">IFERROR(INTERCEPT(OFFSET(M$16,MAX($B$16:$B$509)-47,0,48,1),OFFSET($T$16,MAX($B$16:$B$509)-47,0,48,1))*12,"N/A")</f>
        <v>-1.5027237817804879</v>
      </c>
      <c r="Q9" s="16">
        <f ca="1">IFERROR(STDEVP(OFFSET(M$16,MAX($B$16:$B$509)-47,0,48,1))*SQRT(12),"N/A")</f>
        <v>12.22284712600778</v>
      </c>
      <c r="R9" s="39"/>
      <c r="S9" s="7" t="s">
        <v>49</v>
      </c>
      <c r="T9" s="16">
        <f t="array" aca="1" ref="T9" ca="1">IFERROR((GEOMEAN(1+OFFSET(T$16,MAX($B$16:$B$509)-47,0,48,1)/100)^12-1)*100,"N/A")</f>
        <v>11.085465970777797</v>
      </c>
      <c r="U9" s="16">
        <f ca="1">IFERROR(SLOPE(OFFSET(T$16,MAX($B$16:$B$509)-47,0,48,1),OFFSET($T$16,MAX($B$16:$B$509)-47,0,48,1)),"N/A")</f>
        <v>1</v>
      </c>
      <c r="V9" s="16">
        <f ca="1">IFERROR(STDEVP(OFFSET(T$16,MAX($B$16:$B$509)-47,0,48,1))*SQRT(12),"N/A")</f>
        <v>15.787972455589738</v>
      </c>
      <c r="W9" s="16"/>
    </row>
    <row r="10" spans="1:26" x14ac:dyDescent="0.25">
      <c r="B10" s="23"/>
      <c r="C10" s="7" t="s">
        <v>50</v>
      </c>
      <c r="D10" s="16" t="s">
        <v>411</v>
      </c>
      <c r="E10" s="36" t="str">
        <f t="shared" si="0"/>
        <v>N/A</v>
      </c>
      <c r="F10" s="16">
        <f ca="1">IFERROR(SLOPE(OFFSET(D$16,MAX($B$16:$B$509)-59,0,60,1),OFFSET($T$16,MAX($B$16:$B$509)-59,0,60,1)),"N/A")</f>
        <v>0.96630326343774209</v>
      </c>
      <c r="G10" s="16">
        <f ca="1">IFERROR(INTERCEPT(OFFSET(D$16,MAX($B$16:$B$509)-59,0,60,1),OFFSET($T$16,MAX($B$16:$B$509)-59,0,60,1))*12,"N/A")</f>
        <v>-2.6064698891295457</v>
      </c>
      <c r="H10" s="16">
        <f ca="1">IFERROR(STDEVP(OFFSET(D$16,MAX($B$16:$B$509)-59,0,60,1))*SQRT(12),"N/A")</f>
        <v>23.063995866257972</v>
      </c>
      <c r="I10" s="39"/>
      <c r="K10" s="23"/>
      <c r="L10" s="7" t="s">
        <v>50</v>
      </c>
      <c r="M10" s="16" t="s">
        <v>411</v>
      </c>
      <c r="N10" s="36" t="str">
        <f t="shared" si="1"/>
        <v>N/A</v>
      </c>
      <c r="O10" s="16">
        <f ca="1">IFERROR(SLOPE(OFFSET(M$16,MAX($B$16:$B$509)-59,0,60,1),OFFSET($T$16,MAX($B$16:$B$509)-59,0,60,1)),"N/A")</f>
        <v>0.94867246876176503</v>
      </c>
      <c r="P10" s="16">
        <f ca="1">IFERROR(INTERCEPT(OFFSET(M$16,MAX($B$16:$B$509)-59,0,60,1),OFFSET($T$16,MAX($B$16:$B$509)-59,0,60,1))*12,"N/A")</f>
        <v>0.80303206961761298</v>
      </c>
      <c r="Q10" s="16">
        <f ca="1">IFERROR(STDEVP(OFFSET(M$16,MAX($B$16:$B$509)-59,0,60,1))*SQRT(12),"N/A")</f>
        <v>22.050148974404021</v>
      </c>
      <c r="R10" s="39"/>
      <c r="S10" s="7" t="s">
        <v>50</v>
      </c>
      <c r="T10" s="16" t="s">
        <v>411</v>
      </c>
      <c r="U10" s="16">
        <f ca="1">IFERROR(SLOPE(OFFSET(T$16,MAX($B$16:$B$509)-59,0,60,1),OFFSET($T$16,MAX($B$16:$B$509)-59,0,60,1)),"N/A")</f>
        <v>1</v>
      </c>
      <c r="V10" s="16">
        <f ca="1">IFERROR(STDEVP(OFFSET(T$16,MAX($B$16:$B$509)-59,0,60,1))*SQRT(12),"N/A")</f>
        <v>23.563451350153034</v>
      </c>
      <c r="W10" s="16"/>
    </row>
    <row r="11" spans="1:26" x14ac:dyDescent="0.25">
      <c r="B11" s="23"/>
      <c r="C11" s="7" t="s">
        <v>51</v>
      </c>
      <c r="D11" s="16" t="str" cm="1">
        <f t="array" aca="1" ref="D11" ca="1">IFERROR((GEOMEAN(1+OFFSET(D$16,MAX($B$16:$B$509)-119,0,120,1)/100)^12-1)*100,"N/A")</f>
        <v>N/A</v>
      </c>
      <c r="E11" s="36" t="str">
        <f t="shared" ca="1" si="0"/>
        <v>N/A</v>
      </c>
      <c r="F11" s="16" t="str">
        <f ca="1">IFERROR(SLOPE(OFFSET(D$16,MAX($B$16:$B$509)-119,0,120,1),OFFSET($T$16,MAX($B$16:$B$509)-119,0,120,1)),"N/A")</f>
        <v>N/A</v>
      </c>
      <c r="G11" s="16" t="str">
        <f ca="1">IFERROR(INTERCEPT(OFFSET(D$16,MAX($B$16:$B$509)-119,0,120,1),OFFSET($T$16,MAX($B$16:$B$509)-119,0,120,1))*12,"N/A")</f>
        <v>N/A</v>
      </c>
      <c r="H11" s="16" t="str">
        <f ca="1">IFERROR(STDEVP(OFFSET(D$16,MAX($B$16:$B$509)-119,0,120,1))*SQRT(12),"N/A")</f>
        <v>N/A</v>
      </c>
      <c r="I11" s="39"/>
      <c r="K11" s="23"/>
      <c r="L11" s="7" t="s">
        <v>51</v>
      </c>
      <c r="M11" s="16" t="str" cm="1">
        <f t="array" aca="1" ref="M11" ca="1">IFERROR((GEOMEAN(1+OFFSET(M$16,MAX($B$16:$B$509)-119,0,120,1)/100)^12-1)*100,"N/A")</f>
        <v>N/A</v>
      </c>
      <c r="N11" s="36" t="str">
        <f t="shared" ca="1" si="1"/>
        <v>N/A</v>
      </c>
      <c r="O11" s="16" t="str">
        <f ca="1">IFERROR(SLOPE(OFFSET(M$16,MAX($B$16:$B$509)-119,0,120,1),OFFSET($T$16,MAX($B$16:$B$509)-119,0,120,1)),"N/A")</f>
        <v>N/A</v>
      </c>
      <c r="P11" s="16" t="str">
        <f ca="1">IFERROR(INTERCEPT(OFFSET(M$16,MAX($B$16:$B$509)-119,0,120,1),OFFSET($T$16,MAX($B$16:$B$509)-119,0,120,1))*12,"N/A")</f>
        <v>N/A</v>
      </c>
      <c r="Q11" s="16" t="str">
        <f ca="1">IFERROR(STDEVP(OFFSET(M$16,MAX($B$16:$B$509)-119,0,120,1))*SQRT(12),"N/A")</f>
        <v>N/A</v>
      </c>
      <c r="R11" s="39"/>
      <c r="S11" s="7" t="s">
        <v>51</v>
      </c>
      <c r="T11" s="16" t="str">
        <f t="array" aca="1" ref="T11" ca="1">IFERROR((GEOMEAN(1+OFFSET(T$16,MAX($B$16:$B$509)-119,0,120,1)/100)^12-1)*100,"N/A")</f>
        <v>N/A</v>
      </c>
      <c r="U11" s="16" t="str">
        <f ca="1">IFERROR(SLOPE(OFFSET(T$16,MAX($B$16:$B$509)-119,0,120,1),OFFSET($T$16,MAX($B$16:$B$509)-119,0,120,1)),"N/A")</f>
        <v>N/A</v>
      </c>
      <c r="V11" s="16" t="str">
        <f ca="1">IFERROR(STDEVP(OFFSET(T$16,MAX($B$16:$B$509)-119,0,120,1))*SQRT(12),"N/A")</f>
        <v>N/A</v>
      </c>
      <c r="W11" s="16"/>
    </row>
    <row r="12" spans="1:26" x14ac:dyDescent="0.25">
      <c r="B12" s="23"/>
      <c r="C12" s="7" t="s">
        <v>52</v>
      </c>
      <c r="D12" s="33" cm="1">
        <f t="array" aca="1" ref="D12" ca="1">IFERROR((GEOMEAN(1+OFFSET(D$16,1,0,MAX($B$16:$B$509),1)/100)^12-1)*100,"N/A")</f>
        <v>8.6377958883267159</v>
      </c>
      <c r="E12" s="36">
        <f t="shared" ca="1" si="0"/>
        <v>-2.4476700824510811</v>
      </c>
      <c r="F12" s="16">
        <f ca="1">IFERROR(SLOPE(OFFSET(D$16,1,0,MAX($B$16:$B$509),1),OFFSET($T$16,1,0,MAX($B$16:$B$509),1)),"N/A")</f>
        <v>1.0093186785180404</v>
      </c>
      <c r="G12" s="16">
        <f ca="1">IFERROR(INTERCEPT(OFFSET(D$16,1,0,MAX($B$16:$B$509),1),OFFSET($T$16,1,0,MAX($B$16:$B$509),1))*12,"N/A")</f>
        <v>-2.2744431972215691</v>
      </c>
      <c r="H12" s="16">
        <f ca="1">IFERROR(STDEVP(OFFSET(D$16,1,0,MAX($B$16:$B$509),1))*SQRT(12),"N/A")</f>
        <v>16.279614772623262</v>
      </c>
      <c r="I12" s="39"/>
      <c r="K12" s="23"/>
      <c r="L12" s="7" t="s">
        <v>52</v>
      </c>
      <c r="M12" s="33" cm="1">
        <f t="array" aca="1" ref="M12" ca="1">IFERROR((GEOMEAN(1+OFFSET(M$16,1,0,MAX($B$16:$B$509),1)/100)^12-1)*100,"N/A")</f>
        <v>13.756592896276842</v>
      </c>
      <c r="N12" s="36">
        <f t="shared" ca="1" si="1"/>
        <v>2.6711269254990455</v>
      </c>
      <c r="O12" s="16">
        <f ca="1">IFERROR(SLOPE(OFFSET(M$16,1,0,MAX($B$16:$B$509),1),OFFSET($T$16,1,0,MAX($B$16:$B$509),1)),"N/A")</f>
        <v>1.0170024660714474</v>
      </c>
      <c r="P12" s="16">
        <f ca="1">IFERROR(INTERCEPT(OFFSET(M$16,1,0,MAX($B$16:$B$509),1),OFFSET($T$16,1,0,MAX($B$16:$B$509),1))*12,"N/A")</f>
        <v>-1.5027237817804879</v>
      </c>
      <c r="Q12" s="16">
        <f ca="1">IFERROR(STDEVP(OFFSET(M$16,1,0,MAX($B$16:$B$509),1))*SQRT(12),"N/A")</f>
        <v>12.22284712600778</v>
      </c>
      <c r="R12" s="39"/>
      <c r="S12" s="7" t="s">
        <v>53</v>
      </c>
      <c r="T12" s="16" cm="1">
        <f t="array" aca="1" ref="T12" ca="1">IFERROR((GEOMEAN(1+OFFSET(T$16,1,0,MAX($B$16:$B$509),1)/100)^12-1)*100,"N/A")</f>
        <v>11.085465970777797</v>
      </c>
      <c r="U12" s="16">
        <f ca="1">IFERROR(SLOPE(OFFSET(T$16,1,0,MAX($B$16:$B$509),1),OFFSET($T$16,1,0,MAX($B$16:$B$509),1)),"N/A")</f>
        <v>1</v>
      </c>
      <c r="V12" s="16">
        <f ca="1">IFERROR(STDEVP(OFFSET(T$16,1,0,MAX($B$16:$B$509),1))*SQRT(12),"N/A")</f>
        <v>15.787972455589738</v>
      </c>
      <c r="W12" s="16"/>
    </row>
    <row r="13" spans="1:26" x14ac:dyDescent="0.25">
      <c r="B13" s="23"/>
      <c r="C13" s="7"/>
      <c r="D13" s="33"/>
      <c r="E13" s="42"/>
      <c r="F13" s="33"/>
      <c r="G13" s="33"/>
      <c r="H13" s="33"/>
      <c r="I13" s="39"/>
      <c r="K13" s="23"/>
      <c r="L13" s="7"/>
      <c r="M13" s="33"/>
      <c r="N13" s="42"/>
      <c r="O13" s="33"/>
      <c r="P13" s="33"/>
      <c r="Q13" s="33"/>
      <c r="R13" s="39"/>
      <c r="S13" s="7"/>
      <c r="T13" s="16"/>
      <c r="U13" s="16"/>
      <c r="V13" s="16"/>
      <c r="W13" s="16"/>
    </row>
    <row r="14" spans="1:26" x14ac:dyDescent="0.25">
      <c r="A14" s="7"/>
      <c r="B14" s="23"/>
      <c r="C14" s="17"/>
      <c r="D14" s="16"/>
      <c r="E14" s="18"/>
      <c r="F14" s="16"/>
      <c r="I14" s="39"/>
      <c r="J14" s="7"/>
      <c r="K14" s="23"/>
      <c r="L14" s="17"/>
      <c r="M14" s="16"/>
      <c r="N14" s="18"/>
      <c r="O14" s="16"/>
      <c r="R14" s="39"/>
      <c r="S14" s="7"/>
      <c r="T14" s="16"/>
      <c r="U14" s="16"/>
      <c r="V14" s="16"/>
      <c r="W14" s="10"/>
    </row>
    <row r="15" spans="1:26" x14ac:dyDescent="0.25">
      <c r="A15" s="13" t="s">
        <v>69</v>
      </c>
      <c r="B15" s="23" t="s">
        <v>70</v>
      </c>
      <c r="C15" s="13" t="s">
        <v>71</v>
      </c>
      <c r="D15" s="33" t="s">
        <v>72</v>
      </c>
      <c r="E15" s="13" t="s">
        <v>73</v>
      </c>
      <c r="F15" s="13" t="s">
        <v>74</v>
      </c>
      <c r="G15" s="13" t="s">
        <v>75</v>
      </c>
      <c r="H15" s="33"/>
      <c r="I15" s="44"/>
      <c r="J15" s="13" t="s">
        <v>69</v>
      </c>
      <c r="K15" s="23" t="s">
        <v>70</v>
      </c>
      <c r="L15" s="13" t="s">
        <v>71</v>
      </c>
      <c r="M15" s="33" t="s">
        <v>89</v>
      </c>
      <c r="N15" s="13" t="s">
        <v>73</v>
      </c>
      <c r="O15" s="13" t="s">
        <v>74</v>
      </c>
      <c r="P15" s="13" t="s">
        <v>75</v>
      </c>
      <c r="Q15" s="33"/>
      <c r="R15" s="44"/>
      <c r="S15" s="13" t="s">
        <v>69</v>
      </c>
      <c r="T15" s="33" t="s">
        <v>41</v>
      </c>
      <c r="U15" s="13" t="s">
        <v>73</v>
      </c>
      <c r="V15" s="13" t="s">
        <v>74</v>
      </c>
      <c r="W15" s="13" t="s">
        <v>75</v>
      </c>
    </row>
    <row r="16" spans="1:26" x14ac:dyDescent="0.25">
      <c r="A16" s="20">
        <v>44561</v>
      </c>
      <c r="B16" s="23">
        <v>0</v>
      </c>
      <c r="C16" s="17"/>
      <c r="D16" s="27"/>
      <c r="E16" s="46">
        <v>1000000</v>
      </c>
      <c r="F16" s="8"/>
      <c r="I16" s="39"/>
      <c r="J16" s="20">
        <f>A16</f>
        <v>44561</v>
      </c>
      <c r="K16" s="23">
        <v>0</v>
      </c>
      <c r="L16" s="17"/>
      <c r="M16" s="27"/>
      <c r="N16" s="46">
        <v>1000000</v>
      </c>
      <c r="O16" s="8"/>
      <c r="R16" s="39"/>
      <c r="S16" s="20">
        <f>$A16</f>
        <v>44561</v>
      </c>
      <c r="T16" s="27"/>
      <c r="U16" s="46">
        <v>1000000</v>
      </c>
      <c r="V16" s="8"/>
      <c r="X16" s="316"/>
      <c r="Y16" s="1"/>
      <c r="Z16" s="1"/>
    </row>
    <row r="17" spans="1:28" x14ac:dyDescent="0.25">
      <c r="A17" s="21">
        <v>44592</v>
      </c>
      <c r="B17" s="24">
        <f>IF(A17&gt;A16,1+B16,"-")</f>
        <v>1</v>
      </c>
      <c r="C17" s="96" t="s">
        <v>383</v>
      </c>
      <c r="D17" s="27">
        <v>-6.455843999999999</v>
      </c>
      <c r="E17" s="46">
        <f>E16*D17/100+E16</f>
        <v>935441.56</v>
      </c>
      <c r="F17" s="10"/>
      <c r="I17" s="39"/>
      <c r="J17" s="21">
        <f t="shared" ref="J17:J34" si="2">A17</f>
        <v>44592</v>
      </c>
      <c r="K17" s="24">
        <f>IF(J17&gt;J16,1+K16,"-")</f>
        <v>1</v>
      </c>
      <c r="L17" s="96" t="s">
        <v>383</v>
      </c>
      <c r="M17" s="27"/>
      <c r="N17" s="46">
        <f>N16*M17/100+N16</f>
        <v>1000000</v>
      </c>
      <c r="O17" s="10"/>
      <c r="R17" s="39"/>
      <c r="S17" s="20">
        <f t="shared" ref="S17:S64" si="3">$A17</f>
        <v>44592</v>
      </c>
      <c r="T17" s="27">
        <f>'LC (Gross)'!K281</f>
        <v>-5.1748589999999997</v>
      </c>
      <c r="U17" s="46">
        <f>U16*T17/100+U16</f>
        <v>948251.41</v>
      </c>
      <c r="V17" s="10"/>
      <c r="X17" s="316"/>
      <c r="Y17" s="1"/>
      <c r="Z17" s="1"/>
      <c r="AA17" s="314"/>
    </row>
    <row r="18" spans="1:28" x14ac:dyDescent="0.25">
      <c r="A18" s="21">
        <v>44620</v>
      </c>
      <c r="B18" s="24">
        <f t="shared" ref="B18:B22" si="4">IF(A18&gt;A17,1+B17,"-")</f>
        <v>2</v>
      </c>
      <c r="C18" s="96" t="s">
        <v>383</v>
      </c>
      <c r="D18" s="27">
        <v>-2.8926460000000001</v>
      </c>
      <c r="E18" s="46">
        <f t="shared" ref="E18:E23" si="5">E17*D18/100+E17</f>
        <v>908382.54713232245</v>
      </c>
      <c r="F18" s="10"/>
      <c r="I18" s="39"/>
      <c r="J18" s="21">
        <f t="shared" si="2"/>
        <v>44620</v>
      </c>
      <c r="K18" s="24">
        <f t="shared" ref="K18:K34" si="6">IF(J18&gt;J17,1+K17,"-")</f>
        <v>2</v>
      </c>
      <c r="L18" s="96" t="s">
        <v>383</v>
      </c>
      <c r="M18" s="27"/>
      <c r="N18" s="46">
        <f t="shared" ref="N18:N34" si="7">N17*M18/100+N17</f>
        <v>1000000</v>
      </c>
      <c r="O18" s="10"/>
      <c r="R18" s="39"/>
      <c r="S18" s="20">
        <f t="shared" si="3"/>
        <v>44620</v>
      </c>
      <c r="T18" s="27">
        <f>'LC (Gross)'!K282</f>
        <v>-2.9970180000000002</v>
      </c>
      <c r="U18" s="46">
        <f t="shared" ref="U18:U22" si="8">U17*T18/100+U17</f>
        <v>919832.14455704624</v>
      </c>
      <c r="V18" s="10"/>
      <c r="X18" s="316"/>
      <c r="Y18" s="1"/>
      <c r="Z18" s="1"/>
      <c r="AA18" s="314"/>
    </row>
    <row r="19" spans="1:28" x14ac:dyDescent="0.25">
      <c r="A19" s="21">
        <v>44651</v>
      </c>
      <c r="B19" s="24">
        <f t="shared" si="4"/>
        <v>3</v>
      </c>
      <c r="C19" s="96" t="s">
        <v>383</v>
      </c>
      <c r="D19" s="27">
        <v>2.9359829999999998</v>
      </c>
      <c r="E19" s="46">
        <f t="shared" si="5"/>
        <v>935052.50429109437</v>
      </c>
      <c r="F19" s="10"/>
      <c r="G19" s="5">
        <f>(E19/E16-1)*100</f>
        <v>-6.4947495708905674</v>
      </c>
      <c r="I19" s="39"/>
      <c r="J19" s="21">
        <f t="shared" si="2"/>
        <v>44651</v>
      </c>
      <c r="K19" s="24">
        <f t="shared" si="6"/>
        <v>3</v>
      </c>
      <c r="L19" s="96" t="s">
        <v>383</v>
      </c>
      <c r="M19" s="27"/>
      <c r="N19" s="46">
        <f t="shared" si="7"/>
        <v>1000000</v>
      </c>
      <c r="O19" s="10"/>
      <c r="P19" s="5">
        <f>(N19/N16-1)*100</f>
        <v>0</v>
      </c>
      <c r="R19" s="39"/>
      <c r="S19" s="20">
        <f t="shared" si="3"/>
        <v>44651</v>
      </c>
      <c r="T19" s="27">
        <f>'LC (Gross)'!K283</f>
        <v>3.7118120000000001</v>
      </c>
      <c r="U19" s="46">
        <f t="shared" si="8"/>
        <v>953974.58447857201</v>
      </c>
      <c r="V19" s="10"/>
      <c r="W19" s="5">
        <f>(U19/U16-1)*100</f>
        <v>-4.602541552142803</v>
      </c>
      <c r="X19" s="316"/>
      <c r="Y19" s="1"/>
      <c r="Z19" s="1"/>
      <c r="AA19" s="314"/>
    </row>
    <row r="20" spans="1:28" x14ac:dyDescent="0.25">
      <c r="A20" s="21">
        <v>44681</v>
      </c>
      <c r="B20" s="24">
        <f t="shared" si="4"/>
        <v>4</v>
      </c>
      <c r="C20" s="96" t="s">
        <v>383</v>
      </c>
      <c r="D20" s="27">
        <v>-7.5917189999999994</v>
      </c>
      <c r="E20" s="46">
        <f t="shared" si="5"/>
        <v>864065.94566285156</v>
      </c>
      <c r="F20" s="8"/>
      <c r="I20" s="39"/>
      <c r="J20" s="21">
        <f t="shared" si="2"/>
        <v>44681</v>
      </c>
      <c r="K20" s="24">
        <f t="shared" si="6"/>
        <v>4</v>
      </c>
      <c r="L20" s="96" t="s">
        <v>383</v>
      </c>
      <c r="M20" s="27"/>
      <c r="N20" s="46">
        <f t="shared" si="7"/>
        <v>1000000</v>
      </c>
      <c r="O20" s="8"/>
      <c r="R20" s="39"/>
      <c r="S20" s="20">
        <f t="shared" si="3"/>
        <v>44681</v>
      </c>
      <c r="T20" s="27">
        <f>'LC (Gross)'!K284</f>
        <v>-8.7200340000000001</v>
      </c>
      <c r="U20" s="46">
        <f t="shared" si="8"/>
        <v>870787.67636068177</v>
      </c>
      <c r="V20" s="8"/>
      <c r="X20" s="316"/>
      <c r="Y20" s="1"/>
      <c r="Z20" s="1"/>
      <c r="AA20" s="314"/>
    </row>
    <row r="21" spans="1:28" x14ac:dyDescent="0.25">
      <c r="A21" s="21">
        <v>44712</v>
      </c>
      <c r="B21" s="24">
        <f t="shared" si="4"/>
        <v>5</v>
      </c>
      <c r="C21" s="96" t="s">
        <v>383</v>
      </c>
      <c r="D21" s="27">
        <v>1.2671160000000001</v>
      </c>
      <c r="E21" s="46">
        <f t="shared" si="5"/>
        <v>875014.66351089685</v>
      </c>
      <c r="F21" s="37"/>
      <c r="G21" s="5"/>
      <c r="I21" s="39"/>
      <c r="J21" s="21">
        <f t="shared" si="2"/>
        <v>44712</v>
      </c>
      <c r="K21" s="24">
        <f t="shared" si="6"/>
        <v>5</v>
      </c>
      <c r="L21" s="96" t="s">
        <v>383</v>
      </c>
      <c r="M21" s="27"/>
      <c r="N21" s="46">
        <f t="shared" si="7"/>
        <v>1000000</v>
      </c>
      <c r="O21" s="37"/>
      <c r="P21" s="5"/>
      <c r="R21" s="39"/>
      <c r="S21" s="20">
        <f t="shared" si="3"/>
        <v>44712</v>
      </c>
      <c r="T21" s="27">
        <f>'LC (Gross)'!K285</f>
        <v>0.18353</v>
      </c>
      <c r="U21" s="46">
        <f t="shared" si="8"/>
        <v>872385.83298310649</v>
      </c>
      <c r="V21" s="8"/>
      <c r="W21" s="5"/>
      <c r="X21" s="316"/>
      <c r="Y21" s="1"/>
      <c r="Z21" s="1"/>
      <c r="AA21" s="314"/>
    </row>
    <row r="22" spans="1:28" x14ac:dyDescent="0.25">
      <c r="A22" s="21">
        <v>44742</v>
      </c>
      <c r="B22" s="24">
        <f t="shared" si="4"/>
        <v>6</v>
      </c>
      <c r="C22" s="96" t="s">
        <v>383</v>
      </c>
      <c r="D22" s="27">
        <v>-9.3836366000000009</v>
      </c>
      <c r="E22" s="46">
        <f t="shared" si="5"/>
        <v>792906.46729032148</v>
      </c>
      <c r="F22" s="37"/>
      <c r="G22" s="5">
        <f>(E22/E19-1)*100</f>
        <v>-15.201931051833316</v>
      </c>
      <c r="H22" s="5"/>
      <c r="I22" s="39"/>
      <c r="J22" s="21">
        <f t="shared" si="2"/>
        <v>44742</v>
      </c>
      <c r="K22" s="24">
        <f t="shared" si="6"/>
        <v>6</v>
      </c>
      <c r="L22" s="96" t="s">
        <v>383</v>
      </c>
      <c r="M22" s="27"/>
      <c r="N22" s="46">
        <f t="shared" si="7"/>
        <v>1000000</v>
      </c>
      <c r="O22" s="37"/>
      <c r="P22" s="5">
        <f>(N22/N19-1)*100</f>
        <v>0</v>
      </c>
      <c r="Q22" s="5"/>
      <c r="R22" s="39"/>
      <c r="S22" s="20">
        <f t="shared" si="3"/>
        <v>44742</v>
      </c>
      <c r="T22" s="27">
        <f>'LC (Gross)'!K286</f>
        <v>-8.2601279999999999</v>
      </c>
      <c r="U22" s="46">
        <f t="shared" si="8"/>
        <v>800325.64652483573</v>
      </c>
      <c r="V22" s="37"/>
      <c r="W22" s="5">
        <f>(U22/U19-1)*100</f>
        <v>-16.106187780434254</v>
      </c>
      <c r="X22" s="316"/>
      <c r="Y22" s="1"/>
      <c r="Z22" s="1"/>
      <c r="AA22" s="314"/>
    </row>
    <row r="23" spans="1:28" x14ac:dyDescent="0.25">
      <c r="A23" s="21">
        <v>44773</v>
      </c>
      <c r="B23" s="24">
        <f t="shared" ref="B23:B28" si="9">IF(A23&gt;A22,1+B22,"-")</f>
        <v>7</v>
      </c>
      <c r="C23" s="96" t="s">
        <v>383</v>
      </c>
      <c r="D23" s="27">
        <v>8.5721357000000005</v>
      </c>
      <c r="E23" s="46">
        <f t="shared" si="5"/>
        <v>860875.48564052396</v>
      </c>
      <c r="F23" s="37"/>
      <c r="I23" s="39"/>
      <c r="J23" s="21">
        <f t="shared" si="2"/>
        <v>44773</v>
      </c>
      <c r="K23" s="24">
        <f t="shared" si="6"/>
        <v>7</v>
      </c>
      <c r="L23" s="96" t="s">
        <v>383</v>
      </c>
      <c r="M23" s="27"/>
      <c r="N23" s="46">
        <f t="shared" si="7"/>
        <v>1000000</v>
      </c>
      <c r="O23" s="37"/>
      <c r="R23" s="39"/>
      <c r="S23" s="20">
        <f t="shared" si="3"/>
        <v>44773</v>
      </c>
      <c r="T23" s="27">
        <f>'LC (Gross)'!K287</f>
        <v>9.2206969999999995</v>
      </c>
      <c r="U23" s="46">
        <f t="shared" ref="U23" si="10">U22*T23/100+U22</f>
        <v>874121.24940418184</v>
      </c>
      <c r="V23" s="37"/>
      <c r="X23" s="316"/>
      <c r="Y23" s="1"/>
      <c r="Z23" s="1"/>
      <c r="AA23" s="314"/>
    </row>
    <row r="24" spans="1:28" x14ac:dyDescent="0.25">
      <c r="A24" s="21">
        <v>44804</v>
      </c>
      <c r="B24" s="24">
        <f t="shared" si="9"/>
        <v>8</v>
      </c>
      <c r="C24" s="96" t="s">
        <v>383</v>
      </c>
      <c r="D24" s="27">
        <v>-4.5029715999999995</v>
      </c>
      <c r="E24" s="46">
        <f t="shared" ref="E24" si="11">E23*D24/100+E23</f>
        <v>822110.5070107691</v>
      </c>
      <c r="F24" s="12"/>
      <c r="I24" s="39"/>
      <c r="J24" s="21">
        <f t="shared" si="2"/>
        <v>44804</v>
      </c>
      <c r="K24" s="24">
        <f t="shared" si="6"/>
        <v>8</v>
      </c>
      <c r="L24" s="96" t="s">
        <v>383</v>
      </c>
      <c r="M24" s="27"/>
      <c r="N24" s="46">
        <f t="shared" si="7"/>
        <v>1000000</v>
      </c>
      <c r="O24" s="12"/>
      <c r="R24" s="39"/>
      <c r="S24" s="20">
        <f t="shared" si="3"/>
        <v>44804</v>
      </c>
      <c r="T24" s="27">
        <f>'LC (Gross)'!K288</f>
        <v>-4.0782619999999996</v>
      </c>
      <c r="U24" s="46">
        <f t="shared" ref="U24" si="12">U23*T24/100+U23</f>
        <v>838472.29465580592</v>
      </c>
      <c r="V24" s="12"/>
      <c r="X24" s="316"/>
      <c r="Y24" s="1"/>
      <c r="Z24" s="1"/>
    </row>
    <row r="25" spans="1:28" x14ac:dyDescent="0.25">
      <c r="A25" s="21">
        <v>44834</v>
      </c>
      <c r="B25" s="24">
        <f t="shared" si="9"/>
        <v>9</v>
      </c>
      <c r="C25" s="96" t="s">
        <v>383</v>
      </c>
      <c r="D25" s="27">
        <v>-9.9738296999999996</v>
      </c>
      <c r="E25" s="46">
        <f t="shared" ref="E25" si="13">E24*D25/100+E24</f>
        <v>740114.60509570839</v>
      </c>
      <c r="F25" s="12"/>
      <c r="G25" s="5">
        <f>(E25/E22-1)*100</f>
        <v>-6.6580188676003571</v>
      </c>
      <c r="I25" s="39"/>
      <c r="J25" s="21">
        <f t="shared" si="2"/>
        <v>44834</v>
      </c>
      <c r="K25" s="24">
        <f t="shared" si="6"/>
        <v>9</v>
      </c>
      <c r="L25" s="96" t="s">
        <v>383</v>
      </c>
      <c r="M25" s="27"/>
      <c r="N25" s="46">
        <f t="shared" si="7"/>
        <v>1000000</v>
      </c>
      <c r="O25" s="12"/>
      <c r="P25" s="5">
        <f>(N25/N22-1)*100</f>
        <v>0</v>
      </c>
      <c r="R25" s="39"/>
      <c r="S25" s="20">
        <f t="shared" si="3"/>
        <v>44834</v>
      </c>
      <c r="T25" s="27">
        <f>'LC (Gross)'!K289</f>
        <v>-9.2175670000000007</v>
      </c>
      <c r="U25" s="46">
        <f t="shared" ref="U25" si="14">U24*T25/100+U24</f>
        <v>761185.54911946959</v>
      </c>
      <c r="V25" s="12"/>
      <c r="W25" s="5">
        <f>(U25/U22-1)*100</f>
        <v>-4.890521449027629</v>
      </c>
      <c r="X25" s="316"/>
      <c r="Y25" s="1"/>
      <c r="Z25" s="1"/>
    </row>
    <row r="26" spans="1:28" x14ac:dyDescent="0.25">
      <c r="A26" s="21">
        <v>44865</v>
      </c>
      <c r="B26" s="24">
        <f t="shared" si="9"/>
        <v>10</v>
      </c>
      <c r="C26" s="96" t="s">
        <v>383</v>
      </c>
      <c r="D26" s="27">
        <v>9.3924380000000003</v>
      </c>
      <c r="E26" s="46">
        <f t="shared" ref="E26" si="15">E25*D26/100+E25</f>
        <v>809629.4105082677</v>
      </c>
      <c r="F26" s="12"/>
      <c r="G26" s="5"/>
      <c r="I26" s="39"/>
      <c r="J26" s="21">
        <f t="shared" si="2"/>
        <v>44865</v>
      </c>
      <c r="K26" s="24">
        <f t="shared" si="6"/>
        <v>10</v>
      </c>
      <c r="L26" s="96" t="s">
        <v>383</v>
      </c>
      <c r="M26" s="27"/>
      <c r="N26" s="46">
        <f t="shared" si="7"/>
        <v>1000000</v>
      </c>
      <c r="O26" s="12"/>
      <c r="P26" s="5"/>
      <c r="R26" s="39"/>
      <c r="S26" s="20">
        <f t="shared" si="3"/>
        <v>44865</v>
      </c>
      <c r="T26" s="27">
        <f>'LC (Gross)'!K290</f>
        <v>8.0963370000000001</v>
      </c>
      <c r="U26" s="46">
        <f t="shared" ref="U26" si="16">U25*T26/100+U25</f>
        <v>822813.69637148234</v>
      </c>
      <c r="V26" s="12"/>
      <c r="W26" s="5"/>
      <c r="X26" s="316"/>
      <c r="Y26" s="317"/>
      <c r="Z26" s="1"/>
    </row>
    <row r="27" spans="1:28" x14ac:dyDescent="0.25">
      <c r="A27" s="21">
        <v>44895</v>
      </c>
      <c r="B27" s="24">
        <f t="shared" si="9"/>
        <v>11</v>
      </c>
      <c r="C27" s="96" t="s">
        <v>383</v>
      </c>
      <c r="D27" s="27">
        <v>4.9057000000000004</v>
      </c>
      <c r="E27" s="46">
        <f t="shared" ref="E27" si="17">E26*D27/100+E26</f>
        <v>849347.40049957181</v>
      </c>
      <c r="F27" s="12"/>
      <c r="I27" s="39"/>
      <c r="J27" s="21">
        <f t="shared" si="2"/>
        <v>44895</v>
      </c>
      <c r="K27" s="24">
        <f t="shared" si="6"/>
        <v>11</v>
      </c>
      <c r="L27" s="96" t="s">
        <v>383</v>
      </c>
      <c r="M27" s="27"/>
      <c r="N27" s="46">
        <f t="shared" si="7"/>
        <v>1000000</v>
      </c>
      <c r="O27" s="12"/>
      <c r="R27" s="39"/>
      <c r="S27" s="20">
        <f t="shared" si="3"/>
        <v>44895</v>
      </c>
      <c r="T27" s="27">
        <f>'LC (Gross)'!K291</f>
        <v>5.5884159999999996</v>
      </c>
      <c r="U27" s="46">
        <f t="shared" ref="U27" si="18">U26*T27/100+U26</f>
        <v>868795.94862969767</v>
      </c>
      <c r="V27" s="12"/>
      <c r="X27" s="316"/>
      <c r="Y27" s="1"/>
      <c r="Z27" s="1"/>
    </row>
    <row r="28" spans="1:28" x14ac:dyDescent="0.25">
      <c r="A28" s="21">
        <v>44926</v>
      </c>
      <c r="B28" s="24">
        <f t="shared" si="9"/>
        <v>12</v>
      </c>
      <c r="C28" s="96" t="s">
        <v>383</v>
      </c>
      <c r="D28" s="27">
        <v>-5.8327470000000003</v>
      </c>
      <c r="E28" s="46">
        <f t="shared" ref="E28:E33" si="19">E27*D28/100+E27</f>
        <v>799807.11547735508</v>
      </c>
      <c r="F28" s="12">
        <f>((E28-E$16)/E$16)*100</f>
        <v>-20.01928845226449</v>
      </c>
      <c r="G28" s="5">
        <f>(E28/E25-1)*100</f>
        <v>8.065306368859936</v>
      </c>
      <c r="I28" s="39"/>
      <c r="J28" s="21">
        <f t="shared" si="2"/>
        <v>44926</v>
      </c>
      <c r="K28" s="24">
        <f t="shared" si="6"/>
        <v>12</v>
      </c>
      <c r="L28" s="96" t="s">
        <v>383</v>
      </c>
      <c r="M28" s="27"/>
      <c r="N28" s="46">
        <f t="shared" si="7"/>
        <v>1000000</v>
      </c>
      <c r="O28" s="12">
        <f>((N28-N$16)/N$16)*100</f>
        <v>0</v>
      </c>
      <c r="P28" s="5">
        <f>(N28/N25-1)*100</f>
        <v>0</v>
      </c>
      <c r="R28" s="39"/>
      <c r="S28" s="20">
        <f t="shared" si="3"/>
        <v>44926</v>
      </c>
      <c r="T28" s="27">
        <f>'LC (Gross)'!K292</f>
        <v>-5.7714730000000003</v>
      </c>
      <c r="U28" s="46">
        <f t="shared" ref="U28:U33" si="20">U27*T28/100+U27</f>
        <v>818653.62502944074</v>
      </c>
      <c r="V28" s="12">
        <f>((U28-U$16)/U$16)*100</f>
        <v>-18.134637497055927</v>
      </c>
      <c r="W28" s="5">
        <f>(U28/U25-1)*100</f>
        <v>7.5498117346617377</v>
      </c>
      <c r="X28" s="316"/>
      <c r="Y28" s="1"/>
      <c r="Z28" s="1"/>
      <c r="AA28" s="1"/>
      <c r="AB28" s="1"/>
    </row>
    <row r="29" spans="1:28" x14ac:dyDescent="0.25">
      <c r="A29" s="21">
        <v>44957</v>
      </c>
      <c r="B29" s="24">
        <f t="shared" ref="B29:B34" si="21">IF(A29&gt;A28,1+B28,"-")</f>
        <v>13</v>
      </c>
      <c r="C29" s="96" t="s">
        <v>383</v>
      </c>
      <c r="D29" s="27">
        <v>5.0413036</v>
      </c>
      <c r="E29" s="46">
        <f t="shared" si="19"/>
        <v>840127.82038297108</v>
      </c>
      <c r="I29" s="39"/>
      <c r="J29" s="21">
        <f t="shared" si="2"/>
        <v>44957</v>
      </c>
      <c r="K29" s="24">
        <f t="shared" si="6"/>
        <v>13</v>
      </c>
      <c r="L29" s="96" t="s">
        <v>383</v>
      </c>
      <c r="M29" s="27"/>
      <c r="N29" s="46">
        <f t="shared" si="7"/>
        <v>1000000</v>
      </c>
      <c r="R29" s="39"/>
      <c r="S29" s="20">
        <f t="shared" si="3"/>
        <v>44957</v>
      </c>
      <c r="T29" s="27">
        <f>'LC (Gross)'!K293</f>
        <v>6.2828720000000002</v>
      </c>
      <c r="U29" s="46">
        <f t="shared" si="20"/>
        <v>870088.5844134005</v>
      </c>
      <c r="X29" s="316"/>
      <c r="Y29" s="1"/>
      <c r="Z29" s="1"/>
    </row>
    <row r="30" spans="1:28" x14ac:dyDescent="0.25">
      <c r="A30" s="21">
        <v>44985</v>
      </c>
      <c r="B30" s="24">
        <f t="shared" si="21"/>
        <v>14</v>
      </c>
      <c r="C30" s="96" t="s">
        <v>383</v>
      </c>
      <c r="D30" s="27">
        <v>-3.6129999000000002</v>
      </c>
      <c r="E30" s="46">
        <f t="shared" si="19"/>
        <v>809774.00307266216</v>
      </c>
      <c r="I30" s="39"/>
      <c r="J30" s="21">
        <f t="shared" si="2"/>
        <v>44985</v>
      </c>
      <c r="K30" s="24">
        <f t="shared" si="6"/>
        <v>14</v>
      </c>
      <c r="L30" s="96" t="s">
        <v>383</v>
      </c>
      <c r="M30" s="27"/>
      <c r="N30" s="46">
        <f t="shared" si="7"/>
        <v>1000000</v>
      </c>
      <c r="R30" s="39"/>
      <c r="S30" s="20">
        <f t="shared" si="3"/>
        <v>44985</v>
      </c>
      <c r="T30" s="27">
        <f>'LC (Gross)'!K294</f>
        <v>-2.449071</v>
      </c>
      <c r="U30" s="46">
        <f t="shared" si="20"/>
        <v>848779.49721822143</v>
      </c>
      <c r="X30" s="316"/>
      <c r="Y30" s="1"/>
      <c r="Z30" s="1"/>
    </row>
    <row r="31" spans="1:28" x14ac:dyDescent="0.25">
      <c r="A31" s="21">
        <v>45016</v>
      </c>
      <c r="B31" s="24">
        <f t="shared" si="21"/>
        <v>15</v>
      </c>
      <c r="C31" s="96" t="s">
        <v>383</v>
      </c>
      <c r="D31" s="27">
        <v>0.38288699999999998</v>
      </c>
      <c r="E31" s="46">
        <f t="shared" si="19"/>
        <v>812874.52245980699</v>
      </c>
      <c r="G31" s="5">
        <f>(E31/E28-1)*100</f>
        <v>1.6338197959957945</v>
      </c>
      <c r="I31" s="39"/>
      <c r="J31" s="21">
        <f t="shared" si="2"/>
        <v>45016</v>
      </c>
      <c r="K31" s="24">
        <f t="shared" si="6"/>
        <v>15</v>
      </c>
      <c r="L31" s="96" t="s">
        <v>383</v>
      </c>
      <c r="M31" s="27"/>
      <c r="N31" s="46">
        <f t="shared" si="7"/>
        <v>1000000</v>
      </c>
      <c r="P31" s="5">
        <f>(N31/N28-1)*100</f>
        <v>0</v>
      </c>
      <c r="R31" s="39"/>
      <c r="S31" s="20">
        <f t="shared" si="3"/>
        <v>45016</v>
      </c>
      <c r="T31" s="27">
        <f>'LC (Gross)'!K295</f>
        <v>3.669584</v>
      </c>
      <c r="U31" s="46">
        <f t="shared" si="20"/>
        <v>879926.17384342174</v>
      </c>
      <c r="W31" s="5">
        <f>(U31/U28-1)*100</f>
        <v>7.4845510898186696</v>
      </c>
      <c r="X31" s="316"/>
      <c r="Y31" s="318"/>
      <c r="Z31" s="1"/>
    </row>
    <row r="32" spans="1:28" x14ac:dyDescent="0.25">
      <c r="A32" s="21">
        <v>45046</v>
      </c>
      <c r="B32" s="24">
        <f t="shared" si="21"/>
        <v>16</v>
      </c>
      <c r="C32" s="96" t="s">
        <v>383</v>
      </c>
      <c r="D32" s="27">
        <v>2.058532973551781</v>
      </c>
      <c r="E32" s="46">
        <f t="shared" si="19"/>
        <v>829607.81253824371</v>
      </c>
      <c r="I32" s="39"/>
      <c r="J32" s="21">
        <f t="shared" si="2"/>
        <v>45046</v>
      </c>
      <c r="K32" s="24">
        <f t="shared" si="6"/>
        <v>16</v>
      </c>
      <c r="L32" s="96" t="s">
        <v>383</v>
      </c>
      <c r="M32" s="27">
        <v>1.9883839999999999</v>
      </c>
      <c r="N32" s="46">
        <f t="shared" si="7"/>
        <v>1019883.84</v>
      </c>
      <c r="R32" s="39"/>
      <c r="S32" s="20">
        <f t="shared" si="3"/>
        <v>45046</v>
      </c>
      <c r="T32" s="27">
        <f>'LC (Gross)'!K296</f>
        <v>1.560872</v>
      </c>
      <c r="U32" s="46">
        <f t="shared" si="20"/>
        <v>893660.695111615</v>
      </c>
      <c r="X32" s="316"/>
      <c r="Y32" s="5"/>
      <c r="Z32" s="1"/>
    </row>
    <row r="33" spans="1:28" x14ac:dyDescent="0.25">
      <c r="A33" s="21">
        <v>45077</v>
      </c>
      <c r="B33" s="24">
        <f t="shared" si="21"/>
        <v>17</v>
      </c>
      <c r="C33" s="96" t="s">
        <v>383</v>
      </c>
      <c r="D33" s="27">
        <v>8.0511738999999999E-2</v>
      </c>
      <c r="E33" s="46">
        <f t="shared" si="19"/>
        <v>830275.74421499809</v>
      </c>
      <c r="F33" s="12"/>
      <c r="I33" s="39"/>
      <c r="J33" s="21">
        <f t="shared" si="2"/>
        <v>45077</v>
      </c>
      <c r="K33" s="24">
        <f t="shared" si="6"/>
        <v>17</v>
      </c>
      <c r="L33" s="96" t="s">
        <v>383</v>
      </c>
      <c r="M33" s="27">
        <v>9.6784060000000005E-3</v>
      </c>
      <c r="N33" s="46">
        <f t="shared" si="7"/>
        <v>1019982.5484987636</v>
      </c>
      <c r="O33" s="12"/>
      <c r="R33" s="39"/>
      <c r="S33" s="20">
        <f t="shared" si="3"/>
        <v>45077</v>
      </c>
      <c r="T33" s="27">
        <f>'LC (Gross)'!K297</f>
        <v>0.43486429999999998</v>
      </c>
      <c r="U33" s="46">
        <f t="shared" si="20"/>
        <v>897546.90643778723</v>
      </c>
      <c r="V33" s="12"/>
      <c r="Y33" s="5"/>
      <c r="Z33" s="1"/>
      <c r="AA33" s="1"/>
      <c r="AB33" s="1"/>
    </row>
    <row r="34" spans="1:28" x14ac:dyDescent="0.25">
      <c r="A34" s="21">
        <v>45107</v>
      </c>
      <c r="B34" s="24">
        <f t="shared" si="21"/>
        <v>18</v>
      </c>
      <c r="C34" s="96" t="s">
        <v>383</v>
      </c>
      <c r="D34" s="27">
        <v>5.8749923333333331</v>
      </c>
      <c r="E34" s="46">
        <f t="shared" ref="E34" si="22">E33*D34/100+E33</f>
        <v>879054.38053315552</v>
      </c>
      <c r="F34" s="12"/>
      <c r="G34" s="5">
        <f>(E34/E31-1)*100</f>
        <v>8.141460489262764</v>
      </c>
      <c r="I34" s="39"/>
      <c r="J34" s="21">
        <f t="shared" si="2"/>
        <v>45107</v>
      </c>
      <c r="K34" s="24">
        <f t="shared" si="6"/>
        <v>18</v>
      </c>
      <c r="L34" s="96" t="s">
        <v>383</v>
      </c>
      <c r="M34" s="27">
        <v>5.8041590000000003</v>
      </c>
      <c r="N34" s="46">
        <f t="shared" si="7"/>
        <v>1079183.9573858839</v>
      </c>
      <c r="O34" s="12"/>
      <c r="P34" s="5">
        <f>(N34/N31-1)*100</f>
        <v>7.9183957385883907</v>
      </c>
      <c r="R34" s="39"/>
      <c r="S34" s="20">
        <f t="shared" si="3"/>
        <v>45107</v>
      </c>
      <c r="T34" s="27">
        <f>'LC (Gross)'!K298</f>
        <v>6.60738</v>
      </c>
      <c r="U34" s="46">
        <f t="shared" ref="U34" si="23">U33*T34/100+U33</f>
        <v>956851.24122437625</v>
      </c>
      <c r="V34" s="12"/>
      <c r="W34" s="5">
        <f>(U34/U31-1)*100</f>
        <v>8.7422183437224188</v>
      </c>
      <c r="Y34" s="5"/>
    </row>
    <row r="35" spans="1:28" x14ac:dyDescent="0.25">
      <c r="A35" s="21">
        <v>45138</v>
      </c>
      <c r="B35" s="24">
        <f t="shared" ref="B35:B39" si="24">IF(A35&gt;A34,1+B34,"-")</f>
        <v>19</v>
      </c>
      <c r="C35" s="96" t="s">
        <v>383</v>
      </c>
      <c r="D35" s="27">
        <v>4.8186433333333332</v>
      </c>
      <c r="E35" s="46">
        <f t="shared" ref="E35" si="25">E34*D35/100+E34</f>
        <v>921412.87583709101</v>
      </c>
      <c r="F35" s="12"/>
      <c r="G35" s="5"/>
      <c r="I35" s="39"/>
      <c r="J35" s="21">
        <f t="shared" ref="J35" si="26">A35</f>
        <v>45138</v>
      </c>
      <c r="K35" s="24">
        <f t="shared" ref="K35" si="27">IF(J35&gt;J34,1+K34,"-")</f>
        <v>19</v>
      </c>
      <c r="L35" s="96" t="s">
        <v>383</v>
      </c>
      <c r="M35" s="27">
        <v>4.7478100000000003</v>
      </c>
      <c r="N35" s="46">
        <f t="shared" ref="N35" si="28">N34*M35/100+N34</f>
        <v>1130421.5612330467</v>
      </c>
      <c r="O35" s="12"/>
      <c r="P35" s="5"/>
      <c r="R35" s="39"/>
      <c r="S35" s="20">
        <f t="shared" si="3"/>
        <v>45138</v>
      </c>
      <c r="T35" s="27">
        <f>'LC (Gross)'!K299</f>
        <v>3.2124999999999999</v>
      </c>
      <c r="U35" s="46">
        <f t="shared" ref="U35" si="29">U34*T35/100+U34</f>
        <v>987590.08734870935</v>
      </c>
      <c r="V35" s="12"/>
      <c r="W35" s="5"/>
      <c r="Y35" s="5"/>
    </row>
    <row r="36" spans="1:28" x14ac:dyDescent="0.25">
      <c r="A36" s="21">
        <v>45169</v>
      </c>
      <c r="B36" s="24">
        <f t="shared" si="24"/>
        <v>20</v>
      </c>
      <c r="C36" s="96" t="s">
        <v>383</v>
      </c>
      <c r="D36" s="27">
        <v>-2.1058816666666669</v>
      </c>
      <c r="E36" s="46">
        <f t="shared" ref="E36" si="30">E35*D36/100+E35</f>
        <v>902009.01101053157</v>
      </c>
      <c r="F36" s="12"/>
      <c r="G36" s="5"/>
      <c r="I36" s="39"/>
      <c r="J36" s="21">
        <f t="shared" ref="J36" si="31">A36</f>
        <v>45169</v>
      </c>
      <c r="K36" s="24">
        <f t="shared" ref="K36" si="32">IF(J36&gt;J35,1+K35,"-")</f>
        <v>20</v>
      </c>
      <c r="L36" s="96" t="s">
        <v>383</v>
      </c>
      <c r="M36" s="27">
        <v>-2.1767150000000002</v>
      </c>
      <c r="N36" s="46">
        <f t="shared" ref="N36" si="33">N35*M36/100+N35</f>
        <v>1105815.5055464527</v>
      </c>
      <c r="O36" s="12"/>
      <c r="P36" s="5"/>
      <c r="R36" s="39"/>
      <c r="S36" s="20">
        <f t="shared" si="3"/>
        <v>45169</v>
      </c>
      <c r="T36" s="27">
        <f>'LC (Gross)'!K300</f>
        <v>-1.592168</v>
      </c>
      <c r="U36" s="46">
        <f t="shared" ref="U36" si="34">U35*T36/100+U35</f>
        <v>971865.99400677113</v>
      </c>
      <c r="V36" s="12"/>
      <c r="W36" s="5"/>
      <c r="Y36" s="5"/>
    </row>
    <row r="37" spans="1:28" x14ac:dyDescent="0.25">
      <c r="A37" s="21">
        <v>45199</v>
      </c>
      <c r="B37" s="24">
        <f t="shared" si="24"/>
        <v>21</v>
      </c>
      <c r="C37" s="96" t="s">
        <v>383</v>
      </c>
      <c r="D37" s="27">
        <v>-3.5718146666666666</v>
      </c>
      <c r="E37" s="46">
        <f t="shared" ref="E37" si="35">E36*D37/100+E36</f>
        <v>869790.9208606024</v>
      </c>
      <c r="F37" s="12"/>
      <c r="G37" s="5">
        <f>(E37/E34-1)*100</f>
        <v>-1.053798249311344</v>
      </c>
      <c r="I37" s="39"/>
      <c r="J37" s="21">
        <f t="shared" ref="J37" si="36">A37</f>
        <v>45199</v>
      </c>
      <c r="K37" s="24">
        <f t="shared" ref="K37" si="37">IF(J37&gt;J36,1+K36,"-")</f>
        <v>21</v>
      </c>
      <c r="L37" s="96" t="s">
        <v>383</v>
      </c>
      <c r="M37" s="27">
        <v>-3.6426479999999999</v>
      </c>
      <c r="N37" s="46">
        <f t="shared" ref="N37" si="38">N36*M37/100+N36</f>
        <v>1065534.5391499749</v>
      </c>
      <c r="O37" s="12"/>
      <c r="P37" s="5">
        <f>(N37/N34-1)*100</f>
        <v>-1.2647906913824114</v>
      </c>
      <c r="R37" s="39"/>
      <c r="S37" s="20">
        <f t="shared" si="3"/>
        <v>45199</v>
      </c>
      <c r="T37" s="27">
        <f>'LC (Gross)'!K301</f>
        <v>-4.7678450000000003</v>
      </c>
      <c r="U37" s="46">
        <f t="shared" ref="U37" si="39">U36*T37/100+U36</f>
        <v>925528.92980481894</v>
      </c>
      <c r="V37" s="12"/>
      <c r="W37" s="5">
        <f>(U37/U34-1)*100</f>
        <v>-3.2734776389564568</v>
      </c>
      <c r="Y37" s="5"/>
    </row>
    <row r="38" spans="1:28" x14ac:dyDescent="0.25">
      <c r="A38" s="21">
        <v>45230</v>
      </c>
      <c r="B38" s="24">
        <f t="shared" si="24"/>
        <v>22</v>
      </c>
      <c r="C38" s="96" t="s">
        <v>383</v>
      </c>
      <c r="D38" s="27">
        <v>-2.1331986666666665</v>
      </c>
      <c r="E38" s="46">
        <f t="shared" ref="E38:E40" si="40">E37*D38/100+E37</f>
        <v>851236.55253401631</v>
      </c>
      <c r="F38" s="12"/>
      <c r="G38" s="5"/>
      <c r="I38" s="39"/>
      <c r="J38" s="21">
        <f t="shared" ref="J38:J40" si="41">A38</f>
        <v>45230</v>
      </c>
      <c r="K38" s="24">
        <f t="shared" ref="K38:K40" si="42">IF(J38&gt;J37,1+K37,"-")</f>
        <v>22</v>
      </c>
      <c r="L38" s="96" t="s">
        <v>383</v>
      </c>
      <c r="M38" s="27">
        <v>-2.2040320000000002</v>
      </c>
      <c r="N38" s="46">
        <f t="shared" ref="N38:N40" si="43">N37*M38/100+N37</f>
        <v>1042049.8169360569</v>
      </c>
      <c r="O38" s="12"/>
      <c r="P38" s="5"/>
      <c r="R38" s="39"/>
      <c r="S38" s="20">
        <f t="shared" si="3"/>
        <v>45230</v>
      </c>
      <c r="T38" s="27">
        <f>'LC (Gross)'!K302</f>
        <v>-2.102582</v>
      </c>
      <c r="U38" s="46">
        <f t="shared" ref="U38:U40" si="44">U37*T38/100+U37</f>
        <v>906068.92512195022</v>
      </c>
      <c r="V38" s="12"/>
      <c r="W38" s="5"/>
    </row>
    <row r="39" spans="1:28" x14ac:dyDescent="0.25">
      <c r="A39" s="21">
        <v>45260</v>
      </c>
      <c r="B39" s="24">
        <f t="shared" si="24"/>
        <v>23</v>
      </c>
      <c r="C39" s="96" t="s">
        <v>383</v>
      </c>
      <c r="D39" s="27">
        <v>9.145897333333334</v>
      </c>
      <c r="E39" s="46">
        <f t="shared" si="40"/>
        <v>929089.77369258355</v>
      </c>
      <c r="F39" s="12"/>
      <c r="G39" s="5"/>
      <c r="I39" s="39"/>
      <c r="J39" s="21">
        <f t="shared" si="41"/>
        <v>45260</v>
      </c>
      <c r="K39" s="24">
        <f t="shared" si="42"/>
        <v>23</v>
      </c>
      <c r="L39" s="96" t="s">
        <v>383</v>
      </c>
      <c r="M39" s="27">
        <v>9.0750639999999994</v>
      </c>
      <c r="N39" s="46">
        <f t="shared" si="43"/>
        <v>1136616.504734887</v>
      </c>
      <c r="O39" s="12"/>
      <c r="P39" s="5"/>
      <c r="R39" s="39"/>
      <c r="S39" s="20">
        <f t="shared" si="3"/>
        <v>45260</v>
      </c>
      <c r="T39" s="27">
        <f>'LC (Gross)'!K303</f>
        <v>9.1325979999999998</v>
      </c>
      <c r="U39" s="46">
        <f t="shared" si="44"/>
        <v>988816.55765625893</v>
      </c>
      <c r="V39" s="12"/>
      <c r="W39" s="5"/>
    </row>
    <row r="40" spans="1:28" x14ac:dyDescent="0.25">
      <c r="A40" s="21">
        <v>45291</v>
      </c>
      <c r="B40" s="24">
        <f t="shared" ref="B40:B44" si="45">IF(A40&gt;A39,1+B39,"-")</f>
        <v>24</v>
      </c>
      <c r="C40" s="96" t="s">
        <v>383</v>
      </c>
      <c r="D40" s="27">
        <v>4.7100523333333335</v>
      </c>
      <c r="E40" s="46">
        <f t="shared" si="40"/>
        <v>972850.38825715252</v>
      </c>
      <c r="F40" s="12">
        <f t="shared" ref="F40" si="46">((E40-E$28)/E$28)*100</f>
        <v>21.635625569112207</v>
      </c>
      <c r="G40" s="5">
        <f t="shared" ref="G40" si="47">(E40/E37-1)*100</f>
        <v>11.848763297572628</v>
      </c>
      <c r="I40" s="39"/>
      <c r="J40" s="21">
        <f t="shared" si="41"/>
        <v>45291</v>
      </c>
      <c r="K40" s="24">
        <f t="shared" si="42"/>
        <v>24</v>
      </c>
      <c r="L40" s="96" t="s">
        <v>383</v>
      </c>
      <c r="M40" s="27">
        <v>4.6392189999999998</v>
      </c>
      <c r="N40" s="46">
        <f t="shared" si="43"/>
        <v>1189346.6335796837</v>
      </c>
      <c r="O40" s="12"/>
      <c r="P40" s="5">
        <f t="shared" ref="P40" si="48">(N40/N37-1)*100</f>
        <v>11.619716666198299</v>
      </c>
      <c r="R40" s="39"/>
      <c r="S40" s="20">
        <f t="shared" si="3"/>
        <v>45291</v>
      </c>
      <c r="T40" s="27">
        <f>'LC (Gross)'!K304</f>
        <v>4.5311300000000001</v>
      </c>
      <c r="U40" s="46">
        <f t="shared" si="44"/>
        <v>1033621.1213451889</v>
      </c>
      <c r="V40" s="12">
        <f>((U40-U$28)/U$28)*100</f>
        <v>26.258662973368917</v>
      </c>
      <c r="W40" s="5">
        <f t="shared" ref="W40" si="49">(U40/U37-1)*100</f>
        <v>11.67896411008622</v>
      </c>
    </row>
    <row r="41" spans="1:28" x14ac:dyDescent="0.25">
      <c r="A41" s="21">
        <v>45322</v>
      </c>
      <c r="B41" s="24">
        <f t="shared" si="45"/>
        <v>25</v>
      </c>
      <c r="C41" s="96" t="s">
        <v>383</v>
      </c>
      <c r="D41" s="27">
        <f>M41+(0.85/12)</f>
        <v>2.8191263333333332</v>
      </c>
      <c r="E41" s="46">
        <f t="shared" ref="E41:E43" si="50">E40*D41/100+E40</f>
        <v>1000276.2697364455</v>
      </c>
      <c r="F41" s="12"/>
      <c r="G41" s="5"/>
      <c r="I41" s="39"/>
      <c r="J41" s="21">
        <f t="shared" ref="J41:J43" si="51">A41</f>
        <v>45322</v>
      </c>
      <c r="K41" s="24">
        <f t="shared" ref="K41:K43" si="52">IF(J41&gt;J40,1+K40,"-")</f>
        <v>25</v>
      </c>
      <c r="L41" s="96" t="s">
        <v>383</v>
      </c>
      <c r="M41" s="27">
        <v>2.7482929999999999</v>
      </c>
      <c r="N41" s="46">
        <f t="shared" ref="N41:N43" si="53">N40*M41/100+N40</f>
        <v>1222033.3638560898</v>
      </c>
      <c r="O41" s="12"/>
      <c r="P41" s="5"/>
      <c r="R41" s="39"/>
      <c r="S41" s="20">
        <f t="shared" si="3"/>
        <v>45322</v>
      </c>
      <c r="T41" s="27">
        <f>'LC (Gross)'!K305</f>
        <v>1.6793610000000001</v>
      </c>
      <c r="U41" s="46">
        <f t="shared" ref="U41:U43" si="54">U40*T41/100+U40</f>
        <v>1050979.3513448227</v>
      </c>
      <c r="V41" s="12"/>
      <c r="W41" s="5"/>
    </row>
    <row r="42" spans="1:28" x14ac:dyDescent="0.25">
      <c r="A42" s="21">
        <v>45351</v>
      </c>
      <c r="B42" s="24">
        <f t="shared" si="45"/>
        <v>26</v>
      </c>
      <c r="C42" s="96" t="s">
        <v>383</v>
      </c>
      <c r="D42" s="27">
        <f t="shared" ref="D42:D55" si="55">M42+(0.85/12)</f>
        <v>5.4449943333333337</v>
      </c>
      <c r="E42" s="46">
        <f t="shared" si="50"/>
        <v>1054741.2559412729</v>
      </c>
      <c r="F42" s="12"/>
      <c r="G42" s="5"/>
      <c r="I42" s="39"/>
      <c r="J42" s="21">
        <f t="shared" si="51"/>
        <v>45351</v>
      </c>
      <c r="K42" s="24">
        <f t="shared" si="52"/>
        <v>26</v>
      </c>
      <c r="L42" s="96" t="s">
        <v>383</v>
      </c>
      <c r="M42" s="27">
        <v>5.374161</v>
      </c>
      <c r="N42" s="46">
        <f t="shared" si="53"/>
        <v>1287707.4043034317</v>
      </c>
      <c r="O42" s="12"/>
      <c r="P42" s="5"/>
      <c r="R42" s="39"/>
      <c r="S42" s="20">
        <f t="shared" si="3"/>
        <v>45351</v>
      </c>
      <c r="T42" s="27">
        <f>'LC (Gross)'!K306</f>
        <v>5.3395099999999998</v>
      </c>
      <c r="U42" s="46">
        <f t="shared" si="54"/>
        <v>1107096.4989078145</v>
      </c>
      <c r="V42" s="12"/>
      <c r="W42" s="5"/>
    </row>
    <row r="43" spans="1:28" x14ac:dyDescent="0.25">
      <c r="A43" s="21">
        <v>45382</v>
      </c>
      <c r="B43" s="24">
        <f t="shared" si="45"/>
        <v>27</v>
      </c>
      <c r="C43" s="96" t="s">
        <v>383</v>
      </c>
      <c r="D43" s="27">
        <f t="shared" si="55"/>
        <v>4.0389763333333333</v>
      </c>
      <c r="E43" s="46">
        <f t="shared" si="50"/>
        <v>1097342.0056466437</v>
      </c>
      <c r="F43" s="12"/>
      <c r="G43" s="5">
        <f t="shared" ref="G43" si="56">(E43/E40-1)*100</f>
        <v>12.796584026914569</v>
      </c>
      <c r="I43" s="39"/>
      <c r="J43" s="21">
        <f t="shared" si="51"/>
        <v>45382</v>
      </c>
      <c r="K43" s="24">
        <f t="shared" si="52"/>
        <v>27</v>
      </c>
      <c r="L43" s="96" t="s">
        <v>383</v>
      </c>
      <c r="M43" s="27">
        <v>3.968143</v>
      </c>
      <c r="N43" s="46">
        <f t="shared" si="53"/>
        <v>1338805.4755277801</v>
      </c>
      <c r="O43" s="12"/>
      <c r="P43" s="5">
        <f t="shared" ref="P43" si="57">(N43/N40-1)*100</f>
        <v>12.566466135970522</v>
      </c>
      <c r="R43" s="39"/>
      <c r="S43" s="20">
        <f t="shared" si="3"/>
        <v>45382</v>
      </c>
      <c r="T43" s="27">
        <f>'LC (Gross)'!K307</f>
        <v>3.2173630000000002</v>
      </c>
      <c r="U43" s="46">
        <f t="shared" si="54"/>
        <v>1142715.8120379699</v>
      </c>
      <c r="V43" s="12"/>
      <c r="W43" s="5">
        <f t="shared" ref="W43" si="58">(U43/U40-1)*100</f>
        <v>10.554611205196895</v>
      </c>
    </row>
    <row r="44" spans="1:28" x14ac:dyDescent="0.25">
      <c r="A44" s="21">
        <v>45412</v>
      </c>
      <c r="B44" s="24">
        <f t="shared" si="45"/>
        <v>28</v>
      </c>
      <c r="C44" s="96" t="s">
        <v>383</v>
      </c>
      <c r="D44" s="27">
        <f t="shared" si="55"/>
        <v>-4.4110096666666658</v>
      </c>
      <c r="E44" s="46">
        <f t="shared" ref="E44:E46" si="59">E43*D44/100+E43</f>
        <v>1048938.1437011764</v>
      </c>
      <c r="F44" s="12"/>
      <c r="G44" s="5"/>
      <c r="I44" s="39"/>
      <c r="J44" s="21">
        <f t="shared" ref="J44:J46" si="60">A44</f>
        <v>45412</v>
      </c>
      <c r="K44" s="24">
        <f t="shared" ref="K44:K46" si="61">IF(J44&gt;J43,1+K43,"-")</f>
        <v>28</v>
      </c>
      <c r="L44" s="96" t="s">
        <v>383</v>
      </c>
      <c r="M44" s="27">
        <v>-4.4818429999999996</v>
      </c>
      <c r="N44" s="46">
        <f t="shared" ref="N44:N46" si="62">N43*M44/100+N43</f>
        <v>1278802.3160392216</v>
      </c>
      <c r="O44" s="12"/>
      <c r="P44" s="5"/>
      <c r="R44" s="39"/>
      <c r="S44" s="20">
        <f t="shared" si="3"/>
        <v>45412</v>
      </c>
      <c r="T44" s="27">
        <f>'LC (Gross)'!K308</f>
        <v>-4.0844069999999997</v>
      </c>
      <c r="U44" s="46">
        <f t="shared" ref="U44:U46" si="63">U43*T44/100+U43</f>
        <v>1096042.6474209842</v>
      </c>
      <c r="V44" s="12"/>
      <c r="W44" s="5"/>
    </row>
    <row r="45" spans="1:28" x14ac:dyDescent="0.25">
      <c r="A45" s="21">
        <v>45443</v>
      </c>
      <c r="B45" s="24">
        <f t="shared" ref="B45:B48" si="64">IF(A45&gt;A44,1+B44,"-")</f>
        <v>29</v>
      </c>
      <c r="C45" s="96" t="s">
        <v>383</v>
      </c>
      <c r="D45" s="27">
        <f t="shared" si="55"/>
        <v>6.0485133333333341</v>
      </c>
      <c r="E45" s="46">
        <f t="shared" si="59"/>
        <v>1112383.3071813611</v>
      </c>
      <c r="F45" s="12"/>
      <c r="G45" s="5"/>
      <c r="I45" s="39"/>
      <c r="J45" s="21">
        <f t="shared" si="60"/>
        <v>45443</v>
      </c>
      <c r="K45" s="24">
        <f t="shared" si="61"/>
        <v>29</v>
      </c>
      <c r="L45" s="96" t="s">
        <v>383</v>
      </c>
      <c r="M45" s="27">
        <v>5.9776800000000003</v>
      </c>
      <c r="N45" s="46">
        <f t="shared" si="62"/>
        <v>1355245.0263246349</v>
      </c>
      <c r="O45" s="12"/>
      <c r="P45" s="5"/>
      <c r="R45" s="39"/>
      <c r="S45" s="20">
        <f t="shared" si="3"/>
        <v>45443</v>
      </c>
      <c r="T45" s="27">
        <f>'LC (Gross)'!K309</f>
        <v>4.9585549999999996</v>
      </c>
      <c r="U45" s="46">
        <f t="shared" si="63"/>
        <v>1150390.5249168098</v>
      </c>
      <c r="V45" s="12"/>
      <c r="W45" s="5"/>
    </row>
    <row r="46" spans="1:28" x14ac:dyDescent="0.25">
      <c r="A46" s="21">
        <v>45473</v>
      </c>
      <c r="B46" s="24">
        <f t="shared" si="64"/>
        <v>30</v>
      </c>
      <c r="C46" s="96" t="s">
        <v>383</v>
      </c>
      <c r="D46" s="27">
        <f t="shared" si="55"/>
        <v>3.1244083333333332</v>
      </c>
      <c r="E46" s="46">
        <f t="shared" si="59"/>
        <v>1147138.7039295444</v>
      </c>
      <c r="F46" s="12"/>
      <c r="G46" s="5">
        <f t="shared" ref="G46" si="65">(E46/E43-1)*100</f>
        <v>4.5379378558972006</v>
      </c>
      <c r="I46" s="39"/>
      <c r="J46" s="21">
        <f t="shared" si="60"/>
        <v>45473</v>
      </c>
      <c r="K46" s="24">
        <f t="shared" si="61"/>
        <v>30</v>
      </c>
      <c r="L46" s="96" t="s">
        <v>383</v>
      </c>
      <c r="M46" s="27">
        <v>3.0535749999999999</v>
      </c>
      <c r="N46" s="46">
        <f t="shared" si="62"/>
        <v>1396628.4496372275</v>
      </c>
      <c r="O46" s="12"/>
      <c r="P46" s="5">
        <f t="shared" ref="P46" si="66">(N46/N43-1)*100</f>
        <v>4.318997432143945</v>
      </c>
      <c r="R46" s="39"/>
      <c r="S46" s="20">
        <f t="shared" si="3"/>
        <v>45473</v>
      </c>
      <c r="T46" s="27">
        <f>'LC (Gross)'!K310</f>
        <v>3.587879</v>
      </c>
      <c r="U46" s="46">
        <f t="shared" si="63"/>
        <v>1191665.1449782897</v>
      </c>
      <c r="V46" s="12"/>
      <c r="W46" s="5">
        <f t="shared" ref="W46" si="67">(U46/U43-1)*100</f>
        <v>4.2835963609378469</v>
      </c>
    </row>
    <row r="47" spans="1:28" x14ac:dyDescent="0.25">
      <c r="A47" s="21">
        <v>45504</v>
      </c>
      <c r="B47" s="24">
        <f t="shared" si="64"/>
        <v>31</v>
      </c>
      <c r="C47" s="96" t="s">
        <v>383</v>
      </c>
      <c r="D47" s="27">
        <f t="shared" si="55"/>
        <v>-1.0591946666666667</v>
      </c>
      <c r="E47" s="46">
        <f t="shared" ref="E47:E49" si="68">E46*D47/100+E46</f>
        <v>1134988.2719582536</v>
      </c>
      <c r="F47" s="12"/>
      <c r="G47" s="5"/>
      <c r="I47" s="39"/>
      <c r="J47" s="21">
        <f t="shared" ref="J47:J49" si="69">A47</f>
        <v>45504</v>
      </c>
      <c r="K47" s="24">
        <f t="shared" ref="K47:K49" si="70">IF(J47&gt;J46,1+K46,"-")</f>
        <v>31</v>
      </c>
      <c r="L47" s="96" t="s">
        <v>383</v>
      </c>
      <c r="M47" s="27">
        <v>-1.130028</v>
      </c>
      <c r="N47" s="46">
        <f t="shared" ref="N47:N49" si="71">N46*M47/100+N46</f>
        <v>1380846.1571003608</v>
      </c>
      <c r="O47" s="12"/>
      <c r="P47" s="5"/>
      <c r="R47" s="39"/>
      <c r="S47" s="20">
        <f t="shared" si="3"/>
        <v>45504</v>
      </c>
      <c r="T47" s="27">
        <f>'LC (Gross)'!K311</f>
        <v>1.2172529999999999</v>
      </c>
      <c r="U47" s="46">
        <f t="shared" ref="U47:U49" si="72">U46*T47/100+U46</f>
        <v>1206170.7247054924</v>
      </c>
      <c r="V47" s="12"/>
      <c r="W47" s="5"/>
    </row>
    <row r="48" spans="1:28" x14ac:dyDescent="0.25">
      <c r="A48" s="21">
        <v>45535</v>
      </c>
      <c r="B48" s="24">
        <f t="shared" si="64"/>
        <v>32</v>
      </c>
      <c r="C48" s="96" t="s">
        <v>383</v>
      </c>
      <c r="D48" s="27">
        <f t="shared" si="55"/>
        <v>2.3082513333333332</v>
      </c>
      <c r="E48" s="46">
        <f t="shared" si="68"/>
        <v>1161186.653878907</v>
      </c>
      <c r="F48" s="12"/>
      <c r="G48" s="5"/>
      <c r="I48" s="39"/>
      <c r="J48" s="21">
        <f t="shared" si="69"/>
        <v>45535</v>
      </c>
      <c r="K48" s="24">
        <f t="shared" si="70"/>
        <v>32</v>
      </c>
      <c r="L48" s="96" t="s">
        <v>383</v>
      </c>
      <c r="M48" s="27">
        <v>2.2374179999999999</v>
      </c>
      <c r="N48" s="46">
        <f t="shared" si="71"/>
        <v>1411741.4575716327</v>
      </c>
      <c r="O48" s="12"/>
      <c r="P48" s="5"/>
      <c r="R48" s="39"/>
      <c r="S48" s="20">
        <f t="shared" si="3"/>
        <v>45535</v>
      </c>
      <c r="T48" s="27">
        <f>'LC (Gross)'!K312</f>
        <v>2.425754</v>
      </c>
      <c r="U48" s="46">
        <f t="shared" si="72"/>
        <v>1235429.4593068648</v>
      </c>
      <c r="V48" s="12"/>
      <c r="W48" s="5"/>
    </row>
    <row r="49" spans="1:23" x14ac:dyDescent="0.25">
      <c r="A49" s="21">
        <v>45565</v>
      </c>
      <c r="B49" s="24">
        <f t="shared" ref="B49:B52" si="73">IF(A49&gt;A48,1+B48,"-")</f>
        <v>33</v>
      </c>
      <c r="C49" s="96" t="s">
        <v>383</v>
      </c>
      <c r="D49" s="27">
        <f t="shared" si="55"/>
        <v>0.84668513333333328</v>
      </c>
      <c r="E49" s="46">
        <f t="shared" si="68"/>
        <v>1171018.2486475504</v>
      </c>
      <c r="F49" s="12"/>
      <c r="G49" s="5">
        <f t="shared" ref="G49" si="74">(E49/E46-1)*100</f>
        <v>2.0816614970976088</v>
      </c>
      <c r="I49" s="39"/>
      <c r="J49" s="21">
        <f t="shared" si="69"/>
        <v>45565</v>
      </c>
      <c r="K49" s="24">
        <f t="shared" si="70"/>
        <v>33</v>
      </c>
      <c r="L49" s="96" t="s">
        <v>383</v>
      </c>
      <c r="M49" s="27">
        <v>0.77585179999999998</v>
      </c>
      <c r="N49" s="46">
        <f t="shared" si="71"/>
        <v>1422694.4790815485</v>
      </c>
      <c r="O49" s="12"/>
      <c r="P49" s="5">
        <f t="shared" ref="P49" si="75">(N49/N46-1)*100</f>
        <v>1.8663538932700119</v>
      </c>
      <c r="R49" s="39"/>
      <c r="S49" s="20">
        <f t="shared" si="3"/>
        <v>45565</v>
      </c>
      <c r="T49" s="27">
        <f>'LC (Gross)'!K313</f>
        <v>2.1354150000000001</v>
      </c>
      <c r="U49" s="46">
        <f t="shared" si="72"/>
        <v>1261811.0052953225</v>
      </c>
      <c r="V49" s="12"/>
      <c r="W49" s="5">
        <f t="shared" ref="W49" si="76">(U49/U46-1)*100</f>
        <v>5.8863734172833304</v>
      </c>
    </row>
    <row r="50" spans="1:23" x14ac:dyDescent="0.25">
      <c r="A50" s="21">
        <v>45596</v>
      </c>
      <c r="B50" s="24">
        <f t="shared" si="73"/>
        <v>34</v>
      </c>
      <c r="C50" s="96" t="s">
        <v>383</v>
      </c>
      <c r="D50" s="27">
        <f t="shared" si="55"/>
        <v>-2.1035876666666669</v>
      </c>
      <c r="E50" s="46">
        <f t="shared" ref="E50:E52" si="77">E49*D50/100+E49</f>
        <v>1146384.8531945844</v>
      </c>
      <c r="F50" s="12"/>
      <c r="G50" s="5"/>
      <c r="I50" s="39"/>
      <c r="J50" s="21">
        <f t="shared" ref="J50:J52" si="78">A50</f>
        <v>45596</v>
      </c>
      <c r="K50" s="24">
        <f t="shared" ref="K50:K52" si="79">IF(J50&gt;J49,1+K49,"-")</f>
        <v>34</v>
      </c>
      <c r="L50" s="96" t="s">
        <v>383</v>
      </c>
      <c r="M50" s="27">
        <v>-2.1744210000000002</v>
      </c>
      <c r="N50" s="46">
        <f t="shared" ref="N50:N52" si="80">N49*M50/100+N49</f>
        <v>1391759.1115625587</v>
      </c>
      <c r="O50" s="12"/>
      <c r="P50" s="5"/>
      <c r="R50" s="39"/>
      <c r="S50" s="20">
        <f t="shared" si="3"/>
        <v>45596</v>
      </c>
      <c r="T50" s="27">
        <f>'LC (Gross)'!K314</f>
        <v>-0.91531750000000001</v>
      </c>
      <c r="U50" s="46">
        <f t="shared" ref="U50:U52" si="81">U49*T50/100+U49</f>
        <v>1250261.4283469284</v>
      </c>
      <c r="V50" s="12"/>
      <c r="W50" s="5"/>
    </row>
    <row r="51" spans="1:23" x14ac:dyDescent="0.25">
      <c r="A51" s="21">
        <v>45626</v>
      </c>
      <c r="B51" s="24">
        <f t="shared" si="73"/>
        <v>35</v>
      </c>
      <c r="C51" s="96" t="s">
        <v>383</v>
      </c>
      <c r="D51" s="27">
        <f t="shared" si="55"/>
        <v>5.8363433333333337</v>
      </c>
      <c r="E51" s="46">
        <f t="shared" si="77"/>
        <v>1213291.8091483496</v>
      </c>
      <c r="F51" s="12"/>
      <c r="G51" s="5"/>
      <c r="I51" s="39"/>
      <c r="J51" s="21">
        <f t="shared" si="78"/>
        <v>45626</v>
      </c>
      <c r="K51" s="24">
        <f t="shared" si="79"/>
        <v>35</v>
      </c>
      <c r="L51" s="96" t="s">
        <v>383</v>
      </c>
      <c r="M51" s="27">
        <v>5.7655099999999999</v>
      </c>
      <c r="N51" s="46">
        <f t="shared" si="80"/>
        <v>1472001.1223156091</v>
      </c>
      <c r="O51" s="12"/>
      <c r="P51" s="5"/>
      <c r="R51" s="39"/>
      <c r="S51" s="20">
        <f t="shared" si="3"/>
        <v>45626</v>
      </c>
      <c r="T51" s="27">
        <f>'LC (Gross)'!K315</f>
        <v>5.8699979999999998</v>
      </c>
      <c r="U51" s="46">
        <f t="shared" si="81"/>
        <v>1323651.7491856646</v>
      </c>
      <c r="V51" s="12"/>
      <c r="W51" s="5"/>
    </row>
    <row r="52" spans="1:23" x14ac:dyDescent="0.25">
      <c r="A52" s="21">
        <v>45657</v>
      </c>
      <c r="B52" s="24">
        <f t="shared" si="73"/>
        <v>36</v>
      </c>
      <c r="C52" s="96" t="s">
        <v>383</v>
      </c>
      <c r="D52" s="27">
        <f t="shared" si="55"/>
        <v>-3.0756276666666666</v>
      </c>
      <c r="E52" s="46">
        <f t="shared" si="77"/>
        <v>1175975.4705887823</v>
      </c>
      <c r="F52" s="12">
        <f t="shared" ref="F52" si="82">((E52-E$40)/E$40)*100</f>
        <v>20.87937516225136</v>
      </c>
      <c r="G52" s="5">
        <f t="shared" ref="G52" si="83">(E52/E49-1)*100</f>
        <v>0.42332576345049944</v>
      </c>
      <c r="I52" s="39"/>
      <c r="J52" s="21">
        <f t="shared" si="78"/>
        <v>45657</v>
      </c>
      <c r="K52" s="24">
        <f t="shared" si="79"/>
        <v>36</v>
      </c>
      <c r="L52" s="96" t="s">
        <v>383</v>
      </c>
      <c r="M52" s="27">
        <v>-3.146461</v>
      </c>
      <c r="N52" s="46">
        <f t="shared" si="80"/>
        <v>1425685.1810823863</v>
      </c>
      <c r="O52" s="12">
        <f t="shared" ref="O52" si="84">((N52-N$40)/N$40)*100</f>
        <v>19.871292424763766</v>
      </c>
      <c r="P52" s="5">
        <f t="shared" ref="P52" si="85">(N52/N49-1)*100</f>
        <v>0.21021393171980485</v>
      </c>
      <c r="R52" s="39"/>
      <c r="S52" s="20">
        <f t="shared" si="3"/>
        <v>45657</v>
      </c>
      <c r="T52" s="27">
        <f>'LC (Gross)'!K316</f>
        <v>-2.3912279999999999</v>
      </c>
      <c r="U52" s="46">
        <f t="shared" si="81"/>
        <v>1292000.2179366471</v>
      </c>
      <c r="V52" s="12">
        <f t="shared" ref="V52" si="86">((U52-U$40)/U$40)*100</f>
        <v>24.997466794718264</v>
      </c>
      <c r="W52" s="5">
        <f t="shared" ref="W52" si="87">(U52/U49-1)*100</f>
        <v>2.3925304593661378</v>
      </c>
    </row>
    <row r="53" spans="1:23" x14ac:dyDescent="0.25">
      <c r="A53" s="21">
        <v>45688</v>
      </c>
      <c r="B53" s="24">
        <f t="shared" ref="B53:B55" si="88">IF(A53&gt;A52,1+B52,"-")</f>
        <v>37</v>
      </c>
      <c r="C53" s="96" t="s">
        <v>383</v>
      </c>
      <c r="D53" s="27">
        <f t="shared" si="55"/>
        <v>3.5855903333333332</v>
      </c>
      <c r="E53" s="46">
        <f t="shared" ref="E53:E55" si="89">E52*D53/100+E52</f>
        <v>1218141.1333845849</v>
      </c>
      <c r="F53" s="12"/>
      <c r="G53" s="5"/>
      <c r="I53" s="39"/>
      <c r="J53" s="21">
        <f t="shared" ref="J53:J55" si="90">A53</f>
        <v>45688</v>
      </c>
      <c r="K53" s="24">
        <f t="shared" ref="K53:K55" si="91">IF(J53&gt;J52,1+K52,"-")</f>
        <v>37</v>
      </c>
      <c r="L53" s="96" t="s">
        <v>383</v>
      </c>
      <c r="M53" s="27">
        <v>3.5147569999999999</v>
      </c>
      <c r="N53" s="46">
        <f t="shared" ref="N53:N55" si="92">N52*M53/100+N52</f>
        <v>1475794.5507824421</v>
      </c>
      <c r="O53" s="12"/>
      <c r="P53" s="5"/>
      <c r="R53" s="39"/>
      <c r="S53" s="20">
        <f t="shared" si="3"/>
        <v>45688</v>
      </c>
      <c r="T53" s="27">
        <f>'LC (Gross)'!K317</f>
        <v>2.7792780000000001</v>
      </c>
      <c r="U53" s="46">
        <f t="shared" ref="U53:U55" si="93">U52*T53/100+U52</f>
        <v>1327908.4957537125</v>
      </c>
      <c r="V53" s="12"/>
      <c r="W53" s="5"/>
    </row>
    <row r="54" spans="1:23" x14ac:dyDescent="0.25">
      <c r="A54" s="21">
        <v>45716</v>
      </c>
      <c r="B54" s="24">
        <f t="shared" si="88"/>
        <v>38</v>
      </c>
      <c r="C54" s="96" t="s">
        <v>383</v>
      </c>
      <c r="D54" s="27">
        <f t="shared" si="55"/>
        <v>-2.1944506666666665</v>
      </c>
      <c r="E54" s="46">
        <f t="shared" si="89"/>
        <v>1191409.6271620861</v>
      </c>
      <c r="F54" s="12"/>
      <c r="G54" s="5"/>
      <c r="I54" s="39"/>
      <c r="J54" s="21">
        <f t="shared" si="90"/>
        <v>45716</v>
      </c>
      <c r="K54" s="24">
        <f t="shared" si="91"/>
        <v>38</v>
      </c>
      <c r="L54" s="96" t="s">
        <v>383</v>
      </c>
      <c r="M54" s="27">
        <v>-2.2652839999999999</v>
      </c>
      <c r="N54" s="46">
        <f t="shared" si="92"/>
        <v>1442363.6129506954</v>
      </c>
      <c r="O54" s="12"/>
      <c r="P54" s="5"/>
      <c r="R54" s="39"/>
      <c r="S54" s="20">
        <f t="shared" si="3"/>
        <v>45716</v>
      </c>
      <c r="T54" s="27">
        <f>'LC (Gross)'!K318</f>
        <v>-1.3049580000000001</v>
      </c>
      <c r="U54" s="46">
        <f t="shared" si="93"/>
        <v>1310579.8476056948</v>
      </c>
      <c r="V54" s="12"/>
      <c r="W54" s="5"/>
    </row>
    <row r="55" spans="1:23" x14ac:dyDescent="0.25">
      <c r="A55" s="21">
        <v>45747</v>
      </c>
      <c r="B55" s="24">
        <f t="shared" si="88"/>
        <v>39</v>
      </c>
      <c r="C55" s="96" t="s">
        <v>383</v>
      </c>
      <c r="D55" s="27">
        <f t="shared" si="55"/>
        <v>-5.9165606666666664</v>
      </c>
      <c r="E55" s="46">
        <f t="shared" si="89"/>
        <v>1120919.1537825342</v>
      </c>
      <c r="F55" s="12"/>
      <c r="G55" s="5">
        <f>(E55/E52-1)*100</f>
        <v>-4.6817572460659207</v>
      </c>
      <c r="I55" s="39"/>
      <c r="J55" s="21">
        <f t="shared" si="90"/>
        <v>45747</v>
      </c>
      <c r="K55" s="24">
        <f t="shared" si="91"/>
        <v>39</v>
      </c>
      <c r="L55" s="96" t="s">
        <v>383</v>
      </c>
      <c r="M55" s="27">
        <v>-5.9873940000000001</v>
      </c>
      <c r="N55" s="46">
        <f t="shared" si="92"/>
        <v>1356003.6205307022</v>
      </c>
      <c r="O55" s="12"/>
      <c r="P55" s="5">
        <f>(N55/N52-1)*100</f>
        <v>-4.8875839825157978</v>
      </c>
      <c r="R55" s="39"/>
      <c r="S55" s="20">
        <f t="shared" si="3"/>
        <v>45747</v>
      </c>
      <c r="T55" s="27">
        <f>'LC (Gross)'!K319</f>
        <v>-5.6343949999999996</v>
      </c>
      <c r="U55" s="46">
        <f t="shared" si="93"/>
        <v>1236736.6022011919</v>
      </c>
      <c r="V55" s="12"/>
      <c r="W55" s="5">
        <f>(U55/U52-1)*100</f>
        <v>-4.2773689174536162</v>
      </c>
    </row>
    <row r="56" spans="1:23" x14ac:dyDescent="0.25">
      <c r="A56" s="21">
        <v>45777</v>
      </c>
      <c r="B56" s="24">
        <f t="shared" ref="B56:B58" si="94">IF(A56&gt;A55,1+B55,"-")</f>
        <v>40</v>
      </c>
      <c r="C56" s="96" t="s">
        <v>383</v>
      </c>
      <c r="D56" s="27">
        <f t="shared" ref="D56:D58" si="95">M56+(0.85/12)</f>
        <v>-1.1877396666666666</v>
      </c>
      <c r="E56" s="46">
        <f t="shared" ref="E56:E58" si="96">E55*D56/100+E55</f>
        <v>1107605.5523617947</v>
      </c>
      <c r="F56" s="12"/>
      <c r="G56" s="5"/>
      <c r="I56" s="39"/>
      <c r="J56" s="21">
        <f t="shared" ref="J56:J58" si="97">A56</f>
        <v>45777</v>
      </c>
      <c r="K56" s="24">
        <f t="shared" ref="K56:K58" si="98">IF(J56&gt;J55,1+K55,"-")</f>
        <v>40</v>
      </c>
      <c r="L56" s="96" t="s">
        <v>383</v>
      </c>
      <c r="M56" s="27">
        <v>-1.2585729999999999</v>
      </c>
      <c r="N56" s="46">
        <f t="shared" ref="N56:N58" si="99">N55*M56/100+N55</f>
        <v>1338937.3250836802</v>
      </c>
      <c r="O56" s="12"/>
      <c r="P56" s="5"/>
      <c r="R56" s="39"/>
      <c r="S56" s="20">
        <f t="shared" si="3"/>
        <v>45777</v>
      </c>
      <c r="T56" s="27">
        <f>'LC (Gross)'!K320</f>
        <v>-0.67813060000000003</v>
      </c>
      <c r="U56" s="46">
        <f t="shared" ref="U56:U58" si="100">U55*T56/100+U55</f>
        <v>1228349.9128602655</v>
      </c>
      <c r="V56" s="12"/>
      <c r="W56" s="5"/>
    </row>
    <row r="57" spans="1:23" x14ac:dyDescent="0.25">
      <c r="A57" s="21">
        <v>45808</v>
      </c>
      <c r="B57" s="24">
        <f t="shared" si="94"/>
        <v>41</v>
      </c>
      <c r="C57" s="96" t="s">
        <v>383</v>
      </c>
      <c r="D57" s="27">
        <f t="shared" si="95"/>
        <v>6.0702473333333336</v>
      </c>
      <c r="E57" s="46">
        <f t="shared" si="96"/>
        <v>1174839.9488678887</v>
      </c>
      <c r="F57" s="12"/>
      <c r="G57" s="5"/>
      <c r="I57" s="39"/>
      <c r="J57" s="21">
        <f t="shared" si="97"/>
        <v>45808</v>
      </c>
      <c r="K57" s="24">
        <f t="shared" si="98"/>
        <v>41</v>
      </c>
      <c r="L57" s="96" t="s">
        <v>383</v>
      </c>
      <c r="M57" s="27">
        <v>5.9994139999999998</v>
      </c>
      <c r="N57" s="46">
        <f t="shared" si="99"/>
        <v>1419265.718415976</v>
      </c>
      <c r="O57" s="12"/>
      <c r="P57" s="5"/>
      <c r="R57" s="39"/>
      <c r="S57" s="20">
        <f t="shared" si="3"/>
        <v>45808</v>
      </c>
      <c r="T57" s="27">
        <f>'LC (Gross)'!K321</f>
        <v>6.294619</v>
      </c>
      <c r="U57" s="46">
        <f t="shared" si="100"/>
        <v>1305669.8598616512</v>
      </c>
      <c r="V57" s="12"/>
      <c r="W57" s="5"/>
    </row>
    <row r="58" spans="1:23" x14ac:dyDescent="0.25">
      <c r="A58" s="21">
        <v>45838</v>
      </c>
      <c r="B58" s="24">
        <f t="shared" si="94"/>
        <v>42</v>
      </c>
      <c r="C58" s="96" t="s">
        <v>383</v>
      </c>
      <c r="D58" s="27">
        <f t="shared" si="95"/>
        <v>4.7336433333333341</v>
      </c>
      <c r="E58" s="46">
        <f t="shared" si="96"/>
        <v>1230452.6817848103</v>
      </c>
      <c r="F58" s="12">
        <f>((E58-E$52)/E$52)*100</f>
        <v>4.6325125445645998</v>
      </c>
      <c r="G58" s="5">
        <f>(E58/E55-1)*100</f>
        <v>9.7717598662361951</v>
      </c>
      <c r="I58" s="39"/>
      <c r="J58" s="21">
        <f t="shared" si="97"/>
        <v>45838</v>
      </c>
      <c r="K58" s="24">
        <f t="shared" si="98"/>
        <v>42</v>
      </c>
      <c r="L58" s="96" t="s">
        <v>383</v>
      </c>
      <c r="M58" s="27">
        <v>4.6628100000000003</v>
      </c>
      <c r="N58" s="46">
        <f t="shared" si="99"/>
        <v>1485443.3822608481</v>
      </c>
      <c r="O58" s="12">
        <f>((N58-N$52)/N$52)*100</f>
        <v>4.1915425629305547</v>
      </c>
      <c r="P58" s="5">
        <f>(N58/N55-1)*100</f>
        <v>9.5456796553011323</v>
      </c>
      <c r="R58" s="39"/>
      <c r="S58" s="20">
        <f t="shared" si="3"/>
        <v>45838</v>
      </c>
      <c r="T58" s="27">
        <f>'LC (Gross)'!K322</f>
        <v>5.0848300000000002</v>
      </c>
      <c r="U58" s="46">
        <f t="shared" si="100"/>
        <v>1372060.9525968544</v>
      </c>
      <c r="V58" s="12">
        <f>((U58-U$52)/U$52)*100</f>
        <v>6.1966502442287554</v>
      </c>
      <c r="W58" s="5">
        <f>(U58/U55-1)*100</f>
        <v>10.942051052326507</v>
      </c>
    </row>
    <row r="59" spans="1:23" x14ac:dyDescent="0.25">
      <c r="A59" s="21">
        <v>45869</v>
      </c>
      <c r="B59" s="24">
        <f t="shared" ref="B59:B61" si="101">IF(A59&gt;A58,1+B58,"-")</f>
        <v>43</v>
      </c>
      <c r="C59" s="96" t="s">
        <v>383</v>
      </c>
      <c r="D59" s="27">
        <f t="shared" ref="D59:D61" si="102">M59+(0.85/12)</f>
        <v>2.1752963333333333</v>
      </c>
      <c r="E59" s="46">
        <f t="shared" ref="E59:E61" si="103">E58*D59/100+E58</f>
        <v>1257218.673855077</v>
      </c>
      <c r="F59" s="12"/>
      <c r="G59" s="5"/>
      <c r="I59" s="39"/>
      <c r="J59" s="21">
        <f t="shared" ref="J59:J61" si="104">A59</f>
        <v>45869</v>
      </c>
      <c r="K59" s="24">
        <f t="shared" ref="K59:K61" si="105">IF(J59&gt;J58,1+K58,"-")</f>
        <v>43</v>
      </c>
      <c r="L59" s="96" t="s">
        <v>383</v>
      </c>
      <c r="M59" s="27">
        <v>2.104463</v>
      </c>
      <c r="N59" s="46">
        <f t="shared" ref="N59:N61" si="106">N58*M59/100+N58</f>
        <v>1516703.9886264761</v>
      </c>
      <c r="O59" s="12"/>
      <c r="P59" s="5"/>
      <c r="R59" s="39"/>
      <c r="S59" s="20">
        <f t="shared" si="3"/>
        <v>45869</v>
      </c>
      <c r="T59" s="27">
        <f>'LC (Gross)'!K323</f>
        <v>2.2442899999999999</v>
      </c>
      <c r="U59" s="46">
        <f t="shared" ref="U59:U61" si="107">U58*T59/100+U58</f>
        <v>1402853.9793498903</v>
      </c>
      <c r="V59" s="12"/>
      <c r="W59" s="5"/>
    </row>
    <row r="60" spans="1:23" x14ac:dyDescent="0.25">
      <c r="A60" s="21">
        <v>45900</v>
      </c>
      <c r="B60" s="24">
        <f t="shared" si="101"/>
        <v>44</v>
      </c>
      <c r="C60" s="96" t="s">
        <v>383</v>
      </c>
      <c r="D60" s="27">
        <f t="shared" si="102"/>
        <v>2.4523053333333333</v>
      </c>
      <c r="E60" s="46">
        <f t="shared" si="103"/>
        <v>1288049.5144456876</v>
      </c>
      <c r="F60" s="12"/>
      <c r="G60" s="5"/>
      <c r="I60" s="39"/>
      <c r="J60" s="21">
        <f t="shared" si="104"/>
        <v>45900</v>
      </c>
      <c r="K60" s="24">
        <f t="shared" si="105"/>
        <v>44</v>
      </c>
      <c r="L60" s="96" t="s">
        <v>383</v>
      </c>
      <c r="M60" s="27">
        <v>2.381472</v>
      </c>
      <c r="N60" s="46">
        <f t="shared" si="106"/>
        <v>1552823.8694384987</v>
      </c>
      <c r="O60" s="12"/>
      <c r="P60" s="5"/>
      <c r="R60" s="39"/>
      <c r="S60" s="20">
        <f t="shared" si="3"/>
        <v>45900</v>
      </c>
      <c r="T60" s="27">
        <f>'LC (Gross)'!K324</f>
        <v>2.0271819999999998</v>
      </c>
      <c r="U60" s="46">
        <f t="shared" si="107"/>
        <v>1431292.3827055548</v>
      </c>
      <c r="V60" s="12"/>
      <c r="W60" s="5"/>
    </row>
    <row r="61" spans="1:23" x14ac:dyDescent="0.25">
      <c r="A61" s="21">
        <v>45930</v>
      </c>
      <c r="B61" s="24">
        <f t="shared" si="101"/>
        <v>45</v>
      </c>
      <c r="C61" s="96" t="s">
        <v>383</v>
      </c>
      <c r="D61" s="27">
        <f t="shared" si="102"/>
        <v>3.1709603333333334</v>
      </c>
      <c r="E61" s="46">
        <f t="shared" si="103"/>
        <v>1328893.053622453</v>
      </c>
      <c r="F61" s="12">
        <f>((E61-E$52)/E$52)*100</f>
        <v>13.003467066971094</v>
      </c>
      <c r="G61" s="5">
        <f>(E61/E58-1)*100</f>
        <v>8.0003378671053014</v>
      </c>
      <c r="I61" s="39"/>
      <c r="J61" s="21">
        <f t="shared" si="104"/>
        <v>45930</v>
      </c>
      <c r="K61" s="24">
        <f t="shared" si="105"/>
        <v>45</v>
      </c>
      <c r="L61" s="96" t="s">
        <v>383</v>
      </c>
      <c r="M61" s="27">
        <v>3.1001270000000001</v>
      </c>
      <c r="N61" s="46">
        <f t="shared" si="106"/>
        <v>1600963.3814774065</v>
      </c>
      <c r="O61" s="12">
        <f>((N61-N$52)/N$52)*100</f>
        <v>12.294313128929925</v>
      </c>
      <c r="P61" s="5">
        <f>(N61/N58-1)*100</f>
        <v>7.7768025759916037</v>
      </c>
      <c r="R61" s="39"/>
      <c r="S61" s="20">
        <f t="shared" si="3"/>
        <v>45930</v>
      </c>
      <c r="T61" s="27">
        <f>'LC (Gross)'!K325</f>
        <v>3.6404380000000001</v>
      </c>
      <c r="U61" s="46">
        <f t="shared" si="107"/>
        <v>1483397.6944966733</v>
      </c>
      <c r="V61" s="12">
        <f>((U61-U$52)/U$52)*100</f>
        <v>14.814043674519823</v>
      </c>
      <c r="W61" s="5">
        <f>(U61/U58-1)*100</f>
        <v>8.1145623807087794</v>
      </c>
    </row>
    <row r="62" spans="1:23" x14ac:dyDescent="0.25">
      <c r="A62" s="21">
        <v>45961</v>
      </c>
      <c r="B62" s="24">
        <f t="shared" ref="B62:B64" si="108">IF(A62&gt;A61,1+B61,"-")</f>
        <v>46</v>
      </c>
      <c r="C62" s="96" t="s">
        <v>383</v>
      </c>
      <c r="D62" s="27">
        <f t="shared" ref="D62:D64" si="109">M62+(0.85/12)</f>
        <v>2.1715313333333333</v>
      </c>
      <c r="E62" s="46">
        <f t="shared" ref="E62:E64" si="110">E61*D62/100+E61</f>
        <v>1357750.3826683548</v>
      </c>
      <c r="F62" s="12"/>
      <c r="G62" s="5"/>
      <c r="I62" s="39"/>
      <c r="J62" s="21">
        <f t="shared" ref="J62:J64" si="111">A62</f>
        <v>45961</v>
      </c>
      <c r="K62" s="24">
        <f t="shared" ref="K62:K64" si="112">IF(J62&gt;J61,1+K61,"-")</f>
        <v>46</v>
      </c>
      <c r="L62" s="96" t="s">
        <v>383</v>
      </c>
      <c r="M62" s="27">
        <v>2.100698</v>
      </c>
      <c r="N62" s="46">
        <f t="shared" ref="N62:N64" si="113">N61*M62/100+N61</f>
        <v>1634594.7872128347</v>
      </c>
      <c r="O62" s="12"/>
      <c r="P62" s="5"/>
      <c r="R62" s="39"/>
      <c r="S62" s="20">
        <f t="shared" si="3"/>
        <v>45961</v>
      </c>
      <c r="T62" s="27">
        <f>'LC (Gross)'!K326</f>
        <v>2.341364</v>
      </c>
      <c r="U62" s="46">
        <f t="shared" ref="U62:U64" si="114">U61*T62/100+U61</f>
        <v>1518129.4340924483</v>
      </c>
      <c r="V62" s="12"/>
      <c r="W62" s="5"/>
    </row>
    <row r="63" spans="1:23" x14ac:dyDescent="0.25">
      <c r="A63" s="21">
        <v>45991</v>
      </c>
      <c r="B63" s="24">
        <f t="shared" si="108"/>
        <v>47</v>
      </c>
      <c r="C63" s="96" t="s">
        <v>383</v>
      </c>
      <c r="D63" s="27">
        <f t="shared" si="109"/>
        <v>0.81495913333333325</v>
      </c>
      <c r="E63" s="46">
        <f t="shared" si="110"/>
        <v>1368815.4934197788</v>
      </c>
      <c r="F63" s="12"/>
      <c r="G63" s="5"/>
      <c r="I63" s="39"/>
      <c r="J63" s="21">
        <f t="shared" si="111"/>
        <v>45991</v>
      </c>
      <c r="K63" s="24">
        <f t="shared" si="112"/>
        <v>47</v>
      </c>
      <c r="L63" s="96" t="s">
        <v>383</v>
      </c>
      <c r="M63" s="27">
        <v>0.74412579999999995</v>
      </c>
      <c r="N63" s="46">
        <f t="shared" si="113"/>
        <v>1646758.2287499404</v>
      </c>
      <c r="O63" s="12"/>
      <c r="P63" s="5"/>
      <c r="R63" s="39"/>
      <c r="S63" s="20">
        <f t="shared" si="3"/>
        <v>45991</v>
      </c>
      <c r="T63" s="27">
        <f>'LC (Gross)'!K327</f>
        <v>0.24512030000000001</v>
      </c>
      <c r="U63" s="46">
        <f t="shared" si="114"/>
        <v>1521850.6775156839</v>
      </c>
      <c r="V63" s="12"/>
      <c r="W63" s="5"/>
    </row>
    <row r="64" spans="1:23" x14ac:dyDescent="0.25">
      <c r="A64" s="21">
        <v>46022</v>
      </c>
      <c r="B64" s="24">
        <f t="shared" si="108"/>
        <v>48</v>
      </c>
      <c r="C64" s="96" t="s">
        <v>383</v>
      </c>
      <c r="D64" s="27">
        <f t="shared" si="109"/>
        <v>1.7604153333333332</v>
      </c>
      <c r="E64" s="46">
        <f t="shared" si="110"/>
        <v>1392912.3312509828</v>
      </c>
      <c r="F64" s="12">
        <f>((E64-E$52)/E$52)*100</f>
        <v>18.447396743197839</v>
      </c>
      <c r="G64" s="5">
        <f>(E64/E61-1)*100</f>
        <v>4.8174890713754914</v>
      </c>
      <c r="I64" s="39"/>
      <c r="J64" s="21">
        <f t="shared" si="111"/>
        <v>46022</v>
      </c>
      <c r="K64" s="24">
        <f t="shared" si="112"/>
        <v>48</v>
      </c>
      <c r="L64" s="96" t="s">
        <v>383</v>
      </c>
      <c r="M64" s="27">
        <v>1.6895819999999999</v>
      </c>
      <c r="N64" s="46">
        <f t="shared" si="113"/>
        <v>1674581.5593664183</v>
      </c>
      <c r="O64" s="12">
        <f>((N64-N$52)/N$52)*100</f>
        <v>17.45801819270288</v>
      </c>
      <c r="P64" s="5">
        <f>(N64/N61-1)*100</f>
        <v>4.5983673793385194</v>
      </c>
      <c r="R64" s="39"/>
      <c r="S64" s="20">
        <f t="shared" si="3"/>
        <v>46022</v>
      </c>
      <c r="T64" s="27">
        <f>'LC (Gross)'!K328</f>
        <v>5.9176079999999999E-2</v>
      </c>
      <c r="U64" s="46">
        <f t="shared" si="114"/>
        <v>1522751.2490900911</v>
      </c>
      <c r="V64" s="12">
        <f>((U64-U$52)/U$52)*100</f>
        <v>17.859983918730173</v>
      </c>
      <c r="W64" s="5">
        <f>(U64/U61-1)*100</f>
        <v>2.652933514688427</v>
      </c>
    </row>
    <row r="66" spans="12:13" x14ac:dyDescent="0.25">
      <c r="L66" t="s">
        <v>404</v>
      </c>
      <c r="M66" s="29">
        <f>_xll.BDP(L$66&amp;" US EQUITY","cust trr return holding per","cust trr start dt",TEXT($A55,"YYYYMMDD"),"cust trr end dt",TEXT($A56,"YYYYMMDD"))</f>
        <v>-1.2585729999999999</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5567-277B-6E48-A62B-A78DA7669359}">
  <dimension ref="A1:T68"/>
  <sheetViews>
    <sheetView workbookViewId="0">
      <pane ySplit="15" topLeftCell="A50" activePane="bottomLeft" state="frozen"/>
      <selection pane="bottomLeft" activeCell="B5" sqref="B5"/>
    </sheetView>
  </sheetViews>
  <sheetFormatPr defaultColWidth="11" defaultRowHeight="15.75" x14ac:dyDescent="0.25"/>
  <cols>
    <col min="2" max="2" width="3.125" bestFit="1" customWidth="1"/>
    <col min="4" max="4" width="11.625" bestFit="1" customWidth="1"/>
    <col min="5" max="5" width="13.625" bestFit="1" customWidth="1"/>
    <col min="6" max="6" width="7.375" bestFit="1" customWidth="1"/>
    <col min="7" max="7" width="9" bestFit="1" customWidth="1"/>
    <col min="8" max="8" width="6.5" bestFit="1" customWidth="1"/>
    <col min="9" max="9" width="2" customWidth="1"/>
    <col min="11" max="11" width="6.625" bestFit="1" customWidth="1"/>
    <col min="12" max="12" width="11.5" bestFit="1" customWidth="1"/>
    <col min="13" max="13" width="6.625" bestFit="1" customWidth="1"/>
    <col min="14" max="14" width="9" bestFit="1" customWidth="1"/>
    <col min="15" max="15" width="2" customWidth="1"/>
    <col min="18" max="18" width="11.5" bestFit="1" customWidth="1"/>
  </cols>
  <sheetData>
    <row r="1" spans="1:20" x14ac:dyDescent="0.25">
      <c r="B1" s="23"/>
      <c r="C1" s="74" t="s">
        <v>381</v>
      </c>
      <c r="D1" s="13"/>
      <c r="E1" s="14"/>
      <c r="F1" s="15"/>
      <c r="I1" s="39"/>
      <c r="J1" s="7" t="s">
        <v>110</v>
      </c>
      <c r="K1" s="13"/>
      <c r="L1" s="13"/>
      <c r="M1" s="14"/>
      <c r="N1" s="15"/>
      <c r="O1" s="39"/>
      <c r="P1" s="7" t="s">
        <v>386</v>
      </c>
      <c r="Q1" s="13"/>
      <c r="R1" s="13"/>
      <c r="S1" s="14"/>
      <c r="T1" s="15"/>
    </row>
    <row r="2" spans="1:20" x14ac:dyDescent="0.25">
      <c r="A2" s="7"/>
      <c r="B2" s="23"/>
      <c r="C2" s="36"/>
      <c r="D2" s="16"/>
      <c r="E2" s="16"/>
      <c r="F2" s="16"/>
      <c r="G2" s="16"/>
      <c r="H2" s="16"/>
      <c r="I2" s="39"/>
      <c r="K2" s="16"/>
      <c r="L2" s="36"/>
      <c r="M2" s="16"/>
      <c r="N2" s="16"/>
      <c r="O2" s="39"/>
      <c r="Q2" s="16"/>
      <c r="R2" s="36"/>
      <c r="S2" s="16"/>
      <c r="T2" s="16"/>
    </row>
    <row r="3" spans="1:20" x14ac:dyDescent="0.25">
      <c r="B3" s="23"/>
      <c r="C3" s="7"/>
      <c r="D3" s="191"/>
      <c r="E3" s="16"/>
      <c r="F3" s="16"/>
      <c r="G3" s="16"/>
      <c r="H3" s="16"/>
      <c r="I3" s="39"/>
      <c r="K3" s="16"/>
      <c r="L3" s="16"/>
      <c r="M3" s="16"/>
      <c r="N3" s="16"/>
      <c r="O3" s="39"/>
      <c r="Q3" s="16"/>
      <c r="R3" s="16"/>
      <c r="S3" s="16"/>
      <c r="T3" s="16"/>
    </row>
    <row r="4" spans="1:20" x14ac:dyDescent="0.25">
      <c r="A4" s="7"/>
      <c r="B4" s="23"/>
      <c r="C4" s="23"/>
      <c r="D4" s="16" t="s">
        <v>41</v>
      </c>
      <c r="E4" s="23" t="s">
        <v>42</v>
      </c>
      <c r="F4" s="17" t="s">
        <v>43</v>
      </c>
      <c r="G4" s="35" t="s">
        <v>44</v>
      </c>
      <c r="H4" s="17" t="s">
        <v>45</v>
      </c>
      <c r="I4" s="39"/>
      <c r="K4" s="23" t="s">
        <v>41</v>
      </c>
      <c r="L4" s="17" t="s">
        <v>43</v>
      </c>
      <c r="M4" s="17" t="s">
        <v>45</v>
      </c>
      <c r="N4" s="35"/>
      <c r="O4" s="39"/>
      <c r="Q4" s="23" t="s">
        <v>41</v>
      </c>
      <c r="R4" s="17" t="s">
        <v>43</v>
      </c>
      <c r="S4" s="17" t="s">
        <v>45</v>
      </c>
      <c r="T4" s="35"/>
    </row>
    <row r="5" spans="1:20" x14ac:dyDescent="0.25">
      <c r="B5" s="23">
        <f ca="1">MAX(B16:B548)-VLOOKUP(DATE(YEAR(TODAY())-1,12,31),A:B,2,0)</f>
        <v>0</v>
      </c>
      <c r="C5" s="7" t="s">
        <v>7</v>
      </c>
      <c r="D5" s="16" t="str">
        <f t="array" aca="1" ref="D5" ca="1">IFERROR((GEOMEAN(1+OFFSET(D$16,MAX($B$16:$B$509)-$B$5+1,0,$B$5,1)/100)^$B$5-1)*100,"N/A")</f>
        <v>N/A</v>
      </c>
      <c r="E5" s="36" t="str">
        <f t="shared" ref="E5:E12" ca="1" si="0">IFERROR(D5-$K5,"N/A")</f>
        <v>N/A</v>
      </c>
      <c r="F5" s="16" t="str">
        <f ca="1">IFERROR(SLOPE(OFFSET(D$16,MAX($B$16:$B$509)-$B$5+1,0,$B$5,1),OFFSET($K$16,MAX($B$16:$B$509)-$B$5+1,0,$B$5,1)),"N/A")</f>
        <v>N/A</v>
      </c>
      <c r="G5" s="16" t="str">
        <f t="array" aca="1" ref="G5" ca="1">IFERROR(INTERCEPT(OFFSET(D$16,MAX($B$16:$B$509)-$B$5+1,0,$B$5,1),OFFSET($K$16,MAX($B$16:$B$509)-$B$5+1,0,$B$5,1))*12,"N/A")</f>
        <v>N/A</v>
      </c>
      <c r="H5" s="16" t="str">
        <f ca="1">IFERROR(STDEVP(OFFSET(D$16,MAX($B$16:$B$509)-$B$5+1,0,$B$5,1))*SQRT(12),"N/A")</f>
        <v>N/A</v>
      </c>
      <c r="I5" s="39"/>
      <c r="J5" s="7" t="s">
        <v>7</v>
      </c>
      <c r="K5" s="16" t="str">
        <f t="array" aca="1" ref="K5" ca="1">IFERROR((GEOMEAN(1+OFFSET(K$16,MAX($B$16:$B$509)-$B$5+1,0,$B$5,1)/100)^$B$5-1)*100,"N/A")</f>
        <v>N/A</v>
      </c>
      <c r="L5" s="16" t="str">
        <f ca="1">IFERROR(SLOPE(OFFSET(K$16,MAX($B$16:$B$509)-$B$5+1,0,$B$5,1),OFFSET($K$16,MAX($B$16:$B$509)-$B$5+1,0,$B$5,1)),"N/A")</f>
        <v>N/A</v>
      </c>
      <c r="M5" s="16" t="str">
        <f ca="1">IFERROR(STDEVP(OFFSET(K$16,MAX($B$16:$B$509)-$B$5+1,0,$B$5,1))*SQRT(12),"N/A")</f>
        <v>N/A</v>
      </c>
      <c r="N5" s="16"/>
      <c r="O5" s="39"/>
      <c r="P5" s="7" t="s">
        <v>7</v>
      </c>
      <c r="Q5" s="16" t="str">
        <f t="array" aca="1" ref="Q5" ca="1">IFERROR((GEOMEAN(1+OFFSET(Q$16,MAX($B$16:$B$509)-$B$5+1,0,$B$5,1)/100)^$B$5-1)*100,"N/A")</f>
        <v>N/A</v>
      </c>
      <c r="R5" s="16" t="str">
        <f ca="1">IFERROR(SLOPE(OFFSET(Q$16,MAX($B$16:$B$509)-$B$5+1,0,$B$5,1),OFFSET($K$16,MAX($B$16:$B$509)-$B$5+1,0,$B$5,1)),"N/A")</f>
        <v>N/A</v>
      </c>
      <c r="S5" s="16" t="str">
        <f ca="1">IFERROR(STDEVP(OFFSET(Q$16,MAX($B$16:$B$509)-$B$5+1,0,$B$5,1))*SQRT(12),"N/A")</f>
        <v>N/A</v>
      </c>
      <c r="T5" s="16"/>
    </row>
    <row r="6" spans="1:20" x14ac:dyDescent="0.25">
      <c r="B6" s="23"/>
      <c r="C6" s="7" t="s">
        <v>46</v>
      </c>
      <c r="D6" s="16">
        <f t="array" aca="1" ref="D6" ca="1">IFERROR((GEOMEAN(1+OFFSET(D$16,MAX($B$16:$B$509)-11,0,12,1)/100)^12-1)*100,"N/A")</f>
        <v>0</v>
      </c>
      <c r="E6" s="36">
        <f t="shared" ca="1" si="0"/>
        <v>-22.892596725979629</v>
      </c>
      <c r="F6" s="16" t="str">
        <f ca="1">IFERROR(SLOPE(OFFSET(D$16,MAX($B$16:$B$509)-11,0,12,1),OFFSET($K$16,MAX($B$16:$B$509)-11,0,12,1)),"N/A")</f>
        <v>N/A</v>
      </c>
      <c r="G6" s="16" t="str">
        <f ca="1">IFERROR(INTERCEPT(OFFSET(D$16,MAX($B$16:$B$509)-11,0,12,1),OFFSET($K$16,MAX($B$16:$B$509)-11,0,12,1))*12,"N/A")</f>
        <v>N/A</v>
      </c>
      <c r="H6" s="16" t="str">
        <f ca="1">IFERROR(STDEVP(OFFSET(D$16,MAX($B$16:$B$509)-11,0,12,1))*SQRT(12),"N/A")</f>
        <v>N/A</v>
      </c>
      <c r="I6" s="39"/>
      <c r="J6" s="7" t="s">
        <v>46</v>
      </c>
      <c r="K6" s="16">
        <f t="array" aca="1" ref="K6" ca="1">IFERROR((GEOMEAN(1+OFFSET(K$16,MAX($B$16:$B$509)-11,0,12,1)/100)^12-1)*100,"N/A")</f>
        <v>22.892596725979629</v>
      </c>
      <c r="L6" s="16">
        <f ca="1">IFERROR(SLOPE(OFFSET(K$16,MAX($B$16:$B$509)-11,0,12,1),OFFSET($K$16,MAX($B$16:$B$509)-11,0,12,1)),"N/A")</f>
        <v>1</v>
      </c>
      <c r="M6" s="16">
        <f ca="1">IFERROR(STDEVP(OFFSET(K$16,MAX($B$16:$B$509)-11,0,12,1))*SQRT(12),"N/A")</f>
        <v>8.5348447090690573</v>
      </c>
      <c r="N6" s="16"/>
      <c r="O6" s="39"/>
      <c r="P6" s="7" t="s">
        <v>46</v>
      </c>
      <c r="Q6" s="16">
        <f t="array" aca="1" ref="Q6" ca="1">IFERROR((GEOMEAN(1+OFFSET(Q$16,MAX($B$16:$B$509)-11,0,12,1)/100)^12-1)*100,"N/A")</f>
        <v>20.03991685893094</v>
      </c>
      <c r="R6" s="16">
        <f ca="1">IFERROR(SLOPE(OFFSET(Q$16,MAX($B$16:$B$509)-11,0,12,1),OFFSET($K$16,MAX($B$16:$B$509)-11,0,12,1)),"N/A")</f>
        <v>0.18563855230454396</v>
      </c>
      <c r="S6" s="16">
        <f ca="1">IFERROR(STDEVP(OFFSET(Q$16,MAX($B$16:$B$509)-11,0,12,1))*SQRT(12),"N/A")</f>
        <v>4.7738213035235724</v>
      </c>
      <c r="T6" s="16"/>
    </row>
    <row r="7" spans="1:20" x14ac:dyDescent="0.25">
      <c r="B7" s="23"/>
      <c r="C7" s="7" t="s">
        <v>47</v>
      </c>
      <c r="D7" s="16">
        <f t="array" aca="1" ref="D7" ca="1">IFERROR((GEOMEAN(1+OFFSET(D$16,MAX($B$16:$B$509)-23,0,24,1)/100)^12-1)*100,"N/A")</f>
        <v>0</v>
      </c>
      <c r="E7" s="36">
        <f t="shared" ca="1" si="0"/>
        <v>-20.436770825111438</v>
      </c>
      <c r="F7" s="16" t="str">
        <f ca="1">IFERROR(SLOPE(OFFSET(D$16,MAX($B$16:$B$509)-23,0,24,1),OFFSET($K$16,MAX($B$16:$B$509)-23,0,24,1)),"N/A")</f>
        <v>N/A</v>
      </c>
      <c r="G7" s="16" t="str">
        <f ca="1">IFERROR(INTERCEPT(OFFSET(D$16,MAX($B$16:$B$509)-23,0,24,1),OFFSET($K$16,MAX($B$16:$B$509)-23,0,24,1))*12,"N/A")</f>
        <v>N/A</v>
      </c>
      <c r="H7" s="16" t="str">
        <f ca="1">IFERROR(STDEVP(OFFSET(D$16,MAX($B$16:$B$509)-23,0,24,1))*SQRT(12),"N/A")</f>
        <v>N/A</v>
      </c>
      <c r="I7" s="39"/>
      <c r="J7" s="7" t="s">
        <v>47</v>
      </c>
      <c r="K7" s="16">
        <f t="array" aca="1" ref="K7" ca="1">IFERROR((GEOMEAN(1+OFFSET(K$16,MAX($B$16:$B$509)-23,0,24,1)/100)^12-1)*100,"N/A")</f>
        <v>20.436770825111438</v>
      </c>
      <c r="L7" s="16">
        <f ca="1">IFERROR(SLOPE(OFFSET(K$16,MAX($B$16:$B$509)-23,0,24,1),OFFSET($K$16,MAX($B$16:$B$509)-23,0,24,1)),"N/A")</f>
        <v>1</v>
      </c>
      <c r="M7" s="16">
        <f ca="1">IFERROR(STDEVP(OFFSET(K$16,MAX($B$16:$B$509)-23,0,24,1))*SQRT(12),"N/A")</f>
        <v>8.6852357293007856</v>
      </c>
      <c r="N7" s="16"/>
      <c r="O7" s="39"/>
      <c r="P7" s="7" t="s">
        <v>47</v>
      </c>
      <c r="Q7" s="16">
        <f t="array" aca="1" ref="Q7" ca="1">IFERROR((GEOMEAN(1+OFFSET(Q$16,MAX($B$16:$B$509)-23,0,24,1)/100)^12-1)*100,"N/A")</f>
        <v>13.524514605406557</v>
      </c>
      <c r="R7" s="16">
        <f ca="1">IFERROR(SLOPE(OFFSET(Q$16,MAX($B$16:$B$509)-23,0,24,1),OFFSET($K$16,MAX($B$16:$B$509)-23,0,24,1)),"N/A")</f>
        <v>0.52367919530334228</v>
      </c>
      <c r="S7" s="16">
        <f ca="1">IFERROR(STDEVP(OFFSET(Q$16,MAX($B$16:$B$509)-23,0,24,1))*SQRT(12),"N/A")</f>
        <v>7.4862978401616651</v>
      </c>
      <c r="T7" s="16"/>
    </row>
    <row r="8" spans="1:20" x14ac:dyDescent="0.25">
      <c r="B8" s="23"/>
      <c r="C8" s="7" t="s">
        <v>48</v>
      </c>
      <c r="D8" s="16">
        <f t="array" aca="1" ref="D8" ca="1">IFERROR((GEOMEAN(1+OFFSET(D$16,MAX($B$16:$B$509)-35,0,36,1)/100)^12-1)*100,"N/A")</f>
        <v>8.6667511349991742</v>
      </c>
      <c r="E8" s="36">
        <f t="shared" ca="1" si="0"/>
        <v>-12.5438791752706</v>
      </c>
      <c r="F8" s="16">
        <f ca="1">IFERROR(SLOPE(OFFSET(D$16,MAX($B$16:$B$509)-35,0,36,1),OFFSET($K$16,MAX($B$16:$B$509)-35,0,36,1)),"N/A")</f>
        <v>0.8055571635097345</v>
      </c>
      <c r="G8" s="16">
        <f ca="1">IFERROR(INTERCEPT(OFFSET(D$16,MAX($B$16:$B$509)-35,0,36,1),OFFSET($K$16,MAX($B$16:$B$509)-35,0,36,1))*12,"N/A")</f>
        <v>8.4243947663200238</v>
      </c>
      <c r="H8" s="16">
        <f ca="1">IFERROR(STDEVP(OFFSET(D$16,MAX($B$16:$B$509)-35,0,36,1))*SQRT(12),"N/A")</f>
        <v>12.701217996874558</v>
      </c>
      <c r="I8" s="39"/>
      <c r="J8" s="7" t="s">
        <v>48</v>
      </c>
      <c r="K8" s="16">
        <f t="array" aca="1" ref="K8" ca="1">IFERROR((GEOMEAN(1+OFFSET(K$16,MAX($B$16:$B$509)-35,0,36,1)/100)^12-1)*100,"N/A")</f>
        <v>21.210630310269774</v>
      </c>
      <c r="L8" s="16">
        <f ca="1">IFERROR(SLOPE(OFFSET(K$16,MAX($B$16:$B$509)-35,0,36,1),OFFSET($K$16,MAX($B$16:$B$509)-35,0,36,1)),"N/A")</f>
        <v>1</v>
      </c>
      <c r="M8" s="16">
        <f ca="1">IFERROR(STDEVP(OFFSET(K$16,MAX($B$16:$B$509)-35,0,36,1))*SQRT(12),"N/A")</f>
        <v>11.184856848552503</v>
      </c>
      <c r="N8" s="16"/>
      <c r="O8" s="39"/>
      <c r="P8" s="7" t="s">
        <v>48</v>
      </c>
      <c r="Q8" s="16">
        <f t="array" aca="1" ref="Q8" ca="1">IFERROR((GEOMEAN(1+OFFSET(Q$16,MAX($B$16:$B$509)-35,0,36,1)/100)^12-1)*100,"N/A")</f>
        <v>12.106094898095087</v>
      </c>
      <c r="R8" s="16">
        <f ca="1">IFERROR(SLOPE(OFFSET(Q$16,MAX($B$16:$B$509)-35,0,36,1),OFFSET($K$16,MAX($B$16:$B$509)-35,0,36,1)),"N/A")</f>
        <v>0.68903731830334514</v>
      </c>
      <c r="S8" s="16">
        <f ca="1">IFERROR(STDEVP(OFFSET(Q$16,MAX($B$16:$B$509)-35,0,36,1))*SQRT(12),"N/A")</f>
        <v>9.6823039109672564</v>
      </c>
      <c r="T8" s="16"/>
    </row>
    <row r="9" spans="1:20" x14ac:dyDescent="0.25">
      <c r="B9" s="23"/>
      <c r="C9" s="7" t="s">
        <v>49</v>
      </c>
      <c r="D9" s="16">
        <f t="array" aca="1" ref="D9" ca="1">IFERROR((GEOMEAN(1+OFFSET(D$16,MAX($B$16:$B$509)-47,0,48,1)/100)^12-1)*100,"N/A")</f>
        <v>7.3240899202418275</v>
      </c>
      <c r="E9" s="36">
        <f t="shared" ca="1" si="0"/>
        <v>-2.6218112486283482</v>
      </c>
      <c r="F9" s="16">
        <f ca="1">IFERROR(SLOPE(OFFSET(D$16,MAX($B$16:$B$509)-47,0,48,1),OFFSET($K$16,MAX($B$16:$B$509)-47,0,48,1)),"N/A")</f>
        <v>0.84183484351501181</v>
      </c>
      <c r="G9" s="16">
        <f ca="1">IFERROR(INTERCEPT(OFFSET(D$16,MAX($B$16:$B$509)-47,0,48,1),OFFSET($K$16,MAX($B$16:$B$509)-47,0,48,1))*12,"N/A")</f>
        <v>13.840687355814554</v>
      </c>
      <c r="H9" s="16">
        <f ca="1">IFERROR(STDEVP(OFFSET(D$16,MAX($B$16:$B$509)-47,0,48,1))*SQRT(12),"N/A")</f>
        <v>16.796126088592594</v>
      </c>
      <c r="I9" s="39"/>
      <c r="J9" s="7" t="s">
        <v>49</v>
      </c>
      <c r="K9" s="16">
        <f t="array" aca="1" ref="K9" ca="1">IFERROR((GEOMEAN(1+OFFSET(K$16,MAX($B$16:$B$509)-47,0,48,1)/100)^12-1)*100,"N/A")</f>
        <v>9.9459011688701757</v>
      </c>
      <c r="L9" s="16">
        <f ca="1">IFERROR(SLOPE(OFFSET(K$16,MAX($B$16:$B$509)-47,0,48,1),OFFSET($K$16,MAX($B$16:$B$509)-47,0,48,1)),"N/A")</f>
        <v>1</v>
      </c>
      <c r="M9" s="16">
        <f ca="1">IFERROR(STDEVP(OFFSET(K$16,MAX($B$16:$B$509)-47,0,48,1))*SQRT(12),"N/A")</f>
        <v>14.775176496205656</v>
      </c>
      <c r="N9" s="16"/>
      <c r="O9" s="39"/>
      <c r="P9" s="7" t="s">
        <v>49</v>
      </c>
      <c r="Q9" s="16">
        <f t="array" aca="1" ref="Q9" ca="1">IFERROR((GEOMEAN(1+OFFSET(Q$16,MAX($B$16:$B$509)-47,0,48,1)/100)^12-1)*100,"N/A")</f>
        <v>6.84756165217415</v>
      </c>
      <c r="R9" s="16">
        <f ca="1">IFERROR(SLOPE(OFFSET(Q$16,MAX($B$16:$B$509)-47,0,48,1),OFFSET($K$16,MAX($B$16:$B$509)-47,0,48,1)),"N/A")</f>
        <v>0.6941808873089681</v>
      </c>
      <c r="S9" s="16">
        <f ca="1">IFERROR(STDEVP(OFFSET(Q$16,MAX($B$16:$B$509)-47,0,48,1))*SQRT(12),"N/A")</f>
        <v>11.882440698993607</v>
      </c>
      <c r="T9" s="16"/>
    </row>
    <row r="10" spans="1:20" x14ac:dyDescent="0.25">
      <c r="B10" s="23"/>
      <c r="C10" s="7" t="s">
        <v>50</v>
      </c>
      <c r="D10" s="16" t="str">
        <f t="array" aca="1" ref="D10" ca="1">IFERROR((GEOMEAN(1+OFFSET(D$16,MAX($B$16:$B$509)-59,0,60,1)/100)^12-1)*100,"N/A")</f>
        <v>N/A</v>
      </c>
      <c r="E10" s="36" t="str">
        <f t="shared" ca="1" si="0"/>
        <v>N/A</v>
      </c>
      <c r="F10" s="16">
        <f ca="1">IFERROR(SLOPE(OFFSET(D$16,MAX($B$16:$B$509)-59,0,60,1),OFFSET($K$16,MAX($B$16:$B$509)-59,0,60,1)),"N/A")</f>
        <v>0.37476343802310674</v>
      </c>
      <c r="G10" s="16">
        <f ca="1">IFERROR(INTERCEPT(OFFSET(D$16,MAX($B$16:$B$509)-59,0,60,1),OFFSET($K$16,MAX($B$16:$B$509)-59,0,60,1))*12,"N/A")</f>
        <v>8.8265591772863559</v>
      </c>
      <c r="H10" s="16">
        <f ca="1">IFERROR(STDEVP(OFFSET(D$16,MAX($B$16:$B$509)-59,0,60,1))*SQRT(12),"N/A")</f>
        <v>16.831590994999406</v>
      </c>
      <c r="I10" s="39"/>
      <c r="J10" s="7" t="s">
        <v>50</v>
      </c>
      <c r="K10" s="16" t="str">
        <f t="array" aca="1" ref="K10" ca="1">IFERROR((GEOMEAN(1+OFFSET(K$16,MAX($B$16:$B$509)-59,0,60,1)/100)^12-1)*100,"N/A")</f>
        <v>N/A</v>
      </c>
      <c r="L10" s="16">
        <f ca="1">IFERROR(SLOPE(OFFSET(K$16,MAX($B$16:$B$509)-59,0,60,1),OFFSET($K$16,MAX($B$16:$B$509)-59,0,60,1)),"N/A")</f>
        <v>1</v>
      </c>
      <c r="M10" s="16">
        <f ca="1">IFERROR(STDEVP(OFFSET(K$16,MAX($B$16:$B$509)-59,0,60,1))*SQRT(12),"N/A")</f>
        <v>22.300366749953852</v>
      </c>
      <c r="N10" s="16"/>
      <c r="O10" s="39"/>
      <c r="P10" s="7" t="s">
        <v>50</v>
      </c>
      <c r="Q10" s="16" t="str">
        <f t="array" aca="1" ref="Q10" ca="1">IFERROR((GEOMEAN(1+OFFSET(Q$16,MAX($B$16:$B$509)-59,0,60,1)/100)^12-1)*100,"N/A")</f>
        <v>N/A</v>
      </c>
      <c r="R10" s="16">
        <f ca="1">IFERROR(SLOPE(OFFSET(Q$16,MAX($B$16:$B$509)-59,0,60,1),OFFSET($K$16,MAX($B$16:$B$509)-59,0,60,1)),"N/A")</f>
        <v>0.70469519707125294</v>
      </c>
      <c r="S10" s="16">
        <f ca="1">IFERROR(STDEVP(OFFSET(Q$16,MAX($B$16:$B$509)-59,0,60,1))*SQRT(12),"N/A")</f>
        <v>16.883421324225292</v>
      </c>
      <c r="T10" s="16"/>
    </row>
    <row r="11" spans="1:20" x14ac:dyDescent="0.25">
      <c r="B11" s="23"/>
      <c r="C11" s="7" t="s">
        <v>51</v>
      </c>
      <c r="D11" s="16" t="str">
        <f t="array" aca="1" ref="D11" ca="1">IFERROR((GEOMEAN(1+OFFSET(D$16,MAX($B$16:$B$509)-119,0,120,1)/100)^12-1)*100,"N/A")</f>
        <v>N/A</v>
      </c>
      <c r="E11" s="36" t="str">
        <f t="shared" ca="1" si="0"/>
        <v>N/A</v>
      </c>
      <c r="F11" s="16" t="str">
        <f ca="1">IFERROR(SLOPE(OFFSET(D$16,MAX($B$16:$B$509)-119,0,120,1),OFFSET($K$16,MAX($B$16:$B$509)-119,0,120,1)),"N/A")</f>
        <v>N/A</v>
      </c>
      <c r="G11" s="16" t="str">
        <f ca="1">IFERROR(INTERCEPT(OFFSET(D$16,MAX($B$16:$B$509)-119,0,120,1),OFFSET($K$16,MAX($B$16:$B$509)-119,0,120,1))*12,"N/A")</f>
        <v>N/A</v>
      </c>
      <c r="H11" s="16" t="str">
        <f ca="1">IFERROR(STDEVP(OFFSET(D$16,MAX($B$16:$B$509)-119,0,120,1))*SQRT(12),"N/A")</f>
        <v>N/A</v>
      </c>
      <c r="I11" s="39"/>
      <c r="J11" s="7" t="s">
        <v>51</v>
      </c>
      <c r="K11" s="16" t="str">
        <f t="array" aca="1" ref="K11" ca="1">IFERROR((GEOMEAN(1+OFFSET(K$16,MAX($B$16:$B$509)-119,0,120,1)/100)^12-1)*100,"N/A")</f>
        <v>N/A</v>
      </c>
      <c r="L11" s="16" t="str">
        <f ca="1">IFERROR(SLOPE(OFFSET(K$16,MAX($B$16:$B$509)-119,0,120,1),OFFSET($K$16,MAX($B$16:$B$509)-119,0,120,1)),"N/A")</f>
        <v>N/A</v>
      </c>
      <c r="M11" s="16" t="str">
        <f ca="1">IFERROR(STDEVP(OFFSET(K$16,MAX($B$16:$B$509)-119,0,120,1))*SQRT(12),"N/A")</f>
        <v>N/A</v>
      </c>
      <c r="N11" s="16"/>
      <c r="O11" s="39"/>
      <c r="P11" s="7" t="s">
        <v>51</v>
      </c>
      <c r="Q11" s="16" t="str">
        <f t="array" aca="1" ref="Q11" ca="1">IFERROR((GEOMEAN(1+OFFSET(Q$16,MAX($B$16:$B$509)-119,0,120,1)/100)^12-1)*100,"N/A")</f>
        <v>N/A</v>
      </c>
      <c r="R11" s="16" t="str">
        <f ca="1">IFERROR(SLOPE(OFFSET(Q$16,MAX($B$16:$B$509)-119,0,120,1),OFFSET($K$16,MAX($B$16:$B$509)-119,0,120,1)),"N/A")</f>
        <v>N/A</v>
      </c>
      <c r="S11" s="16" t="str">
        <f ca="1">IFERROR(STDEVP(OFFSET(Q$16,MAX($B$16:$B$509)-119,0,120,1))*SQRT(12),"N/A")</f>
        <v>N/A</v>
      </c>
      <c r="T11" s="16"/>
    </row>
    <row r="12" spans="1:20" x14ac:dyDescent="0.25">
      <c r="B12" s="23"/>
      <c r="C12" s="7" t="s">
        <v>52</v>
      </c>
      <c r="D12" s="33" cm="1">
        <f t="array" aca="1" ref="D12" ca="1">IFERROR((GEOMEAN(1+OFFSET(D$16,1,0,MAX($B$16:$B$509),1)/100)^12-1)*100,"N/A")</f>
        <v>7.3240899202418275</v>
      </c>
      <c r="E12" s="36">
        <f t="shared" ca="1" si="0"/>
        <v>-2.6218112486283482</v>
      </c>
      <c r="F12" s="16">
        <f ca="1">IFERROR(SLOPE(OFFSET(D$16,1,0,MAX($B$16:$B$509),1),OFFSET($K$16,1,0,MAX($B$16:$B$509),1)),"N/A")</f>
        <v>0.84183484351501181</v>
      </c>
      <c r="G12" s="16">
        <f ca="1">IFERROR(INTERCEPT(OFFSET(D$16,1,0,MAX($B$16:$B$509),1),OFFSET($K$16,1,0,MAX($B$16:$B$509),1))*12,"N/A")</f>
        <v>13.840687355814554</v>
      </c>
      <c r="H12" s="16">
        <f ca="1">IFERROR(STDEVP(OFFSET(D$16,1,0,MAX($B$16:$B$509),1))*SQRT(12),"N/A")</f>
        <v>16.796126088592594</v>
      </c>
      <c r="I12" s="39"/>
      <c r="J12" s="7" t="s">
        <v>53</v>
      </c>
      <c r="K12" s="16">
        <f t="array" aca="1" ref="K12" ca="1">IFERROR((GEOMEAN(1+OFFSET(K$16,1,0,MAX($B$16:$B$509),1)/100)^12-1)*100,"N/A")</f>
        <v>9.9459011688701757</v>
      </c>
      <c r="L12" s="16">
        <f ca="1">IFERROR(SLOPE(OFFSET(K$16,1,0,MAX($B$16:$B$509),1),OFFSET($K$16,1,0,MAX($B$16:$B$509),1)),"N/A")</f>
        <v>1</v>
      </c>
      <c r="M12" s="16">
        <f ca="1">IFERROR(STDEVP(OFFSET(K$16,1,0,MAX($B$16:$B$509),1))*SQRT(12),"N/A")</f>
        <v>14.775176496205656</v>
      </c>
      <c r="N12" s="16"/>
      <c r="O12" s="39"/>
      <c r="P12" s="7" t="s">
        <v>53</v>
      </c>
      <c r="Q12" s="16">
        <f t="array" aca="1" ref="Q12" ca="1">IFERROR((GEOMEAN(1+OFFSET(Q$16,1,0,MAX($B$16:$B$509),1)/100)^12-1)*100,"N/A")</f>
        <v>6.84756165217415</v>
      </c>
      <c r="R12" s="16">
        <f ca="1">IFERROR(SLOPE(OFFSET(Q$16,1,0,MAX($B$16:$B$509),1),OFFSET($K$16,1,0,MAX($B$16:$B$509),1)),"N/A")</f>
        <v>0.6941808873089681</v>
      </c>
      <c r="S12" s="16">
        <f ca="1">IFERROR(STDEVP(OFFSET(Q$16,1,0,MAX($B$16:$B$509),1))*SQRT(12),"N/A")</f>
        <v>11.882440698993607</v>
      </c>
      <c r="T12" s="16"/>
    </row>
    <row r="13" spans="1:20" x14ac:dyDescent="0.25">
      <c r="B13" s="23"/>
      <c r="C13" s="7"/>
      <c r="D13" s="33"/>
      <c r="E13" s="42"/>
      <c r="F13" s="33"/>
      <c r="G13" s="33"/>
      <c r="H13" s="33"/>
      <c r="I13" s="39"/>
      <c r="J13" s="7"/>
      <c r="K13" s="16"/>
      <c r="L13" s="16"/>
      <c r="M13" s="16"/>
      <c r="N13" s="16"/>
      <c r="O13" s="39"/>
      <c r="P13" s="7"/>
      <c r="Q13" s="16"/>
      <c r="R13" s="16"/>
      <c r="S13" s="16"/>
      <c r="T13" s="16"/>
    </row>
    <row r="14" spans="1:20" x14ac:dyDescent="0.25">
      <c r="A14" s="7"/>
      <c r="B14" s="23"/>
      <c r="C14" s="17"/>
      <c r="D14" s="16"/>
      <c r="E14" s="18"/>
      <c r="F14" s="16"/>
      <c r="I14" s="39"/>
      <c r="J14" s="7"/>
      <c r="K14" s="16"/>
      <c r="L14" s="16"/>
      <c r="M14" s="16"/>
      <c r="N14" s="10"/>
      <c r="O14" s="39"/>
      <c r="P14" s="7"/>
      <c r="Q14" s="16"/>
      <c r="R14" s="16"/>
      <c r="S14" s="16"/>
      <c r="T14" s="10"/>
    </row>
    <row r="15" spans="1:20" x14ac:dyDescent="0.25">
      <c r="A15" s="13" t="s">
        <v>69</v>
      </c>
      <c r="B15" s="23" t="s">
        <v>70</v>
      </c>
      <c r="C15" s="13" t="s">
        <v>71</v>
      </c>
      <c r="D15" s="33" t="s">
        <v>72</v>
      </c>
      <c r="E15" s="13" t="s">
        <v>73</v>
      </c>
      <c r="F15" s="13" t="s">
        <v>74</v>
      </c>
      <c r="G15" s="13" t="s">
        <v>75</v>
      </c>
      <c r="H15" s="33"/>
      <c r="I15" s="44"/>
      <c r="J15" s="13" t="s">
        <v>69</v>
      </c>
      <c r="K15" s="33" t="s">
        <v>41</v>
      </c>
      <c r="L15" s="13" t="s">
        <v>73</v>
      </c>
      <c r="M15" s="13" t="s">
        <v>74</v>
      </c>
      <c r="N15" s="13" t="s">
        <v>75</v>
      </c>
      <c r="O15" s="44"/>
      <c r="P15" s="13" t="s">
        <v>69</v>
      </c>
      <c r="Q15" s="33" t="s">
        <v>41</v>
      </c>
      <c r="R15" s="13" t="s">
        <v>73</v>
      </c>
      <c r="S15" s="13" t="s">
        <v>74</v>
      </c>
      <c r="T15" s="13" t="s">
        <v>75</v>
      </c>
    </row>
    <row r="16" spans="1:20" x14ac:dyDescent="0.25">
      <c r="A16" s="20">
        <v>44561</v>
      </c>
      <c r="B16" s="23">
        <v>0</v>
      </c>
      <c r="C16" s="17"/>
      <c r="D16" s="27"/>
      <c r="E16" s="46">
        <v>1000000</v>
      </c>
      <c r="F16" s="8"/>
      <c r="I16" s="39"/>
      <c r="J16" s="20">
        <f>$A16</f>
        <v>44561</v>
      </c>
      <c r="K16" s="16"/>
      <c r="L16" s="46">
        <v>1000000</v>
      </c>
      <c r="M16" s="8"/>
      <c r="O16" s="39"/>
      <c r="P16" s="20">
        <f>$A16</f>
        <v>44561</v>
      </c>
      <c r="Q16" s="27"/>
      <c r="R16" s="46">
        <v>1000000</v>
      </c>
      <c r="S16" s="8"/>
    </row>
    <row r="17" spans="1:20" x14ac:dyDescent="0.25">
      <c r="A17" s="21">
        <v>44592</v>
      </c>
      <c r="B17" s="24">
        <f>IF(A17&gt;A16,1+B16,"-")</f>
        <v>1</v>
      </c>
      <c r="C17" s="96" t="s">
        <v>382</v>
      </c>
      <c r="D17" s="27">
        <v>1.3244469999999999</v>
      </c>
      <c r="E17" s="46">
        <f>E16*D17/100+E16</f>
        <v>1013244.47</v>
      </c>
      <c r="F17" s="10"/>
      <c r="I17" s="39"/>
      <c r="J17" s="20">
        <f t="shared" ref="J17:J64" si="1">$A17</f>
        <v>44592</v>
      </c>
      <c r="K17" s="27">
        <f>'Global (Gross)'!K221</f>
        <v>-4.8918509999999999</v>
      </c>
      <c r="L17" s="46">
        <f>L16*K17/100+L16</f>
        <v>951081.49</v>
      </c>
      <c r="M17" s="10"/>
      <c r="O17" s="39"/>
      <c r="P17" s="20">
        <f t="shared" ref="P17:P64" si="2">$A17</f>
        <v>44592</v>
      </c>
      <c r="Q17" s="27">
        <v>-0.53143090000000004</v>
      </c>
      <c r="R17" s="46">
        <f>R16*Q17/100+R16</f>
        <v>994685.69099999999</v>
      </c>
      <c r="S17" s="10"/>
      <c r="T17" s="5"/>
    </row>
    <row r="18" spans="1:20" x14ac:dyDescent="0.25">
      <c r="A18" s="21">
        <v>44620</v>
      </c>
      <c r="B18" s="24">
        <f t="shared" ref="B18:B22" si="3">IF(A18&gt;A17,1+B17,"-")</f>
        <v>2</v>
      </c>
      <c r="C18" s="96" t="s">
        <v>382</v>
      </c>
      <c r="D18" s="27">
        <v>1.5270475000000001</v>
      </c>
      <c r="E18" s="46">
        <f t="shared" ref="E18:E23" si="4">E17*D18/100+E17</f>
        <v>1028717.1943480233</v>
      </c>
      <c r="F18" s="10"/>
      <c r="I18" s="39"/>
      <c r="J18" s="20">
        <f t="shared" si="1"/>
        <v>44620</v>
      </c>
      <c r="K18" s="27">
        <f>'Global (Gross)'!K222</f>
        <v>-2.5484659999999999</v>
      </c>
      <c r="L18" s="46">
        <f t="shared" ref="L18:L22" si="5">L17*K18/100+L17</f>
        <v>926843.50159505662</v>
      </c>
      <c r="M18" s="10"/>
      <c r="O18" s="39"/>
      <c r="P18" s="20">
        <f t="shared" si="2"/>
        <v>44620</v>
      </c>
      <c r="Q18" s="27">
        <v>-1.688129</v>
      </c>
      <c r="R18" s="46">
        <f t="shared" ref="R18:R23" si="6">R17*Q18/100+R17</f>
        <v>977894.11339137855</v>
      </c>
      <c r="S18" s="10"/>
    </row>
    <row r="19" spans="1:20" x14ac:dyDescent="0.25">
      <c r="A19" s="21">
        <v>44651</v>
      </c>
      <c r="B19" s="24">
        <f t="shared" si="3"/>
        <v>3</v>
      </c>
      <c r="C19" s="96" t="s">
        <v>382</v>
      </c>
      <c r="D19" s="27">
        <v>2.781901</v>
      </c>
      <c r="E19" s="46">
        <f t="shared" si="4"/>
        <v>1057335.0882647629</v>
      </c>
      <c r="F19" s="10"/>
      <c r="G19" s="5">
        <f>(E19/E16-1)*100</f>
        <v>5.7335088264762968</v>
      </c>
      <c r="I19" s="39"/>
      <c r="J19" s="20">
        <f t="shared" si="1"/>
        <v>44651</v>
      </c>
      <c r="K19" s="27">
        <f>'Global (Gross)'!K223</f>
        <v>2.23217</v>
      </c>
      <c r="L19" s="46">
        <f t="shared" si="5"/>
        <v>947532.224184611</v>
      </c>
      <c r="M19" s="10"/>
      <c r="N19" s="5">
        <f>(L19/L16-1)*100</f>
        <v>-5.2467775815388968</v>
      </c>
      <c r="O19" s="39"/>
      <c r="P19" s="20">
        <f t="shared" si="2"/>
        <v>44651</v>
      </c>
      <c r="Q19" s="27">
        <v>1.09385</v>
      </c>
      <c r="R19" s="46">
        <f t="shared" si="6"/>
        <v>988590.80815071019</v>
      </c>
      <c r="S19" s="10"/>
      <c r="T19" s="5">
        <f>(R19/R16-1)*100</f>
        <v>-1.140919184928979</v>
      </c>
    </row>
    <row r="20" spans="1:20" x14ac:dyDescent="0.25">
      <c r="A20" s="21">
        <v>44681</v>
      </c>
      <c r="B20" s="24">
        <f t="shared" si="3"/>
        <v>4</v>
      </c>
      <c r="C20" s="96" t="s">
        <v>382</v>
      </c>
      <c r="D20" s="27">
        <v>-5.6148810000000005</v>
      </c>
      <c r="E20" s="46">
        <f t="shared" si="4"/>
        <v>997966.98128745146</v>
      </c>
      <c r="F20" s="8"/>
      <c r="I20" s="39"/>
      <c r="J20" s="20">
        <f t="shared" si="1"/>
        <v>44681</v>
      </c>
      <c r="K20" s="27">
        <f>'Global (Gross)'!K224</f>
        <v>-7.9712139999999998</v>
      </c>
      <c r="L20" s="46">
        <f t="shared" si="5"/>
        <v>872002.40287589584</v>
      </c>
      <c r="M20" s="8"/>
      <c r="O20" s="39"/>
      <c r="P20" s="20">
        <f t="shared" si="2"/>
        <v>44681</v>
      </c>
      <c r="Q20" s="27">
        <v>-3.8634840000000001</v>
      </c>
      <c r="R20" s="46">
        <f t="shared" si="6"/>
        <v>950396.76045233686</v>
      </c>
      <c r="S20" s="8"/>
    </row>
    <row r="21" spans="1:20" x14ac:dyDescent="0.25">
      <c r="A21" s="21">
        <v>44712</v>
      </c>
      <c r="B21" s="24">
        <f t="shared" si="3"/>
        <v>5</v>
      </c>
      <c r="C21" s="96" t="s">
        <v>382</v>
      </c>
      <c r="D21" s="27">
        <v>3.2489369999999997</v>
      </c>
      <c r="E21" s="46">
        <f t="shared" si="4"/>
        <v>1030390.2997902825</v>
      </c>
      <c r="F21" s="37"/>
      <c r="G21" s="5"/>
      <c r="I21" s="39"/>
      <c r="J21" s="20">
        <f t="shared" si="1"/>
        <v>44712</v>
      </c>
      <c r="K21" s="27">
        <f>'Global (Gross)'!K225</f>
        <v>0.1835774</v>
      </c>
      <c r="L21" s="46">
        <f t="shared" si="5"/>
        <v>873603.20221503288</v>
      </c>
      <c r="M21" s="8"/>
      <c r="N21" s="5"/>
      <c r="O21" s="39"/>
      <c r="P21" s="20">
        <f t="shared" si="2"/>
        <v>44712</v>
      </c>
      <c r="Q21" s="27">
        <v>1.2427269999999999</v>
      </c>
      <c r="R21" s="46">
        <f t="shared" si="6"/>
        <v>962207.59760160337</v>
      </c>
      <c r="S21" s="8"/>
      <c r="T21" s="5"/>
    </row>
    <row r="22" spans="1:20" x14ac:dyDescent="0.25">
      <c r="A22" s="21">
        <v>44742</v>
      </c>
      <c r="B22" s="24">
        <f t="shared" si="3"/>
        <v>6</v>
      </c>
      <c r="C22" s="96" t="s">
        <v>382</v>
      </c>
      <c r="D22" s="27">
        <v>-6.9402869000000003</v>
      </c>
      <c r="E22" s="46">
        <f t="shared" si="4"/>
        <v>958878.25679506676</v>
      </c>
      <c r="F22" s="37"/>
      <c r="G22" s="5">
        <f>(E22/E19-1)*100</f>
        <v>-9.3117907995730835</v>
      </c>
      <c r="H22" s="5"/>
      <c r="I22" s="39"/>
      <c r="J22" s="20">
        <f t="shared" si="1"/>
        <v>44742</v>
      </c>
      <c r="K22" s="27">
        <f>'Global (Gross)'!K226</f>
        <v>-8.3909459999999996</v>
      </c>
      <c r="L22" s="46">
        <f t="shared" si="5"/>
        <v>800299.6292628987</v>
      </c>
      <c r="M22" s="37"/>
      <c r="N22" s="5">
        <f>(L22/L19-1)*100</f>
        <v>-15.538531689348268</v>
      </c>
      <c r="O22" s="39"/>
      <c r="P22" s="20">
        <f t="shared" si="2"/>
        <v>44742</v>
      </c>
      <c r="Q22" s="27">
        <v>-7.022418</v>
      </c>
      <c r="R22" s="46">
        <f t="shared" si="6"/>
        <v>894637.35807026085</v>
      </c>
      <c r="S22" s="37"/>
      <c r="T22" s="5">
        <f>(R22/R19-1)*100</f>
        <v>-9.5037754049323695</v>
      </c>
    </row>
    <row r="23" spans="1:20" x14ac:dyDescent="0.25">
      <c r="A23" s="21">
        <v>44773</v>
      </c>
      <c r="B23" s="24">
        <f t="shared" ref="B23:B27" si="7">IF(A23&gt;A22,1+B22,"-")</f>
        <v>7</v>
      </c>
      <c r="C23" s="96" t="s">
        <v>382</v>
      </c>
      <c r="D23" s="27">
        <v>8.1007604999999998</v>
      </c>
      <c r="E23" s="46">
        <f t="shared" si="4"/>
        <v>1036554.6878646101</v>
      </c>
      <c r="F23" s="12"/>
      <c r="I23" s="39"/>
      <c r="J23" s="20">
        <f t="shared" si="1"/>
        <v>44773</v>
      </c>
      <c r="K23" s="27">
        <f>'Global (Gross)'!K227</f>
        <v>7.0209169999999999</v>
      </c>
      <c r="L23" s="46">
        <f t="shared" ref="L23" si="8">L22*K23/100+L22</f>
        <v>856488.00198475458</v>
      </c>
      <c r="M23" s="12"/>
      <c r="O23" s="39"/>
      <c r="P23" s="20">
        <f t="shared" si="2"/>
        <v>44773</v>
      </c>
      <c r="Q23" s="27">
        <v>2.2157740000000001</v>
      </c>
      <c r="R23" s="46">
        <f t="shared" si="6"/>
        <v>914460.50004466856</v>
      </c>
      <c r="S23" s="12"/>
    </row>
    <row r="24" spans="1:20" x14ac:dyDescent="0.25">
      <c r="A24" s="21">
        <v>44804</v>
      </c>
      <c r="B24" s="24">
        <f t="shared" si="7"/>
        <v>8</v>
      </c>
      <c r="C24" s="96" t="s">
        <v>382</v>
      </c>
      <c r="D24" s="27">
        <v>-1.7508775000000001</v>
      </c>
      <c r="E24" s="46">
        <f t="shared" ref="E24" si="9">E23*D24/100+E23</f>
        <v>1018405.8850595935</v>
      </c>
      <c r="F24" s="12"/>
      <c r="I24" s="39"/>
      <c r="J24" s="20">
        <f t="shared" si="1"/>
        <v>44804</v>
      </c>
      <c r="K24" s="27">
        <f>'Global (Gross)'!K228</f>
        <v>-3.639303</v>
      </c>
      <c r="L24" s="46">
        <f t="shared" ref="L24" si="10">L23*K24/100+L23</f>
        <v>825317.80843388336</v>
      </c>
      <c r="M24" s="12"/>
      <c r="O24" s="39"/>
      <c r="P24" s="20">
        <f t="shared" si="2"/>
        <v>44804</v>
      </c>
      <c r="Q24" s="27">
        <v>-3.7052109999999998</v>
      </c>
      <c r="R24" s="46">
        <f t="shared" ref="R24" si="11">R23*Q24/100+R23</f>
        <v>880577.8090063585</v>
      </c>
      <c r="S24" s="12"/>
    </row>
    <row r="25" spans="1:20" x14ac:dyDescent="0.25">
      <c r="A25" s="21">
        <v>44834</v>
      </c>
      <c r="B25" s="24">
        <f t="shared" si="7"/>
        <v>9</v>
      </c>
      <c r="C25" s="96" t="s">
        <v>382</v>
      </c>
      <c r="D25" s="27">
        <v>-8.3382304999999999</v>
      </c>
      <c r="E25" s="46">
        <f t="shared" ref="E25" si="12">E24*D25/100+E24</f>
        <v>933488.85493775946</v>
      </c>
      <c r="F25" s="12"/>
      <c r="G25" s="5">
        <f>(E25/E22-1)*100</f>
        <v>-2.6478232953334735</v>
      </c>
      <c r="I25" s="39"/>
      <c r="J25" s="20">
        <f t="shared" si="1"/>
        <v>44834</v>
      </c>
      <c r="K25" s="27">
        <f>'Global (Gross)'!K229</f>
        <v>-9.5221459999999993</v>
      </c>
      <c r="L25" s="46">
        <f t="shared" ref="L25" si="13">L24*K25/100+L24</f>
        <v>746729.84175080864</v>
      </c>
      <c r="M25" s="12"/>
      <c r="N25" s="5">
        <f>(L25/L22-1)*100</f>
        <v>-6.6937163973735059</v>
      </c>
      <c r="O25" s="39"/>
      <c r="P25" s="20">
        <f t="shared" si="2"/>
        <v>44834</v>
      </c>
      <c r="Q25" s="27">
        <v>-7.7452920000000001</v>
      </c>
      <c r="R25" s="46">
        <f t="shared" ref="R25" si="14">R24*Q25/100+R24</f>
        <v>812374.48641161376</v>
      </c>
      <c r="S25" s="12"/>
      <c r="T25" s="5">
        <f>(R25/R22-1)*100</f>
        <v>-9.1951080419991236</v>
      </c>
    </row>
    <row r="26" spans="1:20" x14ac:dyDescent="0.25">
      <c r="A26" s="21">
        <v>44865</v>
      </c>
      <c r="B26" s="24">
        <f t="shared" si="7"/>
        <v>10</v>
      </c>
      <c r="C26" s="96" t="s">
        <v>382</v>
      </c>
      <c r="D26" s="27">
        <v>9.2161690000000007</v>
      </c>
      <c r="E26" s="46">
        <f t="shared" ref="E26" si="15">E25*D26/100+E25</f>
        <v>1019520.7654049882</v>
      </c>
      <c r="F26" s="12"/>
      <c r="G26" s="5"/>
      <c r="I26" s="39"/>
      <c r="J26" s="20">
        <f t="shared" si="1"/>
        <v>44865</v>
      </c>
      <c r="K26" s="27">
        <f>'Global (Gross)'!K230</f>
        <v>6.0588069999999998</v>
      </c>
      <c r="L26" s="46">
        <f t="shared" ref="L26" si="16">L25*K26/100+L25</f>
        <v>791972.76167389553</v>
      </c>
      <c r="M26" s="12"/>
      <c r="N26" s="5"/>
      <c r="O26" s="39"/>
      <c r="P26" s="20">
        <f t="shared" si="2"/>
        <v>44865</v>
      </c>
      <c r="Q26" s="27">
        <v>6.6056629999999998</v>
      </c>
      <c r="R26" s="46">
        <f t="shared" ref="R26" si="17">R25*Q26/100+R25</f>
        <v>866037.20728194574</v>
      </c>
      <c r="S26" s="12"/>
      <c r="T26" s="5"/>
    </row>
    <row r="27" spans="1:20" x14ac:dyDescent="0.25">
      <c r="A27" s="21">
        <v>44895</v>
      </c>
      <c r="B27" s="24">
        <f t="shared" si="7"/>
        <v>11</v>
      </c>
      <c r="C27" s="96" t="s">
        <v>382</v>
      </c>
      <c r="D27" s="27">
        <v>6.3621063899999992</v>
      </c>
      <c r="E27" s="46">
        <f t="shared" ref="E27" si="18">E26*D27/100+E26</f>
        <v>1084383.7611681959</v>
      </c>
      <c r="F27" s="12"/>
      <c r="G27" s="5"/>
      <c r="I27" s="39"/>
      <c r="J27" s="20">
        <f t="shared" si="1"/>
        <v>44895</v>
      </c>
      <c r="K27" s="27">
        <f>'Global (Gross)'!K231</f>
        <v>7.8056330000000003</v>
      </c>
      <c r="L27" s="46">
        <f t="shared" ref="L27" si="19">L26*K27/100+L26</f>
        <v>853791.24891012441</v>
      </c>
      <c r="M27" s="12"/>
      <c r="N27" s="5"/>
      <c r="O27" s="39"/>
      <c r="P27" s="20">
        <f t="shared" si="2"/>
        <v>44895</v>
      </c>
      <c r="Q27" s="27">
        <v>8.438663</v>
      </c>
      <c r="R27" s="46">
        <f t="shared" ref="R27" si="20">R26*Q27/100+R26</f>
        <v>939119.16865908063</v>
      </c>
      <c r="S27" s="12"/>
      <c r="T27" s="5"/>
    </row>
    <row r="28" spans="1:20" x14ac:dyDescent="0.25">
      <c r="A28" s="21">
        <v>44926</v>
      </c>
      <c r="B28" s="24">
        <f t="shared" ref="B28:B32" si="21">IF(A28&gt;A27,1+B27,"-")</f>
        <v>12</v>
      </c>
      <c r="C28" s="96" t="s">
        <v>382</v>
      </c>
      <c r="D28" s="27">
        <v>-4.6510743999999997</v>
      </c>
      <c r="E28" s="46">
        <f t="shared" ref="E28:E33" si="22">E27*D28/100+E27</f>
        <v>1033948.2656547448</v>
      </c>
      <c r="F28" s="12">
        <f>((E28-$E$16)/$E$16)*100</f>
        <v>3.3948265654744811</v>
      </c>
      <c r="G28" s="5">
        <f>(E28/E25-1)*100</f>
        <v>10.761715063398757</v>
      </c>
      <c r="I28" s="39"/>
      <c r="J28" s="20">
        <f t="shared" si="1"/>
        <v>44926</v>
      </c>
      <c r="K28" s="27">
        <f>'Global (Gross)'!K232</f>
        <v>-3.8958050000000002</v>
      </c>
      <c r="L28" s="46">
        <f t="shared" ref="L28:L33" si="23">L27*K28/100+L27</f>
        <v>820529.2067455214</v>
      </c>
      <c r="M28" s="12">
        <f>((L28-$L$16)/$L$16)*100</f>
        <v>-17.947079325447859</v>
      </c>
      <c r="N28" s="5">
        <f>(L28/L25-1)*100</f>
        <v>9.8830073298905816</v>
      </c>
      <c r="O28" s="39"/>
      <c r="P28" s="20">
        <f t="shared" si="2"/>
        <v>44926</v>
      </c>
      <c r="Q28" s="27">
        <v>-1.496858</v>
      </c>
      <c r="R28" s="46">
        <f t="shared" ref="R28:R33" si="24">R27*Q28/100+R27</f>
        <v>925061.88825347368</v>
      </c>
      <c r="S28" s="12">
        <f>((R28-$R$16)/$R$16)*100</f>
        <v>-7.4938111746526328</v>
      </c>
      <c r="T28" s="5">
        <f>(R28/R25-1)*100</f>
        <v>13.871361512055591</v>
      </c>
    </row>
    <row r="29" spans="1:20" x14ac:dyDescent="0.25">
      <c r="A29" s="21">
        <v>44957</v>
      </c>
      <c r="B29" s="24">
        <f t="shared" si="21"/>
        <v>13</v>
      </c>
      <c r="C29" s="96" t="s">
        <v>382</v>
      </c>
      <c r="D29" s="27">
        <v>8.7973214006130291</v>
      </c>
      <c r="E29" s="46">
        <f t="shared" si="22"/>
        <v>1124908.017700457</v>
      </c>
      <c r="I29" s="39"/>
      <c r="J29" s="20">
        <f t="shared" si="1"/>
        <v>44957</v>
      </c>
      <c r="K29" s="27">
        <f>'Global (Gross)'!K233</f>
        <v>7.1951999999999998</v>
      </c>
      <c r="L29" s="46">
        <f t="shared" si="23"/>
        <v>879567.9242292752</v>
      </c>
      <c r="O29" s="39"/>
      <c r="P29" s="20">
        <f t="shared" si="2"/>
        <v>44957</v>
      </c>
      <c r="Q29" s="27">
        <v>3.0762480000000001</v>
      </c>
      <c r="R29" s="46">
        <f t="shared" si="24"/>
        <v>953519.08608963341</v>
      </c>
    </row>
    <row r="30" spans="1:20" x14ac:dyDescent="0.25">
      <c r="A30" s="21">
        <v>44985</v>
      </c>
      <c r="B30" s="24">
        <f t="shared" si="21"/>
        <v>14</v>
      </c>
      <c r="C30" s="96" t="s">
        <v>382</v>
      </c>
      <c r="D30" s="27">
        <v>-2.4813705106504722</v>
      </c>
      <c r="E30" s="46">
        <f t="shared" si="22"/>
        <v>1096994.881877295</v>
      </c>
      <c r="I30" s="39"/>
      <c r="J30" s="20">
        <f t="shared" si="1"/>
        <v>44985</v>
      </c>
      <c r="K30" s="27">
        <f>'Global (Gross)'!K234</f>
        <v>-2.8328000000000002</v>
      </c>
      <c r="L30" s="46">
        <f t="shared" si="23"/>
        <v>854651.52407170832</v>
      </c>
      <c r="O30" s="39"/>
      <c r="P30" s="20">
        <f t="shared" si="2"/>
        <v>44985</v>
      </c>
      <c r="Q30" s="27">
        <v>-3.3026110000000002</v>
      </c>
      <c r="R30" s="46">
        <f t="shared" si="24"/>
        <v>922028.05986533768</v>
      </c>
    </row>
    <row r="31" spans="1:20" x14ac:dyDescent="0.25">
      <c r="A31" s="21">
        <v>45016</v>
      </c>
      <c r="B31" s="24">
        <f t="shared" si="21"/>
        <v>15</v>
      </c>
      <c r="C31" s="96" t="s">
        <v>382</v>
      </c>
      <c r="D31" s="27">
        <v>1.2841975064371842</v>
      </c>
      <c r="E31" s="46">
        <f t="shared" si="22"/>
        <v>1111082.4627961067</v>
      </c>
      <c r="G31" s="5">
        <f>(E31/E28-1)*100</f>
        <v>7.4601602133852252</v>
      </c>
      <c r="I31" s="39"/>
      <c r="J31" s="20">
        <f t="shared" si="1"/>
        <v>45016</v>
      </c>
      <c r="K31" s="27">
        <f>'Global (Gross)'!K235</f>
        <v>3.1547999999999998</v>
      </c>
      <c r="L31" s="46">
        <f t="shared" si="23"/>
        <v>881614.07035312254</v>
      </c>
      <c r="N31" s="5">
        <f>(L31/L28-1)*100</f>
        <v>7.4445690787635854</v>
      </c>
      <c r="O31" s="39"/>
      <c r="P31" s="20">
        <f t="shared" si="2"/>
        <v>45016</v>
      </c>
      <c r="Q31" s="27">
        <v>2.1396139999999999</v>
      </c>
      <c r="R31" s="46">
        <f t="shared" si="24"/>
        <v>941755.90131814487</v>
      </c>
      <c r="T31" s="5">
        <f>(R31/R28-1)*100</f>
        <v>1.8046374276849297</v>
      </c>
    </row>
    <row r="32" spans="1:20" x14ac:dyDescent="0.25">
      <c r="A32" s="21">
        <v>45046</v>
      </c>
      <c r="B32" s="24">
        <f t="shared" si="21"/>
        <v>16</v>
      </c>
      <c r="C32" s="96" t="s">
        <v>382</v>
      </c>
      <c r="D32" s="27">
        <v>1.212658775616748</v>
      </c>
      <c r="E32" s="46">
        <f t="shared" si="22"/>
        <v>1124556.1017855424</v>
      </c>
      <c r="I32" s="39"/>
      <c r="J32" s="20">
        <f t="shared" si="1"/>
        <v>45046</v>
      </c>
      <c r="K32" s="27">
        <f>'Global (Gross)'!K236</f>
        <v>1.4809000000000001</v>
      </c>
      <c r="L32" s="46">
        <f t="shared" si="23"/>
        <v>894669.89312098199</v>
      </c>
      <c r="O32" s="39"/>
      <c r="P32" s="20">
        <f t="shared" si="2"/>
        <v>45046</v>
      </c>
      <c r="Q32" s="27">
        <v>2.1422599999999998</v>
      </c>
      <c r="R32" s="46">
        <f t="shared" si="24"/>
        <v>961930.76128972298</v>
      </c>
    </row>
    <row r="33" spans="1:20" x14ac:dyDescent="0.25">
      <c r="A33" s="21">
        <v>45077</v>
      </c>
      <c r="B33" s="24">
        <f t="shared" ref="B33:B36" si="25">IF(A33&gt;A32,1+B32,"-")</f>
        <v>17</v>
      </c>
      <c r="C33" s="96" t="s">
        <v>382</v>
      </c>
      <c r="D33" s="27">
        <v>-1.3819166930517164</v>
      </c>
      <c r="E33" s="46">
        <f t="shared" si="22"/>
        <v>1109015.6732922364</v>
      </c>
      <c r="F33" s="12"/>
      <c r="I33" s="39"/>
      <c r="J33" s="20">
        <f t="shared" si="1"/>
        <v>45077</v>
      </c>
      <c r="K33" s="27">
        <f>'Global (Gross)'!K237</f>
        <v>-1.0115000000000001</v>
      </c>
      <c r="L33" s="46">
        <f t="shared" si="23"/>
        <v>885620.30715206324</v>
      </c>
      <c r="M33" s="12"/>
      <c r="O33" s="39"/>
      <c r="P33" s="20">
        <f t="shared" si="2"/>
        <v>45077</v>
      </c>
      <c r="Q33" s="27">
        <v>-4.6827230000000002</v>
      </c>
      <c r="R33" s="46">
        <f t="shared" si="24"/>
        <v>916886.20828673407</v>
      </c>
      <c r="S33" s="12"/>
    </row>
    <row r="34" spans="1:20" x14ac:dyDescent="0.25">
      <c r="A34" s="21">
        <v>45107</v>
      </c>
      <c r="B34" s="24">
        <f t="shared" si="25"/>
        <v>18</v>
      </c>
      <c r="C34" s="96" t="s">
        <v>382</v>
      </c>
      <c r="D34" s="27">
        <v>5.2687461889322007</v>
      </c>
      <c r="E34" s="46">
        <f t="shared" ref="E34" si="26">E33*D34/100+E33</f>
        <v>1167446.8943134819</v>
      </c>
      <c r="F34" s="12"/>
      <c r="G34" s="5">
        <f>(E34/E31-1)*100</f>
        <v>5.0729296343613006</v>
      </c>
      <c r="I34" s="39"/>
      <c r="J34" s="20">
        <f t="shared" si="1"/>
        <v>45107</v>
      </c>
      <c r="K34" s="27">
        <f>'Global (Gross)'!K238</f>
        <v>5.8438999999999997</v>
      </c>
      <c r="L34" s="46">
        <f t="shared" ref="L34" si="27">L33*K34/100+L33</f>
        <v>937375.07228172268</v>
      </c>
      <c r="M34" s="12"/>
      <c r="N34" s="5">
        <f>(L34/L31-1)*100</f>
        <v>6.3248765875827617</v>
      </c>
      <c r="O34" s="39"/>
      <c r="P34" s="20">
        <f t="shared" si="2"/>
        <v>45107</v>
      </c>
      <c r="Q34" s="27">
        <v>4.6256950000000003</v>
      </c>
      <c r="R34" s="46">
        <f t="shared" ref="R34" si="28">R33*Q34/100+R33</f>
        <v>959298.56777914311</v>
      </c>
      <c r="S34" s="12"/>
      <c r="T34" s="5">
        <f>(R34/R31-1)*100</f>
        <v>1.8627615113899765</v>
      </c>
    </row>
    <row r="35" spans="1:20" x14ac:dyDescent="0.25">
      <c r="A35" s="21">
        <v>45138</v>
      </c>
      <c r="B35" s="24">
        <f t="shared" si="25"/>
        <v>19</v>
      </c>
      <c r="C35" s="96" t="s">
        <v>382</v>
      </c>
      <c r="D35" s="27">
        <v>3.919413255309951</v>
      </c>
      <c r="E35" s="46">
        <f t="shared" ref="E35" si="29">E34*D35/100+E34</f>
        <v>1213203.9626379088</v>
      </c>
      <c r="F35" s="12"/>
      <c r="G35" s="5"/>
      <c r="I35" s="39"/>
      <c r="J35" s="20">
        <f t="shared" si="1"/>
        <v>45138</v>
      </c>
      <c r="K35" s="27">
        <f>'Global (Gross)'!K239</f>
        <v>3.6905999999999999</v>
      </c>
      <c r="L35" s="46">
        <f t="shared" ref="L35" si="30">L34*K35/100+L34</f>
        <v>971969.8366993519</v>
      </c>
      <c r="M35" s="12"/>
      <c r="N35" s="5"/>
      <c r="O35" s="39"/>
      <c r="P35" s="20">
        <f t="shared" si="2"/>
        <v>45138</v>
      </c>
      <c r="Q35" s="27">
        <v>3.808071</v>
      </c>
      <c r="R35" s="46">
        <f t="shared" ref="R35" si="31">R34*Q35/100+R34</f>
        <v>995829.33834215603</v>
      </c>
      <c r="S35" s="12"/>
      <c r="T35" s="5"/>
    </row>
    <row r="36" spans="1:20" x14ac:dyDescent="0.25">
      <c r="A36" s="21">
        <v>45169</v>
      </c>
      <c r="B36" s="24">
        <f t="shared" si="25"/>
        <v>20</v>
      </c>
      <c r="C36" s="96" t="s">
        <v>382</v>
      </c>
      <c r="D36" s="27">
        <v>-0.24475982050342487</v>
      </c>
      <c r="E36" s="46">
        <f t="shared" ref="E36" si="32">E35*D36/100+E35</f>
        <v>1210234.5267966157</v>
      </c>
      <c r="F36" s="12"/>
      <c r="G36" s="5"/>
      <c r="I36" s="39"/>
      <c r="J36" s="20">
        <f t="shared" si="1"/>
        <v>45169</v>
      </c>
      <c r="K36" s="27">
        <f>'Global (Gross)'!K240</f>
        <v>-2.7650000000000001</v>
      </c>
      <c r="L36" s="46">
        <f t="shared" ref="L36" si="33">L35*K36/100+L35</f>
        <v>945094.87071461487</v>
      </c>
      <c r="M36" s="12"/>
      <c r="N36" s="5"/>
      <c r="O36" s="39"/>
      <c r="P36" s="20">
        <f t="shared" si="2"/>
        <v>45169</v>
      </c>
      <c r="Q36" s="27">
        <v>-2.5880749999999999</v>
      </c>
      <c r="R36" s="46">
        <f t="shared" ref="R36:R37" si="34">R35*Q36/100+R35</f>
        <v>970056.52819385729</v>
      </c>
      <c r="S36" s="12"/>
    </row>
    <row r="37" spans="1:20" x14ac:dyDescent="0.25">
      <c r="A37" s="21">
        <v>45199</v>
      </c>
      <c r="B37" s="24">
        <f t="shared" ref="B37:B42" si="35">IF(A37&gt;A36,1+B36,"-")</f>
        <v>21</v>
      </c>
      <c r="C37" s="96" t="s">
        <v>382</v>
      </c>
      <c r="D37" s="27">
        <v>-1.2914954639</v>
      </c>
      <c r="E37" s="46">
        <f t="shared" ref="E37" si="36">E36*D37/100+E36</f>
        <v>1194604.4027804858</v>
      </c>
      <c r="F37" s="12"/>
      <c r="G37" s="5">
        <f>(E37/E34-1)*100</f>
        <v>2.326230734715673</v>
      </c>
      <c r="I37" s="39"/>
      <c r="J37" s="20">
        <f t="shared" si="1"/>
        <v>45199</v>
      </c>
      <c r="K37" s="27">
        <f>'Global (Gross)'!K241</f>
        <v>-4.0971000000000002</v>
      </c>
      <c r="L37" s="46">
        <f t="shared" ref="L37" si="37">L36*K37/100+L36</f>
        <v>906373.38876656641</v>
      </c>
      <c r="M37" s="12"/>
      <c r="N37" s="5">
        <f>(L37/L34-1)*100</f>
        <v>-3.3072869582176034</v>
      </c>
      <c r="O37" s="39"/>
      <c r="P37" s="20">
        <f t="shared" si="2"/>
        <v>45199</v>
      </c>
      <c r="Q37" s="27">
        <v>-2.5667779999999998</v>
      </c>
      <c r="R37" s="46">
        <f t="shared" si="34"/>
        <v>945157.33064061357</v>
      </c>
      <c r="S37" s="12"/>
      <c r="T37" s="5">
        <f>(R37/R34-1)*100</f>
        <v>-1.4741226155760567</v>
      </c>
    </row>
    <row r="38" spans="1:20" x14ac:dyDescent="0.25">
      <c r="A38" s="21">
        <v>45230</v>
      </c>
      <c r="B38" s="24">
        <f t="shared" si="35"/>
        <v>22</v>
      </c>
      <c r="C38" s="96" t="s">
        <v>382</v>
      </c>
      <c r="D38" s="27">
        <v>-1.6029947760000001</v>
      </c>
      <c r="E38" s="46">
        <f t="shared" ref="E38:E46" si="38">E37*D38/100+E37</f>
        <v>1175454.9566100487</v>
      </c>
      <c r="F38" s="12"/>
      <c r="G38" s="5"/>
      <c r="I38" s="39"/>
      <c r="J38" s="20">
        <f t="shared" si="1"/>
        <v>45230</v>
      </c>
      <c r="K38" s="27">
        <f>'Global (Gross)'!K242</f>
        <v>-2.9870000000000001</v>
      </c>
      <c r="L38" s="46">
        <f t="shared" ref="L38:L40" si="39">L37*K38/100+L37</f>
        <v>879300.01564410911</v>
      </c>
      <c r="M38" s="12"/>
      <c r="N38" s="5"/>
      <c r="O38" s="39"/>
      <c r="P38" s="20">
        <f t="shared" si="2"/>
        <v>45230</v>
      </c>
      <c r="Q38" s="27">
        <v>-3.7690139999999999</v>
      </c>
      <c r="R38" s="46">
        <f t="shared" ref="R38:R40" si="40">R37*Q38/100+R37</f>
        <v>909534.21852674254</v>
      </c>
      <c r="S38" s="12"/>
      <c r="T38" s="5"/>
    </row>
    <row r="39" spans="1:20" x14ac:dyDescent="0.25">
      <c r="A39" s="21">
        <v>45260</v>
      </c>
      <c r="B39" s="24">
        <f t="shared" si="35"/>
        <v>23</v>
      </c>
      <c r="C39" s="96" t="s">
        <v>382</v>
      </c>
      <c r="D39" s="27">
        <v>7.5643078580000003</v>
      </c>
      <c r="E39" s="46">
        <f t="shared" si="38"/>
        <v>1264369.988260153</v>
      </c>
      <c r="F39" s="12"/>
      <c r="G39" s="5"/>
      <c r="I39" s="39"/>
      <c r="J39" s="20">
        <f t="shared" si="1"/>
        <v>45260</v>
      </c>
      <c r="K39" s="27">
        <f>'Global (Gross)'!K243</f>
        <v>9.2788260000000005</v>
      </c>
      <c r="L39" s="46">
        <f t="shared" si="39"/>
        <v>960888.73411369883</v>
      </c>
      <c r="M39" s="12"/>
      <c r="N39" s="5"/>
      <c r="O39" s="39"/>
      <c r="P39" s="20">
        <f t="shared" si="2"/>
        <v>45260</v>
      </c>
      <c r="Q39" s="27">
        <v>6.5132510000000003</v>
      </c>
      <c r="R39" s="46">
        <f t="shared" si="40"/>
        <v>968774.46511027776</v>
      </c>
      <c r="S39" s="12"/>
      <c r="T39" s="5"/>
    </row>
    <row r="40" spans="1:20" x14ac:dyDescent="0.25">
      <c r="A40" s="21">
        <v>45291</v>
      </c>
      <c r="B40" s="24">
        <f t="shared" si="35"/>
        <v>24</v>
      </c>
      <c r="C40" s="96" t="s">
        <v>382</v>
      </c>
      <c r="D40" s="27">
        <v>4.93362575</v>
      </c>
      <c r="E40" s="46">
        <f t="shared" si="38"/>
        <v>1326749.2715762279</v>
      </c>
      <c r="F40" s="12">
        <f t="shared" ref="F40" si="41">((E40-$E$28)/$E$28)*100</f>
        <v>28.31872886174509</v>
      </c>
      <c r="G40" s="5">
        <f t="shared" ref="G40" si="42">(E40/E37-1)*100</f>
        <v>11.061809958859193</v>
      </c>
      <c r="I40" s="39"/>
      <c r="J40" s="20">
        <f t="shared" si="1"/>
        <v>45291</v>
      </c>
      <c r="K40" s="27">
        <f>'Global (Gross)'!K244</f>
        <v>4.8394820000000003</v>
      </c>
      <c r="L40" s="46">
        <f t="shared" si="39"/>
        <v>1007390.7714411592</v>
      </c>
      <c r="M40" s="12">
        <f t="shared" ref="M40" si="43">((L40-$L$28)/$L$28)*100</f>
        <v>22.773298398089924</v>
      </c>
      <c r="N40" s="5">
        <f t="shared" ref="N40" si="44">(L40/L37-1)*100</f>
        <v>11.145228216823732</v>
      </c>
      <c r="O40" s="39"/>
      <c r="P40" s="20">
        <f t="shared" si="2"/>
        <v>45291</v>
      </c>
      <c r="Q40" s="27">
        <v>4.3894169999999999</v>
      </c>
      <c r="R40" s="46">
        <f t="shared" si="40"/>
        <v>1011298.0161734873</v>
      </c>
      <c r="S40" s="12">
        <f t="shared" ref="S40" si="45">((R40-$R$28)/$R$28)*100</f>
        <v>9.3222009267756469</v>
      </c>
      <c r="T40" s="5">
        <f t="shared" ref="T40" si="46">(R40/R37-1)*100</f>
        <v>6.9978492880168996</v>
      </c>
    </row>
    <row r="41" spans="1:20" x14ac:dyDescent="0.25">
      <c r="A41" s="21">
        <v>45322</v>
      </c>
      <c r="B41" s="24">
        <f t="shared" si="35"/>
        <v>25</v>
      </c>
      <c r="C41" s="96" t="s">
        <v>382</v>
      </c>
      <c r="E41" s="46">
        <f t="shared" si="38"/>
        <v>1326749.2715762279</v>
      </c>
      <c r="I41" s="39"/>
      <c r="J41" s="20">
        <f t="shared" si="1"/>
        <v>45322</v>
      </c>
      <c r="K41" s="27">
        <f>'Global (Gross)'!K245</f>
        <v>0.60940530000000004</v>
      </c>
      <c r="L41" s="46">
        <f t="shared" ref="L41" si="47">L40*K41/100+L40</f>
        <v>1013529.8641940325</v>
      </c>
      <c r="M41" s="12"/>
      <c r="N41" s="5"/>
      <c r="O41" s="39"/>
      <c r="P41" s="20">
        <f t="shared" si="2"/>
        <v>45322</v>
      </c>
      <c r="Q41" s="27">
        <v>0.17456630000000001</v>
      </c>
      <c r="R41" s="46">
        <f t="shared" ref="R41" si="48">R40*Q41/100+R40</f>
        <v>1013063.4017022947</v>
      </c>
    </row>
    <row r="42" spans="1:20" x14ac:dyDescent="0.25">
      <c r="A42" s="21">
        <v>45351</v>
      </c>
      <c r="B42" s="24">
        <f t="shared" si="35"/>
        <v>26</v>
      </c>
      <c r="C42" s="96" t="s">
        <v>382</v>
      </c>
      <c r="E42" s="46">
        <f t="shared" si="38"/>
        <v>1326749.2715762279</v>
      </c>
      <c r="I42" s="39"/>
      <c r="J42" s="20">
        <f t="shared" si="1"/>
        <v>45351</v>
      </c>
      <c r="K42" s="27">
        <f>'Global (Gross)'!K246</f>
        <v>4.3309620000000004</v>
      </c>
      <c r="L42" s="46">
        <f t="shared" ref="L42:L45" si="49">L41*K42/100+L41</f>
        <v>1057425.4574709276</v>
      </c>
      <c r="M42" s="12"/>
      <c r="N42" s="5"/>
      <c r="O42" s="39"/>
      <c r="P42" s="20">
        <f t="shared" si="2"/>
        <v>45351</v>
      </c>
      <c r="Q42" s="27">
        <v>0.98733579999999999</v>
      </c>
      <c r="R42" s="46">
        <f t="shared" ref="R42:R43" si="50">R41*Q42/100+R41</f>
        <v>1023065.7393439993</v>
      </c>
    </row>
    <row r="43" spans="1:20" x14ac:dyDescent="0.25">
      <c r="A43" s="21">
        <v>45382</v>
      </c>
      <c r="B43" s="24">
        <f t="shared" ref="B43:B45" si="51">IF(A43&gt;A42,1+B42,"-")</f>
        <v>27</v>
      </c>
      <c r="C43" s="96" t="s">
        <v>382</v>
      </c>
      <c r="E43" s="46">
        <f t="shared" si="38"/>
        <v>1326749.2715762279</v>
      </c>
      <c r="F43" s="12"/>
      <c r="G43" s="5">
        <f t="shared" ref="G43" si="52">(E43/E40-1)*100</f>
        <v>0</v>
      </c>
      <c r="I43" s="39"/>
      <c r="J43" s="20">
        <f t="shared" si="1"/>
        <v>45382</v>
      </c>
      <c r="K43" s="27">
        <f>'Global (Gross)'!K247</f>
        <v>3.2044410000000001</v>
      </c>
      <c r="L43" s="46">
        <f t="shared" si="49"/>
        <v>1091310.0323745636</v>
      </c>
      <c r="M43" s="12"/>
      <c r="N43" s="5">
        <f t="shared" ref="N43" si="53">(L43/L40-1)*100</f>
        <v>8.3303583189818795</v>
      </c>
      <c r="O43" s="39"/>
      <c r="P43" s="20">
        <f t="shared" si="2"/>
        <v>45382</v>
      </c>
      <c r="Q43" s="27">
        <v>3.8308840000000002</v>
      </c>
      <c r="R43" s="46">
        <f t="shared" si="50"/>
        <v>1062258.2010620104</v>
      </c>
      <c r="S43" s="12"/>
      <c r="T43" s="5">
        <f t="shared" ref="T43" si="54">(R43/R40-1)*100</f>
        <v>5.039086804633941</v>
      </c>
    </row>
    <row r="44" spans="1:20" x14ac:dyDescent="0.25">
      <c r="A44" s="21">
        <v>45412</v>
      </c>
      <c r="B44" s="24">
        <f t="shared" si="51"/>
        <v>28</v>
      </c>
      <c r="C44" s="96" t="s">
        <v>382</v>
      </c>
      <c r="E44" s="46">
        <f t="shared" si="38"/>
        <v>1326749.2715762279</v>
      </c>
      <c r="I44" s="39"/>
      <c r="J44" s="20">
        <f t="shared" si="1"/>
        <v>45412</v>
      </c>
      <c r="K44" s="27">
        <f>'Global (Gross)'!K248</f>
        <v>-3.262016</v>
      </c>
      <c r="L44" s="46">
        <f t="shared" si="49"/>
        <v>1055711.3245089003</v>
      </c>
      <c r="O44" s="39"/>
      <c r="P44" s="20">
        <f t="shared" si="2"/>
        <v>45412</v>
      </c>
      <c r="Q44" s="27">
        <v>-2.6973050000000001</v>
      </c>
      <c r="R44" s="46">
        <f t="shared" ref="R44:R46" si="55">R43*Q44/100+R43</f>
        <v>1033605.8574918547</v>
      </c>
    </row>
    <row r="45" spans="1:20" x14ac:dyDescent="0.25">
      <c r="A45" s="21">
        <v>45443</v>
      </c>
      <c r="B45" s="24">
        <f t="shared" si="51"/>
        <v>29</v>
      </c>
      <c r="C45" s="96" t="s">
        <v>382</v>
      </c>
      <c r="E45" s="46">
        <f t="shared" si="38"/>
        <v>1326749.2715762279</v>
      </c>
      <c r="I45" s="39"/>
      <c r="J45" s="20">
        <f t="shared" si="1"/>
        <v>45443</v>
      </c>
      <c r="K45" s="27">
        <f>'Global (Gross)'!K249</f>
        <v>4.1195639999999996</v>
      </c>
      <c r="L45" s="46">
        <f t="shared" si="49"/>
        <v>1099202.0281772921</v>
      </c>
      <c r="O45" s="39"/>
      <c r="P45" s="20">
        <f t="shared" si="2"/>
        <v>45443</v>
      </c>
      <c r="Q45" s="27">
        <v>2.5813000000000001</v>
      </c>
      <c r="R45" s="46">
        <f t="shared" si="55"/>
        <v>1060286.3254912919</v>
      </c>
    </row>
    <row r="46" spans="1:20" x14ac:dyDescent="0.25">
      <c r="A46" s="21">
        <v>45473</v>
      </c>
      <c r="B46" s="24">
        <f t="shared" ref="B46:B50" si="56">IF(A46&gt;A45,1+B45,"-")</f>
        <v>30</v>
      </c>
      <c r="C46" s="96" t="s">
        <v>382</v>
      </c>
      <c r="E46" s="46">
        <f t="shared" si="38"/>
        <v>1326749.2715762279</v>
      </c>
      <c r="F46" s="12"/>
      <c r="G46" s="5">
        <f t="shared" ref="G46" si="57">(E46/E43-1)*100</f>
        <v>0</v>
      </c>
      <c r="I46" s="39"/>
      <c r="J46" s="20">
        <f t="shared" si="1"/>
        <v>45473</v>
      </c>
      <c r="K46" s="27">
        <f>'Global (Gross)'!K250</f>
        <v>2.2624209999999998</v>
      </c>
      <c r="L46" s="46">
        <f t="shared" ref="L46" si="58">L45*K46/100+L45</f>
        <v>1124070.6056952011</v>
      </c>
      <c r="M46" s="12"/>
      <c r="N46" s="5">
        <f t="shared" ref="N46" si="59">(L46/L43-1)*100</f>
        <v>3.0019492489548716</v>
      </c>
      <c r="O46" s="39"/>
      <c r="P46" s="20">
        <f t="shared" si="2"/>
        <v>45473</v>
      </c>
      <c r="Q46" s="27">
        <v>-0.7867056</v>
      </c>
      <c r="R46" s="46">
        <f t="shared" si="55"/>
        <v>1051944.9935926178</v>
      </c>
      <c r="S46" s="12"/>
      <c r="T46" s="5">
        <f t="shared" ref="T46" si="60">(R46/R43-1)*100</f>
        <v>-0.97087576815898524</v>
      </c>
    </row>
    <row r="47" spans="1:20" x14ac:dyDescent="0.25">
      <c r="A47" s="21">
        <v>45504</v>
      </c>
      <c r="B47" s="24">
        <f t="shared" si="56"/>
        <v>31</v>
      </c>
      <c r="C47" s="96" t="s">
        <v>382</v>
      </c>
      <c r="E47" s="46">
        <f t="shared" ref="E47:E49" si="61">E46*D47/100+E46</f>
        <v>1326749.2715762279</v>
      </c>
      <c r="F47" s="12"/>
      <c r="G47" s="5"/>
      <c r="I47" s="39"/>
      <c r="J47" s="20">
        <f t="shared" si="1"/>
        <v>45504</v>
      </c>
      <c r="K47" s="27">
        <f>'Global (Gross)'!K251</f>
        <v>1.643608</v>
      </c>
      <c r="L47" s="46">
        <f t="shared" ref="L47:L49" si="62">L46*K47/100+L46</f>
        <v>1142545.9200960558</v>
      </c>
      <c r="M47" s="12"/>
      <c r="N47" s="5"/>
      <c r="O47" s="39"/>
      <c r="P47" s="20">
        <f t="shared" si="2"/>
        <v>45504</v>
      </c>
      <c r="Q47" s="27">
        <v>4.2207650000000001</v>
      </c>
      <c r="R47" s="46">
        <f t="shared" ref="R47:R49" si="63">R46*Q47/100+R46</f>
        <v>1096345.1197014272</v>
      </c>
      <c r="S47" s="12"/>
      <c r="T47" s="5"/>
    </row>
    <row r="48" spans="1:20" x14ac:dyDescent="0.25">
      <c r="A48" s="21">
        <v>45535</v>
      </c>
      <c r="B48" s="24">
        <f t="shared" si="56"/>
        <v>32</v>
      </c>
      <c r="C48" s="96" t="s">
        <v>382</v>
      </c>
      <c r="E48" s="46">
        <f t="shared" si="61"/>
        <v>1326749.2715762279</v>
      </c>
      <c r="F48" s="12"/>
      <c r="G48" s="5"/>
      <c r="I48" s="39"/>
      <c r="J48" s="20">
        <f t="shared" si="1"/>
        <v>45535</v>
      </c>
      <c r="K48" s="27">
        <f>'Global (Gross)'!K252</f>
        <v>2.5737969999999999</v>
      </c>
      <c r="L48" s="46">
        <f t="shared" si="62"/>
        <v>1171952.7327111105</v>
      </c>
      <c r="M48" s="12"/>
      <c r="N48" s="5"/>
      <c r="O48" s="39"/>
      <c r="P48" s="20">
        <f t="shared" si="2"/>
        <v>45535</v>
      </c>
      <c r="Q48" s="27">
        <v>3.3003830000000001</v>
      </c>
      <c r="R48" s="46">
        <f t="shared" si="63"/>
        <v>1132528.7076533828</v>
      </c>
      <c r="S48" s="12"/>
      <c r="T48" s="5"/>
    </row>
    <row r="49" spans="1:20" x14ac:dyDescent="0.25">
      <c r="A49" s="21">
        <v>45565</v>
      </c>
      <c r="B49" s="24">
        <f t="shared" si="56"/>
        <v>33</v>
      </c>
      <c r="C49" s="96" t="s">
        <v>382</v>
      </c>
      <c r="E49" s="46">
        <f t="shared" si="61"/>
        <v>1326749.2715762279</v>
      </c>
      <c r="F49" s="12"/>
      <c r="G49" s="5">
        <f t="shared" ref="G49" si="64">(E49/E46-1)*100</f>
        <v>0</v>
      </c>
      <c r="I49" s="39"/>
      <c r="J49" s="20">
        <f t="shared" si="1"/>
        <v>45565</v>
      </c>
      <c r="K49" s="27">
        <f>'Global (Gross)'!K253</f>
        <v>2.3676279999999998</v>
      </c>
      <c r="L49" s="46">
        <f t="shared" si="62"/>
        <v>1199700.2137575438</v>
      </c>
      <c r="M49" s="12"/>
      <c r="N49" s="5">
        <f t="shared" ref="N49" si="65">(L49/L46-1)*100</f>
        <v>6.7281901758803109</v>
      </c>
      <c r="O49" s="39"/>
      <c r="P49" s="20">
        <f t="shared" si="2"/>
        <v>45565</v>
      </c>
      <c r="Q49" s="27">
        <v>1.864949</v>
      </c>
      <c r="R49" s="46">
        <f t="shared" si="63"/>
        <v>1153649.7904614776</v>
      </c>
      <c r="S49" s="12"/>
      <c r="T49" s="5">
        <f t="shared" ref="T49" si="66">(R49/R46-1)*100</f>
        <v>9.6682618852071514</v>
      </c>
    </row>
    <row r="50" spans="1:20" x14ac:dyDescent="0.25">
      <c r="A50" s="21">
        <v>45596</v>
      </c>
      <c r="B50" s="24">
        <f t="shared" si="56"/>
        <v>34</v>
      </c>
      <c r="C50" s="96" t="s">
        <v>382</v>
      </c>
      <c r="E50" s="46">
        <f t="shared" ref="E50:E52" si="67">E49*D50/100+E49</f>
        <v>1326749.2715762279</v>
      </c>
      <c r="F50" s="12"/>
      <c r="G50" s="5"/>
      <c r="I50" s="39"/>
      <c r="J50" s="20">
        <f t="shared" si="1"/>
        <v>45596</v>
      </c>
      <c r="K50" s="27">
        <f>'Global (Gross)'!K254</f>
        <v>-2.2116310000000001</v>
      </c>
      <c r="L50" s="46">
        <f t="shared" ref="L50:L52" si="68">L49*K50/100+L49</f>
        <v>1173167.2719230158</v>
      </c>
      <c r="M50" s="12"/>
      <c r="N50" s="5"/>
      <c r="O50" s="39"/>
      <c r="P50" s="20">
        <f t="shared" si="2"/>
        <v>45596</v>
      </c>
      <c r="Q50" s="27">
        <v>-2.9291320000000001</v>
      </c>
      <c r="R50" s="46">
        <f t="shared" ref="R50:R52" si="69">R49*Q50/100+R49</f>
        <v>1119857.8652811374</v>
      </c>
      <c r="S50" s="12"/>
      <c r="T50" s="5"/>
    </row>
    <row r="51" spans="1:20" x14ac:dyDescent="0.25">
      <c r="A51" s="21">
        <v>45626</v>
      </c>
      <c r="B51" s="24">
        <f t="shared" ref="B51:B53" si="70">IF(A51&gt;A50,1+B50,"-")</f>
        <v>35</v>
      </c>
      <c r="C51" s="96" t="s">
        <v>382</v>
      </c>
      <c r="E51" s="46">
        <f t="shared" si="67"/>
        <v>1326749.2715762279</v>
      </c>
      <c r="F51" s="12"/>
      <c r="G51" s="5"/>
      <c r="I51" s="39"/>
      <c r="J51" s="20">
        <f t="shared" si="1"/>
        <v>45626</v>
      </c>
      <c r="K51" s="27">
        <f>'Global (Gross)'!K255</f>
        <v>3.7734209999999999</v>
      </c>
      <c r="L51" s="46">
        <f t="shared" si="68"/>
        <v>1217435.8121268861</v>
      </c>
      <c r="M51" s="12"/>
      <c r="N51" s="5"/>
      <c r="O51" s="39"/>
      <c r="P51" s="20">
        <f t="shared" si="2"/>
        <v>45626</v>
      </c>
      <c r="Q51" s="27">
        <v>1.1008720000000001</v>
      </c>
      <c r="R51" s="46">
        <f t="shared" si="69"/>
        <v>1132186.0669598151</v>
      </c>
      <c r="S51" s="12"/>
      <c r="T51" s="5"/>
    </row>
    <row r="52" spans="1:20" x14ac:dyDescent="0.25">
      <c r="A52" s="21">
        <v>45657</v>
      </c>
      <c r="B52" s="24">
        <f t="shared" si="70"/>
        <v>36</v>
      </c>
      <c r="C52" s="96" t="s">
        <v>382</v>
      </c>
      <c r="E52" s="46">
        <f t="shared" si="67"/>
        <v>1326749.2715762279</v>
      </c>
      <c r="F52" s="12">
        <f t="shared" ref="F52" si="71">((E52-$E$40)/$E$40)*100</f>
        <v>0</v>
      </c>
      <c r="G52" s="5">
        <f t="shared" ref="G52" si="72">(E52/E49-1)*100</f>
        <v>0</v>
      </c>
      <c r="I52" s="39"/>
      <c r="J52" s="20">
        <f t="shared" si="1"/>
        <v>45657</v>
      </c>
      <c r="K52" s="27">
        <f>'Global (Gross)'!K256</f>
        <v>-2.33378</v>
      </c>
      <c r="L52" s="46">
        <f t="shared" si="68"/>
        <v>1189023.5386306313</v>
      </c>
      <c r="M52" s="12">
        <f t="shared" ref="M52" si="73">((L52-$L$40)/$L$40)*100</f>
        <v>18.03002095498957</v>
      </c>
      <c r="N52" s="5">
        <f t="shared" ref="N52" si="74">(L52/L49-1)*100</f>
        <v>-0.88994525502937849</v>
      </c>
      <c r="O52" s="39"/>
      <c r="P52" s="20">
        <f t="shared" si="2"/>
        <v>45657</v>
      </c>
      <c r="Q52" s="27">
        <v>-4.100803</v>
      </c>
      <c r="R52" s="46">
        <f t="shared" si="69"/>
        <v>1085757.3467603449</v>
      </c>
      <c r="S52" s="12">
        <f t="shared" ref="S52" si="75">((R52-$R$40)/$R$40)*100</f>
        <v>7.3627486058554865</v>
      </c>
      <c r="T52" s="5">
        <f t="shared" ref="T52" si="76">(R52/R49-1)*100</f>
        <v>-5.8850133084126561</v>
      </c>
    </row>
    <row r="53" spans="1:20" x14ac:dyDescent="0.25">
      <c r="A53" s="21">
        <v>45688</v>
      </c>
      <c r="B53" s="24">
        <f t="shared" si="70"/>
        <v>37</v>
      </c>
      <c r="C53" s="96" t="s">
        <v>382</v>
      </c>
      <c r="E53" s="46">
        <f t="shared" ref="E53:E55" si="77">E52*D53/100+E52</f>
        <v>1326749.2715762279</v>
      </c>
      <c r="F53" s="12"/>
      <c r="G53" s="5"/>
      <c r="I53" s="39"/>
      <c r="J53" s="20">
        <f t="shared" si="1"/>
        <v>45688</v>
      </c>
      <c r="K53" s="27">
        <f>'Global (Gross)'!K257</f>
        <v>3.3814129999999998</v>
      </c>
      <c r="L53" s="46">
        <f t="shared" ref="L53:L55" si="78">L52*K53/100+L52</f>
        <v>1229229.3351389475</v>
      </c>
      <c r="M53" s="12"/>
      <c r="N53" s="5"/>
      <c r="O53" s="39"/>
      <c r="P53" s="20">
        <f t="shared" si="2"/>
        <v>45688</v>
      </c>
      <c r="Q53" s="27">
        <v>2.8924319999999999</v>
      </c>
      <c r="R53" s="46">
        <f t="shared" ref="R53:R55" si="79">R52*Q53/100+R52</f>
        <v>1117162.139700392</v>
      </c>
      <c r="S53" s="12"/>
      <c r="T53" s="5"/>
    </row>
    <row r="54" spans="1:20" x14ac:dyDescent="0.25">
      <c r="A54" s="21">
        <v>45716</v>
      </c>
      <c r="B54" s="24">
        <f t="shared" ref="B54:B56" si="80">IF(A54&gt;A53,1+B53,"-")</f>
        <v>38</v>
      </c>
      <c r="C54" s="96" t="s">
        <v>382</v>
      </c>
      <c r="E54" s="46">
        <f t="shared" si="77"/>
        <v>1326749.2715762279</v>
      </c>
      <c r="F54" s="12"/>
      <c r="G54" s="5"/>
      <c r="I54" s="39"/>
      <c r="J54" s="20">
        <f t="shared" si="1"/>
        <v>45716</v>
      </c>
      <c r="K54" s="27">
        <f>'Global (Gross)'!K258</f>
        <v>-0.57200150000000005</v>
      </c>
      <c r="L54" s="46">
        <f t="shared" si="78"/>
        <v>1222198.1249035127</v>
      </c>
      <c r="M54" s="12"/>
      <c r="N54" s="5"/>
      <c r="O54" s="39"/>
      <c r="P54" s="20">
        <f t="shared" si="2"/>
        <v>45716</v>
      </c>
      <c r="Q54" s="27">
        <v>2.6981899999999999</v>
      </c>
      <c r="R54" s="46">
        <f t="shared" si="79"/>
        <v>1147305.2968375741</v>
      </c>
      <c r="S54" s="12"/>
      <c r="T54" s="5"/>
    </row>
    <row r="55" spans="1:20" x14ac:dyDescent="0.25">
      <c r="A55" s="21">
        <v>45747</v>
      </c>
      <c r="B55" s="24">
        <f t="shared" si="80"/>
        <v>39</v>
      </c>
      <c r="C55" s="96" t="s">
        <v>382</v>
      </c>
      <c r="E55" s="46">
        <f t="shared" si="77"/>
        <v>1326749.2715762279</v>
      </c>
      <c r="F55" s="12">
        <f>((E55-E$52)/E$52)*100</f>
        <v>0</v>
      </c>
      <c r="G55" s="5">
        <f>(E55/E52-1)*100</f>
        <v>0</v>
      </c>
      <c r="I55" s="39"/>
      <c r="J55" s="20">
        <f t="shared" si="1"/>
        <v>45747</v>
      </c>
      <c r="K55" s="27">
        <f>'Global (Gross)'!K259</f>
        <v>-3.8918849999999998</v>
      </c>
      <c r="L55" s="46">
        <f t="shared" si="78"/>
        <v>1174631.5794101115</v>
      </c>
      <c r="M55" s="12">
        <f>((L55-L$52)/L$52)*100</f>
        <v>-1.2104015398294481</v>
      </c>
      <c r="N55" s="5">
        <f>(L55/L52-1)*100</f>
        <v>-1.2104015398294532</v>
      </c>
      <c r="O55" s="39"/>
      <c r="P55" s="20">
        <f t="shared" si="2"/>
        <v>45747</v>
      </c>
      <c r="Q55" s="27">
        <v>0.2246773</v>
      </c>
      <c r="R55" s="46">
        <f t="shared" si="79"/>
        <v>1149883.0314012656</v>
      </c>
      <c r="S55" s="12">
        <f>((R55-R$52)/R$52)*100</f>
        <v>5.9060788151475379</v>
      </c>
      <c r="T55" s="5">
        <f>(R55/R52-1)*100</f>
        <v>5.9060788151475307</v>
      </c>
    </row>
    <row r="56" spans="1:20" x14ac:dyDescent="0.25">
      <c r="A56" s="21">
        <v>45777</v>
      </c>
      <c r="B56" s="24">
        <f t="shared" si="80"/>
        <v>40</v>
      </c>
      <c r="C56" s="96" t="s">
        <v>382</v>
      </c>
      <c r="E56" s="46">
        <f t="shared" ref="E56:E58" si="81">E55*D56/100+E55</f>
        <v>1326749.2715762279</v>
      </c>
      <c r="F56" s="12"/>
      <c r="G56" s="5"/>
      <c r="I56" s="39"/>
      <c r="J56" s="20">
        <f t="shared" si="1"/>
        <v>45777</v>
      </c>
      <c r="K56" s="27">
        <f>'Global (Gross)'!K260</f>
        <v>0.97781580000000001</v>
      </c>
      <c r="L56" s="46">
        <f t="shared" ref="L56:L58" si="82">L55*K56/100+L55</f>
        <v>1186117.3125853732</v>
      </c>
      <c r="M56" s="12"/>
      <c r="N56" s="5"/>
      <c r="O56" s="39"/>
      <c r="P56" s="20">
        <f t="shared" si="2"/>
        <v>45777</v>
      </c>
      <c r="Q56" s="27">
        <v>-0.54662060000000001</v>
      </c>
      <c r="R56" s="46">
        <f t="shared" ref="R56:R58" si="83">R55*Q56/100+R55</f>
        <v>1143597.533875722</v>
      </c>
      <c r="S56" s="12"/>
      <c r="T56" s="5"/>
    </row>
    <row r="57" spans="1:20" x14ac:dyDescent="0.25">
      <c r="A57" s="21">
        <v>45808</v>
      </c>
      <c r="B57" s="24">
        <f t="shared" ref="B57:B59" si="84">IF(A57&gt;A56,1+B56,"-")</f>
        <v>41</v>
      </c>
      <c r="C57" s="96" t="s">
        <v>382</v>
      </c>
      <c r="E57" s="46">
        <f t="shared" si="81"/>
        <v>1326749.2715762279</v>
      </c>
      <c r="F57" s="12"/>
      <c r="G57" s="5"/>
      <c r="I57" s="39"/>
      <c r="J57" s="20">
        <f t="shared" si="1"/>
        <v>45808</v>
      </c>
      <c r="K57" s="27">
        <f>'Global (Gross)'!K261</f>
        <v>5.8145300000000004</v>
      </c>
      <c r="L57" s="46">
        <f t="shared" si="82"/>
        <v>1255084.4595608434</v>
      </c>
      <c r="M57" s="12"/>
      <c r="N57" s="5"/>
      <c r="O57" s="39"/>
      <c r="P57" s="20">
        <f t="shared" si="2"/>
        <v>45808</v>
      </c>
      <c r="Q57" s="27">
        <v>2.3548550000000001</v>
      </c>
      <c r="R57" s="46">
        <f t="shared" si="83"/>
        <v>1170527.5975820711</v>
      </c>
      <c r="S57" s="12"/>
      <c r="T57" s="5"/>
    </row>
    <row r="58" spans="1:20" x14ac:dyDescent="0.25">
      <c r="A58" s="21">
        <v>45838</v>
      </c>
      <c r="B58" s="24">
        <f t="shared" si="84"/>
        <v>42</v>
      </c>
      <c r="C58" s="96" t="s">
        <v>382</v>
      </c>
      <c r="E58" s="46">
        <f t="shared" si="81"/>
        <v>1326749.2715762279</v>
      </c>
      <c r="F58" s="12">
        <f>((E58-E$52)/E$52)*100</f>
        <v>0</v>
      </c>
      <c r="G58" s="5">
        <f>(E58/E55-1)*100</f>
        <v>0</v>
      </c>
      <c r="I58" s="39"/>
      <c r="J58" s="20">
        <f t="shared" si="1"/>
        <v>45838</v>
      </c>
      <c r="K58" s="27">
        <f>'Global (Gross)'!K262</f>
        <v>4.5320140000000002</v>
      </c>
      <c r="L58" s="46">
        <f t="shared" si="82"/>
        <v>1311965.0629799652</v>
      </c>
      <c r="M58" s="12">
        <f>((L58-L$52)/L$52)*100</f>
        <v>10.339704838049096</v>
      </c>
      <c r="N58" s="5">
        <f>(L58/L55-1)*100</f>
        <v>11.691621949992292</v>
      </c>
      <c r="O58" s="39"/>
      <c r="P58" s="20">
        <f t="shared" si="2"/>
        <v>45838</v>
      </c>
      <c r="Q58" s="27">
        <v>2.077356</v>
      </c>
      <c r="R58" s="46">
        <f t="shared" si="83"/>
        <v>1194843.622862098</v>
      </c>
      <c r="S58" s="12">
        <f>((R58-R$52)/R$52)*100</f>
        <v>10.047021687418646</v>
      </c>
      <c r="T58" s="5">
        <f>(R58/R55-1)*100</f>
        <v>3.9100143434626311</v>
      </c>
    </row>
    <row r="59" spans="1:20" x14ac:dyDescent="0.25">
      <c r="A59" s="21">
        <v>45869</v>
      </c>
      <c r="B59" s="24">
        <f t="shared" si="84"/>
        <v>43</v>
      </c>
      <c r="C59" s="96" t="s">
        <v>382</v>
      </c>
      <c r="E59" s="46">
        <f t="shared" ref="E59:E61" si="85">E58*D59/100+E58</f>
        <v>1326749.2715762279</v>
      </c>
      <c r="F59" s="12"/>
      <c r="G59" s="5"/>
      <c r="I59" s="39"/>
      <c r="J59" s="20">
        <f t="shared" si="1"/>
        <v>45869</v>
      </c>
      <c r="K59" s="27">
        <f>'Global (Gross)'!K263</f>
        <v>1.3846879999999999</v>
      </c>
      <c r="L59" s="46">
        <f t="shared" ref="L59:L61" si="86">L58*K59/100+L58</f>
        <v>1330131.6857712413</v>
      </c>
      <c r="M59" s="12"/>
      <c r="N59" s="5"/>
      <c r="O59" s="39"/>
      <c r="P59" s="20">
        <f t="shared" si="2"/>
        <v>45869</v>
      </c>
      <c r="Q59" s="27">
        <v>-0.29891899999999999</v>
      </c>
      <c r="R59" s="46">
        <f t="shared" ref="R59:R61" si="87">R58*Q59/100+R58</f>
        <v>1191272.0082530749</v>
      </c>
      <c r="S59" s="12"/>
      <c r="T59" s="5"/>
    </row>
    <row r="60" spans="1:20" x14ac:dyDescent="0.25">
      <c r="A60" s="21">
        <v>45900</v>
      </c>
      <c r="B60" s="24">
        <f t="shared" ref="B60:B62" si="88">IF(A60&gt;A59,1+B59,"-")</f>
        <v>44</v>
      </c>
      <c r="C60" s="96" t="s">
        <v>382</v>
      </c>
      <c r="E60" s="46">
        <f t="shared" si="85"/>
        <v>1326749.2715762279</v>
      </c>
      <c r="F60" s="12"/>
      <c r="G60" s="5"/>
      <c r="I60" s="39"/>
      <c r="J60" s="20">
        <f t="shared" si="1"/>
        <v>45900</v>
      </c>
      <c r="K60" s="27">
        <f>'Global (Gross)'!K264</f>
        <v>2.5172910000000002</v>
      </c>
      <c r="L60" s="46">
        <f t="shared" si="86"/>
        <v>1363614.970985309</v>
      </c>
      <c r="M60" s="12"/>
      <c r="N60" s="5"/>
      <c r="O60" s="39"/>
      <c r="P60" s="20">
        <f t="shared" si="2"/>
        <v>45900</v>
      </c>
      <c r="Q60" s="27">
        <v>4.1833179999999999</v>
      </c>
      <c r="R60" s="46">
        <f t="shared" si="87"/>
        <v>1241106.7046032874</v>
      </c>
      <c r="S60" s="12"/>
      <c r="T60" s="5"/>
    </row>
    <row r="61" spans="1:20" x14ac:dyDescent="0.25">
      <c r="A61" s="21">
        <v>45930</v>
      </c>
      <c r="B61" s="24">
        <f t="shared" si="88"/>
        <v>45</v>
      </c>
      <c r="C61" s="96" t="s">
        <v>382</v>
      </c>
      <c r="E61" s="46">
        <f t="shared" si="85"/>
        <v>1326749.2715762279</v>
      </c>
      <c r="F61" s="12">
        <f>((E61-E$52)/E$52)*100</f>
        <v>0</v>
      </c>
      <c r="G61" s="5">
        <f>(E61/E58-1)*100</f>
        <v>0</v>
      </c>
      <c r="I61" s="39"/>
      <c r="J61" s="20">
        <f t="shared" si="1"/>
        <v>45930</v>
      </c>
      <c r="K61" s="27">
        <f>'Global (Gross)'!K265</f>
        <v>3.6652930000000001</v>
      </c>
      <c r="L61" s="46">
        <f t="shared" si="86"/>
        <v>1413595.4550637857</v>
      </c>
      <c r="M61" s="12">
        <f>((L61-L$52)/L$52)*100</f>
        <v>18.887087524927239</v>
      </c>
      <c r="N61" s="5">
        <f>(L61/L58-1)*100</f>
        <v>7.7464251870381196</v>
      </c>
      <c r="O61" s="39"/>
      <c r="P61" s="20">
        <f t="shared" si="2"/>
        <v>45930</v>
      </c>
      <c r="Q61" s="27">
        <v>1.073952</v>
      </c>
      <c r="R61" s="46">
        <f t="shared" si="87"/>
        <v>1254435.5948795085</v>
      </c>
      <c r="S61" s="12">
        <f>((R61-R$52)/R$52)*100</f>
        <v>15.535538269435744</v>
      </c>
      <c r="T61" s="5">
        <f>(R61/R58-1)*100</f>
        <v>4.9874285535930873</v>
      </c>
    </row>
    <row r="62" spans="1:20" x14ac:dyDescent="0.25">
      <c r="A62" s="21">
        <v>45961</v>
      </c>
      <c r="B62" s="24">
        <f t="shared" si="88"/>
        <v>46</v>
      </c>
      <c r="C62" s="96" t="s">
        <v>382</v>
      </c>
      <c r="E62" s="46">
        <f t="shared" ref="E62:E64" si="89">E61*D62/100+E61</f>
        <v>1326749.2715762279</v>
      </c>
      <c r="F62" s="12"/>
      <c r="G62" s="5"/>
      <c r="I62" s="39"/>
      <c r="J62" s="20">
        <f t="shared" si="1"/>
        <v>45961</v>
      </c>
      <c r="K62" s="27">
        <f>'Global (Gross)'!K266</f>
        <v>2.2553679999999998</v>
      </c>
      <c r="L62" s="46">
        <f t="shared" ref="L62:L64" si="90">L61*K62/100+L61</f>
        <v>1445477.2346067487</v>
      </c>
      <c r="M62" s="12"/>
      <c r="N62" s="5"/>
      <c r="O62" s="39"/>
      <c r="P62" s="20">
        <f t="shared" si="2"/>
        <v>45961</v>
      </c>
      <c r="Q62" s="27">
        <v>0.31058599999999997</v>
      </c>
      <c r="R62" s="46">
        <f t="shared" ref="R62:R64" si="91">R61*Q62/100+R61</f>
        <v>1258331.696216221</v>
      </c>
      <c r="S62" s="12"/>
      <c r="T62" s="5"/>
    </row>
    <row r="63" spans="1:20" x14ac:dyDescent="0.25">
      <c r="A63" s="21">
        <v>45991</v>
      </c>
      <c r="B63" s="24">
        <f t="shared" ref="B63:B64" si="92">IF(A63&gt;A62,1+B62,"-")</f>
        <v>47</v>
      </c>
      <c r="C63" s="96" t="s">
        <v>382</v>
      </c>
      <c r="E63" s="46">
        <f t="shared" si="89"/>
        <v>1326749.2715762279</v>
      </c>
      <c r="F63" s="12"/>
      <c r="G63" s="5"/>
      <c r="I63" s="39"/>
      <c r="J63" s="20">
        <f t="shared" si="1"/>
        <v>45991</v>
      </c>
      <c r="K63" s="27">
        <f>'Global (Gross)'!K267</f>
        <v>1.873611E-2</v>
      </c>
      <c r="L63" s="46">
        <f t="shared" si="90"/>
        <v>1445748.0608114495</v>
      </c>
      <c r="M63" s="12"/>
      <c r="N63" s="5"/>
      <c r="O63" s="39"/>
      <c r="P63" s="20">
        <f t="shared" si="2"/>
        <v>45991</v>
      </c>
      <c r="Q63" s="27">
        <v>2.2070430000000001</v>
      </c>
      <c r="R63" s="46">
        <f t="shared" si="91"/>
        <v>1286103.6178343424</v>
      </c>
      <c r="S63" s="12"/>
      <c r="T63" s="5"/>
    </row>
    <row r="64" spans="1:20" x14ac:dyDescent="0.25">
      <c r="A64" s="21">
        <v>46022</v>
      </c>
      <c r="B64" s="24">
        <f t="shared" si="92"/>
        <v>48</v>
      </c>
      <c r="C64" s="96" t="s">
        <v>382</v>
      </c>
      <c r="E64" s="46">
        <f t="shared" si="89"/>
        <v>1326749.2715762279</v>
      </c>
      <c r="F64" s="12">
        <f>((E64-E$52)/E$52)*100</f>
        <v>0</v>
      </c>
      <c r="G64" s="5">
        <f>(E64/E61-1)*100</f>
        <v>0</v>
      </c>
      <c r="I64" s="39"/>
      <c r="J64" s="20">
        <f t="shared" si="1"/>
        <v>46022</v>
      </c>
      <c r="K64" s="27">
        <f>'Global (Gross)'!K268</f>
        <v>1.0703</v>
      </c>
      <c r="L64" s="46">
        <f t="shared" si="90"/>
        <v>1461221.9023063146</v>
      </c>
      <c r="M64" s="12">
        <f>((L64-L$52)/L$52)*100</f>
        <v>22.892596725979651</v>
      </c>
      <c r="N64" s="5">
        <f>(L64/L61-1)*100</f>
        <v>3.3691709372664747</v>
      </c>
      <c r="O64" s="39"/>
      <c r="P64" s="20">
        <f t="shared" si="2"/>
        <v>46022</v>
      </c>
      <c r="Q64" s="27">
        <v>1.340374</v>
      </c>
      <c r="R64" s="46">
        <f t="shared" si="91"/>
        <v>1303342.2163408534</v>
      </c>
      <c r="S64" s="12">
        <f>((R64-R$52)/R$52)*100</f>
        <v>20.039916858931015</v>
      </c>
      <c r="T64" s="5">
        <f>(R64/R61-1)*100</f>
        <v>3.8986952906133521</v>
      </c>
    </row>
    <row r="65" spans="10:17" x14ac:dyDescent="0.25">
      <c r="Q65" s="29"/>
    </row>
    <row r="66" spans="10:17" x14ac:dyDescent="0.25">
      <c r="J66" t="s">
        <v>421</v>
      </c>
      <c r="P66" t="s">
        <v>386</v>
      </c>
      <c r="Q66" s="29">
        <f>_xll.BDP($P$66&amp;" US EQUITY","cust trr return holding per","cust trr start dt",TEXT($A52,"YYYYMMDD"),"cust trr end dt",TEXT($A53,"YYYYMMDD"))</f>
        <v>2.8924319999999999</v>
      </c>
    </row>
    <row r="67" spans="10:17" x14ac:dyDescent="0.25">
      <c r="Q67" s="29"/>
    </row>
    <row r="68" spans="10:17" x14ac:dyDescent="0.25">
      <c r="Q68" s="29"/>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dimension ref="A1:J101"/>
  <sheetViews>
    <sheetView workbookViewId="0">
      <selection activeCell="G15" sqref="G15"/>
    </sheetView>
  </sheetViews>
  <sheetFormatPr defaultColWidth="8.625" defaultRowHeight="15" x14ac:dyDescent="0.25"/>
  <cols>
    <col min="1" max="1" width="18.125" style="50" bestFit="1" customWidth="1"/>
    <col min="2" max="2" width="15" style="50" bestFit="1" customWidth="1"/>
    <col min="3" max="3" width="10" style="50" bestFit="1" customWidth="1"/>
    <col min="4" max="4" width="15.625" style="50" bestFit="1" customWidth="1"/>
    <col min="5" max="5" width="9.125" style="50" bestFit="1" customWidth="1"/>
    <col min="6" max="6" width="18.125" style="50" bestFit="1" customWidth="1"/>
    <col min="7" max="7" width="10.125" style="50" bestFit="1" customWidth="1"/>
    <col min="8" max="8" width="13.125" style="50" bestFit="1" customWidth="1"/>
    <col min="9" max="9" width="9.125" style="50" bestFit="1" customWidth="1"/>
    <col min="10" max="16384" width="8.625" style="50"/>
  </cols>
  <sheetData>
    <row r="1" spans="1:10" ht="15.75" x14ac:dyDescent="0.25">
      <c r="A1" s="50" t="s">
        <v>170</v>
      </c>
      <c r="B1" s="285" t="s">
        <v>171</v>
      </c>
      <c r="C1" s="51" t="s">
        <v>172</v>
      </c>
      <c r="D1" s="286" t="s">
        <v>45</v>
      </c>
      <c r="E1" s="286" t="s">
        <v>43</v>
      </c>
      <c r="G1"/>
    </row>
    <row r="2" spans="1:10" ht="15.75" x14ac:dyDescent="0.25">
      <c r="A2" s="50" t="s">
        <v>173</v>
      </c>
      <c r="B2" s="52">
        <f ca="1">'LC (Gross)'!F10</f>
        <v>0.77960299887097195</v>
      </c>
      <c r="C2" s="53">
        <f ca="1">'LC (Gross)'!D10/100</f>
        <v>9.084744023186575E-2</v>
      </c>
      <c r="D2" s="287">
        <f ca="1">('LC (Gross)'!H10)/100</f>
        <v>0.13297041827958145</v>
      </c>
      <c r="E2" s="59">
        <f ca="1">'LC (Gross)'!F10</f>
        <v>0.77960299887097195</v>
      </c>
      <c r="G2"/>
      <c r="H2" s="286"/>
    </row>
    <row r="3" spans="1:10" ht="15.75" x14ac:dyDescent="0.25">
      <c r="A3" s="50" t="s">
        <v>174</v>
      </c>
      <c r="B3" s="52">
        <f ca="1">IFERROR(SLOPE(OFFSET('Global (Gross)'!D$16,MAX('Global (Gross)'!$B$16:$B$506)-59,0,60,1),OFFSET('LC (Gross)'!K$16,MAX('LC (Gross)'!$B$16:$B$506)-59,0,60,1)),"N/A")</f>
        <v>0.6875333218227726</v>
      </c>
      <c r="C3" s="53">
        <f ca="1">'Global (Gross)'!D10/100</f>
        <v>7.7968754742904656E-2</v>
      </c>
      <c r="D3" s="287">
        <f ca="1">('Global (Gross)'!H10)/100</f>
        <v>0.11679647448083409</v>
      </c>
      <c r="E3" s="59">
        <f ca="1">'Global (Gross)'!F10</f>
        <v>0.76146475324368612</v>
      </c>
      <c r="G3"/>
      <c r="H3" s="286"/>
    </row>
    <row r="4" spans="1:10" ht="15.75" x14ac:dyDescent="0.25">
      <c r="A4" s="50" t="s">
        <v>154</v>
      </c>
      <c r="B4" s="52">
        <v>0</v>
      </c>
      <c r="C4" s="53" t="e">
        <f>'LC (Gross)'!#REF!/100</f>
        <v>#REF!</v>
      </c>
      <c r="D4" s="287" t="e">
        <f>('LC (Gross)'!#REF!)/100</f>
        <v>#REF!</v>
      </c>
      <c r="E4" s="59" t="e">
        <f>'LC (Gross)'!#REF!</f>
        <v>#REF!</v>
      </c>
      <c r="G4"/>
    </row>
    <row r="5" spans="1:10" ht="15.75" x14ac:dyDescent="0.25">
      <c r="A5" s="50" t="s">
        <v>151</v>
      </c>
      <c r="B5" s="52">
        <v>1</v>
      </c>
      <c r="C5" s="53">
        <f ca="1">'LC (Gross)'!K10/100</f>
        <v>0.14400235643986581</v>
      </c>
      <c r="D5" s="287">
        <f ca="1">('LC (Gross)'!M10)/100</f>
        <v>0.14982539708393594</v>
      </c>
      <c r="E5" s="59">
        <f ca="1">'LC (Gross)'!L10</f>
        <v>1</v>
      </c>
      <c r="G5"/>
    </row>
    <row r="6" spans="1:10" ht="15.75" x14ac:dyDescent="0.25">
      <c r="A6" s="50" t="s">
        <v>175</v>
      </c>
      <c r="B6" s="52">
        <f ca="1">IFERROR(SLOPE(OFFSET('Global (Gross)'!K$16,MAX('Global (Gross)'!$B$16:$B$506)-59,0,60,1),OFFSET('LC (Gross)'!K$16,MAX('LC (Gross)'!$B$16:$B$506)-59,0,60,1)),"N/A")</f>
        <v>0.89971603031417846</v>
      </c>
      <c r="C6" s="53">
        <f ca="1">'Global (Gross)'!K10/100</f>
        <v>0.11708135953882426</v>
      </c>
      <c r="D6" s="287">
        <f ca="1">('Global (Gross)'!M10)/100</f>
        <v>0.13847691822532401</v>
      </c>
      <c r="E6" s="59">
        <f ca="1">'Global (Gross)'!L10</f>
        <v>1</v>
      </c>
      <c r="G6"/>
    </row>
    <row r="7" spans="1:10" ht="15.75" x14ac:dyDescent="0.25">
      <c r="A7" s="286" t="s">
        <v>25</v>
      </c>
      <c r="B7" s="52">
        <f ca="1">IFERROR(SLOPE(OFFSET('SC (Gross)'!K$16,MAX('SC (Gross)'!$B$16:$B$506)-59,0,60,1),OFFSET('LC (Gross)'!K$16,MAX('LC (Gross)'!$B$16:$B$506)-59,0,60,1)),"N/A")</f>
        <v>-0.11574867774568511</v>
      </c>
      <c r="C7" s="53">
        <f ca="1">'SC (Gross)'!K10/100</f>
        <v>7.375628675682866E-2</v>
      </c>
      <c r="D7" s="287">
        <f ca="1">('SC (Gross)'!M10)/100</f>
        <v>0.24479389245208621</v>
      </c>
      <c r="E7" s="59">
        <f ca="1">'SC (Gross)'!L10</f>
        <v>1</v>
      </c>
      <c r="G7"/>
    </row>
    <row r="8" spans="1:10" ht="15.75" x14ac:dyDescent="0.25">
      <c r="A8" s="286" t="s">
        <v>176</v>
      </c>
      <c r="B8" s="52">
        <f ca="1">IFERROR(SLOPE(OFFSET('SC (Gross)'!D$16,MAX('SC (Gross)'!$B$16:$B$506)-59,0,60,1),OFFSET('LC (Gross)'!K$16,MAX('LC (Gross)'!$B$16:$B$506)-59,0,60,1)),"N/A")</f>
        <v>-3.778560112085258E-2</v>
      </c>
      <c r="C8" s="53">
        <f ca="1">'SC (Gross)'!D10/100</f>
        <v>1.5306950300881583E-2</v>
      </c>
      <c r="D8" s="287">
        <f ca="1">('SC (Gross)'!H10)/100</f>
        <v>0.18696049406804791</v>
      </c>
      <c r="E8" s="59">
        <f ca="1">'SC (Gross)'!F10</f>
        <v>0.6580836210498423</v>
      </c>
      <c r="G8"/>
    </row>
    <row r="9" spans="1:10" ht="15.75" x14ac:dyDescent="0.25">
      <c r="A9" s="286" t="s">
        <v>177</v>
      </c>
      <c r="B9" s="52">
        <f ca="1">IFERROR(SLOPE(OFFSET(ITL!K$16,MAX(ITL!$B$16:$B$506)-59,0,60,1),OFFSET('LC (Gross)'!K$16,MAX('LC (Gross)'!$B$16:$B$506)-59,0,60,1)),"N/A")</f>
        <v>-1.1705855824224716E-2</v>
      </c>
      <c r="C9" s="53">
        <f ca="1">ITL!K10/100</f>
        <v>9.5274797724053992E-2</v>
      </c>
      <c r="D9" s="287">
        <f ca="1">(ITL!M10)/100</f>
        <v>0.14742943818831405</v>
      </c>
      <c r="E9" s="59">
        <f ca="1">ITL!L10</f>
        <v>1</v>
      </c>
      <c r="G9"/>
    </row>
    <row r="10" spans="1:10" ht="15.75" x14ac:dyDescent="0.25">
      <c r="A10" s="286" t="s">
        <v>178</v>
      </c>
      <c r="B10" s="52">
        <f ca="1">IFERROR(SLOPE(OFFSET(ITL!D$16,MAX(ITL!$B$16:$B$506)-59,0,60,1),OFFSET('LC (Gross)'!K$16,MAX('LC (Gross)'!$B$16:$B$506)-59,0,60,1)),"N/A")</f>
        <v>4.0190840913441085E-2</v>
      </c>
      <c r="C10" s="53">
        <f ca="1">ITL!D10/100</f>
        <v>3.1715373705755834E-2</v>
      </c>
      <c r="D10" s="287">
        <f ca="1">(ITL!H10)/100</f>
        <v>0.11343077876065183</v>
      </c>
      <c r="E10" s="59">
        <f ca="1">ITL!F10</f>
        <v>0.72703382287571405</v>
      </c>
      <c r="G10"/>
    </row>
    <row r="11" spans="1:10" ht="15.75" x14ac:dyDescent="0.25">
      <c r="A11" s="286"/>
      <c r="B11" s="288"/>
      <c r="C11" s="289"/>
      <c r="D11" s="290"/>
      <c r="E11" s="291"/>
      <c r="G11"/>
    </row>
    <row r="12" spans="1:10" ht="23.25" x14ac:dyDescent="0.35">
      <c r="A12" s="63" t="s">
        <v>179</v>
      </c>
    </row>
    <row r="13" spans="1:10" x14ac:dyDescent="0.25">
      <c r="A13" s="286" t="s">
        <v>180</v>
      </c>
      <c r="B13" s="292">
        <f t="shared" ref="B13:I13" si="0">(B52/100)^(1/3)-1</f>
        <v>-0.7727759650654088</v>
      </c>
      <c r="C13" s="292">
        <f t="shared" si="0"/>
        <v>-0.76306875565289578</v>
      </c>
      <c r="D13" s="292">
        <f t="shared" si="0"/>
        <v>-0.77278142735091082</v>
      </c>
      <c r="E13" s="292">
        <f t="shared" si="0"/>
        <v>-0.77110554439312518</v>
      </c>
      <c r="F13" s="292">
        <f t="shared" si="0"/>
        <v>-0.77074493563401969</v>
      </c>
      <c r="G13" s="292">
        <f t="shared" si="0"/>
        <v>-0.77984164666919842</v>
      </c>
      <c r="H13" s="292" t="e">
        <f t="shared" si="0"/>
        <v>#N/A</v>
      </c>
      <c r="I13" s="292" t="e">
        <f t="shared" si="0"/>
        <v>#N/A</v>
      </c>
    </row>
    <row r="14" spans="1:10" x14ac:dyDescent="0.25">
      <c r="A14" s="286" t="s">
        <v>181</v>
      </c>
      <c r="B14" s="293">
        <f>1/VLOOKUP($A16,'LC (Gross)'!A:E,5,0)</f>
        <v>8.3060315134967098E-8</v>
      </c>
      <c r="C14" s="294">
        <f>1/VLOOKUP($A16,'LC (Gross)'!J:L,3,0)</f>
        <v>2.6068996248697868E-7</v>
      </c>
      <c r="D14" s="294">
        <f>1/VLOOKUP($A16,'Global (Gross)'!$A:$E,5,0)</f>
        <v>2.3018693357710739E-7</v>
      </c>
      <c r="E14" s="294">
        <f>1/VLOOKUP($A16,'Global (Gross)'!$J:$L,3,0)</f>
        <v>2.9058864183800173E-7</v>
      </c>
      <c r="F14" s="294">
        <f>1/VLOOKUP($A16,'SC (Gross)'!$A:$E,5,0)</f>
        <v>2.0487315681106948E-7</v>
      </c>
      <c r="G14" s="294">
        <f>1/VLOOKUP($A16,'SC (Gross)'!$J:$L,3,0)</f>
        <v>2.66536564177405E-7</v>
      </c>
      <c r="H14" s="294" t="e">
        <f>1/VLOOKUP($A16,ITL!$A:$E,5,0)</f>
        <v>#DIV/0!</v>
      </c>
      <c r="I14" s="294">
        <f>1/VLOOKUP($A16,ITL!$J:$L,3,0)</f>
        <v>3.861684915290518E-7</v>
      </c>
      <c r="J14" s="285"/>
    </row>
    <row r="15" spans="1:10" x14ac:dyDescent="0.25">
      <c r="A15" s="58" t="s">
        <v>69</v>
      </c>
      <c r="B15" s="57" t="s">
        <v>173</v>
      </c>
      <c r="C15" s="57" t="s">
        <v>151</v>
      </c>
      <c r="D15" s="57" t="s">
        <v>174</v>
      </c>
      <c r="E15" s="57" t="s">
        <v>175</v>
      </c>
      <c r="F15" s="57" t="s">
        <v>176</v>
      </c>
      <c r="G15" s="57" t="s">
        <v>25</v>
      </c>
      <c r="H15" s="57" t="s">
        <v>178</v>
      </c>
      <c r="I15" s="57" t="s">
        <v>177</v>
      </c>
      <c r="J15" s="294"/>
    </row>
    <row r="16" spans="1:10" ht="15.75" x14ac:dyDescent="0.25">
      <c r="A16" s="21">
        <f>VLOOKUP(A17-28,'LC (Gross)'!A:A,1)</f>
        <v>44196</v>
      </c>
      <c r="B16" s="292">
        <f>VLOOKUP($A16,'LC (Gross)'!A:E,5,0)*B$14</f>
        <v>1</v>
      </c>
      <c r="C16" s="292">
        <f>VLOOKUP($A16,'LC (Gross)'!J:L,3,0)*C$14</f>
        <v>1</v>
      </c>
      <c r="D16" s="292">
        <f>VLOOKUP($A16,'Global (Gross)'!$A:$E,5,0)*D$14</f>
        <v>1</v>
      </c>
      <c r="E16" s="292">
        <f>VLOOKUP($A16,'Global (Gross)'!$J:$L,3,0)*E$14</f>
        <v>1</v>
      </c>
      <c r="F16" s="292">
        <f>VLOOKUP($A16,'SC (Gross)'!$A:$E,5,0)*F$14</f>
        <v>1</v>
      </c>
      <c r="G16" s="292">
        <f>VLOOKUP($A16,'SC (Gross)'!$J:$L,3,0)*G$14</f>
        <v>1</v>
      </c>
      <c r="H16" s="292" t="e">
        <f>VLOOKUP($A16,ITL!$A:$E,5,0)*H$14</f>
        <v>#DIV/0!</v>
      </c>
      <c r="I16" s="292">
        <f>VLOOKUP($A16,ITL!$J:$L,3,0)*I$14</f>
        <v>1</v>
      </c>
      <c r="J16" s="56"/>
    </row>
    <row r="17" spans="1:10" ht="15.75" x14ac:dyDescent="0.25">
      <c r="A17" s="21">
        <f>VLOOKUP(A18-28,'LC (Gross)'!A:A,1)</f>
        <v>44227</v>
      </c>
      <c r="B17" s="292">
        <f>VLOOKUP($A17,'LC (Gross)'!A:E,5,0)*B$14</f>
        <v>0.96980100000000002</v>
      </c>
      <c r="C17" s="292">
        <f>VLOOKUP($A17,'LC (Gross)'!J:L,3,0)*C$14</f>
        <v>0.98982256999999996</v>
      </c>
      <c r="D17" s="292">
        <f>VLOOKUP($A17,'Global (Gross)'!$A:$E,5,0)*D$14</f>
        <v>0.98055000000000003</v>
      </c>
      <c r="E17" s="292">
        <f>VLOOKUP($A17,'Global (Gross)'!$J:$L,3,0)*E$14</f>
        <v>0.99557839699999995</v>
      </c>
      <c r="F17" s="292">
        <f>VLOOKUP($A17,'SC (Gross)'!$A:$E,5,0)*F$14</f>
        <v>1.0230520000000001</v>
      </c>
      <c r="G17" s="292">
        <f>VLOOKUP($A17,'SC (Gross)'!$J:$L,3,0)*G$14</f>
        <v>1.0503201500000001</v>
      </c>
      <c r="H17" s="292" t="e">
        <f>VLOOKUP($A17,ITL!$A:$E,5,0)*H$14</f>
        <v>#DIV/0!</v>
      </c>
      <c r="I17" s="292">
        <f>VLOOKUP($A17,ITL!$J:$L,3,0)*I$14</f>
        <v>1.002067365</v>
      </c>
      <c r="J17" s="56"/>
    </row>
    <row r="18" spans="1:10" ht="15.75" x14ac:dyDescent="0.25">
      <c r="A18" s="21">
        <f>VLOOKUP(A19-28,'LC (Gross)'!A:A,1)</f>
        <v>44255</v>
      </c>
      <c r="B18" s="292">
        <f>VLOOKUP($A18,'LC (Gross)'!A:E,5,0)*B$14</f>
        <v>0.97189577015999995</v>
      </c>
      <c r="C18" s="292">
        <f>VLOOKUP($A18,'LC (Gross)'!J:L,3,0)*C$14</f>
        <v>1.0171176499382262</v>
      </c>
      <c r="D18" s="292">
        <f>VLOOKUP($A18,'Global (Gross)'!$A:$E,5,0)*D$14</f>
        <v>0.98269446285000006</v>
      </c>
      <c r="E18" s="292">
        <f>VLOOKUP($A18,'Global (Gross)'!$J:$L,3,0)*E$14</f>
        <v>1.0189569273265771</v>
      </c>
      <c r="F18" s="292">
        <f>VLOOKUP($A18,'SC (Gross)'!$A:$E,5,0)*F$14</f>
        <v>1.039565082332</v>
      </c>
      <c r="G18" s="292">
        <f>VLOOKUP($A18,'SC (Gross)'!$J:$L,3,0)*G$14</f>
        <v>1.1157723100922585</v>
      </c>
      <c r="H18" s="292" t="e">
        <f>VLOOKUP($A18,ITL!$A:$E,5,0)*H$14</f>
        <v>#DIV/0!</v>
      </c>
      <c r="I18" s="292">
        <f>VLOOKUP($A18,ITL!$J:$L,3,0)*I$14</f>
        <v>1.0220932904832527</v>
      </c>
      <c r="J18" s="56"/>
    </row>
    <row r="19" spans="1:10" ht="15.75" x14ac:dyDescent="0.25">
      <c r="A19" s="21">
        <f>VLOOKUP(A20-28,'LC (Gross)'!A:A,1)</f>
        <v>44286</v>
      </c>
      <c r="B19" s="292">
        <f>VLOOKUP($A19,'LC (Gross)'!A:E,5,0)*B$14</f>
        <v>0.99555268510146444</v>
      </c>
      <c r="C19" s="292">
        <f>VLOOKUP($A19,'LC (Gross)'!J:L,3,0)*C$14</f>
        <v>1.0616587575054959</v>
      </c>
      <c r="D19" s="292">
        <f>VLOOKUP($A19,'Global (Gross)'!$A:$E,5,0)*D$14</f>
        <v>1.0088419971175129</v>
      </c>
      <c r="E19" s="292">
        <f>VLOOKUP($A19,'Global (Gross)'!$J:$L,3,0)*E$14</f>
        <v>1.0468207732245087</v>
      </c>
      <c r="F19" s="292">
        <f>VLOOKUP($A19,'SC (Gross)'!$A:$E,5,0)*F$14</f>
        <v>1.0508298095641495</v>
      </c>
      <c r="G19" s="292">
        <f>VLOOKUP($A19,'SC (Gross)'!$J:$L,3,0)*G$14</f>
        <v>1.1269399300935716</v>
      </c>
      <c r="H19" s="292" t="e">
        <f>VLOOKUP($A19,ITL!$A:$E,5,0)*H$14</f>
        <v>#DIV/0!</v>
      </c>
      <c r="I19" s="292">
        <f>VLOOKUP($A19,ITL!$J:$L,3,0)*I$14</f>
        <v>1.0359878106508744</v>
      </c>
      <c r="J19" s="56"/>
    </row>
    <row r="20" spans="1:10" ht="15.75" x14ac:dyDescent="0.25">
      <c r="A20" s="21">
        <f>VLOOKUP(A21-28,'LC (Gross)'!A:A,1)</f>
        <v>44316</v>
      </c>
      <c r="B20" s="292">
        <f>VLOOKUP($A20,'LC (Gross)'!A:E,5,0)*B$14</f>
        <v>1.0437185195593583</v>
      </c>
      <c r="C20" s="292">
        <f>VLOOKUP($A20,'LC (Gross)'!J:L,3,0)*C$14</f>
        <v>1.1183174894751</v>
      </c>
      <c r="D20" s="292">
        <f>VLOOKUP($A20,'Global (Gross)'!$A:$E,5,0)*D$14</f>
        <v>1.0510852380628144</v>
      </c>
      <c r="E20" s="292">
        <f>VLOOKUP($A20,'Global (Gross)'!$J:$L,3,0)*E$14</f>
        <v>1.0929752057980546</v>
      </c>
      <c r="F20" s="292">
        <f>VLOOKUP($A20,'SC (Gross)'!$A:$E,5,0)*F$14</f>
        <v>1.0770616741002994</v>
      </c>
      <c r="G20" s="292">
        <f>VLOOKUP($A20,'SC (Gross)'!$J:$L,3,0)*G$14</f>
        <v>1.1506045754938046</v>
      </c>
      <c r="H20" s="292" t="e">
        <f>VLOOKUP($A20,ITL!$A:$E,5,0)*H$14</f>
        <v>#DIV/0!</v>
      </c>
      <c r="I20" s="292">
        <f>VLOOKUP($A20,ITL!$J:$L,3,0)*I$14</f>
        <v>1.067035764463151</v>
      </c>
      <c r="J20" s="56"/>
    </row>
    <row r="21" spans="1:10" ht="15.75" x14ac:dyDescent="0.25">
      <c r="A21" s="21">
        <f>VLOOKUP(A22-28,'LC (Gross)'!A:A,1)</f>
        <v>44347</v>
      </c>
      <c r="B21" s="292">
        <f>VLOOKUP($A21,'LC (Gross)'!A:E,5,0)*B$14</f>
        <v>1.0450169053976901</v>
      </c>
      <c r="C21" s="292">
        <f>VLOOKUP($A21,'LC (Gross)'!J:L,3,0)*C$14</f>
        <v>1.1261250957185074</v>
      </c>
      <c r="D21" s="292">
        <f>VLOOKUP($A21,'Global (Gross)'!$A:$E,5,0)*D$14</f>
        <v>1.0634743797638608</v>
      </c>
      <c r="E21" s="292">
        <f>VLOOKUP($A21,'Global (Gross)'!$J:$L,3,0)*E$14</f>
        <v>1.1105048449172386</v>
      </c>
      <c r="F21" s="292">
        <f>VLOOKUP($A21,'SC (Gross)'!$A:$E,5,0)*F$14</f>
        <v>1.0728492858928931</v>
      </c>
      <c r="G21" s="292">
        <f>VLOOKUP($A21,'SC (Gross)'!$J:$L,3,0)*G$14</f>
        <v>1.1529747933048118</v>
      </c>
      <c r="H21" s="292" t="e">
        <f>VLOOKUP($A21,ITL!$A:$E,5,0)*H$14</f>
        <v>#DIV/0!</v>
      </c>
      <c r="I21" s="292">
        <f>VLOOKUP($A21,ITL!$J:$L,3,0)*I$14</f>
        <v>1.1010008786517915</v>
      </c>
      <c r="J21" s="56"/>
    </row>
    <row r="22" spans="1:10" ht="15.75" x14ac:dyDescent="0.25">
      <c r="A22" s="21">
        <f>VLOOKUP(A23-28,'LC (Gross)'!A:A,1)</f>
        <v>44377</v>
      </c>
      <c r="B22" s="292">
        <f>VLOOKUP($A22,'LC (Gross)'!A:E,5,0)*B$14</f>
        <v>1.0796132350677861</v>
      </c>
      <c r="C22" s="292">
        <f>VLOOKUP($A22,'LC (Gross)'!J:L,3,0)*C$14</f>
        <v>1.1524109387840042</v>
      </c>
      <c r="D22" s="292">
        <f>VLOOKUP($A22,'Global (Gross)'!$A:$E,5,0)*D$14</f>
        <v>1.0823659386459861</v>
      </c>
      <c r="E22" s="292">
        <f>VLOOKUP($A22,'Global (Gross)'!$J:$L,3,0)*E$14</f>
        <v>1.1255387484572437</v>
      </c>
      <c r="F22" s="292">
        <f>VLOOKUP($A22,'SC (Gross)'!$A:$E,5,0)*F$14</f>
        <v>1.0758757937283969</v>
      </c>
      <c r="G22" s="292">
        <f>VLOOKUP($A22,'SC (Gross)'!$J:$L,3,0)*G$14</f>
        <v>1.1753114085647498</v>
      </c>
      <c r="H22" s="292" t="e">
        <f>VLOOKUP($A22,ITL!$A:$E,5,0)*H$14</f>
        <v>#DIV/0!</v>
      </c>
      <c r="I22" s="292">
        <f>VLOOKUP($A22,ITL!$J:$L,3,0)*I$14</f>
        <v>1.0943076091512396</v>
      </c>
      <c r="J22" s="56"/>
    </row>
    <row r="23" spans="1:10" ht="15.75" x14ac:dyDescent="0.25">
      <c r="A23" s="21">
        <f>VLOOKUP(A24-28,'LC (Gross)'!A:A,1)</f>
        <v>44408</v>
      </c>
      <c r="B23" s="292">
        <f>VLOOKUP($A23,'LC (Gross)'!A:E,5,0)*B$14</f>
        <v>1.1106920612656825</v>
      </c>
      <c r="C23" s="292">
        <f>VLOOKUP($A23,'LC (Gross)'!J:L,3,0)*C$14</f>
        <v>1.1797843517228004</v>
      </c>
      <c r="D23" s="292">
        <f>VLOOKUP($A23,'Global (Gross)'!$A:$E,5,0)*D$14</f>
        <v>1.0975699329861464</v>
      </c>
      <c r="E23" s="292">
        <f>VLOOKUP($A23,'Global (Gross)'!$J:$L,3,0)*E$14</f>
        <v>1.1336174817849565</v>
      </c>
      <c r="F23" s="292">
        <f>VLOOKUP($A23,'SC (Gross)'!$A:$E,5,0)*F$14</f>
        <v>1.0956988052278427</v>
      </c>
      <c r="G23" s="292">
        <f>VLOOKUP($A23,'SC (Gross)'!$J:$L,3,0)*G$14</f>
        <v>1.1328720889128852</v>
      </c>
      <c r="H23" s="292" t="e">
        <f>VLOOKUP($A23,ITL!$A:$E,5,0)*H$14</f>
        <v>#DIV/0!</v>
      </c>
      <c r="I23" s="292">
        <f>VLOOKUP($A23,ITL!$J:$L,3,0)*I$14</f>
        <v>1.0765743981172482</v>
      </c>
      <c r="J23" s="56"/>
    </row>
    <row r="24" spans="1:10" ht="15.75" x14ac:dyDescent="0.25">
      <c r="A24" s="21">
        <f>VLOOKUP(A25-28,'LC (Gross)'!A:A,1)</f>
        <v>44439</v>
      </c>
      <c r="B24" s="292">
        <f>VLOOKUP($A24,'LC (Gross)'!A:E,5,0)*B$14</f>
        <v>1.1356681936473638</v>
      </c>
      <c r="C24" s="292">
        <f>VLOOKUP($A24,'LC (Gross)'!J:L,3,0)*C$14</f>
        <v>1.215657535400521</v>
      </c>
      <c r="D24" s="292">
        <f>VLOOKUP($A24,'Global (Gross)'!$A:$E,5,0)*D$14</f>
        <v>1.1250256448597946</v>
      </c>
      <c r="E24" s="292">
        <f>VLOOKUP($A24,'Global (Gross)'!$J:$L,3,0)*E$14</f>
        <v>1.1623637878965838</v>
      </c>
      <c r="F24" s="292">
        <f>VLOOKUP($A24,'SC (Gross)'!$A:$E,5,0)*F$14</f>
        <v>1.1039483215324031</v>
      </c>
      <c r="G24" s="292">
        <f>VLOOKUP($A24,'SC (Gross)'!$J:$L,3,0)*G$14</f>
        <v>1.1581870560234773</v>
      </c>
      <c r="H24" s="292" t="e">
        <f>VLOOKUP($A24,ITL!$A:$E,5,0)*H$14</f>
        <v>#DIV/0!</v>
      </c>
      <c r="I24" s="292">
        <f>VLOOKUP($A24,ITL!$J:$L,3,0)*I$14</f>
        <v>1.0972807779293881</v>
      </c>
      <c r="J24" s="56"/>
    </row>
    <row r="25" spans="1:10" ht="15.75" x14ac:dyDescent="0.25">
      <c r="A25" s="21">
        <f>VLOOKUP(A26-28,'LC (Gross)'!A:A,1)</f>
        <v>44469</v>
      </c>
      <c r="B25" s="292">
        <f>VLOOKUP($A25,'LC (Gross)'!A:E,5,0)*B$14</f>
        <v>1.0698812065257592</v>
      </c>
      <c r="C25" s="292">
        <f>VLOOKUP($A25,'LC (Gross)'!J:L,3,0)*C$14</f>
        <v>1.1591004422590268</v>
      </c>
      <c r="D25" s="292">
        <f>VLOOKUP($A25,'Global (Gross)'!$A:$E,5,0)*D$14</f>
        <v>1.0831983164095524</v>
      </c>
      <c r="E25" s="292">
        <f>VLOOKUP($A25,'Global (Gross)'!$J:$L,3,0)*E$14</f>
        <v>1.1149344053043047</v>
      </c>
      <c r="F25" s="292">
        <f>VLOOKUP($A25,'SC (Gross)'!$A:$E,5,0)*F$14</f>
        <v>1.0691264796263065</v>
      </c>
      <c r="G25" s="292">
        <f>VLOOKUP($A25,'SC (Gross)'!$J:$L,3,0)*G$14</f>
        <v>1.1240324208699795</v>
      </c>
      <c r="H25" s="292" t="e">
        <f>VLOOKUP($A25,ITL!$A:$E,5,0)*H$14</f>
        <v>#DIV/0!</v>
      </c>
      <c r="I25" s="292" t="e">
        <f>VLOOKUP($A25,ITL!$J:$L,3,0)*I$14</f>
        <v>#N/A</v>
      </c>
      <c r="J25" s="56"/>
    </row>
    <row r="26" spans="1:10" ht="15.75" x14ac:dyDescent="0.25">
      <c r="A26" s="21">
        <f>VLOOKUP(A27-28,'LC (Gross)'!A:A,1)</f>
        <v>44500</v>
      </c>
      <c r="B26" s="292">
        <f>VLOOKUP($A26,'LC (Gross)'!A:E,5,0)*B$14</f>
        <v>1.1582191579861782</v>
      </c>
      <c r="C26" s="292">
        <f>VLOOKUP($A26,'LC (Gross)'!J:L,3,0)*C$14</f>
        <v>1.2402968887058288</v>
      </c>
      <c r="D26" s="292">
        <f>VLOOKUP($A26,'Global (Gross)'!$A:$E,5,0)*D$14</f>
        <v>1.1478284271564447</v>
      </c>
      <c r="E26" s="292">
        <f>VLOOKUP($A26,'Global (Gross)'!$J:$L,3,0)*E$14</f>
        <v>1.1720855303944733</v>
      </c>
      <c r="F26" s="292">
        <f>VLOOKUP($A26,'SC (Gross)'!$A:$E,5,0)*F$14</f>
        <v>1.119689747353753</v>
      </c>
      <c r="G26" s="292">
        <f>VLOOKUP($A26,'SC (Gross)'!$J:$L,3,0)*G$14</f>
        <v>1.1718477484246095</v>
      </c>
      <c r="H26" s="292" t="e">
        <f>VLOOKUP($A26,ITL!$A:$E,5,0)*H$14</f>
        <v>#DIV/0!</v>
      </c>
      <c r="I26" s="292" t="e">
        <f>VLOOKUP($A26,ITL!$J:$L,3,0)*I$14</f>
        <v>#N/A</v>
      </c>
      <c r="J26" s="56"/>
    </row>
    <row r="27" spans="1:10" ht="15.75" x14ac:dyDescent="0.25">
      <c r="A27" s="21">
        <f>VLOOKUP(A28-28,'LC (Gross)'!A:A,1)</f>
        <v>44530</v>
      </c>
      <c r="B27" s="292">
        <f>VLOOKUP($A27,'LC (Gross)'!A:E,5,0)*B$14</f>
        <v>1.1389417583206565</v>
      </c>
      <c r="C27" s="292">
        <f>VLOOKUP($A27,'LC (Gross)'!J:L,3,0)*C$14</f>
        <v>1.2316765003715384</v>
      </c>
      <c r="D27" s="292">
        <f>VLOOKUP($A27,'Global (Gross)'!$A:$E,5,0)*D$14</f>
        <v>1.125071580759641</v>
      </c>
      <c r="E27" s="292">
        <f>VLOOKUP($A27,'Global (Gross)'!$J:$L,3,0)*E$14</f>
        <v>1.1442215996846821</v>
      </c>
      <c r="F27" s="292">
        <f>VLOOKUP($A27,'SC (Gross)'!$A:$E,5,0)*F$14</f>
        <v>1.1138729591162504</v>
      </c>
      <c r="G27" s="292">
        <f>VLOOKUP($A27,'SC (Gross)'!$J:$L,3,0)*G$14</f>
        <v>1.122771924849858</v>
      </c>
      <c r="H27" s="292" t="e">
        <f>VLOOKUP($A27,ITL!$A:$E,5,0)*H$14</f>
        <v>#DIV/0!</v>
      </c>
      <c r="I27" s="292" t="e">
        <f>VLOOKUP($A27,ITL!$J:$L,3,0)*I$14</f>
        <v>#N/A</v>
      </c>
      <c r="J27" s="56"/>
    </row>
    <row r="28" spans="1:10" ht="15.75" x14ac:dyDescent="0.25">
      <c r="A28" s="21">
        <f>VLOOKUP(A29-28,'LC (Gross)'!A:A,1)</f>
        <v>44561</v>
      </c>
      <c r="B28" s="292">
        <f>VLOOKUP($A28,'LC (Gross)'!A:E,5,0)*B$14</f>
        <v>1.1853160498941986</v>
      </c>
      <c r="C28" s="292">
        <f>VLOOKUP($A28,'LC (Gross)'!J:L,3,0)*C$14</f>
        <v>1.2867839363326266</v>
      </c>
      <c r="D28" s="292">
        <f>VLOOKUP($A28,'Global (Gross)'!$A:$E,5,0)*D$14</f>
        <v>1.1696716683641146</v>
      </c>
      <c r="E28" s="292">
        <f>VLOOKUP($A28,'Global (Gross)'!$J:$L,3,0)*E$14</f>
        <v>1.1904409322736491</v>
      </c>
      <c r="F28" s="292">
        <f>VLOOKUP($A28,'SC (Gross)'!$A:$E,5,0)*F$14</f>
        <v>1.1905152158141621</v>
      </c>
      <c r="G28" s="292">
        <f>VLOOKUP($A28,'SC (Gross)'!$J:$L,3,0)*G$14</f>
        <v>1.1478431187833356</v>
      </c>
      <c r="H28" s="292" t="e">
        <f>VLOOKUP($A28,ITL!$A:$E,5,0)*H$14</f>
        <v>#DIV/0!</v>
      </c>
      <c r="I28" s="292" t="e">
        <f>VLOOKUP($A28,ITL!$J:$L,3,0)*I$14</f>
        <v>#N/A</v>
      </c>
      <c r="J28" s="56"/>
    </row>
    <row r="29" spans="1:10" ht="15.75" x14ac:dyDescent="0.25">
      <c r="A29" s="21">
        <f>VLOOKUP(A30-28,'LC (Gross)'!A:A,1)</f>
        <v>44592</v>
      </c>
      <c r="B29" s="292">
        <f>VLOOKUP($A29,'LC (Gross)'!A:E,5,0)*B$14</f>
        <v>1.1012297293147042</v>
      </c>
      <c r="C29" s="292">
        <f>VLOOKUP($A29,'LC (Gross)'!J:L,3,0)*C$14</f>
        <v>1.2201946819927634</v>
      </c>
      <c r="D29" s="292">
        <f>VLOOKUP($A29,'Global (Gross)'!$A:$E,5,0)*D$14</f>
        <v>1.1430464321771423</v>
      </c>
      <c r="E29" s="292">
        <f>VLOOKUP($A29,'Global (Gross)'!$J:$L,3,0)*E$14</f>
        <v>1.1322063356238112</v>
      </c>
      <c r="F29" s="292">
        <f>VLOOKUP($A29,'SC (Gross)'!$A:$E,5,0)*F$14</f>
        <v>1.1101602008075693</v>
      </c>
      <c r="G29" s="292">
        <f>VLOOKUP($A29,'SC (Gross)'!$J:$L,3,0)*G$14</f>
        <v>1.0373281290362983</v>
      </c>
      <c r="H29" s="292" t="e">
        <f>VLOOKUP($A29,ITL!$A:$E,5,0)*H$14</f>
        <v>#DIV/0!</v>
      </c>
      <c r="I29" s="292" t="e">
        <f>VLOOKUP($A29,ITL!$J:$L,3,0)*I$14</f>
        <v>#N/A</v>
      </c>
      <c r="J29" s="56"/>
    </row>
    <row r="30" spans="1:10" ht="15.75" x14ac:dyDescent="0.25">
      <c r="A30" s="21">
        <f>VLOOKUP(A31-28,'LC (Gross)'!A:A,1)</f>
        <v>44620</v>
      </c>
      <c r="B30" s="292">
        <f>VLOOKUP($A30,'LC (Gross)'!A:E,5,0)*B$14</f>
        <v>1.0554086615076486</v>
      </c>
      <c r="C30" s="292">
        <f>VLOOKUP($A30,'LC (Gross)'!J:L,3,0)*C$14</f>
        <v>1.1836252277383976</v>
      </c>
      <c r="D30" s="292">
        <f>VLOOKUP($A30,'Global (Gross)'!$A:$E,5,0)*D$14</f>
        <v>1.1098775108082259</v>
      </c>
      <c r="E30" s="292">
        <f>VLOOKUP($A30,'Global (Gross)'!$J:$L,3,0)*E$14</f>
        <v>1.1033524421105927</v>
      </c>
      <c r="F30" s="292">
        <f>VLOOKUP($A30,'SC (Gross)'!$A:$E,5,0)*F$14</f>
        <v>1.09454468742301</v>
      </c>
      <c r="G30" s="292">
        <f>VLOOKUP($A30,'SC (Gross)'!$J:$L,3,0)*G$14</f>
        <v>1.0483820116854032</v>
      </c>
      <c r="H30" s="292" t="e">
        <f>VLOOKUP($A30,ITL!$A:$E,5,0)*H$14</f>
        <v>#N/A</v>
      </c>
      <c r="I30" s="292" t="e">
        <f>VLOOKUP($A30,ITL!$J:$L,3,0)*I$14</f>
        <v>#N/A</v>
      </c>
      <c r="J30" s="56"/>
    </row>
    <row r="31" spans="1:10" ht="15.75" x14ac:dyDescent="0.25">
      <c r="A31" s="21">
        <f>VLOOKUP(A32-28,'LC (Gross)'!A:A,1)</f>
        <v>44651</v>
      </c>
      <c r="B31" s="292">
        <f>VLOOKUP($A31,'LC (Gross)'!A:E,5,0)*B$14</f>
        <v>1.1077790947003197</v>
      </c>
      <c r="C31" s="292">
        <f>VLOOKUP($A31,'LC (Gross)'!J:L,3,0)*C$14</f>
        <v>1.2275591709766187</v>
      </c>
      <c r="D31" s="292">
        <f>VLOOKUP($A31,'Global (Gross)'!$A:$E,5,0)*D$14</f>
        <v>1.1394357686760705</v>
      </c>
      <c r="E31" s="292">
        <f>VLOOKUP($A31,'Global (Gross)'!$J:$L,3,0)*E$14</f>
        <v>1.1279811443176526</v>
      </c>
      <c r="F31" s="292">
        <f>VLOOKUP($A31,'SC (Gross)'!$A:$E,5,0)*F$14</f>
        <v>1.10986502941287</v>
      </c>
      <c r="G31" s="292">
        <f>VLOOKUP($A31,'SC (Gross)'!$J:$L,3,0)*G$14</f>
        <v>1.0613833429783779</v>
      </c>
      <c r="H31" s="292" t="e">
        <f>VLOOKUP($A31,ITL!$A:$E,5,0)*H$14</f>
        <v>#N/A</v>
      </c>
      <c r="I31" s="292" t="e">
        <f>VLOOKUP($A31,ITL!$J:$L,3,0)*I$14</f>
        <v>#N/A</v>
      </c>
      <c r="J31" s="56"/>
    </row>
    <row r="32" spans="1:10" ht="15.75" x14ac:dyDescent="0.25">
      <c r="A32" s="21">
        <f>VLOOKUP(A33-28,'LC (Gross)'!A:A,1)</f>
        <v>44681</v>
      </c>
      <c r="B32" s="292">
        <f>VLOOKUP($A32,'LC (Gross)'!A:E,5,0)*B$14</f>
        <v>1.068121710889143</v>
      </c>
      <c r="C32" s="292">
        <f>VLOOKUP($A32,'LC (Gross)'!J:L,3,0)*C$14</f>
        <v>1.1205155938973392</v>
      </c>
      <c r="D32" s="292">
        <f>VLOOKUP($A32,'Global (Gross)'!$A:$E,5,0)*D$14</f>
        <v>1.0711072239358728</v>
      </c>
      <c r="E32" s="292">
        <f>VLOOKUP($A32,'Global (Gross)'!$J:$L,3,0)*E$14</f>
        <v>1.0380673534244438</v>
      </c>
      <c r="F32" s="292">
        <f>VLOOKUP($A32,'SC (Gross)'!$A:$E,5,0)*F$14</f>
        <v>1.0499312079595455</v>
      </c>
      <c r="G32" s="292">
        <f>VLOOKUP($A32,'SC (Gross)'!$J:$L,3,0)*G$14</f>
        <v>0.956190435893298</v>
      </c>
      <c r="H32" s="292" t="e">
        <f>VLOOKUP($A32,ITL!$A:$E,5,0)*H$14</f>
        <v>#N/A</v>
      </c>
      <c r="I32" s="292" t="e">
        <f>VLOOKUP($A32,ITL!$J:$L,3,0)*I$14</f>
        <v>#N/A</v>
      </c>
      <c r="J32" s="56"/>
    </row>
    <row r="33" spans="1:10" ht="15.75" x14ac:dyDescent="0.25">
      <c r="A33" s="21">
        <f>VLOOKUP(A34-28,'LC (Gross)'!A:A,1)</f>
        <v>44712</v>
      </c>
      <c r="B33" s="292">
        <f>VLOOKUP($A33,'LC (Gross)'!A:E,5,0)*B$14</f>
        <v>1.0734462976179253</v>
      </c>
      <c r="C33" s="292">
        <f>VLOOKUP($A33,'LC (Gross)'!J:L,3,0)*C$14</f>
        <v>1.122572076166819</v>
      </c>
      <c r="D33" s="292">
        <f>VLOOKUP($A33,'Global (Gross)'!$A:$E,5,0)*D$14</f>
        <v>1.0823002944260025</v>
      </c>
      <c r="E33" s="292">
        <f>VLOOKUP($A33,'Global (Gross)'!$J:$L,3,0)*E$14</f>
        <v>1.0399730104821092</v>
      </c>
      <c r="F33" s="292">
        <f>VLOOKUP($A33,'SC (Gross)'!$A:$E,5,0)*F$14</f>
        <v>1.068680879471287</v>
      </c>
      <c r="G33" s="292">
        <f>VLOOKUP($A33,'SC (Gross)'!$J:$L,3,0)*G$14</f>
        <v>0.95756534116487857</v>
      </c>
      <c r="H33" s="292" t="e">
        <f>VLOOKUP($A33,ITL!$A:$E,5,0)*H$14</f>
        <v>#N/A</v>
      </c>
      <c r="I33" s="292" t="e">
        <f>VLOOKUP($A33,ITL!$J:$L,3,0)*I$14</f>
        <v>#N/A</v>
      </c>
      <c r="J33" s="56"/>
    </row>
    <row r="34" spans="1:10" ht="15.75" x14ac:dyDescent="0.25">
      <c r="A34" s="21">
        <f>VLOOKUP(A35-28,'LC (Gross)'!A:A,1)</f>
        <v>44742</v>
      </c>
      <c r="B34" s="292">
        <f>VLOOKUP($A34,'LC (Gross)'!A:E,5,0)*B$14</f>
        <v>1.0033781639872128</v>
      </c>
      <c r="C34" s="292">
        <f>VLOOKUP($A34,'LC (Gross)'!J:L,3,0)*C$14</f>
        <v>1.0298461857831822</v>
      </c>
      <c r="D34" s="292">
        <f>VLOOKUP($A34,'Global (Gross)'!$A:$E,5,0)*D$14</f>
        <v>1.0206881855652135</v>
      </c>
      <c r="E34" s="292">
        <f>VLOOKUP($A34,'Global (Gross)'!$J:$L,3,0)*E$14</f>
        <v>0.95270943675798114</v>
      </c>
      <c r="F34" s="292">
        <f>VLOOKUP($A34,'SC (Gross)'!$A:$E,5,0)*F$14</f>
        <v>1.0437335930209093</v>
      </c>
      <c r="G34" s="292">
        <f>VLOOKUP($A34,'SC (Gross)'!$J:$L,3,0)*G$14</f>
        <v>0.87880243188844143</v>
      </c>
      <c r="H34" s="292" t="e">
        <f>VLOOKUP($A34,ITL!$A:$E,5,0)*H$14</f>
        <v>#N/A</v>
      </c>
      <c r="I34" s="292" t="e">
        <f>VLOOKUP($A34,ITL!$J:$L,3,0)*I$14</f>
        <v>#N/A</v>
      </c>
      <c r="J34" s="56"/>
    </row>
    <row r="35" spans="1:10" ht="15.75" x14ac:dyDescent="0.25">
      <c r="A35" s="21">
        <f>VLOOKUP(A36-28,'LC (Gross)'!A:A,1)</f>
        <v>44773</v>
      </c>
      <c r="B35" s="292">
        <f>VLOOKUP($A35,'LC (Gross)'!A:E,5,0)*B$14</f>
        <v>1.0487137995706473</v>
      </c>
      <c r="C35" s="292">
        <f>VLOOKUP($A35,'LC (Gross)'!J:L,3,0)*C$14</f>
        <v>1.1248051821403064</v>
      </c>
      <c r="D35" s="292">
        <f>VLOOKUP($A35,'Global (Gross)'!$A:$E,5,0)*D$14</f>
        <v>1.0741355017141503</v>
      </c>
      <c r="E35" s="292">
        <f>VLOOKUP($A35,'Global (Gross)'!$J:$L,3,0)*E$14</f>
        <v>1.0195983755639264</v>
      </c>
      <c r="F35" s="292">
        <f>VLOOKUP($A35,'SC (Gross)'!$A:$E,5,0)*F$14</f>
        <v>1.1050477229429225</v>
      </c>
      <c r="G35" s="292">
        <f>VLOOKUP($A35,'SC (Gross)'!$J:$L,3,0)*G$14</f>
        <v>0.97055160278367447</v>
      </c>
      <c r="H35" s="292" t="e">
        <f>VLOOKUP($A35,ITL!$A:$E,5,0)*H$14</f>
        <v>#N/A</v>
      </c>
      <c r="I35" s="292" t="e">
        <f>VLOOKUP($A35,ITL!$J:$L,3,0)*I$14</f>
        <v>#N/A</v>
      </c>
      <c r="J35" s="56"/>
    </row>
    <row r="36" spans="1:10" ht="15.75" x14ac:dyDescent="0.25">
      <c r="A36" s="21">
        <f>VLOOKUP(A37-28,'LC (Gross)'!A:A,1)</f>
        <v>44804</v>
      </c>
      <c r="B36" s="292">
        <f>VLOOKUP($A36,'LC (Gross)'!A:E,5,0)*B$14</f>
        <v>1.0226606026479137</v>
      </c>
      <c r="C36" s="292">
        <f>VLOOKUP($A36,'LC (Gross)'!J:L,3,0)*C$14</f>
        <v>1.0789326798230476</v>
      </c>
      <c r="D36" s="292">
        <f>VLOOKUP($A36,'Global (Gross)'!$A:$E,5,0)*D$14</f>
        <v>1.0302076562360485</v>
      </c>
      <c r="E36" s="292">
        <f>VLOOKUP($A36,'Global (Gross)'!$J:$L,3,0)*E$14</f>
        <v>0.98249210129407727</v>
      </c>
      <c r="F36" s="292">
        <f>VLOOKUP($A36,'SC (Gross)'!$A:$E,5,0)*F$14</f>
        <v>1.0598103843088083</v>
      </c>
      <c r="G36" s="292">
        <f>VLOOKUP($A36,'SC (Gross)'!$J:$L,3,0)*G$14</f>
        <v>0.95069114710281599</v>
      </c>
      <c r="H36" s="292" t="e">
        <f>VLOOKUP($A36,ITL!$A:$E,5,0)*H$14</f>
        <v>#N/A</v>
      </c>
      <c r="I36" s="292" t="e">
        <f>VLOOKUP($A36,ITL!$J:$L,3,0)*I$14</f>
        <v>#N/A</v>
      </c>
      <c r="J36" s="56"/>
    </row>
    <row r="37" spans="1:10" ht="15.75" x14ac:dyDescent="0.25">
      <c r="A37" s="21">
        <f>VLOOKUP(A38-28,'LC (Gross)'!A:A,1)</f>
        <v>44834</v>
      </c>
      <c r="B37" s="292">
        <f>VLOOKUP($A37,'LC (Gross)'!A:E,5,0)*B$14</f>
        <v>0.94436570690918942</v>
      </c>
      <c r="C37" s="292">
        <f>VLOOKUP($A37,'LC (Gross)'!J:L,3,0)*C$14</f>
        <v>0.97948133717546271</v>
      </c>
      <c r="D37" s="292">
        <f>VLOOKUP($A37,'Global (Gross)'!$A:$E,5,0)*D$14</f>
        <v>0.95046855343572201</v>
      </c>
      <c r="E37" s="292">
        <f>VLOOKUP($A37,'Global (Gross)'!$J:$L,3,0)*E$14</f>
        <v>0.88893776897038745</v>
      </c>
      <c r="F37" s="292">
        <f>VLOOKUP($A37,'SC (Gross)'!$A:$E,5,0)*F$14</f>
        <v>0.98697703526795399</v>
      </c>
      <c r="G37" s="292">
        <f>VLOOKUP($A37,'SC (Gross)'!$J:$L,3,0)*G$14</f>
        <v>0.85966951438912143</v>
      </c>
      <c r="H37" s="292" t="e">
        <f>VLOOKUP($A37,ITL!$A:$E,5,0)*H$14</f>
        <v>#N/A</v>
      </c>
      <c r="I37" s="292" t="e">
        <f>VLOOKUP($A37,ITL!$J:$L,3,0)*I$14</f>
        <v>#N/A</v>
      </c>
      <c r="J37" s="56"/>
    </row>
    <row r="38" spans="1:10" ht="15.75" x14ac:dyDescent="0.25">
      <c r="A38" s="21">
        <f>VLOOKUP(A39-28,'LC (Gross)'!A:A,1)</f>
        <v>44865</v>
      </c>
      <c r="B38" s="292">
        <f>VLOOKUP($A38,'LC (Gross)'!A:E,5,0)*B$14</f>
        <v>1.0436270419967073</v>
      </c>
      <c r="C38" s="292">
        <f>VLOOKUP($A38,'LC (Gross)'!J:L,3,0)*C$14</f>
        <v>1.0587834470852944</v>
      </c>
      <c r="D38" s="292">
        <f>VLOOKUP($A38,'Global (Gross)'!$A:$E,5,0)*D$14</f>
        <v>1.0161763454718404</v>
      </c>
      <c r="E38" s="292">
        <f>VLOOKUP($A38,'Global (Gross)'!$J:$L,3,0)*E$14</f>
        <v>0.94279679274240913</v>
      </c>
      <c r="F38" s="292">
        <f>VLOOKUP($A38,'SC (Gross)'!$A:$E,5,0)*F$14</f>
        <v>1.0899177530693664</v>
      </c>
      <c r="G38" s="292">
        <f>VLOOKUP($A38,'SC (Gross)'!$J:$L,3,0)*G$14</f>
        <v>0.95430984349260817</v>
      </c>
      <c r="H38" s="292" t="e">
        <f>VLOOKUP($A38,ITL!$A:$E,5,0)*H$14</f>
        <v>#N/A</v>
      </c>
      <c r="I38" s="292" t="e">
        <f>VLOOKUP($A38,ITL!$J:$L,3,0)*I$14</f>
        <v>#N/A</v>
      </c>
      <c r="J38" s="56"/>
    </row>
    <row r="39" spans="1:10" ht="15.75" x14ac:dyDescent="0.25">
      <c r="A39" s="21">
        <f>VLOOKUP(A40-28,'LC (Gross)'!A:A,1)</f>
        <v>44895</v>
      </c>
      <c r="B39" s="292">
        <f>VLOOKUP($A39,'LC (Gross)'!A:E,5,0)*B$14</f>
        <v>1.0949359218894335</v>
      </c>
      <c r="C39" s="292">
        <f>VLOOKUP($A39,'LC (Gross)'!J:L,3,0)*C$14</f>
        <v>1.1179526706475607</v>
      </c>
      <c r="D39" s="292">
        <f>VLOOKUP($A39,'Global (Gross)'!$A:$E,5,0)*D$14</f>
        <v>1.0796995611799762</v>
      </c>
      <c r="E39" s="292">
        <f>VLOOKUP($A39,'Global (Gross)'!$J:$L,3,0)*E$14</f>
        <v>1.0163880503196523</v>
      </c>
      <c r="F39" s="292">
        <f>VLOOKUP($A39,'SC (Gross)'!$A:$E,5,0)*F$14</f>
        <v>1.1243220968627541</v>
      </c>
      <c r="G39" s="292">
        <f>VLOOKUP($A39,'SC (Gross)'!$J:$L,3,0)*G$14</f>
        <v>0.97639006343613877</v>
      </c>
      <c r="H39" s="292" t="e">
        <f>VLOOKUP($A39,ITL!$A:$E,5,0)*H$14</f>
        <v>#N/A</v>
      </c>
      <c r="I39" s="292" t="e">
        <f>VLOOKUP($A39,ITL!$J:$L,3,0)*I$14</f>
        <v>#N/A</v>
      </c>
      <c r="J39" s="56"/>
    </row>
    <row r="40" spans="1:10" ht="15.75" x14ac:dyDescent="0.25">
      <c r="A40" s="21">
        <f>VLOOKUP(A41-28,'LC (Gross)'!A:A,1)</f>
        <v>44926</v>
      </c>
      <c r="B40" s="292">
        <f>VLOOKUP($A40,'LC (Gross)'!A:E,5,0)*B$14</f>
        <v>1.0525212848215999</v>
      </c>
      <c r="C40" s="292">
        <f>VLOOKUP($A40,'LC (Gross)'!J:L,3,0)*C$14</f>
        <v>1.0534303341083577</v>
      </c>
      <c r="D40" s="292">
        <f>VLOOKUP($A40,'Global (Gross)'!$A:$E,5,0)*D$14</f>
        <v>1.0256568533386121</v>
      </c>
      <c r="E40" s="292">
        <f>VLOOKUP($A40,'Global (Gross)'!$J:$L,3,0)*E$14</f>
        <v>0.97679155383589678</v>
      </c>
      <c r="F40" s="292">
        <f>VLOOKUP($A40,'SC (Gross)'!$A:$E,5,0)*F$14</f>
        <v>1.0608233098756372</v>
      </c>
      <c r="G40" s="292">
        <f>VLOOKUP($A40,'SC (Gross)'!$J:$L,3,0)*G$14</f>
        <v>0.91298843829223031</v>
      </c>
      <c r="H40" s="292" t="e">
        <f>VLOOKUP($A40,ITL!$A:$E,5,0)*H$14</f>
        <v>#N/A</v>
      </c>
      <c r="I40" s="292" t="e">
        <f>VLOOKUP($A40,ITL!$J:$L,3,0)*I$14</f>
        <v>#N/A</v>
      </c>
      <c r="J40" s="56"/>
    </row>
    <row r="41" spans="1:10" ht="15.75" x14ac:dyDescent="0.25">
      <c r="A41" s="21">
        <f>VLOOKUP(A42-28,'LC (Gross)'!A:A,1)</f>
        <v>44957</v>
      </c>
      <c r="B41" s="292">
        <f>VLOOKUP($A41,'LC (Gross)'!A:E,5,0)*B$14</f>
        <v>1.0825152818987347</v>
      </c>
      <c r="C41" s="292">
        <f>VLOOKUP($A41,'LC (Gross)'!J:L,3,0)*C$14</f>
        <v>1.1196160136095583</v>
      </c>
      <c r="D41" s="292">
        <f>VLOOKUP($A41,'Global (Gross)'!$A:$E,5,0)*D$14</f>
        <v>1.0940523052331657</v>
      </c>
      <c r="E41" s="292">
        <f>VLOOKUP($A41,'Global (Gross)'!$J:$L,3,0)*E$14</f>
        <v>1.0470736597174972</v>
      </c>
      <c r="F41" s="292">
        <f>VLOOKUP($A41,'SC (Gross)'!$A:$E,5,0)*F$14</f>
        <v>1.114589202678627</v>
      </c>
      <c r="G41" s="292">
        <f>VLOOKUP($A41,'SC (Gross)'!$J:$L,3,0)*G$14</f>
        <v>1.0019736689900924</v>
      </c>
      <c r="H41" s="292" t="e">
        <f>VLOOKUP($A41,ITL!$A:$E,5,0)*H$14</f>
        <v>#N/A</v>
      </c>
      <c r="I41" s="292" t="e">
        <f>VLOOKUP($A41,ITL!$J:$L,3,0)*I$14</f>
        <v>#N/A</v>
      </c>
      <c r="J41" s="56"/>
    </row>
    <row r="42" spans="1:10" ht="15.75" x14ac:dyDescent="0.25">
      <c r="A42" s="21">
        <f>VLOOKUP(A43-28,'LC (Gross)'!A:A,1)</f>
        <v>44985</v>
      </c>
      <c r="B42" s="292">
        <f>VLOOKUP($A42,'LC (Gross)'!A:E,5,0)*B$14</f>
        <v>1.0522559237772131</v>
      </c>
      <c r="C42" s="292">
        <f>VLOOKUP($A42,'LC (Gross)'!J:L,3,0)*C$14</f>
        <v>1.0921958225088906</v>
      </c>
      <c r="D42" s="292">
        <f>VLOOKUP($A42,'Global (Gross)'!$A:$E,5,0)*D$14</f>
        <v>1.0596820396502316</v>
      </c>
      <c r="E42" s="292">
        <f>VLOOKUP($A42,'Global (Gross)'!$J:$L,3,0)*E$14</f>
        <v>1.0174121570850199</v>
      </c>
      <c r="F42" s="292">
        <f>VLOOKUP($A42,'SC (Gross)'!$A:$E,5,0)*F$14</f>
        <v>1.0954049016051288</v>
      </c>
      <c r="G42" s="292">
        <f>VLOOKUP($A42,'SC (Gross)'!$J:$L,3,0)*G$14</f>
        <v>0.98501335087272746</v>
      </c>
      <c r="H42" s="292" t="e">
        <f>VLOOKUP($A42,ITL!$A:$E,5,0)*H$14</f>
        <v>#N/A</v>
      </c>
      <c r="I42" s="292" t="e">
        <f>VLOOKUP($A42,ITL!$J:$L,3,0)*I$14</f>
        <v>#N/A</v>
      </c>
      <c r="J42" s="56"/>
    </row>
    <row r="43" spans="1:10" ht="15.75" x14ac:dyDescent="0.25">
      <c r="A43" s="21">
        <f>VLOOKUP(A44-28,'LC (Gross)'!A:A,1)</f>
        <v>45016</v>
      </c>
      <c r="B43" s="292">
        <f>VLOOKUP($A43,'LC (Gross)'!A:E,5,0)*B$14</f>
        <v>1.0654742935537236</v>
      </c>
      <c r="C43" s="292">
        <f>VLOOKUP($A43,'LC (Gross)'!J:L,3,0)*C$14</f>
        <v>1.1322748656603452</v>
      </c>
      <c r="D43" s="292">
        <f>VLOOKUP($A43,'Global (Gross)'!$A:$E,5,0)*D$14</f>
        <v>1.0804175399118496</v>
      </c>
      <c r="E43" s="292">
        <f>VLOOKUP($A43,'Global (Gross)'!$J:$L,3,0)*E$14</f>
        <v>1.049509475816738</v>
      </c>
      <c r="F43" s="292">
        <f>VLOOKUP($A43,'SC (Gross)'!$A:$E,5,0)*F$14</f>
        <v>1.0717785983532375</v>
      </c>
      <c r="G43" s="292">
        <f>VLOOKUP($A43,'SC (Gross)'!$J:$L,3,0)*G$14</f>
        <v>0.93790027065195347</v>
      </c>
      <c r="H43" s="292" t="e">
        <f>VLOOKUP($A43,ITL!$A:$E,5,0)*H$14</f>
        <v>#N/A</v>
      </c>
      <c r="I43" s="292" t="e">
        <f>VLOOKUP($A43,ITL!$J:$L,3,0)*I$14</f>
        <v>#N/A</v>
      </c>
      <c r="J43" s="56"/>
    </row>
    <row r="44" spans="1:10" ht="15.75" x14ac:dyDescent="0.25">
      <c r="A44" s="21">
        <f>VLOOKUP(A45-28,'LC (Gross)'!A:A,1)</f>
        <v>45046</v>
      </c>
      <c r="B44" s="292">
        <f>VLOOKUP($A44,'LC (Gross)'!A:E,5,0)*B$14</f>
        <v>1.0778184198058216</v>
      </c>
      <c r="C44" s="292">
        <f>VLOOKUP($A44,'LC (Gross)'!J:L,3,0)*C$14</f>
        <v>1.1499482270014751</v>
      </c>
      <c r="D44" s="292">
        <f>VLOOKUP($A44,'Global (Gross)'!$A:$E,5,0)*D$14</f>
        <v>1.097407653358307</v>
      </c>
      <c r="E44" s="292">
        <f>VLOOKUP($A44,'Global (Gross)'!$J:$L,3,0)*E$14</f>
        <v>1.0650516616441081</v>
      </c>
      <c r="F44" s="292">
        <f>VLOOKUP($A44,'SC (Gross)'!$A:$E,5,0)*F$14</f>
        <v>1.0607917068407737</v>
      </c>
      <c r="G44" s="292">
        <f>VLOOKUP($A44,'SC (Gross)'!$J:$L,3,0)*G$14</f>
        <v>0.92103366306171919</v>
      </c>
      <c r="H44" s="292" t="e">
        <f>VLOOKUP($A44,ITL!$A:$E,5,0)*H$14</f>
        <v>#N/A</v>
      </c>
      <c r="I44" s="292" t="e">
        <f>VLOOKUP($A44,ITL!$J:$L,3,0)*I$14</f>
        <v>#N/A</v>
      </c>
      <c r="J44" s="56"/>
    </row>
    <row r="45" spans="1:10" ht="15.75" x14ac:dyDescent="0.25">
      <c r="A45" s="21">
        <f>VLOOKUP(A46-28,'LC (Gross)'!A:A,1)</f>
        <v>45077</v>
      </c>
      <c r="B45" s="292">
        <f>VLOOKUP($A45,'LC (Gross)'!A:E,5,0)*B$14</f>
        <v>1.0477596794106301</v>
      </c>
      <c r="C45" s="292">
        <f>VLOOKUP($A45,'LC (Gross)'!J:L,3,0)*C$14</f>
        <v>1.1549489413091876</v>
      </c>
      <c r="D45" s="292">
        <f>VLOOKUP($A45,'Global (Gross)'!$A:$E,5,0)*D$14</f>
        <v>1.0679621840842035</v>
      </c>
      <c r="E45" s="292">
        <f>VLOOKUP($A45,'Global (Gross)'!$J:$L,3,0)*E$14</f>
        <v>1.054278664086578</v>
      </c>
      <c r="F45" s="292">
        <f>VLOOKUP($A45,'SC (Gross)'!$A:$E,5,0)*F$14</f>
        <v>1.0318023513442269</v>
      </c>
      <c r="G45" s="292">
        <f>VLOOKUP($A45,'SC (Gross)'!$J:$L,3,0)*G$14</f>
        <v>0.91244508309982308</v>
      </c>
      <c r="H45" s="292" t="e">
        <f>VLOOKUP($A45,ITL!$A:$E,5,0)*H$14</f>
        <v>#N/A</v>
      </c>
      <c r="I45" s="292" t="e">
        <f>VLOOKUP($A45,ITL!$J:$L,3,0)*I$14</f>
        <v>#N/A</v>
      </c>
      <c r="J45" s="56"/>
    </row>
    <row r="46" spans="1:10" ht="15.75" x14ac:dyDescent="0.25">
      <c r="A46" s="21">
        <f>VLOOKUP(A47-28,'LC (Gross)'!A:A,1)</f>
        <v>45107</v>
      </c>
      <c r="B46" s="292">
        <f>VLOOKUP($A46,'LC (Gross)'!A:E,5,0)*B$14</f>
        <v>1.099758932098102</v>
      </c>
      <c r="C46" s="292">
        <f>VLOOKUP($A46,'LC (Gross)'!J:L,3,0)*C$14</f>
        <v>1.2312608066674626</v>
      </c>
      <c r="D46" s="292">
        <f>VLOOKUP($A46,'Global (Gross)'!$A:$E,5,0)*D$14</f>
        <v>1.11515943889683</v>
      </c>
      <c r="E46" s="292">
        <f>VLOOKUP($A46,'Global (Gross)'!$J:$L,3,0)*E$14</f>
        <v>1.1158896549371335</v>
      </c>
      <c r="F46" s="292">
        <f>VLOOKUP($A46,'SC (Gross)'!$A:$E,5,0)*F$14</f>
        <v>1.0956239595674246</v>
      </c>
      <c r="G46" s="292">
        <f>VLOOKUP($A46,'SC (Gross)'!$J:$L,3,0)*G$14</f>
        <v>0.98658757847056044</v>
      </c>
      <c r="H46" s="292" t="e">
        <f>VLOOKUP($A46,ITL!$A:$E,5,0)*H$14</f>
        <v>#N/A</v>
      </c>
      <c r="I46" s="292" t="e">
        <f>VLOOKUP($A46,ITL!$J:$L,3,0)*I$14</f>
        <v>#N/A</v>
      </c>
      <c r="J46" s="56"/>
    </row>
    <row r="47" spans="1:10" ht="15.75" x14ac:dyDescent="0.25">
      <c r="A47" s="21">
        <f>VLOOKUP(A48-28,'LC (Gross)'!A:A,1)</f>
        <v>45138</v>
      </c>
      <c r="B47" s="292">
        <f>VLOOKUP($A47,'LC (Gross)'!A:E,5,0)*B$14</f>
        <v>1.1184283368440684</v>
      </c>
      <c r="C47" s="292">
        <f>VLOOKUP($A47,'LC (Gross)'!J:L,3,0)*C$14</f>
        <v>1.270815060081655</v>
      </c>
      <c r="D47" s="292">
        <f>VLOOKUP($A47,'Global (Gross)'!$A:$E,5,0)*D$14</f>
        <v>1.1279655660036849</v>
      </c>
      <c r="E47" s="292">
        <f>VLOOKUP($A47,'Global (Gross)'!$J:$L,3,0)*E$14</f>
        <v>1.1570726785422434</v>
      </c>
      <c r="F47" s="292">
        <f>VLOOKUP($A47,'SC (Gross)'!$A:$E,5,0)*F$14</f>
        <v>1.1338706362099009</v>
      </c>
      <c r="G47" s="292">
        <f>VLOOKUP($A47,'SC (Gross)'!$J:$L,3,0)*G$14</f>
        <v>1.0469164519040841</v>
      </c>
      <c r="H47" s="292" t="e">
        <f>VLOOKUP($A47,ITL!$A:$E,5,0)*H$14</f>
        <v>#N/A</v>
      </c>
      <c r="I47" s="292" t="e">
        <f>VLOOKUP($A47,ITL!$J:$L,3,0)*I$14</f>
        <v>#N/A</v>
      </c>
      <c r="J47" s="56"/>
    </row>
    <row r="48" spans="1:10" ht="15.75" x14ac:dyDescent="0.25">
      <c r="A48" s="21">
        <f>VLOOKUP(A49-28,'LC (Gross)'!A:A,1)</f>
        <v>45169</v>
      </c>
      <c r="B48" s="292">
        <f>VLOOKUP($A48,'LC (Gross)'!A:E,5,0)*B$14</f>
        <v>1.0948714143909819</v>
      </c>
      <c r="C48" s="292">
        <f>VLOOKUP($A48,'LC (Gross)'!J:L,3,0)*C$14</f>
        <v>1.2505815493558539</v>
      </c>
      <c r="D48" s="292">
        <f>VLOOKUP($A48,'Global (Gross)'!$A:$E,5,0)*D$14</f>
        <v>1.1053980834493566</v>
      </c>
      <c r="E48" s="292">
        <f>VLOOKUP($A48,'Global (Gross)'!$J:$L,3,0)*E$14</f>
        <v>1.1250796189805503</v>
      </c>
      <c r="F48" s="292">
        <f>VLOOKUP($A48,'SC (Gross)'!$A:$E,5,0)*F$14</f>
        <v>1.0940610618014213</v>
      </c>
      <c r="G48" s="292">
        <f>VLOOKUP($A48,'SC (Gross)'!$J:$L,3,0)*G$14</f>
        <v>0.99450288334527726</v>
      </c>
      <c r="H48" s="292" t="e">
        <f>VLOOKUP($A48,ITL!$A:$E,5,0)*H$14</f>
        <v>#N/A</v>
      </c>
      <c r="I48" s="292" t="e">
        <f>VLOOKUP($A48,ITL!$J:$L,3,0)*I$14</f>
        <v>#N/A</v>
      </c>
      <c r="J48" s="56"/>
    </row>
    <row r="49" spans="1:10" ht="15.75" x14ac:dyDescent="0.25">
      <c r="A49" s="21">
        <f>VLOOKUP(A50-28,'LC (Gross)'!A:A,1)</f>
        <v>45199</v>
      </c>
      <c r="B49" s="292">
        <f>VLOOKUP($A49,'LC (Gross)'!A:E,5,0)*B$14</f>
        <v>1.0698547435666388</v>
      </c>
      <c r="C49" s="292">
        <f>VLOOKUP($A49,'LC (Gross)'!J:L,3,0)*C$14</f>
        <v>1.1909557594839684</v>
      </c>
      <c r="D49" s="292">
        <f>VLOOKUP($A49,'Global (Gross)'!$A:$E,5,0)*D$14</f>
        <v>1.080588225440934</v>
      </c>
      <c r="E49" s="292">
        <f>VLOOKUP($A49,'Global (Gross)'!$J:$L,3,0)*E$14</f>
        <v>1.0789839819112981</v>
      </c>
      <c r="F49" s="292">
        <f>VLOOKUP($A49,'SC (Gross)'!$A:$E,5,0)*F$14</f>
        <v>1.0503517250533043</v>
      </c>
      <c r="G49" s="292">
        <f>VLOOKUP($A49,'SC (Gross)'!$J:$L,3,0)*G$14</f>
        <v>0.93592080589425763</v>
      </c>
      <c r="H49" s="292" t="e">
        <f>VLOOKUP($A49,ITL!$A:$E,5,0)*H$14</f>
        <v>#N/A</v>
      </c>
      <c r="I49" s="292" t="e">
        <f>VLOOKUP($A49,ITL!$J:$L,3,0)*I$14</f>
        <v>#N/A</v>
      </c>
      <c r="J49" s="56"/>
    </row>
    <row r="50" spans="1:10" ht="15.75" x14ac:dyDescent="0.25">
      <c r="A50" s="21">
        <f>VLOOKUP(A51-28,'LC (Gross)'!A:A,1)</f>
        <v>45230</v>
      </c>
      <c r="B50" s="292">
        <f>VLOOKUP($A50,'LC (Gross)'!A:E,5,0)*B$14</f>
        <v>1.05975251459022</v>
      </c>
      <c r="C50" s="292">
        <f>VLOOKUP($A50,'LC (Gross)'!J:L,3,0)*C$14</f>
        <v>1.165914938057095</v>
      </c>
      <c r="D50" s="292">
        <f>VLOOKUP($A50,'Global (Gross)'!$A:$E,5,0)*D$14</f>
        <v>1.0671417923101651</v>
      </c>
      <c r="E50" s="292">
        <f>VLOOKUP($A50,'Global (Gross)'!$J:$L,3,0)*E$14</f>
        <v>1.0467547303716076</v>
      </c>
      <c r="F50" s="292">
        <f>VLOOKUP($A50,'SC (Gross)'!$A:$E,5,0)*F$14</f>
        <v>1.0313761653201465</v>
      </c>
      <c r="G50" s="292">
        <f>VLOOKUP($A50,'SC (Gross)'!$J:$L,3,0)*G$14</f>
        <v>0.87207461895895799</v>
      </c>
      <c r="H50" s="292" t="e">
        <f>VLOOKUP($A50,ITL!$A:$E,5,0)*H$14</f>
        <v>#N/A</v>
      </c>
      <c r="I50" s="292" t="e">
        <f>VLOOKUP($A50,ITL!$J:$L,3,0)*I$14</f>
        <v>#N/A</v>
      </c>
      <c r="J50" s="56"/>
    </row>
    <row r="51" spans="1:10" ht="15.75" x14ac:dyDescent="0.25">
      <c r="A51" s="21">
        <f>VLOOKUP(A52-28,'LC (Gross)'!A:A,1)</f>
        <v>45260</v>
      </c>
      <c r="B51" s="292">
        <f>VLOOKUP($A51,'LC (Gross)'!A:E,5,0)*B$14</f>
        <v>1.1318504779050214</v>
      </c>
      <c r="C51" s="292">
        <f>VLOOKUP($A51,'LC (Gross)'!J:L,3,0)*C$14</f>
        <v>1.2723932623717986</v>
      </c>
      <c r="D51" s="292">
        <f>VLOOKUP($A51,'Global (Gross)'!$A:$E,5,0)*D$14</f>
        <v>1.1310502942379479</v>
      </c>
      <c r="E51" s="292">
        <f>VLOOKUP($A51,'Global (Gross)'!$J:$L,3,0)*E$14</f>
        <v>1.1438812804495582</v>
      </c>
      <c r="F51" s="292">
        <f>VLOOKUP($A51,'SC (Gross)'!$A:$E,5,0)*F$14</f>
        <v>1.1013003133177866</v>
      </c>
      <c r="G51" s="292">
        <f>VLOOKUP($A51,'SC (Gross)'!$J:$L,3,0)*G$14</f>
        <v>0.95081003290509891</v>
      </c>
      <c r="H51" s="292" t="e">
        <f>VLOOKUP($A51,ITL!$A:$E,5,0)*H$14</f>
        <v>#N/A</v>
      </c>
      <c r="I51" s="292" t="e">
        <f>VLOOKUP($A51,ITL!$J:$L,3,0)*I$14</f>
        <v>#N/A</v>
      </c>
      <c r="J51" s="56"/>
    </row>
    <row r="52" spans="1:10" ht="15.75" x14ac:dyDescent="0.25">
      <c r="A52" s="21">
        <f>VLOOKUP(A53-28,'LC (Gross)'!A:A,1)</f>
        <v>45291</v>
      </c>
      <c r="B52" s="292">
        <f>VLOOKUP($A52,'LC (Gross)'!A:E,5,0)*B$14</f>
        <v>1.1731750080193286</v>
      </c>
      <c r="C52" s="292">
        <f>VLOOKUP($A52,'LC (Gross)'!J:L,3,0)*C$14</f>
        <v>1.3300470552011059</v>
      </c>
      <c r="D52" s="292">
        <f>VLOOKUP($A52,'Global (Gross)'!$A:$E,5,0)*D$14</f>
        <v>1.1730904034642826</v>
      </c>
      <c r="E52" s="292">
        <f>VLOOKUP($A52,'Global (Gross)'!$J:$L,3,0)*E$14</f>
        <v>1.1992392091182842</v>
      </c>
      <c r="F52" s="292">
        <f>VLOOKUP($A52,'SC (Gross)'!$A:$E,5,0)*F$14</f>
        <v>1.2049161202572811</v>
      </c>
      <c r="G52" s="292">
        <f>VLOOKUP($A52,'SC (Gross)'!$J:$L,3,0)*G$14</f>
        <v>1.0671009457616294</v>
      </c>
      <c r="H52" s="292" t="e">
        <f>VLOOKUP($A52,ITL!$A:$E,5,0)*H$14</f>
        <v>#N/A</v>
      </c>
      <c r="I52" s="292" t="e">
        <f>VLOOKUP($A52,ITL!$J:$L,3,0)*I$14</f>
        <v>#N/A</v>
      </c>
      <c r="J52" s="56"/>
    </row>
    <row r="53" spans="1:10" ht="15.75" x14ac:dyDescent="0.25">
      <c r="A53" s="21">
        <f>VLOOKUP(A54-28,'LC (Gross)'!A:A,1)</f>
        <v>45322</v>
      </c>
      <c r="B53" s="292">
        <f>VLOOKUP($A53,'LC (Gross)'!A:E,5,0)*B$14</f>
        <v>1.2040506419406101</v>
      </c>
      <c r="C53" s="292">
        <f>VLOOKUP($A53,'LC (Gross)'!J:L,3,0)*C$14</f>
        <v>1.3523833467278019</v>
      </c>
      <c r="D53" s="292">
        <f>VLOOKUP($A53,'Global (Gross)'!$A:$E,5,0)*D$14</f>
        <v>1.1847962534503709</v>
      </c>
      <c r="E53" s="292">
        <f>VLOOKUP($A53,'Global (Gross)'!$J:$L,3,0)*E$14</f>
        <v>1.2065474364183291</v>
      </c>
      <c r="F53" s="292">
        <f>VLOOKUP($A53,'SC (Gross)'!$A:$E,5,0)*F$14</f>
        <v>0</v>
      </c>
      <c r="G53" s="292">
        <f>VLOOKUP($A53,'SC (Gross)'!$J:$L,3,0)*G$14</f>
        <v>1.0255931946456962</v>
      </c>
      <c r="H53" s="292" t="e">
        <f>VLOOKUP($A53,ITL!$A:$E,5,0)*H$14</f>
        <v>#N/A</v>
      </c>
      <c r="I53" s="292" t="e">
        <f>VLOOKUP($A53,ITL!$J:$L,3,0)*I$14</f>
        <v>#N/A</v>
      </c>
    </row>
    <row r="54" spans="1:10" ht="15.75" x14ac:dyDescent="0.25">
      <c r="A54" s="21">
        <f>VLOOKUP(A55-28,'LC (Gross)'!A:A,1)</f>
        <v>45351</v>
      </c>
      <c r="B54" s="292">
        <f>VLOOKUP($A54,'LC (Gross)'!A:E,5,0)*B$14</f>
        <v>1.2448133693999186</v>
      </c>
      <c r="C54" s="292">
        <f>VLOOKUP($A54,'LC (Gross)'!J:L,3,0)*C$14</f>
        <v>1.4245939907646674</v>
      </c>
      <c r="D54" s="292">
        <f>VLOOKUP($A54,'Global (Gross)'!$A:$E,5,0)*D$14</f>
        <v>1.2175445693970666</v>
      </c>
      <c r="E54" s="292">
        <f>VLOOKUP($A54,'Global (Gross)'!$J:$L,3,0)*E$14</f>
        <v>1.2588025474015809</v>
      </c>
      <c r="F54" s="292">
        <f>VLOOKUP($A54,'SC (Gross)'!$A:$E,5,0)*F$14</f>
        <v>0</v>
      </c>
      <c r="G54" s="292">
        <f>VLOOKUP($A54,'SC (Gross)'!$J:$L,3,0)*G$14</f>
        <v>1.0835454047260735</v>
      </c>
      <c r="H54" s="292" t="e">
        <f>VLOOKUP($A54,ITL!$A:$E,5,0)*H$14</f>
        <v>#N/A</v>
      </c>
      <c r="I54" s="292" t="e">
        <f>VLOOKUP($A54,ITL!$J:$L,3,0)*I$14</f>
        <v>#N/A</v>
      </c>
    </row>
    <row r="55" spans="1:10" ht="15.75" x14ac:dyDescent="0.25">
      <c r="A55" s="21">
        <f>VLOOKUP(A56-28,'LC (Gross)'!A:A,1)</f>
        <v>45382</v>
      </c>
      <c r="B55" s="292">
        <f>VLOOKUP($A55,'LC (Gross)'!A:E,5,0)*B$14</f>
        <v>1.2879469401957668</v>
      </c>
      <c r="C55" s="292">
        <f>VLOOKUP($A55,'LC (Gross)'!J:L,3,0)*C$14</f>
        <v>1.4704283507237534</v>
      </c>
      <c r="D55" s="292">
        <f>VLOOKUP($A55,'Global (Gross)'!$A:$E,5,0)*D$14</f>
        <v>1.2559364537197537</v>
      </c>
      <c r="E55" s="292">
        <f>VLOOKUP($A55,'Global (Gross)'!$J:$L,3,0)*E$14</f>
        <v>1.2991401323395617</v>
      </c>
      <c r="F55" s="292">
        <f>VLOOKUP($A55,'SC (Gross)'!$A:$E,5,0)*F$14</f>
        <v>0</v>
      </c>
      <c r="G55" s="292">
        <f>VLOOKUP($A55,'SC (Gross)'!$J:$L,3,0)*G$14</f>
        <v>1.1223228942522485</v>
      </c>
      <c r="H55" s="292" t="e">
        <f>VLOOKUP($A55,ITL!$A:$E,5,0)*H$14</f>
        <v>#N/A</v>
      </c>
      <c r="I55" s="292" t="e">
        <f>VLOOKUP($A55,ITL!$J:$L,3,0)*I$14</f>
        <v>#N/A</v>
      </c>
    </row>
    <row r="56" spans="1:10" ht="15.75" x14ac:dyDescent="0.25">
      <c r="A56" s="21">
        <f>VLOOKUP(A57-28,'LC (Gross)'!A:A,1)</f>
        <v>45412</v>
      </c>
      <c r="B56" s="292">
        <f>VLOOKUP($A56,'LC (Gross)'!A:E,5,0)*B$14</f>
        <v>1.2364484927950665</v>
      </c>
      <c r="C56" s="292">
        <f>VLOOKUP($A56,'LC (Gross)'!J:L,3,0)*C$14</f>
        <v>1.410370072236808</v>
      </c>
      <c r="D56" s="292">
        <f>VLOOKUP($A56,'Global (Gross)'!$A:$E,5,0)*D$14</f>
        <v>1.223646027321194</v>
      </c>
      <c r="E56" s="292">
        <f>VLOOKUP($A56,'Global (Gross)'!$J:$L,3,0)*E$14</f>
        <v>1.256761973360224</v>
      </c>
      <c r="F56" s="292">
        <f>VLOOKUP($A56,'SC (Gross)'!$A:$E,5,0)*F$14</f>
        <v>0</v>
      </c>
      <c r="G56" s="292">
        <f>VLOOKUP($A56,'SC (Gross)'!$J:$L,3,0)*G$14</f>
        <v>1.0433308235758765</v>
      </c>
      <c r="H56" s="292" t="e">
        <f>VLOOKUP($A56,ITL!$A:$E,5,0)*H$14</f>
        <v>#N/A</v>
      </c>
      <c r="I56" s="292" t="e">
        <f>VLOOKUP($A56,ITL!$J:$L,3,0)*I$14</f>
        <v>#N/A</v>
      </c>
    </row>
    <row r="57" spans="1:10" ht="15.75" x14ac:dyDescent="0.25">
      <c r="A57" s="21">
        <f>VLOOKUP(A58-28,'LC (Gross)'!A:A,1)</f>
        <v>45443</v>
      </c>
      <c r="B57" s="292">
        <f>VLOOKUP($A57,'LC (Gross)'!A:E,5,0)*B$14</f>
        <v>1.2819702810545572</v>
      </c>
      <c r="C57" s="292">
        <f>VLOOKUP($A57,'LC (Gross)'!J:L,3,0)*C$14</f>
        <v>1.4803040479722098</v>
      </c>
      <c r="D57" s="292">
        <f>VLOOKUP($A57,'Global (Gross)'!$A:$E,5,0)*D$14</f>
        <v>1.2518661199875034</v>
      </c>
      <c r="E57" s="292">
        <f>VLOOKUP($A57,'Global (Gross)'!$J:$L,3,0)*E$14</f>
        <v>1.3085350871804615</v>
      </c>
      <c r="F57" s="292">
        <f>VLOOKUP($A57,'SC (Gross)'!$A:$E,5,0)*F$14</f>
        <v>0</v>
      </c>
      <c r="G57" s="292">
        <f>VLOOKUP($A57,'SC (Gross)'!$J:$L,3,0)*G$14</f>
        <v>1.0957151809307084</v>
      </c>
      <c r="H57" s="292" t="e">
        <f>VLOOKUP($A57,ITL!$A:$E,5,0)*H$14</f>
        <v>#N/A</v>
      </c>
      <c r="I57" s="292" t="e">
        <f>VLOOKUP($A57,ITL!$J:$L,3,0)*I$14</f>
        <v>#N/A</v>
      </c>
    </row>
    <row r="58" spans="1:10" ht="15.75" x14ac:dyDescent="0.25">
      <c r="A58" s="21">
        <f>VLOOKUP(A59-28,'LC (Gross)'!A:A,1)</f>
        <v>45473</v>
      </c>
      <c r="B58" s="292">
        <f>VLOOKUP($A58,'LC (Gross)'!A:E,5,0)*B$14</f>
        <v>1.3071200255661322</v>
      </c>
      <c r="C58" s="292">
        <f>VLOOKUP($A58,'LC (Gross)'!J:L,3,0)*C$14</f>
        <v>1.5334155660455546</v>
      </c>
      <c r="D58" s="292">
        <f>VLOOKUP($A58,'Global (Gross)'!$A:$E,5,0)*D$14</f>
        <v>1.2555347015904006</v>
      </c>
      <c r="E58" s="292">
        <f>VLOOKUP($A58,'Global (Gross)'!$J:$L,3,0)*E$14</f>
        <v>1.3381396597852004</v>
      </c>
      <c r="F58" s="292">
        <f>VLOOKUP($A58,'SC (Gross)'!$A:$E,5,0)*F$14</f>
        <v>0</v>
      </c>
      <c r="G58" s="292">
        <f>VLOOKUP($A58,'SC (Gross)'!$J:$L,3,0)*G$14</f>
        <v>1.0855639035312417</v>
      </c>
      <c r="H58" s="292" t="e">
        <f>VLOOKUP($A58,ITL!$A:$E,5,0)*H$14</f>
        <v>#N/A</v>
      </c>
      <c r="I58" s="292" t="e">
        <f>VLOOKUP($A58,ITL!$J:$L,3,0)*I$14</f>
        <v>#N/A</v>
      </c>
    </row>
    <row r="59" spans="1:10" ht="15.75" x14ac:dyDescent="0.25">
      <c r="A59" s="21">
        <f>VLOOKUP(A60-28,'LC (Gross)'!A:A,1)</f>
        <v>45504</v>
      </c>
      <c r="B59" s="292">
        <f>VLOOKUP($A59,'LC (Gross)'!A:E,5,0)*B$14</f>
        <v>1.3441350389455646</v>
      </c>
      <c r="C59" s="292">
        <f>VLOOKUP($A59,'LC (Gross)'!J:L,3,0)*C$14</f>
        <v>1.5520811130257113</v>
      </c>
      <c r="D59" s="292">
        <f>VLOOKUP($A59,'Global (Gross)'!$A:$E,5,0)*D$14</f>
        <v>1.2885873338940808</v>
      </c>
      <c r="E59" s="292">
        <f>VLOOKUP($A59,'Global (Gross)'!$J:$L,3,0)*E$14</f>
        <v>1.3601334302846029</v>
      </c>
      <c r="F59" s="292">
        <f>VLOOKUP($A59,'SC (Gross)'!$A:$E,5,0)*F$14</f>
        <v>0</v>
      </c>
      <c r="G59" s="292">
        <f>VLOOKUP($A59,'SC (Gross)'!$J:$L,3,0)*G$14</f>
        <v>1.1958562191225028</v>
      </c>
      <c r="H59" s="292" t="e">
        <f>VLOOKUP($A59,ITL!$A:$E,5,0)*H$14</f>
        <v>#N/A</v>
      </c>
      <c r="I59" s="292" t="e">
        <f>VLOOKUP($A59,ITL!$J:$L,3,0)*I$14</f>
        <v>#N/A</v>
      </c>
    </row>
    <row r="60" spans="1:10" ht="15.75" x14ac:dyDescent="0.25">
      <c r="A60" s="21">
        <f>VLOOKUP(A61-28,'LC (Gross)'!A:A,1)</f>
        <v>45535</v>
      </c>
      <c r="B60" s="292">
        <f>VLOOKUP($A60,'LC (Gross)'!A:E,5,0)*B$14</f>
        <v>1.4118888547932749</v>
      </c>
      <c r="C60" s="292">
        <f>VLOOKUP($A60,'LC (Gross)'!J:L,3,0)*C$14</f>
        <v>1.5897307827081768</v>
      </c>
      <c r="D60" s="292">
        <f>VLOOKUP($A60,'Global (Gross)'!$A:$E,5,0)*D$14</f>
        <v>1.3364457611198175</v>
      </c>
      <c r="E60" s="292">
        <f>VLOOKUP($A60,'Global (Gross)'!$J:$L,3,0)*E$14</f>
        <v>1.3951405037092652</v>
      </c>
      <c r="F60" s="292">
        <f>VLOOKUP($A60,'SC (Gross)'!$A:$E,5,0)*F$14</f>
        <v>0</v>
      </c>
      <c r="G60" s="292">
        <f>VLOOKUP($A60,'SC (Gross)'!$J:$L,3,0)*G$14</f>
        <v>1.1779737200614864</v>
      </c>
      <c r="H60" s="292" t="e">
        <f>VLOOKUP($A60,ITL!$A:$E,5,0)*H$14</f>
        <v>#N/A</v>
      </c>
      <c r="I60" s="292" t="e">
        <f>VLOOKUP($A60,ITL!$J:$L,3,0)*I$14</f>
        <v>#N/A</v>
      </c>
    </row>
    <row r="61" spans="1:10" ht="15.75" x14ac:dyDescent="0.25">
      <c r="A61" s="21">
        <f>VLOOKUP(A62-28,'LC (Gross)'!A:A,1)</f>
        <v>45565</v>
      </c>
      <c r="B61" s="292">
        <f>VLOOKUP($A61,'LC (Gross)'!A:E,5,0)*B$14</f>
        <v>1.4177355873059947</v>
      </c>
      <c r="C61" s="292">
        <f>VLOOKUP($A61,'LC (Gross)'!J:L,3,0)*C$14</f>
        <v>1.6236781323017448</v>
      </c>
      <c r="D61" s="292">
        <f>VLOOKUP($A61,'Global (Gross)'!$A:$E,5,0)*D$14</f>
        <v>1.3367190106864915</v>
      </c>
      <c r="E61" s="292">
        <f>VLOOKUP($A61,'Global (Gross)'!$J:$L,3,0)*E$14</f>
        <v>1.4281722409144268</v>
      </c>
      <c r="F61" s="292">
        <f>VLOOKUP($A61,'SC (Gross)'!$A:$E,5,0)*F$14</f>
        <v>0</v>
      </c>
      <c r="G61" s="292">
        <f>VLOOKUP($A61,'SC (Gross)'!$J:$L,3,0)*G$14</f>
        <v>1.1862064723733614</v>
      </c>
      <c r="H61" s="292" t="e">
        <f>VLOOKUP($A61,ITL!$A:$E,5,0)*H$14</f>
        <v>#N/A</v>
      </c>
      <c r="I61" s="292" t="e">
        <f>VLOOKUP($A61,ITL!$J:$L,3,0)*I$14</f>
        <v>#N/A</v>
      </c>
    </row>
    <row r="62" spans="1:10" ht="15.75" x14ac:dyDescent="0.25">
      <c r="A62" s="21">
        <f>VLOOKUP(A63-28,'LC (Gross)'!A:A,1)</f>
        <v>45596</v>
      </c>
      <c r="B62" s="292">
        <f>VLOOKUP($A62,'LC (Gross)'!A:E,5,0)*B$14</f>
        <v>1.3775010520421365</v>
      </c>
      <c r="C62" s="292">
        <f>VLOOKUP($A62,'LC (Gross)'!J:L,3,0)*C$14</f>
        <v>1.6088163222131138</v>
      </c>
      <c r="D62" s="292">
        <f>VLOOKUP($A62,'Global (Gross)'!$A:$E,5,0)*D$14</f>
        <v>1.2912638673609071</v>
      </c>
      <c r="E62" s="292">
        <f>VLOOKUP($A62,'Global (Gross)'!$J:$L,3,0)*E$14</f>
        <v>1.3965863409009687</v>
      </c>
      <c r="F62" s="292">
        <f>VLOOKUP($A62,'SC (Gross)'!$A:$E,5,0)*F$14</f>
        <v>0</v>
      </c>
      <c r="G62" s="292">
        <f>VLOOKUP($A62,'SC (Gross)'!$J:$L,3,0)*G$14</f>
        <v>1.169072799327818</v>
      </c>
      <c r="H62" s="292" t="e">
        <f>VLOOKUP($A62,ITL!$A:$E,5,0)*H$14</f>
        <v>#N/A</v>
      </c>
      <c r="I62" s="292" t="e">
        <f>VLOOKUP($A62,ITL!$J:$L,3,0)*I$14</f>
        <v>#N/A</v>
      </c>
    </row>
    <row r="63" spans="1:10" ht="15.75" x14ac:dyDescent="0.25">
      <c r="A63" s="21">
        <f>VLOOKUP(A64-28,'LC (Gross)'!A:A,1)</f>
        <v>45626</v>
      </c>
      <c r="B63" s="292">
        <f>VLOOKUP($A63,'LC (Gross)'!A:E,5,0)*B$14</f>
        <v>1.4756761922843948</v>
      </c>
      <c r="C63" s="292">
        <f>VLOOKUP($A63,'LC (Gross)'!J:L,3,0)*C$14</f>
        <v>1.7032538081506972</v>
      </c>
      <c r="D63" s="292">
        <f>VLOOKUP($A63,'Global (Gross)'!$A:$E,5,0)*D$14</f>
        <v>1.3435662907935031</v>
      </c>
      <c r="E63" s="292">
        <f>VLOOKUP($A63,'Global (Gross)'!$J:$L,3,0)*E$14</f>
        <v>1.4492854231716574</v>
      </c>
      <c r="F63" s="292">
        <f>VLOOKUP($A63,'SC (Gross)'!$A:$E,5,0)*F$14</f>
        <v>0</v>
      </c>
      <c r="G63" s="292">
        <f>VLOOKUP($A63,'SC (Gross)'!$J:$L,3,0)*G$14</f>
        <v>1.297274608482186</v>
      </c>
      <c r="H63" s="292" t="e">
        <f>VLOOKUP($A63,ITL!$A:$E,5,0)*H$14</f>
        <v>#N/A</v>
      </c>
      <c r="I63" s="292" t="e">
        <f>VLOOKUP($A63,ITL!$J:$L,3,0)*I$14</f>
        <v>#N/A</v>
      </c>
    </row>
    <row r="64" spans="1:10" ht="15.75" x14ac:dyDescent="0.25">
      <c r="A64" s="21">
        <f>VLOOKUP(A65-28,'LC (Gross)'!A:A,1)</f>
        <v>45657</v>
      </c>
      <c r="B64" s="292">
        <f>VLOOKUP($A64,'LC (Gross)'!A:E,5,0)*B$14</f>
        <v>1.405734179480999</v>
      </c>
      <c r="C64" s="292">
        <f>VLOOKUP($A64,'LC (Gross)'!J:L,3,0)*C$14</f>
        <v>1.6625251261791314</v>
      </c>
      <c r="D64" s="292">
        <f>VLOOKUP($A64,'Global (Gross)'!$A:$E,5,0)*D$14</f>
        <v>1.2920019228820376</v>
      </c>
      <c r="E64" s="292">
        <f>VLOOKUP($A64,'Global (Gross)'!$J:$L,3,0)*E$14</f>
        <v>1.4154622898227618</v>
      </c>
      <c r="F64" s="292">
        <f>VLOOKUP($A64,'SC (Gross)'!$A:$E,5,0)*F$14</f>
        <v>0</v>
      </c>
      <c r="G64" s="292">
        <f>VLOOKUP($A64,'SC (Gross)'!$J:$L,3,0)*G$14</f>
        <v>1.1901047033815912</v>
      </c>
      <c r="H64" s="292" t="e">
        <f>VLOOKUP($A64,ITL!$A:$E,5,0)*H$14</f>
        <v>#N/A</v>
      </c>
      <c r="I64" s="292" t="e">
        <f>VLOOKUP($A64,ITL!$J:$L,3,0)*I$14</f>
        <v>#N/A</v>
      </c>
    </row>
    <row r="65" spans="1:9" ht="15.75" x14ac:dyDescent="0.25">
      <c r="A65" s="21">
        <f>VLOOKUP(A66-28,'LC (Gross)'!A:A,1)</f>
        <v>45688</v>
      </c>
      <c r="B65" s="292">
        <f>VLOOKUP($A65,'LC (Gross)'!A:E,5,0)*B$14</f>
        <v>1.4678342776882418</v>
      </c>
      <c r="C65" s="292">
        <f>VLOOKUP($A65,'LC (Gross)'!J:L,3,0)*C$14</f>
        <v>1.7087313212555002</v>
      </c>
      <c r="D65" s="292">
        <f>VLOOKUP($A65,'Global (Gross)'!$A:$E,5,0)*D$14</f>
        <v>1.3255159618008669</v>
      </c>
      <c r="E65" s="292">
        <f>VLOOKUP($A65,'Global (Gross)'!$J:$L,3,0)*E$14</f>
        <v>1.4633249157009263</v>
      </c>
      <c r="F65" s="292" t="e">
        <f>VLOOKUP($A65,'SC (Gross)'!$A:$E,5,0)*F$14</f>
        <v>#N/A</v>
      </c>
      <c r="G65" s="292" t="e">
        <f>VLOOKUP($A65,'SC (Gross)'!$J:$L,3,0)*G$14</f>
        <v>#N/A</v>
      </c>
      <c r="H65" s="292" t="e">
        <f>VLOOKUP($A65,ITL!$A:$E,5,0)*H$14</f>
        <v>#N/A</v>
      </c>
      <c r="I65" s="292" t="e">
        <f>VLOOKUP($A65,ITL!$J:$L,3,0)*I$14</f>
        <v>#N/A</v>
      </c>
    </row>
    <row r="66" spans="1:9" ht="15.75" x14ac:dyDescent="0.25">
      <c r="A66" s="21">
        <f>VLOOKUP(A67-28,'LC (Gross)'!A:A,1)</f>
        <v>45716</v>
      </c>
      <c r="B66" s="292">
        <f>VLOOKUP($A66,'LC (Gross)'!A:E,5,0)*B$14</f>
        <v>1.4538986918955423</v>
      </c>
      <c r="C66" s="292">
        <f>VLOOKUP($A66,'LC (Gross)'!J:L,3,0)*C$14</f>
        <v>1.6864330951802708</v>
      </c>
      <c r="D66" s="292">
        <f>VLOOKUP($A66,'Global (Gross)'!$A:$E,5,0)*D$14</f>
        <v>1.3433793704461938</v>
      </c>
      <c r="E66" s="292">
        <f>VLOOKUP($A66,'Global (Gross)'!$J:$L,3,0)*E$14</f>
        <v>1.4549546752332434</v>
      </c>
      <c r="F66" s="292" t="e">
        <f>VLOOKUP($A66,'SC (Gross)'!$A:$E,5,0)*F$14</f>
        <v>#N/A</v>
      </c>
      <c r="G66" s="292" t="e">
        <f>VLOOKUP($A66,'SC (Gross)'!$J:$L,3,0)*G$14</f>
        <v>#N/A</v>
      </c>
      <c r="H66" s="292" t="e">
        <f>VLOOKUP($A66,ITL!$A:$E,5,0)*H$14</f>
        <v>#N/A</v>
      </c>
      <c r="I66" s="292" t="e">
        <f>VLOOKUP($A66,ITL!$J:$L,3,0)*I$14</f>
        <v>#N/A</v>
      </c>
    </row>
    <row r="67" spans="1:9" ht="15.75" x14ac:dyDescent="0.25">
      <c r="A67" s="21">
        <f>VLOOKUP(A68-28,'LC (Gross)'!A:A,1)</f>
        <v>45747</v>
      </c>
      <c r="B67" s="292">
        <f>VLOOKUP($A67,'LC (Gross)'!A:E,5,0)*B$14</f>
        <v>1.4304417738620439</v>
      </c>
      <c r="C67" s="292">
        <f>VLOOKUP($A67,'LC (Gross)'!J:L,3,0)*C$14</f>
        <v>1.5914127931870885</v>
      </c>
      <c r="D67" s="292">
        <f>VLOOKUP($A67,'Global (Gross)'!$A:$E,5,0)*D$14</f>
        <v>1.3501066005725422</v>
      </c>
      <c r="E67" s="292">
        <f>VLOOKUP($A67,'Global (Gross)'!$J:$L,3,0)*E$14</f>
        <v>1.398329512471042</v>
      </c>
      <c r="F67" s="292" t="e">
        <f>VLOOKUP($A67,'SC (Gross)'!$A:$E,5,0)*F$14</f>
        <v>#N/A</v>
      </c>
      <c r="G67" s="292" t="e">
        <f>VLOOKUP($A67,'SC (Gross)'!$J:$L,3,0)*G$14</f>
        <v>#N/A</v>
      </c>
      <c r="H67" s="292" t="e">
        <f>VLOOKUP($A67,ITL!$A:$E,5,0)*H$14</f>
        <v>#N/A</v>
      </c>
      <c r="I67" s="292" t="e">
        <f>VLOOKUP($A67,ITL!$J:$L,3,0)*I$14</f>
        <v>#N/A</v>
      </c>
    </row>
    <row r="68" spans="1:9" ht="15.75" x14ac:dyDescent="0.25">
      <c r="A68" s="21">
        <f>VLOOKUP(A69-28,'LC (Gross)'!A:A,1)</f>
        <v>45777</v>
      </c>
      <c r="B68" s="292">
        <f>VLOOKUP($A68,'LC (Gross)'!A:E,5,0)*B$14</f>
        <v>1.4061140797374214</v>
      </c>
      <c r="C68" s="292">
        <f>VLOOKUP($A68,'LC (Gross)'!J:L,3,0)*C$14</f>
        <v>1.5806209360641723</v>
      </c>
      <c r="D68" s="292">
        <f>VLOOKUP($A68,'Global (Gross)'!$A:$E,5,0)*D$14</f>
        <v>1.3498107684544807</v>
      </c>
      <c r="E68" s="292">
        <f>VLOOKUP($A68,'Global (Gross)'!$J:$L,3,0)*E$14</f>
        <v>1.4120025993800467</v>
      </c>
      <c r="F68" s="292" t="e">
        <f>VLOOKUP($A68,'SC (Gross)'!$A:$E,5,0)*F$14</f>
        <v>#N/A</v>
      </c>
      <c r="G68" s="292" t="e">
        <f>VLOOKUP($A68,'SC (Gross)'!$J:$L,3,0)*G$14</f>
        <v>#N/A</v>
      </c>
      <c r="H68" s="292" t="e">
        <f>VLOOKUP($A68,ITL!$A:$E,5,0)*H$14</f>
        <v>#N/A</v>
      </c>
      <c r="I68" s="292" t="e">
        <f>VLOOKUP($A68,ITL!$J:$L,3,0)*I$14</f>
        <v>#N/A</v>
      </c>
    </row>
    <row r="69" spans="1:9" ht="15.75" x14ac:dyDescent="0.25">
      <c r="A69" s="21">
        <f>VLOOKUP(A70-28,'LC (Gross)'!A:A,1)</f>
        <v>45808</v>
      </c>
      <c r="B69" s="292">
        <f>VLOOKUP($A69,'LC (Gross)'!A:E,5,0)*B$14</f>
        <v>1.4299933566189786</v>
      </c>
      <c r="C69" s="292">
        <f>VLOOKUP($A69,'LC (Gross)'!J:L,3,0)*C$14</f>
        <v>1.6801150018236455</v>
      </c>
      <c r="D69" s="292">
        <f>VLOOKUP($A69,'Global (Gross)'!$A:$E,5,0)*D$14</f>
        <v>1.3768329406846476</v>
      </c>
      <c r="E69" s="292">
        <f>VLOOKUP($A69,'Global (Gross)'!$J:$L,3,0)*E$14</f>
        <v>1.4941039141217793</v>
      </c>
      <c r="F69" s="292" t="e">
        <f>VLOOKUP($A69,'SC (Gross)'!$A:$E,5,0)*F$14</f>
        <v>#N/A</v>
      </c>
      <c r="G69" s="292" t="e">
        <f>VLOOKUP($A69,'SC (Gross)'!$J:$L,3,0)*G$14</f>
        <v>#N/A</v>
      </c>
      <c r="H69" s="292" t="e">
        <f>VLOOKUP($A69,ITL!$A:$E,5,0)*H$14</f>
        <v>#N/A</v>
      </c>
      <c r="I69" s="292" t="e">
        <f>VLOOKUP($A69,ITL!$J:$L,3,0)*I$14</f>
        <v>#N/A</v>
      </c>
    </row>
    <row r="70" spans="1:9" ht="15.75" x14ac:dyDescent="0.25">
      <c r="A70" s="21">
        <f>VLOOKUP(A71-28,'LC (Gross)'!A:A,1)</f>
        <v>45838</v>
      </c>
      <c r="B70" s="292">
        <f>VLOOKUP($A70,'LC (Gross)'!A:E,5,0)*B$14</f>
        <v>1.4369084825828571</v>
      </c>
      <c r="C70" s="292">
        <f>VLOOKUP($A70,'LC (Gross)'!J:L,3,0)*C$14</f>
        <v>1.7655459934708748</v>
      </c>
      <c r="D70" s="292">
        <f>VLOOKUP($A70,'Global (Gross)'!$A:$E,5,0)*D$14</f>
        <v>1.3922940586554071</v>
      </c>
      <c r="E70" s="292">
        <f>VLOOKUP($A70,'Global (Gross)'!$J:$L,3,0)*E$14</f>
        <v>1.5618169126843264</v>
      </c>
      <c r="F70" s="292" t="e">
        <f>VLOOKUP($A70,'SC (Gross)'!$A:$E,5,0)*F$14</f>
        <v>#N/A</v>
      </c>
      <c r="G70" s="292" t="e">
        <f>VLOOKUP($A70,'SC (Gross)'!$J:$L,3,0)*G$14</f>
        <v>#N/A</v>
      </c>
      <c r="H70" s="292" t="e">
        <f>VLOOKUP($A70,ITL!$A:$E,5,0)*H$14</f>
        <v>#N/A</v>
      </c>
      <c r="I70" s="292" t="e">
        <f>VLOOKUP($A70,ITL!$J:$L,3,0)*I$14</f>
        <v>#N/A</v>
      </c>
    </row>
    <row r="71" spans="1:9" ht="15.75" x14ac:dyDescent="0.25">
      <c r="A71" s="21">
        <f>VLOOKUP(A72-28,'LC (Gross)'!A:A,1)</f>
        <v>45869</v>
      </c>
      <c r="B71" s="292">
        <f>VLOOKUP($A71,'LC (Gross)'!A:E,5,0)*B$14</f>
        <v>1.4317549530585305</v>
      </c>
      <c r="C71" s="292">
        <f>VLOOKUP($A71,'LC (Gross)'!J:L,3,0)*C$14</f>
        <v>1.8051699656477422</v>
      </c>
      <c r="D71" s="292">
        <f>VLOOKUP($A71,'Global (Gross)'!$A:$E,5,0)*D$14</f>
        <v>1.3563784689642133</v>
      </c>
      <c r="E71" s="292">
        <f>VLOOKUP($A71,'Global (Gross)'!$J:$L,3,0)*E$14</f>
        <v>1.5834432040562367</v>
      </c>
      <c r="F71" s="292" t="e">
        <f>VLOOKUP($A71,'SC (Gross)'!$A:$E,5,0)*F$14</f>
        <v>#N/A</v>
      </c>
      <c r="G71" s="292" t="e">
        <f>VLOOKUP($A71,'SC (Gross)'!$J:$L,3,0)*G$14</f>
        <v>#N/A</v>
      </c>
      <c r="H71" s="292" t="e">
        <f>VLOOKUP($A71,ITL!$A:$E,5,0)*H$14</f>
        <v>#N/A</v>
      </c>
      <c r="I71" s="292" t="e">
        <f>VLOOKUP($A71,ITL!$J:$L,3,0)*I$14</f>
        <v>#N/A</v>
      </c>
    </row>
    <row r="72" spans="1:9" ht="15.75" x14ac:dyDescent="0.25">
      <c r="A72" s="21">
        <f>VLOOKUP(A73-28,'LC (Gross)'!A:A,1)</f>
        <v>45900</v>
      </c>
      <c r="B72" s="292">
        <f>VLOOKUP($A72,'LC (Gross)'!A:E,5,0)*B$14</f>
        <v>1.4708433816377353</v>
      </c>
      <c r="C72" s="292">
        <f>VLOOKUP($A72,'LC (Gross)'!J:L,3,0)*C$14</f>
        <v>1.8417640462607594</v>
      </c>
      <c r="D72" s="292">
        <f>VLOOKUP($A72,'Global (Gross)'!$A:$E,5,0)*D$14</f>
        <v>1.3880227379537944</v>
      </c>
      <c r="E72" s="292">
        <f>VLOOKUP($A72,'Global (Gross)'!$J:$L,3,0)*E$14</f>
        <v>1.623303077322056</v>
      </c>
      <c r="F72" s="292" t="e">
        <f>VLOOKUP($A72,'SC (Gross)'!$A:$E,5,0)*F$14</f>
        <v>#N/A</v>
      </c>
      <c r="G72" s="292" t="e">
        <f>VLOOKUP($A72,'SC (Gross)'!$J:$L,3,0)*G$14</f>
        <v>#N/A</v>
      </c>
      <c r="H72" s="292" t="e">
        <f>VLOOKUP($A72,ITL!$A:$E,5,0)*H$14</f>
        <v>#N/A</v>
      </c>
      <c r="I72" s="292" t="e">
        <f>VLOOKUP($A72,ITL!$J:$L,3,0)*I$14</f>
        <v>#N/A</v>
      </c>
    </row>
    <row r="73" spans="1:9" ht="15.75" x14ac:dyDescent="0.25">
      <c r="A73" s="21">
        <f>VLOOKUP(A74-28,'LC (Gross)'!A:A,1)</f>
        <v>45930</v>
      </c>
      <c r="B73" s="292">
        <f>VLOOKUP($A73,'LC (Gross)'!A:E,5,0)*B$14</f>
        <v>1.4895816951687286</v>
      </c>
      <c r="C73" s="292">
        <f>VLOOKUP($A73,'LC (Gross)'!J:L,3,0)*C$14</f>
        <v>1.9088123244711737</v>
      </c>
      <c r="D73" s="292">
        <f>VLOOKUP($A73,'Global (Gross)'!$A:$E,5,0)*D$14</f>
        <v>1.4342379127496552</v>
      </c>
      <c r="E73" s="292">
        <f>VLOOKUP($A73,'Global (Gross)'!$J:$L,3,0)*E$14</f>
        <v>1.6828018913839258</v>
      </c>
      <c r="F73" s="292" t="e">
        <f>VLOOKUP($A73,'SC (Gross)'!$A:$E,5,0)*F$14</f>
        <v>#N/A</v>
      </c>
      <c r="G73" s="292" t="e">
        <f>VLOOKUP($A73,'SC (Gross)'!$J:$L,3,0)*G$14</f>
        <v>#N/A</v>
      </c>
      <c r="H73" s="292" t="e">
        <f>VLOOKUP($A73,ITL!$A:$E,5,0)*H$14</f>
        <v>#N/A</v>
      </c>
      <c r="I73" s="292" t="e">
        <f>VLOOKUP($A73,ITL!$J:$L,3,0)*I$14</f>
        <v>#N/A</v>
      </c>
    </row>
    <row r="74" spans="1:9" ht="15.75" x14ac:dyDescent="0.25">
      <c r="A74" s="21">
        <f>VLOOKUP(A75-28,'LC (Gross)'!A:A,1)</f>
        <v>45961</v>
      </c>
      <c r="B74" s="292">
        <f>VLOOKUP($A74,'LC (Gross)'!A:E,5,0)*B$14</f>
        <v>1.4885653346349907</v>
      </c>
      <c r="C74" s="292">
        <f>VLOOKUP($A74,'LC (Gross)'!J:L,3,0)*C$14</f>
        <v>1.953504569063905</v>
      </c>
      <c r="D74" s="292">
        <f>VLOOKUP($A74,'Global (Gross)'!$A:$E,5,0)*D$14</f>
        <v>1.4065820480885105</v>
      </c>
      <c r="E74" s="292">
        <f>VLOOKUP($A74,'Global (Gross)'!$J:$L,3,0)*E$14</f>
        <v>1.7207552667455936</v>
      </c>
      <c r="F74" s="292" t="e">
        <f>VLOOKUP($A74,'SC (Gross)'!$A:$E,5,0)*F$14</f>
        <v>#N/A</v>
      </c>
      <c r="G74" s="292" t="e">
        <f>VLOOKUP($A74,'SC (Gross)'!$J:$L,3,0)*G$14</f>
        <v>#N/A</v>
      </c>
      <c r="H74" s="292" t="e">
        <f>VLOOKUP($A74,ITL!$A:$E,5,0)*H$14</f>
        <v>#N/A</v>
      </c>
      <c r="I74" s="292" t="e">
        <f>VLOOKUP($A74,ITL!$J:$L,3,0)*I$14</f>
        <v>#N/A</v>
      </c>
    </row>
    <row r="75" spans="1:9" ht="15.75" x14ac:dyDescent="0.25">
      <c r="A75" s="21">
        <f>VLOOKUP(A76-28,'LC (Gross)'!A:A,1)</f>
        <v>45991</v>
      </c>
      <c r="B75" s="292">
        <f>VLOOKUP($A75,'LC (Gross)'!A:E,5,0)*B$14</f>
        <v>1.5454017740287243</v>
      </c>
      <c r="C75" s="292">
        <f>VLOOKUP($A75,'LC (Gross)'!J:L,3,0)*C$14</f>
        <v>1.9582930053241081</v>
      </c>
      <c r="D75" s="292">
        <f>VLOOKUP($A75,'Global (Gross)'!$A:$E,5,0)*D$14</f>
        <v>1.4503792856235596</v>
      </c>
      <c r="E75" s="292">
        <f>VLOOKUP($A75,'Global (Gross)'!$J:$L,3,0)*E$14</f>
        <v>1.7210776693452019</v>
      </c>
      <c r="F75" s="292" t="e">
        <f>VLOOKUP($A75,'SC (Gross)'!$A:$E,5,0)*F$14</f>
        <v>#N/A</v>
      </c>
      <c r="G75" s="292" t="e">
        <f>VLOOKUP($A75,'SC (Gross)'!$J:$L,3,0)*G$14</f>
        <v>#N/A</v>
      </c>
      <c r="H75" s="292" t="e">
        <f>VLOOKUP($A75,ITL!$A:$E,5,0)*H$14</f>
        <v>#N/A</v>
      </c>
      <c r="I75" s="292" t="e">
        <f>VLOOKUP($A75,ITL!$J:$L,3,0)*I$14</f>
        <v>#N/A</v>
      </c>
    </row>
    <row r="76" spans="1:9" ht="15.75" x14ac:dyDescent="0.25">
      <c r="A76" s="21">
        <f>MAX('LC (Gross)'!A:A)</f>
        <v>46022</v>
      </c>
      <c r="B76" s="292">
        <f>VLOOKUP($A76,'LC (Gross)'!A:E,5,0)*B$14</f>
        <v>1.5446144176827228</v>
      </c>
      <c r="C76" s="292">
        <f>VLOOKUP($A76,'LC (Gross)'!J:L,3,0)*C$14</f>
        <v>1.9594518463595729</v>
      </c>
      <c r="D76" s="292">
        <f>VLOOKUP($A76,'Global (Gross)'!$A:$E,5,0)*D$14</f>
        <v>1.4555625205803853</v>
      </c>
      <c r="E76" s="292">
        <f>VLOOKUP($A76,'Global (Gross)'!$J:$L,3,0)*E$14</f>
        <v>1.7394983636402037</v>
      </c>
      <c r="F76" s="292" t="e">
        <f>VLOOKUP($A76,'SC (Gross)'!$A:$E,5,0)*F$14</f>
        <v>#N/A</v>
      </c>
      <c r="G76" s="292" t="e">
        <f>VLOOKUP($A76,'SC (Gross)'!$J:$L,3,0)*G$14</f>
        <v>#N/A</v>
      </c>
      <c r="H76" s="292" t="e">
        <f>VLOOKUP($A76,ITL!$A:$E,5,0)*H$14</f>
        <v>#N/A</v>
      </c>
      <c r="I76" s="292" t="e">
        <f>VLOOKUP($A76,ITL!$J:$L,3,0)*I$14</f>
        <v>#N/A</v>
      </c>
    </row>
    <row r="77" spans="1:9" ht="15.75" x14ac:dyDescent="0.25">
      <c r="A77" s="21"/>
      <c r="B77" s="292"/>
      <c r="C77" s="292"/>
      <c r="D77" s="292"/>
      <c r="E77" s="292"/>
      <c r="F77" s="292"/>
      <c r="G77" s="292"/>
      <c r="H77" s="292"/>
      <c r="I77" s="292"/>
    </row>
    <row r="78" spans="1:9" ht="15.75" x14ac:dyDescent="0.25">
      <c r="A78" s="21"/>
      <c r="B78" s="292"/>
      <c r="C78" s="292"/>
      <c r="D78" s="292"/>
      <c r="E78" s="292"/>
      <c r="F78" s="292"/>
      <c r="G78" s="292"/>
      <c r="H78" s="292"/>
      <c r="I78" s="292"/>
    </row>
    <row r="79" spans="1:9" ht="15.75" x14ac:dyDescent="0.25">
      <c r="A79" s="21"/>
      <c r="B79" s="292"/>
      <c r="C79" s="292"/>
      <c r="D79" s="292"/>
      <c r="E79" s="292"/>
      <c r="F79" s="292"/>
      <c r="G79" s="292"/>
      <c r="H79" s="292"/>
      <c r="I79" s="292"/>
    </row>
    <row r="80" spans="1:9" ht="15.75" x14ac:dyDescent="0.25">
      <c r="A80" s="21"/>
      <c r="B80" s="292"/>
      <c r="C80" s="292"/>
      <c r="D80" s="292"/>
      <c r="E80" s="292"/>
      <c r="F80" s="292"/>
      <c r="G80" s="292"/>
      <c r="H80" s="292"/>
      <c r="I80" s="292"/>
    </row>
    <row r="81" spans="1:9" ht="15.75" x14ac:dyDescent="0.25">
      <c r="A81" s="21"/>
      <c r="B81" s="292"/>
      <c r="C81" s="292"/>
      <c r="D81" s="292"/>
      <c r="E81" s="292"/>
      <c r="F81" s="292"/>
      <c r="G81" s="292"/>
      <c r="H81" s="292"/>
      <c r="I81" s="292"/>
    </row>
    <row r="82" spans="1:9" ht="15.75" x14ac:dyDescent="0.25">
      <c r="A82" s="21"/>
      <c r="B82" s="292"/>
      <c r="C82" s="292"/>
      <c r="D82" s="292"/>
      <c r="E82" s="292"/>
      <c r="F82" s="292"/>
      <c r="G82" s="292"/>
      <c r="H82" s="292"/>
      <c r="I82" s="292"/>
    </row>
    <row r="83" spans="1:9" ht="15.75" x14ac:dyDescent="0.25">
      <c r="A83" s="21"/>
      <c r="B83" s="292"/>
      <c r="C83" s="292"/>
      <c r="D83" s="292"/>
      <c r="E83" s="292"/>
      <c r="F83" s="292"/>
      <c r="G83" s="292"/>
      <c r="H83" s="292"/>
      <c r="I83" s="292"/>
    </row>
    <row r="84" spans="1:9" ht="15.75" x14ac:dyDescent="0.25">
      <c r="A84" s="21"/>
      <c r="B84" s="292"/>
      <c r="C84" s="292"/>
      <c r="D84" s="292"/>
      <c r="E84" s="292"/>
      <c r="F84" s="292"/>
      <c r="G84" s="292"/>
      <c r="H84" s="292"/>
      <c r="I84" s="292"/>
    </row>
    <row r="85" spans="1:9" ht="15.75" x14ac:dyDescent="0.25">
      <c r="A85" s="21"/>
      <c r="B85" s="292"/>
      <c r="C85" s="292"/>
      <c r="D85" s="292"/>
      <c r="E85" s="292"/>
      <c r="F85" s="292"/>
      <c r="G85" s="292"/>
      <c r="H85" s="292"/>
      <c r="I85" s="292"/>
    </row>
    <row r="86" spans="1:9" ht="15.75" x14ac:dyDescent="0.25">
      <c r="A86" s="21"/>
      <c r="B86" s="292"/>
      <c r="C86" s="292"/>
      <c r="D86" s="292"/>
      <c r="E86" s="292"/>
      <c r="F86" s="292"/>
      <c r="G86" s="292"/>
      <c r="H86" s="292"/>
      <c r="I86" s="292"/>
    </row>
    <row r="87" spans="1:9" ht="15.75" x14ac:dyDescent="0.25">
      <c r="A87" s="21"/>
      <c r="B87" s="292"/>
      <c r="C87" s="292"/>
      <c r="D87" s="292"/>
      <c r="E87" s="292"/>
      <c r="F87" s="292"/>
      <c r="G87" s="292"/>
      <c r="H87" s="292"/>
      <c r="I87" s="292"/>
    </row>
    <row r="88" spans="1:9" ht="15.75" x14ac:dyDescent="0.25">
      <c r="A88" s="21"/>
      <c r="B88" s="292"/>
      <c r="C88" s="292"/>
      <c r="D88" s="292"/>
      <c r="E88" s="292"/>
      <c r="F88" s="292"/>
      <c r="G88" s="292"/>
      <c r="H88" s="292"/>
      <c r="I88" s="292"/>
    </row>
    <row r="89" spans="1:9" ht="15.75" x14ac:dyDescent="0.25">
      <c r="A89" s="21"/>
      <c r="B89" s="292"/>
      <c r="C89" s="292"/>
      <c r="D89" s="292"/>
      <c r="E89" s="292"/>
      <c r="F89" s="292"/>
      <c r="G89" s="292"/>
      <c r="H89" s="292"/>
      <c r="I89" s="292"/>
    </row>
    <row r="90" spans="1:9" ht="15.75" x14ac:dyDescent="0.25">
      <c r="A90" s="21"/>
      <c r="B90" s="292"/>
      <c r="C90" s="292"/>
      <c r="D90" s="292"/>
      <c r="E90" s="292"/>
      <c r="F90" s="292"/>
      <c r="G90" s="292"/>
      <c r="H90" s="292"/>
      <c r="I90" s="292"/>
    </row>
    <row r="91" spans="1:9" ht="15.75" x14ac:dyDescent="0.25">
      <c r="A91" s="21"/>
      <c r="B91" s="292"/>
      <c r="C91" s="292"/>
      <c r="D91" s="292"/>
      <c r="E91" s="292"/>
      <c r="F91" s="292"/>
      <c r="G91" s="292"/>
      <c r="H91" s="292"/>
      <c r="I91" s="292"/>
    </row>
    <row r="92" spans="1:9" ht="15.75" x14ac:dyDescent="0.25">
      <c r="A92" s="21"/>
      <c r="B92" s="292"/>
      <c r="C92" s="292"/>
      <c r="D92" s="292"/>
      <c r="E92" s="292"/>
      <c r="F92" s="292"/>
      <c r="G92" s="292"/>
      <c r="H92" s="292"/>
      <c r="I92" s="292"/>
    </row>
    <row r="93" spans="1:9" ht="15.75" x14ac:dyDescent="0.25">
      <c r="A93" s="21"/>
      <c r="B93" s="292"/>
      <c r="C93" s="292"/>
      <c r="D93" s="292"/>
      <c r="E93" s="292"/>
      <c r="F93" s="292"/>
      <c r="G93" s="292"/>
      <c r="H93" s="292"/>
      <c r="I93" s="292"/>
    </row>
    <row r="94" spans="1:9" ht="15.75" x14ac:dyDescent="0.25">
      <c r="A94" s="21"/>
      <c r="B94" s="292"/>
      <c r="C94" s="292"/>
      <c r="D94" s="292"/>
      <c r="E94" s="292"/>
      <c r="F94" s="292"/>
      <c r="G94" s="292"/>
      <c r="H94" s="292"/>
      <c r="I94" s="292"/>
    </row>
    <row r="95" spans="1:9" ht="15.75" x14ac:dyDescent="0.25">
      <c r="A95" s="21"/>
      <c r="B95" s="292"/>
      <c r="C95" s="292"/>
      <c r="D95" s="292"/>
      <c r="E95" s="292"/>
      <c r="F95" s="292"/>
      <c r="G95" s="292"/>
      <c r="H95" s="292"/>
      <c r="I95" s="292"/>
    </row>
    <row r="96" spans="1:9" ht="15.75" x14ac:dyDescent="0.25">
      <c r="A96" s="21"/>
      <c r="B96" s="292"/>
      <c r="C96" s="292"/>
      <c r="D96" s="292"/>
      <c r="E96" s="292"/>
      <c r="F96" s="292"/>
      <c r="G96" s="292"/>
      <c r="H96" s="292"/>
      <c r="I96" s="292"/>
    </row>
    <row r="97" spans="1:9" ht="15.75" x14ac:dyDescent="0.25">
      <c r="A97" s="21"/>
      <c r="B97" s="292"/>
      <c r="C97" s="292"/>
      <c r="D97" s="292"/>
      <c r="E97" s="292"/>
      <c r="F97" s="292"/>
      <c r="G97" s="292"/>
      <c r="H97" s="292"/>
      <c r="I97" s="292"/>
    </row>
    <row r="98" spans="1:9" ht="15.75" x14ac:dyDescent="0.25">
      <c r="A98" s="21"/>
      <c r="B98" s="292"/>
      <c r="C98" s="292"/>
      <c r="D98" s="292"/>
      <c r="E98" s="292"/>
      <c r="F98" s="292"/>
      <c r="G98" s="292"/>
      <c r="H98" s="292"/>
      <c r="I98" s="292"/>
    </row>
    <row r="99" spans="1:9" ht="15.75" x14ac:dyDescent="0.25">
      <c r="A99" s="21"/>
      <c r="B99" s="292"/>
      <c r="C99" s="292"/>
      <c r="D99" s="292"/>
      <c r="E99" s="292"/>
      <c r="F99" s="292"/>
      <c r="G99" s="292"/>
      <c r="H99" s="292"/>
      <c r="I99" s="292"/>
    </row>
    <row r="100" spans="1:9" ht="15.75" x14ac:dyDescent="0.25">
      <c r="A100" s="21"/>
      <c r="B100" s="292"/>
      <c r="C100" s="292"/>
      <c r="D100" s="292"/>
      <c r="E100" s="292"/>
      <c r="F100" s="292"/>
      <c r="G100" s="292"/>
      <c r="H100" s="292"/>
      <c r="I100" s="292"/>
    </row>
    <row r="101" spans="1:9" ht="15.75" x14ac:dyDescent="0.25">
      <c r="A101" s="21"/>
      <c r="B101" s="292"/>
      <c r="C101" s="292"/>
      <c r="D101" s="292"/>
      <c r="E101" s="292"/>
      <c r="F101" s="292"/>
      <c r="G101" s="292"/>
      <c r="H101" s="292"/>
      <c r="I101" s="29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CCF3-CEEE-4203-8A81-E27A351180F8}">
  <sheetPr codeName="Sheet25">
    <tabColor theme="4" tint="-0.499984740745262"/>
  </sheetPr>
  <dimension ref="A1:AA106"/>
  <sheetViews>
    <sheetView showGridLines="0" tabSelected="1" zoomScale="130" zoomScaleNormal="130" workbookViewId="0">
      <selection activeCell="M16" sqref="M16"/>
    </sheetView>
  </sheetViews>
  <sheetFormatPr defaultColWidth="9" defaultRowHeight="15" x14ac:dyDescent="0.25"/>
  <cols>
    <col min="1" max="1" width="9.625" style="150" customWidth="1"/>
    <col min="2" max="2" width="14.125" style="150" hidden="1" customWidth="1"/>
    <col min="3" max="3" width="29.625" style="150" hidden="1" customWidth="1"/>
    <col min="4" max="4" width="22.125" style="150" customWidth="1"/>
    <col min="5" max="8" width="7.125" style="150" customWidth="1"/>
    <col min="9" max="11" width="7.125" style="152" customWidth="1"/>
    <col min="12" max="12" width="9" style="150"/>
    <col min="13" max="15" width="10.5" style="150" customWidth="1"/>
    <col min="16" max="16" width="18.625" style="150" customWidth="1"/>
    <col min="17" max="27" width="9" style="150" customWidth="1"/>
    <col min="28" max="16384" width="9" style="150"/>
  </cols>
  <sheetData>
    <row r="1" spans="1:27" s="152" customFormat="1" x14ac:dyDescent="0.25">
      <c r="A1" s="154"/>
      <c r="D1" s="155"/>
      <c r="E1" s="168">
        <f>VLOOKUP(MAX('LC (Gross)'!$B$16:$B$1000),'LC (Gross)'!$B$16:$J$1000,9,FALSE)</f>
        <v>46022</v>
      </c>
      <c r="F1" s="168"/>
      <c r="G1" s="168">
        <f>VLOOKUP(MAX('SC (Gross)'!$B$16:$B$1000),'SC (Gross)'!$B$16:$J$1000,9,FALSE)</f>
        <v>45657</v>
      </c>
      <c r="H1" s="168">
        <f>VLOOKUP(MAX('Global (Gross)'!$B$16:$B$1000),'Global (Gross)'!$B$16:$J$1000,9,FALSE)</f>
        <v>46022</v>
      </c>
      <c r="L1" s="150"/>
      <c r="M1" s="150">
        <f>MONTH(E1)</f>
        <v>12</v>
      </c>
      <c r="N1" s="150">
        <f>DAY(E1)</f>
        <v>31</v>
      </c>
      <c r="O1" s="150">
        <f>YEAR(E1)</f>
        <v>2025</v>
      </c>
      <c r="P1" s="150"/>
      <c r="Q1" s="150"/>
      <c r="R1" s="150"/>
      <c r="S1" s="150"/>
      <c r="T1" s="150"/>
      <c r="U1" s="150"/>
      <c r="V1" s="150"/>
      <c r="W1" s="150"/>
      <c r="X1" s="150"/>
      <c r="Y1" s="150"/>
      <c r="Z1" s="150"/>
      <c r="AA1" s="150"/>
    </row>
    <row r="2" spans="1:27" s="152" customFormat="1" x14ac:dyDescent="0.25">
      <c r="A2" s="154"/>
      <c r="D2" s="155"/>
      <c r="E2" s="156">
        <f>MONTH(E1)</f>
        <v>12</v>
      </c>
      <c r="F2" s="156"/>
      <c r="G2" s="156">
        <f t="shared" ref="G2:H2" si="0">MONTH(G1)</f>
        <v>12</v>
      </c>
      <c r="H2" s="156">
        <f t="shared" si="0"/>
        <v>12</v>
      </c>
      <c r="I2" s="152">
        <f>AVERAGE(E2:H2)</f>
        <v>12</v>
      </c>
      <c r="K2" s="152" t="str">
        <f>IF(I2=1,"Jan.",IF(I2=2,"Feb.",IF(I2=3,"March",IF(I2=4,"April",IF(I2=5,"May",IF(I2=6,"June",IF(I2=7,"July",IF(I2=8,"Aug",IF(I2=9,"Sept.",IF(I2=10,"Oct.",IF(I2=11,"Nov.",IF(I2=12,"Dec.","ERROR"))))))))))))</f>
        <v>Dec.</v>
      </c>
      <c r="L2" s="150"/>
      <c r="M2" s="150"/>
      <c r="N2" s="150"/>
      <c r="O2" s="150"/>
      <c r="P2" s="150"/>
      <c r="Q2" s="150"/>
      <c r="R2" s="150"/>
      <c r="S2" s="150"/>
      <c r="T2" s="150"/>
      <c r="U2" s="150"/>
      <c r="V2" s="150"/>
      <c r="W2" s="150"/>
      <c r="X2" s="150"/>
      <c r="Y2" s="150"/>
      <c r="Z2" s="150"/>
      <c r="AA2" s="150"/>
    </row>
    <row r="3" spans="1:27" s="152" customFormat="1" x14ac:dyDescent="0.25">
      <c r="A3" s="154"/>
      <c r="D3" s="155"/>
      <c r="E3" s="156"/>
      <c r="F3" s="156"/>
      <c r="G3" s="156"/>
      <c r="H3" s="156"/>
      <c r="M3" s="150"/>
      <c r="N3" s="150"/>
      <c r="O3" s="150"/>
      <c r="P3" s="150"/>
      <c r="Q3" s="150"/>
      <c r="R3" s="150"/>
      <c r="S3" s="150"/>
      <c r="T3" s="150"/>
      <c r="U3" s="150"/>
      <c r="V3" s="150"/>
      <c r="W3" s="150"/>
      <c r="X3" s="150"/>
      <c r="Y3" s="150"/>
      <c r="Z3" s="150"/>
      <c r="AA3" s="150"/>
    </row>
    <row r="4" spans="1:27" s="152" customFormat="1" x14ac:dyDescent="0.25">
      <c r="A4" s="154"/>
      <c r="B4" s="153"/>
      <c r="C4" s="153"/>
      <c r="D4" s="216" t="s">
        <v>187</v>
      </c>
      <c r="E4" s="217" t="s">
        <v>426</v>
      </c>
      <c r="F4" s="217" t="s">
        <v>7</v>
      </c>
      <c r="G4" s="217" t="s">
        <v>188</v>
      </c>
      <c r="H4" s="217" t="s">
        <v>189</v>
      </c>
      <c r="I4" s="217" t="s">
        <v>190</v>
      </c>
      <c r="J4" s="217" t="s">
        <v>409</v>
      </c>
      <c r="K4" s="158" t="s">
        <v>53</v>
      </c>
      <c r="M4" s="181">
        <f>DATE($O$1-1,$M$1,$N$1)</f>
        <v>45657</v>
      </c>
      <c r="N4" s="181">
        <f>DATE($O$1-3,$M$1,$N$1)</f>
        <v>44926</v>
      </c>
      <c r="O4" s="181">
        <f>DATE($O$1-5,$M$1,$N$1)</f>
        <v>44196</v>
      </c>
      <c r="P4" s="181">
        <f>DATE($O$1-10,$M$1,$N$1)</f>
        <v>42369</v>
      </c>
      <c r="Q4" s="150"/>
      <c r="R4" s="150"/>
      <c r="S4" s="150"/>
      <c r="T4" s="150"/>
      <c r="U4" s="150"/>
      <c r="V4" s="150"/>
      <c r="W4" s="150"/>
      <c r="X4" s="150"/>
      <c r="Y4" s="150"/>
      <c r="Z4" s="150"/>
      <c r="AA4" s="150"/>
    </row>
    <row r="5" spans="1:27" s="152" customFormat="1" x14ac:dyDescent="0.25">
      <c r="A5" s="154"/>
      <c r="B5" s="151"/>
      <c r="C5" s="151"/>
      <c r="D5" s="159" t="s">
        <v>191</v>
      </c>
      <c r="E5" s="160">
        <f>VLOOKUP(MAX('LC (Gross)'!$B$16:$B$1000),'LC (Gross)'!$B$16:$J$1000,6,FALSE)/100</f>
        <v>3.6945085115160703E-2</v>
      </c>
      <c r="F5" s="160">
        <f ca="1">IF($N5&lt;M$4,'LC (Gross)'!$D$5/100,"")</f>
        <v>9.8795519258839656E-2</v>
      </c>
      <c r="G5" s="160">
        <f ca="1">IF($N5&lt;M$4,'LC (Gross)'!$D$6/100,"")</f>
        <v>9.8795519258839656E-2</v>
      </c>
      <c r="H5" s="160">
        <f ca="1">IF($N5&lt;N$4,'LC (Gross)'!$D$8/100,"")</f>
        <v>0.1363960941573219</v>
      </c>
      <c r="I5" s="160">
        <f ca="1">IF($N5&lt;O$4,'LC (Gross)'!$D$10/100,"")</f>
        <v>9.084744023186575E-2</v>
      </c>
      <c r="J5" s="160">
        <f ca="1">IF($N5&lt;P$4,'LC (Gross)'!$D$11/100,"")</f>
        <v>0.11300723526565616</v>
      </c>
      <c r="K5" s="160">
        <f ca="1">'LC (Gross)'!D$13/100</f>
        <v>0.12725922947307522</v>
      </c>
      <c r="L5" s="303"/>
      <c r="N5" s="181">
        <v>40602</v>
      </c>
      <c r="O5" s="181"/>
      <c r="P5" s="150"/>
      <c r="Q5" s="150"/>
      <c r="R5" s="150"/>
      <c r="S5" s="150"/>
      <c r="T5" s="150"/>
      <c r="U5" s="150"/>
      <c r="V5" s="150"/>
      <c r="W5" s="150"/>
      <c r="X5" s="150"/>
      <c r="Y5" s="150"/>
      <c r="Z5" s="150"/>
      <c r="AA5" s="150"/>
    </row>
    <row r="6" spans="1:27" s="152" customFormat="1" x14ac:dyDescent="0.25">
      <c r="A6" s="154"/>
      <c r="B6" s="151"/>
      <c r="C6" s="151"/>
      <c r="D6" s="214" t="s">
        <v>192</v>
      </c>
      <c r="E6" s="215">
        <f>VLOOKUP(MAX('LC (Net)'!$B$16:$B$1000),'LC (Net)'!$B$16:$J$1000,6,FALSE)/100</f>
        <v>3.5021436153867214E-2</v>
      </c>
      <c r="F6" s="215">
        <f ca="1">IF($N5&lt;M$4,'LC (Net)'!$D$5/100,"")</f>
        <v>9.0771338005631433E-2</v>
      </c>
      <c r="G6" s="215">
        <f ca="1">IF($N5&lt;M$4,'LC (Net)'!$D$6/100,"")</f>
        <v>9.0771338005631433E-2</v>
      </c>
      <c r="H6" s="215">
        <f ca="1">IF($N5&lt;N$4,'LC (Net)'!$D$8/100,"")</f>
        <v>0.12883268435796258</v>
      </c>
      <c r="I6" s="215">
        <f ca="1">IF($N5&lt;O$4,'LC (Net)'!$D$10/100,"")</f>
        <v>8.3141642632519788E-2</v>
      </c>
      <c r="J6" s="215">
        <f ca="1">IF($N5&lt;P$4,'LC (Net)'!$D$11/100,"")</f>
        <v>0.10503036796555421</v>
      </c>
      <c r="K6" s="215">
        <f ca="1">'LC (Net)'!D$13/100</f>
        <v>0.11824032482423075</v>
      </c>
      <c r="L6" s="303"/>
      <c r="N6" s="181"/>
      <c r="O6" s="179"/>
      <c r="P6" s="150"/>
      <c r="Q6" s="150"/>
      <c r="R6" s="150"/>
      <c r="S6" s="150"/>
      <c r="T6" s="150"/>
      <c r="U6" s="150"/>
      <c r="V6" s="150"/>
      <c r="W6" s="150"/>
      <c r="X6" s="150"/>
      <c r="Y6" s="150"/>
      <c r="Z6" s="150"/>
      <c r="AA6" s="150"/>
    </row>
    <row r="7" spans="1:27" s="152" customFormat="1" x14ac:dyDescent="0.25">
      <c r="A7" s="154"/>
      <c r="B7" s="151"/>
      <c r="C7" s="151"/>
      <c r="D7" s="159" t="s">
        <v>335</v>
      </c>
      <c r="E7" s="160">
        <f>VLOOKUP(MAX('LC (Gross)'!$B$16:$B$1000),'LC (Gross)'!$B$16:$AA$1000,26,FALSE)/100</f>
        <v>-2.1895461692310048E-2</v>
      </c>
      <c r="F7" s="160">
        <f ca="1">IF(F4="","",'LC (Gross)'!$X$5/100)</f>
        <v>4.3575278943008167E-2</v>
      </c>
      <c r="G7" s="160">
        <f ca="1">IF(G4="","",'LC (Gross)'!$X$6/100)</f>
        <v>4.3575278943008167E-2</v>
      </c>
      <c r="H7" s="160">
        <f ca="1">IF(H5="","",'LC (Gross)'!$X$8/100)</f>
        <v>6.2917987717670432E-2</v>
      </c>
      <c r="I7" s="160">
        <f ca="1">IF(I5="","",'LC (Gross)'!$X$10/100)</f>
        <v>7.3495830452092736E-2</v>
      </c>
      <c r="J7" s="160">
        <f ca="1">IF(J5="","",'LC (Gross)'!$X$11/100)</f>
        <v>8.9173183664750896E-2</v>
      </c>
      <c r="K7" s="160">
        <f ca="1">'LC (Gross)'!X13/100</f>
        <v>0.10642852288481164</v>
      </c>
      <c r="L7" s="303"/>
      <c r="N7" s="181"/>
      <c r="O7" s="179"/>
      <c r="P7" s="150"/>
      <c r="Q7" s="150"/>
      <c r="R7" s="150"/>
      <c r="S7" s="150"/>
      <c r="T7" s="150"/>
      <c r="U7" s="150"/>
      <c r="V7" s="150"/>
      <c r="W7" s="150"/>
      <c r="X7" s="150"/>
      <c r="Y7" s="150"/>
      <c r="Z7" s="150"/>
      <c r="AA7" s="150"/>
    </row>
    <row r="8" spans="1:27" s="152" customFormat="1" x14ac:dyDescent="0.25">
      <c r="A8" s="154"/>
      <c r="B8" s="151" t="s">
        <v>193</v>
      </c>
      <c r="C8" s="151" t="e">
        <f ca="1">_xll.BDP(B8,"name")</f>
        <v>#NAME?</v>
      </c>
      <c r="D8" s="214" t="s">
        <v>194</v>
      </c>
      <c r="E8" s="215">
        <f>VLOOKUP(MAX('LC (Gross)'!$B$16:$B$1000),'LC (Gross)'!$B$16:$N$1000,13,FALSE)/100</f>
        <v>2.6529335146884492E-2</v>
      </c>
      <c r="F8" s="215">
        <f ca="1">IF(F5="","",'LC (Gross)'!$K$5/100)</f>
        <v>0.17859983918730182</v>
      </c>
      <c r="G8" s="215">
        <f ca="1">IF(G5="","",'LC (Gross)'!$K$6/100)</f>
        <v>0.17859983918730182</v>
      </c>
      <c r="H8" s="215">
        <f ca="1">IF(H5="","",'LC (Gross)'!$K$8/100)</f>
        <v>0.22982388961227262</v>
      </c>
      <c r="I8" s="215">
        <f ca="1">IF(I5="","",'LC (Gross)'!$K$10/100)</f>
        <v>0.14400235643986581</v>
      </c>
      <c r="J8" s="215">
        <f ca="1">IF(J5="","",'LC (Gross)'!$K$11/100)</f>
        <v>0.14803297301428486</v>
      </c>
      <c r="K8" s="215">
        <f ca="1">'LC (Gross)'!K13/100</f>
        <v>0.13954857158133338</v>
      </c>
      <c r="L8" s="303"/>
      <c r="N8" s="150"/>
      <c r="O8" s="150"/>
      <c r="P8" s="150"/>
      <c r="Q8" s="150"/>
      <c r="R8" s="150"/>
      <c r="S8" s="150"/>
      <c r="T8" s="150"/>
      <c r="U8" s="150"/>
      <c r="V8" s="150"/>
      <c r="W8" s="150"/>
      <c r="X8" s="150"/>
      <c r="Y8" s="150"/>
      <c r="Z8" s="150"/>
      <c r="AA8" s="150"/>
    </row>
    <row r="9" spans="1:27" s="152" customFormat="1" ht="3" customHeight="1" x14ac:dyDescent="0.25">
      <c r="A9" s="154"/>
      <c r="B9" s="151"/>
      <c r="C9" s="151"/>
      <c r="D9" s="218"/>
      <c r="E9" s="219"/>
      <c r="F9" s="219"/>
      <c r="G9" s="219"/>
      <c r="H9" s="219"/>
      <c r="I9" s="219"/>
      <c r="J9" s="219"/>
      <c r="K9" s="164"/>
      <c r="N9" s="150"/>
      <c r="O9" s="150"/>
      <c r="P9" s="150"/>
      <c r="Q9" s="150"/>
      <c r="R9" s="150"/>
      <c r="S9" s="150"/>
      <c r="T9" s="150"/>
      <c r="U9" s="150"/>
      <c r="V9" s="150"/>
      <c r="W9" s="150"/>
      <c r="X9" s="150"/>
      <c r="Y9" s="150"/>
      <c r="Z9" s="150"/>
      <c r="AA9" s="150"/>
    </row>
    <row r="10" spans="1:27" s="152" customFormat="1" x14ac:dyDescent="0.25">
      <c r="A10" s="154"/>
      <c r="B10" s="151"/>
      <c r="C10" s="151"/>
      <c r="D10" s="159" t="s">
        <v>195</v>
      </c>
      <c r="E10" s="160">
        <f>VLOOKUP(MAX('SC (Gross)'!$B$16:$B$1000),'SC (Gross)'!$B$16:$J$1000,6,FALSE)/100</f>
        <v>0</v>
      </c>
      <c r="F10" s="160" t="e">
        <f ca="1">IF($N10&lt;M$4,'SC (Gross)'!$D$5/100,"")</f>
        <v>#VALUE!</v>
      </c>
      <c r="G10" s="160">
        <f ca="1">IF($N10&lt;M$4,'SC (Gross)'!$D$6/100,"")</f>
        <v>0</v>
      </c>
      <c r="H10" s="160">
        <f ca="1">IF($N10&lt;N$4,'SC (Gross)'!$D$8/100,"")</f>
        <v>4.0159714493863685E-3</v>
      </c>
      <c r="I10" s="160">
        <f ca="1">IF($N10&lt;O$4,'SC (Gross)'!$D$10/100,"")</f>
        <v>1.5306950300881583E-2</v>
      </c>
      <c r="J10" s="160" t="e">
        <f>IF($N10&lt;P$4,'SC (Gross)'!$D$11/100,"")</f>
        <v>#VALUE!</v>
      </c>
      <c r="K10" s="160">
        <f ca="1">'SC (Gross)'!D$13/100</f>
        <v>7.3796505564889259E-2</v>
      </c>
      <c r="L10" s="303"/>
      <c r="N10" s="181">
        <v>41698</v>
      </c>
      <c r="O10" s="180"/>
      <c r="P10" s="150"/>
      <c r="Q10" s="150"/>
      <c r="R10" s="150"/>
      <c r="S10" s="150"/>
      <c r="T10" s="150"/>
      <c r="U10" s="150"/>
      <c r="V10" s="150"/>
      <c r="W10" s="150"/>
      <c r="X10" s="150"/>
      <c r="Y10" s="150"/>
      <c r="Z10" s="150"/>
      <c r="AA10" s="150"/>
    </row>
    <row r="11" spans="1:27" s="152" customFormat="1" x14ac:dyDescent="0.25">
      <c r="A11" s="154"/>
      <c r="B11" s="151"/>
      <c r="C11" s="151"/>
      <c r="D11" s="214" t="s">
        <v>196</v>
      </c>
      <c r="E11" s="215">
        <f>VLOOKUP(MAX('SC (Net)'!$B$16:$B$1000),'SC (Net)'!$B$16:$J$1000,6,FALSE)/100</f>
        <v>0</v>
      </c>
      <c r="F11" s="215" t="e">
        <f ca="1">IF($N10&lt;M$4,'SC (Net)'!$D$5/100,"")</f>
        <v>#VALUE!</v>
      </c>
      <c r="G11" s="215">
        <f ca="1">IF($N10&lt;M$4,'SC (Net)'!$D$6/100,"")</f>
        <v>9.3104535382370054E-2</v>
      </c>
      <c r="H11" s="215">
        <f ca="1">IF($N10&lt;N$4,'SC (Net)'!$D$8/100,"")</f>
        <v>3.1475281177401282E-2</v>
      </c>
      <c r="I11" s="215">
        <f ca="1">IF($N10&lt;O$4,'SC (Net)'!$D$10/100,"")</f>
        <v>2.2299238226671125E-2</v>
      </c>
      <c r="J11" s="215" t="e">
        <f>IF($N10&lt;P$4,'SC (Net)'!$D$11/100,"")</f>
        <v>#VALUE!</v>
      </c>
      <c r="K11" s="215">
        <f ca="1">'SC (Net)'!D$13/100</f>
        <v>7.1654269507906543E-2</v>
      </c>
      <c r="L11" s="303"/>
      <c r="N11" s="181"/>
      <c r="O11" s="180"/>
      <c r="P11" s="150"/>
      <c r="Q11" s="150"/>
      <c r="R11" s="150"/>
      <c r="S11" s="150"/>
      <c r="T11" s="150"/>
      <c r="U11" s="150"/>
      <c r="V11" s="150"/>
      <c r="W11" s="150"/>
      <c r="X11" s="150"/>
      <c r="Y11" s="150"/>
      <c r="Z11" s="150"/>
      <c r="AA11" s="150"/>
    </row>
    <row r="12" spans="1:27" s="152" customFormat="1" x14ac:dyDescent="0.25">
      <c r="A12" s="154"/>
      <c r="B12" s="151"/>
      <c r="C12" s="151"/>
      <c r="D12" s="159" t="s">
        <v>336</v>
      </c>
      <c r="E12" s="160">
        <f>VLOOKUP(MAX('SC (Gross)'!$B$16:$B$1000),'SC (Gross)'!$B$16:$T$1000,19,FALSE)/100</f>
        <v>0</v>
      </c>
      <c r="F12" s="160" t="e">
        <f ca="1">IF(F10="","",'SC (Gross)'!$Q$5/100)</f>
        <v>#VALUE!</v>
      </c>
      <c r="G12" s="160">
        <f ca="1">IF(G10="","",'SC (Gross)'!$Q$6/100)</f>
        <v>0</v>
      </c>
      <c r="H12" s="160">
        <f ca="1">IF(H10="","",'SC (Gross)'!$Q$8/100)</f>
        <v>-3.533710676135482E-2</v>
      </c>
      <c r="I12" s="160">
        <f ca="1">IF(I10="","",'SC (Gross)'!$Q$10/100)</f>
        <v>-7.1010816884871097E-3</v>
      </c>
      <c r="J12" s="160" t="e">
        <f>IF(J10="","",'SC (Gross)'!$Q$11/100)</f>
        <v>#VALUE!</v>
      </c>
      <c r="K12" s="160">
        <f ca="1">'SC (Gross)'!Q13/100</f>
        <v>6.0415287847975119E-2</v>
      </c>
      <c r="L12" s="303"/>
      <c r="N12" s="181"/>
      <c r="O12" s="180"/>
      <c r="P12" s="150"/>
      <c r="Q12" s="150"/>
      <c r="R12" s="150"/>
      <c r="S12" s="150"/>
      <c r="T12" s="150"/>
      <c r="U12" s="150"/>
      <c r="V12" s="150"/>
      <c r="W12" s="150"/>
      <c r="X12" s="150"/>
      <c r="Y12" s="150"/>
      <c r="Z12" s="150"/>
      <c r="AA12" s="150"/>
    </row>
    <row r="13" spans="1:27" s="152" customFormat="1" x14ac:dyDescent="0.25">
      <c r="A13" s="154"/>
      <c r="B13" s="151" t="s">
        <v>197</v>
      </c>
      <c r="C13" s="151" t="e">
        <f ca="1">_xll.BDP(B13,"name")</f>
        <v>#NAME?</v>
      </c>
      <c r="D13" s="214" t="s">
        <v>198</v>
      </c>
      <c r="E13" s="215">
        <f>VLOOKUP(MAX('SC (Gross)'!$B$16:$B$1000),'SC (Gross)'!$B$16:$N$1000,13,FALSE)/100</f>
        <v>3.2863005716283755E-3</v>
      </c>
      <c r="F13" s="215" t="e">
        <f ca="1">IF(F10="","",'SC (Gross)'!$K$5/100)</f>
        <v>#VALUE!</v>
      </c>
      <c r="G13" s="215">
        <f ca="1">IF(G10="","",'SC (Gross)'!$K$6/100)</f>
        <v>0.1152690924963682</v>
      </c>
      <c r="H13" s="215">
        <f ca="1">IF(H10="","",'SC (Gross)'!$K$8/100)</f>
        <v>1.2125139595128509E-2</v>
      </c>
      <c r="I13" s="215">
        <f ca="1">IF(I10="","",'SC (Gross)'!$K$10/100)</f>
        <v>7.375628675682866E-2</v>
      </c>
      <c r="J13" s="215" t="e">
        <f>IF(J10="","",'SC (Gross)'!$K$11/100)</f>
        <v>#VALUE!</v>
      </c>
      <c r="K13" s="215">
        <f ca="1">'SC (Gross)'!K13/100</f>
        <v>7.8616628326007909E-2</v>
      </c>
      <c r="N13" s="150"/>
      <c r="O13" s="150"/>
      <c r="P13" s="150"/>
      <c r="Q13" s="150"/>
      <c r="R13" s="150"/>
      <c r="S13" s="150"/>
      <c r="T13" s="150"/>
      <c r="U13" s="150"/>
      <c r="V13" s="150"/>
      <c r="W13" s="150"/>
      <c r="X13" s="150"/>
      <c r="Y13" s="150"/>
      <c r="Z13" s="150"/>
      <c r="AA13" s="150"/>
    </row>
    <row r="14" spans="1:27" s="152" customFormat="1" ht="3" customHeight="1" x14ac:dyDescent="0.25">
      <c r="A14" s="154"/>
      <c r="B14" s="151"/>
      <c r="C14" s="151"/>
      <c r="D14" s="220"/>
      <c r="E14" s="221"/>
      <c r="F14" s="221"/>
      <c r="G14" s="221"/>
      <c r="H14" s="221"/>
      <c r="I14" s="221"/>
      <c r="J14" s="221"/>
      <c r="K14" s="166"/>
      <c r="N14" s="150"/>
      <c r="O14" s="150"/>
      <c r="P14" s="150"/>
      <c r="Q14" s="150"/>
      <c r="R14" s="150"/>
      <c r="S14" s="150"/>
      <c r="T14" s="150"/>
      <c r="U14" s="150"/>
      <c r="V14" s="150"/>
      <c r="W14" s="150"/>
      <c r="X14" s="150"/>
      <c r="Y14" s="150"/>
      <c r="Z14" s="150"/>
      <c r="AA14" s="150"/>
    </row>
    <row r="15" spans="1:27" s="152" customFormat="1" x14ac:dyDescent="0.25">
      <c r="A15" s="154"/>
      <c r="B15" s="151"/>
      <c r="C15" s="151"/>
      <c r="D15" s="159" t="s">
        <v>414</v>
      </c>
      <c r="E15" s="160">
        <f>VLOOKUP(MAX('BOGIX (Gross)'!$B$16:$B$1000),'BOGIX (Gross)'!$B$16:$J$1000,6,FALSE)/100</f>
        <v>9.1548378466534963E-3</v>
      </c>
      <c r="F15" s="160">
        <f ca="1">IF($N10&lt;M$4,'BOGIX (Gross)'!$D$5/100,"")</f>
        <v>0.10373821695814023</v>
      </c>
      <c r="G15" s="160">
        <f ca="1">IF($N15&lt;M$4,'BOGIX (Gross)'!$D$6/100,"")</f>
        <v>0.10373821695814023</v>
      </c>
      <c r="H15" s="160">
        <f ca="1">IF($N15&lt;N$4,'BOGIX (Gross)'!$D$8/100,"")</f>
        <v>0.13023656762473679</v>
      </c>
      <c r="I15" s="160">
        <f ca="1">IF($N15&lt;O$4,'BOGIX (Gross)'!$D$10/100,"")</f>
        <v>8.9771568234633392E-2</v>
      </c>
      <c r="J15" s="160">
        <f ca="1">IF($N15&lt;P$4,'BOGIX (Gross)'!$D$11/100,"")</f>
        <v>0.11251542268660607</v>
      </c>
      <c r="K15" s="160">
        <f ca="1">'BOGIX (Gross)'!D$12/100</f>
        <v>0.11793823845950267</v>
      </c>
      <c r="L15" s="303"/>
      <c r="N15" s="181">
        <v>36464</v>
      </c>
      <c r="O15" s="180"/>
      <c r="P15" s="150"/>
      <c r="Q15" s="150"/>
      <c r="R15" s="150"/>
      <c r="S15" s="150"/>
      <c r="T15" s="150"/>
      <c r="U15" s="150"/>
      <c r="V15" s="150"/>
      <c r="W15" s="150"/>
      <c r="X15" s="150"/>
      <c r="Y15" s="150"/>
      <c r="Z15" s="150"/>
      <c r="AA15" s="150"/>
    </row>
    <row r="16" spans="1:27" s="152" customFormat="1" x14ac:dyDescent="0.25">
      <c r="A16" s="154"/>
      <c r="B16" s="151"/>
      <c r="C16" s="151"/>
      <c r="D16" s="214" t="s">
        <v>415</v>
      </c>
      <c r="E16" s="215">
        <f>VLOOKUP(MAX('BOGIX (Net)'!$B$16:$B$1000),'BOGIX (Net)'!$B$16:$J$1000,6,FALSE)/100</f>
        <v>6.0640772438771418E-3</v>
      </c>
      <c r="F16" s="215">
        <f ca="1">IF($N15&lt;M$4,'BOGIX (Net)'!$D$5/100,"")</f>
        <v>9.0338287119451355E-2</v>
      </c>
      <c r="G16" s="215">
        <f ca="1">IF($N15&lt;M$4,'BOGIX (Net)'!$D$6/100,"")</f>
        <v>9.0338287119451355E-2</v>
      </c>
      <c r="H16" s="215">
        <f ca="1">IF($N15&lt;N$4,'BOGIX (Net)'!$D$8/100,"")</f>
        <v>0.11653242558910272</v>
      </c>
      <c r="I16" s="215">
        <f ca="1">IF($N15&lt;O$4,'BOGIX (Net)'!$D$10/100,"")</f>
        <v>7.6507677456078893E-2</v>
      </c>
      <c r="J16" s="215">
        <f ca="1">IF($N15&lt;P$4,'BOGIX (Net)'!$D$11/100,"")</f>
        <v>9.8888881069819856E-2</v>
      </c>
      <c r="K16" s="215">
        <f ca="1">'BOGIX (Net)'!D$12/100</f>
        <v>0.10418534256714551</v>
      </c>
      <c r="N16" s="181"/>
      <c r="O16" s="180"/>
      <c r="P16" s="150"/>
      <c r="Q16" s="150"/>
      <c r="R16" s="150"/>
      <c r="S16" s="150"/>
      <c r="T16" s="150"/>
      <c r="U16" s="150"/>
      <c r="V16" s="150"/>
      <c r="W16" s="150"/>
      <c r="X16" s="150"/>
      <c r="Y16" s="150"/>
      <c r="Z16" s="150"/>
      <c r="AA16" s="150"/>
    </row>
    <row r="17" spans="1:27" s="152" customFormat="1" x14ac:dyDescent="0.25">
      <c r="A17" s="154"/>
      <c r="B17" s="151"/>
      <c r="C17" s="151"/>
      <c r="D17" s="159" t="s">
        <v>198</v>
      </c>
      <c r="E17" s="160">
        <f>VLOOKUP(MAX('BOGIX (Gross)'!$B$16:$B$1000),'BOGIX (Gross)'!$B$16:$N$1000,13,FALSE)/100</f>
        <v>2.1865970765057918E-2</v>
      </c>
      <c r="F17" s="160">
        <f ca="1">IF(F15="","",'BOGIX (Gross)'!$K$5/100)</f>
        <v>0.12792397999509575</v>
      </c>
      <c r="G17" s="160">
        <f ca="1">IF(G15="","",'BOGIX (Gross)'!$K$6/100)</f>
        <v>0.12792397999509575</v>
      </c>
      <c r="H17" s="160">
        <f ca="1">IF(H15="","",'BOGIX (Gross)'!$K$8/100)</f>
        <v>0.13710326856788391</v>
      </c>
      <c r="I17" s="160">
        <f ca="1">IF(I15="","",'BOGIX (Gross)'!$K$10/100)</f>
        <v>6.0652207806829006E-2</v>
      </c>
      <c r="J17" s="160">
        <f ca="1">IF(J15="","",'BOGIX (Gross)'!$K$11/100)</f>
        <v>9.5905441107251979E-2</v>
      </c>
      <c r="K17" s="160">
        <f ca="1">'BOGIX (Gross)'!K$12/100</f>
        <v>8.3850765830501009E-2</v>
      </c>
      <c r="N17" s="181"/>
      <c r="O17" s="180"/>
      <c r="P17" s="150"/>
      <c r="Q17" s="150"/>
      <c r="R17" s="150"/>
      <c r="S17" s="150"/>
      <c r="T17" s="150"/>
      <c r="U17" s="150"/>
      <c r="V17" s="150"/>
      <c r="W17" s="150"/>
      <c r="X17" s="150"/>
      <c r="Y17" s="150"/>
      <c r="Z17" s="150"/>
      <c r="AA17" s="150"/>
    </row>
    <row r="18" spans="1:27" s="152" customFormat="1" x14ac:dyDescent="0.25">
      <c r="A18" s="154"/>
      <c r="B18" s="151"/>
      <c r="C18" s="151"/>
      <c r="D18" s="214" t="s">
        <v>427</v>
      </c>
      <c r="E18" s="215">
        <f>VLOOKUP(MAX('BOGIX (Gross)'!$B$16:$B$1000),'BOGIX (Gross)'!$B$16:$T$1000,19,FALSE)/100</f>
        <v>1.6921921932065098E-2</v>
      </c>
      <c r="F18" s="215">
        <f ca="1">IF(F15="","",'BOGIX (Gross)'!$Q$5/100)</f>
        <v>5.9863663846757564E-2</v>
      </c>
      <c r="G18" s="215">
        <f ca="1">IF(G15="","",'BOGIX (Gross)'!$Q$6/100)</f>
        <v>5.9863663846757564E-2</v>
      </c>
      <c r="H18" s="215">
        <f ca="1">IF(H15="","",'BOGIX (Gross)'!$Q$8/100)</f>
        <v>0.10110916287882032</v>
      </c>
      <c r="I18" s="215">
        <f ca="1">IF(I15="","",'BOGIX (Gross)'!$Q$10/100)</f>
        <v>7.2469524830898635E-2</v>
      </c>
      <c r="J18" s="215">
        <f ca="1">IF(J15="","",'BOGIX (Gross)'!$Q$11/100)</f>
        <v>9.7513181282001593E-2</v>
      </c>
      <c r="K18" s="215">
        <f ca="1">'BOGIX (Gross)'!Q$12/100</f>
        <v>9.7767469065904056E-2</v>
      </c>
      <c r="N18" s="181"/>
      <c r="O18" s="180"/>
      <c r="P18" s="150"/>
      <c r="Q18" s="150"/>
      <c r="R18" s="150"/>
      <c r="S18" s="150"/>
      <c r="T18" s="150"/>
      <c r="U18" s="150"/>
      <c r="V18" s="150"/>
      <c r="W18" s="150"/>
      <c r="X18" s="150"/>
      <c r="Y18" s="150"/>
      <c r="Z18" s="150"/>
      <c r="AA18" s="150"/>
    </row>
    <row r="19" spans="1:27" s="152" customFormat="1" ht="3" customHeight="1" x14ac:dyDescent="0.25">
      <c r="A19" s="154"/>
      <c r="B19" s="151" t="s">
        <v>201</v>
      </c>
      <c r="C19" s="151"/>
      <c r="D19" s="220"/>
      <c r="E19" s="221"/>
      <c r="F19" s="221"/>
      <c r="G19" s="221"/>
      <c r="H19" s="221"/>
      <c r="I19" s="221"/>
      <c r="J19" s="221"/>
      <c r="K19" s="166">
        <f ca="1">'Global (Gross)'!K13/100</f>
        <v>0.1103347337675622</v>
      </c>
      <c r="N19" s="150"/>
      <c r="O19" s="150"/>
      <c r="P19" s="150"/>
      <c r="Q19" s="150"/>
      <c r="R19" s="150"/>
      <c r="S19" s="150"/>
      <c r="T19" s="150"/>
      <c r="U19" s="150"/>
      <c r="V19" s="150"/>
      <c r="W19" s="150"/>
      <c r="X19" s="150"/>
      <c r="Y19" s="150"/>
      <c r="Z19" s="150"/>
      <c r="AA19" s="150"/>
    </row>
    <row r="20" spans="1:27" s="152" customFormat="1" x14ac:dyDescent="0.25">
      <c r="A20" s="154"/>
      <c r="B20" s="151"/>
      <c r="C20" s="151"/>
      <c r="D20" s="159" t="s">
        <v>338</v>
      </c>
      <c r="E20" s="160">
        <f>VLOOKUP(MAX('Global (Gross)'!$B$16:$B$1000),'Global (Gross)'!$B$16:$J$1000,6,FALSE)/100</f>
        <v>1.48682499891859E-2</v>
      </c>
      <c r="F20" s="160">
        <f ca="1">IF($N20&lt;M$4,'Global (Gross)'!$D$5/100,"")</f>
        <v>0.12659470144866081</v>
      </c>
      <c r="G20" s="160">
        <f ca="1">IF($N20&lt;M$4,'Global (Gross)'!$D$6/100,"")</f>
        <v>0.12659470144866081</v>
      </c>
      <c r="H20" s="160">
        <f ca="1">IF($N20&lt;N$4,'Global (Gross)'!$D$8/100,"")</f>
        <v>0.12376696040335823</v>
      </c>
      <c r="I20" s="160">
        <f ca="1">IF($N20&lt;O$4,'Global (Gross)'!$D$10/100,"")</f>
        <v>7.7968754742904656E-2</v>
      </c>
      <c r="J20" s="160">
        <f ca="1">IF($N20&lt;P$4,'Global (Gross)'!$D$11/100,"")</f>
        <v>9.6898793114927675E-2</v>
      </c>
      <c r="K20" s="160">
        <f ca="1">'Global (Gross)'!D$13/100</f>
        <v>0.10047427669983101</v>
      </c>
      <c r="L20" s="303"/>
      <c r="N20" s="181">
        <v>40999</v>
      </c>
      <c r="O20" s="180"/>
      <c r="P20" s="150"/>
      <c r="Q20" s="150"/>
      <c r="R20" s="150"/>
      <c r="S20" s="150"/>
      <c r="T20" s="150"/>
      <c r="U20" s="150"/>
      <c r="V20" s="150"/>
      <c r="W20" s="150"/>
      <c r="X20" s="150"/>
      <c r="Y20" s="150"/>
      <c r="Z20" s="150"/>
      <c r="AA20" s="150"/>
    </row>
    <row r="21" spans="1:27" s="152" customFormat="1" x14ac:dyDescent="0.25">
      <c r="A21" s="154"/>
      <c r="B21" s="151"/>
      <c r="C21" s="151"/>
      <c r="D21" s="214" t="s">
        <v>339</v>
      </c>
      <c r="E21" s="215">
        <f>VLOOKUP(MAX('Global (Net)'!$B$16:$B$1000),'Global (Net)'!$B$16:$J$1000,6,FALSE)/100</f>
        <v>1.2748518021145738E-2</v>
      </c>
      <c r="F21" s="215">
        <f ca="1">IF($N20&lt;M$4,'Global (Net)'!$D$5/100,"")</f>
        <v>0.11725899385235161</v>
      </c>
      <c r="G21" s="215">
        <f ca="1">IF($N20&lt;M$4,'Global (Net)'!$D$6/100,"")</f>
        <v>0.11725899385235161</v>
      </c>
      <c r="H21" s="215">
        <f ca="1">IF($N20&lt;N$4,'Global (Net)'!$D$8/100,"")</f>
        <v>0.11445626091994221</v>
      </c>
      <c r="I21" s="215">
        <f ca="1">IF($N20&lt;O$4,'Global (Net)'!$D$10/100,"")</f>
        <v>6.9026703164352332E-2</v>
      </c>
      <c r="J21" s="215">
        <f ca="1">IF($N20&lt;P$4,'Global (Net)'!$D$11/100,"")</f>
        <v>8.9218932811961013E-2</v>
      </c>
      <c r="K21" s="215">
        <f ca="1">'Global (Net)'!D$13/100</f>
        <v>9.4899054641681926E-2</v>
      </c>
      <c r="M21" s="150"/>
      <c r="N21" s="150"/>
      <c r="O21" s="150"/>
      <c r="P21" s="150"/>
      <c r="Q21" s="150"/>
      <c r="R21" s="150"/>
      <c r="S21" s="150"/>
      <c r="T21" s="150"/>
      <c r="U21" s="150"/>
      <c r="V21" s="150"/>
      <c r="W21" s="150"/>
      <c r="X21" s="150"/>
      <c r="Y21" s="150"/>
      <c r="Z21" s="150"/>
      <c r="AA21" s="150"/>
    </row>
    <row r="22" spans="1:27" s="152" customFormat="1" x14ac:dyDescent="0.25">
      <c r="A22" s="154"/>
      <c r="B22" s="151"/>
      <c r="C22" s="151"/>
      <c r="D22" s="159" t="s">
        <v>337</v>
      </c>
      <c r="E22" s="160">
        <f>VLOOKUP(MAX('Global (Gross)'!$B$16:$B$1000),'Global (Gross)'!$B$16:$T$1000,19,FALSE)/100</f>
        <v>2.2662250889486923E-3</v>
      </c>
      <c r="F22" s="160">
        <f ca="1">IF(F20="","",'Global (Gross)'!$Q$5/100)</f>
        <v>0.11218931323398218</v>
      </c>
      <c r="G22" s="160">
        <f ca="1">IF(G20="","",'Global (Gross)'!$Q$6/100)</f>
        <v>0.11218931323398218</v>
      </c>
      <c r="H22" s="160">
        <f ca="1">IF(H20="","",'Global (Gross)'!$Q$8/100)</f>
        <v>0.10470772286509655</v>
      </c>
      <c r="I22" s="160">
        <f ca="1">IF(I20="","",'Global (Gross)'!$Q$10/100)</f>
        <v>6.8376475718262997E-2</v>
      </c>
      <c r="J22" s="160">
        <f ca="1">IF(J20="","",'Global (Gross)'!$Q$11/100)</f>
        <v>8.331334891582752E-2</v>
      </c>
      <c r="K22" s="160">
        <f ca="1">'Global (Gross)'!Q$13/100</f>
        <v>8.6484818691080503E-2</v>
      </c>
      <c r="M22" s="150"/>
      <c r="N22" s="150"/>
      <c r="O22" s="150"/>
      <c r="P22" s="150"/>
      <c r="Q22" s="150"/>
      <c r="R22" s="150"/>
      <c r="S22" s="150"/>
      <c r="T22" s="150"/>
      <c r="U22" s="150"/>
      <c r="V22" s="150"/>
      <c r="W22" s="150"/>
      <c r="X22" s="150"/>
      <c r="Y22" s="150"/>
      <c r="Z22" s="150"/>
      <c r="AA22" s="150"/>
    </row>
    <row r="23" spans="1:27" s="152" customFormat="1" x14ac:dyDescent="0.25">
      <c r="A23" s="154"/>
      <c r="B23" s="151"/>
      <c r="C23" s="151"/>
      <c r="D23" s="214" t="s">
        <v>202</v>
      </c>
      <c r="E23" s="215">
        <f>VLOOKUP(MAX('Global (Gross)'!$B$16:$B$1000),'Global (Gross)'!$B$16:$N$1000,13,FALSE)/100</f>
        <v>3.3691709372664969E-2</v>
      </c>
      <c r="F23" s="215">
        <f ca="1">IF(F20="","",'Global (Gross)'!$K$5/100)</f>
        <v>0.2289259672597963</v>
      </c>
      <c r="G23" s="215">
        <f ca="1">IF(G20="","",'Global (Gross)'!$K$6/100)</f>
        <v>0.2289259672597963</v>
      </c>
      <c r="H23" s="215">
        <f ca="1">IF(H20="","",'Global (Gross)'!$K$8/100)</f>
        <v>0.21210630310269774</v>
      </c>
      <c r="I23" s="215">
        <f ca="1">IF(I20="","",'Global (Gross)'!$K$10/100)</f>
        <v>0.11708135953882426</v>
      </c>
      <c r="J23" s="215">
        <f ca="1">IF(J20="","",'Global (Gross)'!$K$11/100)</f>
        <v>0.12292976429015635</v>
      </c>
      <c r="K23" s="215">
        <f ca="1">'Global (Gross)'!K$13/100</f>
        <v>0.1103347337675622</v>
      </c>
      <c r="M23" s="150"/>
      <c r="N23" s="150"/>
      <c r="O23" s="242">
        <f>E5-E8</f>
        <v>1.0415749968276211E-2</v>
      </c>
      <c r="P23" s="150"/>
      <c r="Q23" s="150"/>
      <c r="R23" s="150"/>
      <c r="S23" s="150"/>
      <c r="T23" s="150"/>
      <c r="U23" s="150"/>
      <c r="V23" s="150"/>
      <c r="W23" s="150"/>
      <c r="X23" s="150"/>
      <c r="Y23" s="150"/>
      <c r="Z23" s="150"/>
      <c r="AA23" s="150"/>
    </row>
    <row r="24" spans="1:27" s="152" customFormat="1" ht="3" customHeight="1" x14ac:dyDescent="0.25">
      <c r="A24" s="154"/>
      <c r="B24" s="151"/>
      <c r="C24" s="151"/>
      <c r="D24" s="220"/>
      <c r="E24" s="221"/>
      <c r="F24" s="221"/>
      <c r="G24" s="221"/>
      <c r="H24" s="221"/>
      <c r="I24" s="221"/>
      <c r="J24" s="221"/>
      <c r="K24" s="166" t="s">
        <v>53</v>
      </c>
      <c r="N24" s="150"/>
      <c r="O24" s="150"/>
      <c r="P24" s="150"/>
      <c r="Q24" s="150"/>
      <c r="R24" s="150"/>
      <c r="S24" s="150"/>
      <c r="T24" s="150"/>
      <c r="U24" s="150"/>
      <c r="V24" s="150"/>
      <c r="W24" s="150"/>
      <c r="X24" s="150"/>
      <c r="Y24" s="150"/>
      <c r="Z24" s="150"/>
      <c r="AA24" s="150"/>
    </row>
    <row r="25" spans="1:27" s="152" customFormat="1" x14ac:dyDescent="0.25">
      <c r="A25" s="154"/>
      <c r="B25" s="151"/>
      <c r="C25" s="151"/>
      <c r="D25" s="159"/>
      <c r="E25" s="160"/>
      <c r="F25" s="160"/>
      <c r="G25" s="160"/>
      <c r="H25" s="160"/>
      <c r="I25" s="160"/>
      <c r="J25" s="160"/>
      <c r="K25" s="160"/>
      <c r="M25" s="150"/>
      <c r="N25" s="150"/>
      <c r="O25" s="242">
        <f>E30-E33</f>
        <v>-3.2863005716283755E-3</v>
      </c>
      <c r="P25" s="150"/>
      <c r="Q25" s="150"/>
      <c r="R25" s="150"/>
      <c r="S25" s="150"/>
      <c r="T25" s="150"/>
      <c r="U25" s="150"/>
      <c r="V25" s="150"/>
      <c r="W25" s="150"/>
      <c r="X25" s="150"/>
      <c r="Y25" s="150"/>
      <c r="Z25" s="150"/>
      <c r="AA25" s="150"/>
    </row>
    <row r="26" spans="1:27" s="152" customFormat="1" x14ac:dyDescent="0.25">
      <c r="A26" s="154"/>
      <c r="B26" s="151"/>
      <c r="C26" s="151"/>
      <c r="D26" s="304"/>
      <c r="E26" s="160"/>
      <c r="F26" s="160"/>
      <c r="G26" s="160"/>
      <c r="H26" s="160"/>
      <c r="I26" s="160"/>
      <c r="J26" s="160"/>
      <c r="K26" s="160"/>
      <c r="M26" s="150"/>
      <c r="N26" s="150"/>
      <c r="O26" s="150"/>
      <c r="P26" s="150"/>
      <c r="Q26" s="150"/>
      <c r="R26" s="150"/>
      <c r="S26" s="150"/>
      <c r="T26" s="150"/>
      <c r="U26" s="150"/>
      <c r="V26" s="150"/>
      <c r="W26" s="150"/>
      <c r="X26" s="150"/>
      <c r="Y26" s="150"/>
      <c r="Z26" s="150"/>
      <c r="AA26" s="150"/>
    </row>
    <row r="27" spans="1:27" s="152" customFormat="1" x14ac:dyDescent="0.25">
      <c r="A27" s="154"/>
      <c r="B27" s="151"/>
      <c r="C27" s="151"/>
      <c r="D27" s="304"/>
      <c r="E27" s="160"/>
      <c r="F27" s="160"/>
      <c r="G27" s="160"/>
      <c r="H27" s="160"/>
      <c r="I27" s="160"/>
      <c r="J27" s="160"/>
      <c r="K27" s="160"/>
      <c r="M27" s="150"/>
      <c r="N27" s="150"/>
      <c r="O27" s="150"/>
      <c r="P27" s="150"/>
      <c r="Q27" s="150"/>
      <c r="R27" s="150"/>
      <c r="S27" s="150"/>
      <c r="T27" s="150"/>
      <c r="U27" s="150"/>
      <c r="V27" s="150"/>
      <c r="W27" s="150"/>
      <c r="X27" s="150"/>
      <c r="Y27" s="150"/>
      <c r="Z27" s="150"/>
      <c r="AA27" s="150"/>
    </row>
    <row r="28" spans="1:27" s="152" customFormat="1" x14ac:dyDescent="0.25">
      <c r="A28" s="154"/>
      <c r="B28" s="151"/>
      <c r="C28" s="151"/>
      <c r="D28" s="159"/>
      <c r="E28" s="160"/>
      <c r="F28" s="160"/>
      <c r="G28" s="160"/>
      <c r="H28" s="160"/>
      <c r="I28" s="160"/>
      <c r="J28" s="160"/>
      <c r="K28" s="160"/>
      <c r="M28" s="242"/>
      <c r="N28" s="150"/>
      <c r="O28" s="242">
        <f>E39-E42</f>
        <v>-1.8823459383479069E-2</v>
      </c>
      <c r="P28" s="150"/>
      <c r="Q28" s="150"/>
      <c r="R28" s="150"/>
      <c r="S28" s="150"/>
      <c r="T28" s="150"/>
      <c r="U28" s="150"/>
      <c r="V28" s="150"/>
      <c r="W28" s="150"/>
      <c r="X28" s="150"/>
      <c r="Y28" s="150"/>
      <c r="Z28" s="150"/>
      <c r="AA28" s="150"/>
    </row>
    <row r="29" spans="1:27" x14ac:dyDescent="0.25">
      <c r="D29" s="216" t="s">
        <v>187</v>
      </c>
      <c r="E29" s="217" t="str">
        <f>E4</f>
        <v>4Q25</v>
      </c>
      <c r="F29" s="217" t="s">
        <v>7</v>
      </c>
      <c r="G29" s="217" t="str">
        <f>G4</f>
        <v>1 Yr</v>
      </c>
      <c r="H29" s="217" t="str">
        <f>H4</f>
        <v>3 Yrs</v>
      </c>
      <c r="I29" s="217" t="str">
        <f>I4</f>
        <v>5 Yrs</v>
      </c>
      <c r="J29" s="217" t="s">
        <v>409</v>
      </c>
      <c r="K29" s="158" t="s">
        <v>53</v>
      </c>
      <c r="L29" s="152"/>
      <c r="O29" s="248"/>
      <c r="P29" s="159"/>
      <c r="Q29" s="250"/>
      <c r="R29" s="250"/>
      <c r="S29" s="243"/>
    </row>
    <row r="30" spans="1:27" s="152" customFormat="1" x14ac:dyDescent="0.25">
      <c r="A30" s="154"/>
      <c r="B30" s="150"/>
      <c r="C30" s="150"/>
      <c r="D30" s="159" t="str">
        <f>D10</f>
        <v>US Small Cap Gross</v>
      </c>
      <c r="E30" s="160">
        <f>E10</f>
        <v>0</v>
      </c>
      <c r="F30" s="160" t="e">
        <f ca="1">F10</f>
        <v>#VALUE!</v>
      </c>
      <c r="G30" s="160">
        <f ca="1">G10</f>
        <v>0</v>
      </c>
      <c r="H30" s="160">
        <f ca="1">H10</f>
        <v>4.0159714493863685E-3</v>
      </c>
      <c r="I30" s="160">
        <f ca="1">I10</f>
        <v>1.5306950300881583E-2</v>
      </c>
      <c r="J30" s="160" t="e">
        <f t="shared" ref="J30:K30" si="1">J10</f>
        <v>#VALUE!</v>
      </c>
      <c r="K30" s="160">
        <f t="shared" ca="1" si="1"/>
        <v>7.3796505564889259E-2</v>
      </c>
      <c r="M30" s="150"/>
      <c r="N30" s="150"/>
      <c r="O30" s="150"/>
      <c r="P30" s="150"/>
      <c r="Q30" s="150"/>
      <c r="R30" s="150"/>
      <c r="S30" s="150"/>
      <c r="T30" s="150"/>
      <c r="U30" s="150"/>
      <c r="V30" s="150"/>
      <c r="W30" s="150"/>
      <c r="X30" s="150"/>
      <c r="Y30" s="150"/>
      <c r="Z30" s="150"/>
      <c r="AA30" s="150"/>
    </row>
    <row r="31" spans="1:27" s="152" customFormat="1" x14ac:dyDescent="0.25">
      <c r="A31" s="154"/>
      <c r="B31" s="151"/>
      <c r="C31" s="151"/>
      <c r="D31" s="214" t="str">
        <f>D11</f>
        <v>US Small Cap Net</v>
      </c>
      <c r="E31" s="215">
        <f>E11</f>
        <v>0</v>
      </c>
      <c r="F31" s="215" t="e">
        <f ca="1">F11</f>
        <v>#VALUE!</v>
      </c>
      <c r="G31" s="215">
        <f ca="1">G11</f>
        <v>9.3104535382370054E-2</v>
      </c>
      <c r="H31" s="215">
        <f ca="1">H11</f>
        <v>3.1475281177401282E-2</v>
      </c>
      <c r="I31" s="215">
        <f ca="1">I11</f>
        <v>2.2299238226671125E-2</v>
      </c>
      <c r="J31" s="215" t="e">
        <f t="shared" ref="J31:K31" si="2">J11</f>
        <v>#VALUE!</v>
      </c>
      <c r="K31" s="215">
        <f t="shared" ca="1" si="2"/>
        <v>7.1654269507906543E-2</v>
      </c>
      <c r="M31" s="150"/>
      <c r="N31" s="150"/>
      <c r="O31" s="150"/>
      <c r="P31" s="150"/>
      <c r="Q31" s="150"/>
      <c r="R31" s="150"/>
      <c r="S31" s="150"/>
      <c r="T31" s="150"/>
      <c r="U31" s="150"/>
      <c r="V31" s="150"/>
      <c r="W31" s="150"/>
      <c r="X31" s="150"/>
      <c r="Y31" s="150"/>
      <c r="Z31" s="150"/>
      <c r="AA31" s="150"/>
    </row>
    <row r="32" spans="1:27" s="152" customFormat="1" x14ac:dyDescent="0.25">
      <c r="A32" s="154"/>
      <c r="B32" s="150"/>
      <c r="C32" s="150"/>
      <c r="D32" s="159" t="s">
        <v>336</v>
      </c>
      <c r="E32" s="160">
        <f>E12</f>
        <v>0</v>
      </c>
      <c r="F32" s="160" t="e">
        <f ca="1">F12</f>
        <v>#VALUE!</v>
      </c>
      <c r="G32" s="160">
        <f ca="1">G12</f>
        <v>0</v>
      </c>
      <c r="H32" s="160">
        <f ca="1">H12</f>
        <v>-3.533710676135482E-2</v>
      </c>
      <c r="I32" s="160">
        <f ca="1">I12</f>
        <v>-7.1010816884871097E-3</v>
      </c>
      <c r="J32" s="160" t="e">
        <f t="shared" ref="J32:K32" si="3">J12</f>
        <v>#VALUE!</v>
      </c>
      <c r="K32" s="160">
        <f t="shared" ca="1" si="3"/>
        <v>6.0415287847975119E-2</v>
      </c>
      <c r="M32" s="150"/>
      <c r="N32" s="150"/>
      <c r="O32" s="150"/>
      <c r="P32" s="150"/>
      <c r="Q32" s="150"/>
      <c r="R32" s="150"/>
      <c r="S32" s="150"/>
      <c r="T32" s="150"/>
      <c r="U32" s="150"/>
      <c r="V32" s="150"/>
      <c r="W32" s="150"/>
      <c r="X32" s="150"/>
      <c r="Y32" s="150"/>
      <c r="Z32" s="150"/>
      <c r="AA32" s="150"/>
    </row>
    <row r="33" spans="1:27" s="152" customFormat="1" x14ac:dyDescent="0.25">
      <c r="A33" s="154"/>
      <c r="B33" s="150"/>
      <c r="C33" s="150"/>
      <c r="D33" s="214" t="str">
        <f>D13</f>
        <v>Russell 2000 Total Return</v>
      </c>
      <c r="E33" s="215">
        <f>E13</f>
        <v>3.2863005716283755E-3</v>
      </c>
      <c r="F33" s="215" t="e">
        <f ca="1">F13</f>
        <v>#VALUE!</v>
      </c>
      <c r="G33" s="215">
        <f ca="1">G13</f>
        <v>0.1152690924963682</v>
      </c>
      <c r="H33" s="215">
        <f ca="1">H13</f>
        <v>1.2125139595128509E-2</v>
      </c>
      <c r="I33" s="215">
        <f ca="1">I13</f>
        <v>7.375628675682866E-2</v>
      </c>
      <c r="J33" s="215" t="e">
        <f t="shared" ref="J33:K33" si="4">J13</f>
        <v>#VALUE!</v>
      </c>
      <c r="K33" s="215">
        <f t="shared" ca="1" si="4"/>
        <v>7.8616628326007909E-2</v>
      </c>
      <c r="M33" s="150"/>
      <c r="N33" s="150"/>
      <c r="O33" s="150"/>
      <c r="P33" s="248"/>
      <c r="Q33" s="249"/>
      <c r="R33" s="249"/>
      <c r="S33" s="150"/>
      <c r="T33" s="150"/>
      <c r="U33" s="150"/>
      <c r="V33" s="150"/>
      <c r="W33" s="150"/>
      <c r="X33" s="150"/>
      <c r="Y33" s="150"/>
      <c r="Z33" s="150"/>
      <c r="AA33" s="150"/>
    </row>
    <row r="34" spans="1:27" s="152" customFormat="1" ht="3" customHeight="1" x14ac:dyDescent="0.25">
      <c r="A34" s="154"/>
      <c r="B34" s="151"/>
      <c r="C34" s="151"/>
      <c r="D34" s="216"/>
      <c r="E34" s="217"/>
      <c r="F34" s="217"/>
      <c r="G34" s="217"/>
      <c r="H34" s="217"/>
      <c r="I34" s="217"/>
      <c r="J34" s="217"/>
      <c r="K34" s="166"/>
      <c r="M34" s="150"/>
      <c r="N34" s="150"/>
      <c r="O34" s="150"/>
      <c r="P34" s="150"/>
      <c r="Q34" s="150"/>
      <c r="R34" s="150"/>
      <c r="S34" s="150"/>
      <c r="T34" s="150"/>
      <c r="U34" s="150"/>
      <c r="V34" s="150"/>
      <c r="W34" s="150"/>
      <c r="X34" s="150"/>
      <c r="Y34" s="150"/>
      <c r="Z34" s="150"/>
      <c r="AA34" s="150"/>
    </row>
    <row r="35" spans="1:27" s="152" customFormat="1" ht="3" customHeight="1" x14ac:dyDescent="0.25">
      <c r="A35" s="154"/>
      <c r="B35" s="151"/>
      <c r="C35" s="151"/>
      <c r="D35" s="159"/>
      <c r="E35" s="160"/>
      <c r="F35" s="160"/>
      <c r="G35" s="160"/>
      <c r="H35" s="160"/>
      <c r="I35" s="160"/>
      <c r="J35" s="160"/>
      <c r="K35" s="160"/>
      <c r="M35" s="150"/>
      <c r="N35" s="150"/>
      <c r="O35" s="150"/>
      <c r="P35" s="150"/>
      <c r="Q35" s="150"/>
      <c r="R35" s="150"/>
      <c r="S35" s="150"/>
      <c r="T35" s="150"/>
      <c r="U35" s="150"/>
      <c r="V35" s="150"/>
      <c r="W35" s="150"/>
      <c r="X35" s="150"/>
      <c r="Y35" s="150"/>
      <c r="Z35" s="150"/>
      <c r="AA35" s="150"/>
    </row>
    <row r="36" spans="1:27" s="152" customFormat="1" x14ac:dyDescent="0.25">
      <c r="A36" s="154"/>
      <c r="B36" s="151"/>
      <c r="C36" s="151"/>
      <c r="D36" s="159"/>
      <c r="E36" s="160"/>
      <c r="F36" s="160"/>
      <c r="G36" s="160"/>
      <c r="H36" s="160"/>
      <c r="I36" s="160"/>
      <c r="J36" s="160"/>
      <c r="K36" s="160"/>
      <c r="M36" s="150"/>
      <c r="N36" s="150"/>
      <c r="O36" s="150"/>
      <c r="P36" s="150"/>
      <c r="Q36" s="150"/>
      <c r="R36" s="150"/>
      <c r="S36" s="150"/>
      <c r="T36" s="150"/>
      <c r="U36" s="150"/>
      <c r="V36" s="150"/>
      <c r="W36" s="150"/>
      <c r="X36" s="150"/>
      <c r="Y36" s="150"/>
      <c r="Z36" s="150"/>
      <c r="AA36" s="150"/>
    </row>
    <row r="37" spans="1:27" s="152" customFormat="1" x14ac:dyDescent="0.25">
      <c r="A37" s="154"/>
      <c r="B37" s="151"/>
      <c r="C37" s="151"/>
      <c r="D37" s="159"/>
      <c r="E37" s="160"/>
      <c r="F37" s="160"/>
      <c r="G37" s="160"/>
      <c r="H37" s="160"/>
      <c r="I37" s="160"/>
      <c r="J37" s="160"/>
      <c r="K37" s="160"/>
      <c r="M37" s="242">
        <f>E42-E39</f>
        <v>1.8823459383479069E-2</v>
      </c>
      <c r="N37" s="150"/>
      <c r="O37" s="150"/>
      <c r="P37" s="150"/>
      <c r="Q37" s="150"/>
      <c r="R37" s="150"/>
      <c r="S37" s="150"/>
      <c r="T37" s="150"/>
      <c r="U37" s="150"/>
      <c r="V37" s="150"/>
      <c r="W37" s="150"/>
      <c r="X37" s="150"/>
      <c r="Y37" s="150"/>
      <c r="Z37" s="150"/>
      <c r="AA37" s="150"/>
    </row>
    <row r="38" spans="1:27" x14ac:dyDescent="0.25">
      <c r="D38" s="216" t="s">
        <v>187</v>
      </c>
      <c r="E38" s="217" t="str">
        <f>E29</f>
        <v>4Q25</v>
      </c>
      <c r="F38" s="217" t="s">
        <v>7</v>
      </c>
      <c r="G38" s="217" t="str">
        <f t="shared" ref="G38:I38" si="5">G29</f>
        <v>1 Yr</v>
      </c>
      <c r="H38" s="217" t="str">
        <f t="shared" si="5"/>
        <v>3 Yrs</v>
      </c>
      <c r="I38" s="217" t="str">
        <f t="shared" si="5"/>
        <v>5 Yrs</v>
      </c>
      <c r="J38" s="217" t="s">
        <v>409</v>
      </c>
      <c r="K38" s="158" t="s">
        <v>53</v>
      </c>
      <c r="L38" s="152"/>
      <c r="O38" s="248"/>
      <c r="P38" s="159"/>
      <c r="Q38" s="250"/>
      <c r="R38" s="250"/>
      <c r="S38" s="243"/>
    </row>
    <row r="39" spans="1:27" s="152" customFormat="1" x14ac:dyDescent="0.25">
      <c r="A39" s="154"/>
      <c r="B39" s="150"/>
      <c r="C39" s="150"/>
      <c r="D39" s="159" t="str">
        <f t="shared" ref="D39:I40" si="6">D20</f>
        <v>Global Equity Gross</v>
      </c>
      <c r="E39" s="160">
        <f t="shared" si="6"/>
        <v>1.48682499891859E-2</v>
      </c>
      <c r="F39" s="160">
        <f t="shared" ca="1" si="6"/>
        <v>0.12659470144866081</v>
      </c>
      <c r="G39" s="160">
        <f t="shared" ca="1" si="6"/>
        <v>0.12659470144866081</v>
      </c>
      <c r="H39" s="160">
        <f t="shared" ca="1" si="6"/>
        <v>0.12376696040335823</v>
      </c>
      <c r="I39" s="160">
        <f t="shared" ca="1" si="6"/>
        <v>7.7968754742904656E-2</v>
      </c>
      <c r="J39" s="160">
        <f t="shared" ref="J39:K39" ca="1" si="7">J20</f>
        <v>9.6898793114927675E-2</v>
      </c>
      <c r="K39" s="160">
        <f t="shared" ca="1" si="7"/>
        <v>0.10047427669983101</v>
      </c>
      <c r="M39" s="150"/>
      <c r="N39" s="150"/>
      <c r="O39" s="150"/>
      <c r="P39" s="150"/>
      <c r="Q39" s="150"/>
      <c r="R39" s="150"/>
      <c r="S39" s="150"/>
      <c r="T39" s="150"/>
      <c r="U39" s="150"/>
      <c r="V39" s="150"/>
      <c r="W39" s="150"/>
      <c r="X39" s="150"/>
      <c r="Y39" s="150"/>
      <c r="Z39" s="150"/>
      <c r="AA39" s="150"/>
    </row>
    <row r="40" spans="1:27" s="152" customFormat="1" x14ac:dyDescent="0.25">
      <c r="A40" s="154"/>
      <c r="B40" s="151"/>
      <c r="C40" s="151"/>
      <c r="D40" s="214" t="str">
        <f t="shared" si="6"/>
        <v>Global Equity Net</v>
      </c>
      <c r="E40" s="215">
        <f t="shared" si="6"/>
        <v>1.2748518021145738E-2</v>
      </c>
      <c r="F40" s="215">
        <f t="shared" ca="1" si="6"/>
        <v>0.11725899385235161</v>
      </c>
      <c r="G40" s="215">
        <f t="shared" ca="1" si="6"/>
        <v>0.11725899385235161</v>
      </c>
      <c r="H40" s="215">
        <f t="shared" ca="1" si="6"/>
        <v>0.11445626091994221</v>
      </c>
      <c r="I40" s="215">
        <f t="shared" ca="1" si="6"/>
        <v>6.9026703164352332E-2</v>
      </c>
      <c r="J40" s="215">
        <f t="shared" ref="J40:K40" ca="1" si="8">J21</f>
        <v>8.9218932811961013E-2</v>
      </c>
      <c r="K40" s="215">
        <f t="shared" ca="1" si="8"/>
        <v>9.4899054641681926E-2</v>
      </c>
      <c r="M40" s="150"/>
      <c r="N40" s="150"/>
      <c r="O40" s="150"/>
      <c r="P40" s="150"/>
      <c r="Q40" s="150"/>
      <c r="R40" s="150"/>
      <c r="S40" s="150"/>
      <c r="T40" s="150"/>
      <c r="U40" s="150"/>
      <c r="V40" s="150"/>
      <c r="W40" s="150"/>
      <c r="X40" s="150"/>
      <c r="Y40" s="150"/>
      <c r="Z40" s="150"/>
      <c r="AA40" s="150"/>
    </row>
    <row r="41" spans="1:27" s="152" customFormat="1" x14ac:dyDescent="0.25">
      <c r="A41" s="154"/>
      <c r="B41" s="150"/>
      <c r="C41" s="150"/>
      <c r="D41" s="159" t="s">
        <v>337</v>
      </c>
      <c r="E41" s="160">
        <f t="shared" ref="E41:I42" si="9">E22</f>
        <v>2.2662250889486923E-3</v>
      </c>
      <c r="F41" s="160">
        <f t="shared" ca="1" si="9"/>
        <v>0.11218931323398218</v>
      </c>
      <c r="G41" s="160">
        <f t="shared" ca="1" si="9"/>
        <v>0.11218931323398218</v>
      </c>
      <c r="H41" s="160">
        <f t="shared" ca="1" si="9"/>
        <v>0.10470772286509655</v>
      </c>
      <c r="I41" s="160">
        <f t="shared" ca="1" si="9"/>
        <v>6.8376475718262997E-2</v>
      </c>
      <c r="J41" s="160">
        <f t="shared" ref="J41:K41" ca="1" si="10">J22</f>
        <v>8.331334891582752E-2</v>
      </c>
      <c r="K41" s="160">
        <f t="shared" ca="1" si="10"/>
        <v>8.6484818691080503E-2</v>
      </c>
      <c r="M41" s="150"/>
      <c r="N41" s="150"/>
      <c r="O41" s="150"/>
      <c r="P41" s="150"/>
      <c r="Q41" s="150"/>
      <c r="R41" s="150"/>
      <c r="S41" s="150"/>
      <c r="T41" s="150"/>
      <c r="U41" s="150"/>
      <c r="V41" s="150"/>
      <c r="W41" s="150"/>
      <c r="X41" s="150"/>
      <c r="Y41" s="150"/>
      <c r="Z41" s="150"/>
      <c r="AA41" s="150"/>
    </row>
    <row r="42" spans="1:27" s="152" customFormat="1" x14ac:dyDescent="0.25">
      <c r="A42" s="154"/>
      <c r="B42" s="150"/>
      <c r="C42" s="150"/>
      <c r="D42" s="214" t="str">
        <f>D23</f>
        <v>MSCI ACWI Total Return</v>
      </c>
      <c r="E42" s="215">
        <f t="shared" si="9"/>
        <v>3.3691709372664969E-2</v>
      </c>
      <c r="F42" s="215">
        <f t="shared" ca="1" si="9"/>
        <v>0.2289259672597963</v>
      </c>
      <c r="G42" s="215">
        <f t="shared" ca="1" si="9"/>
        <v>0.2289259672597963</v>
      </c>
      <c r="H42" s="215">
        <f t="shared" ca="1" si="9"/>
        <v>0.21210630310269774</v>
      </c>
      <c r="I42" s="215">
        <f t="shared" ca="1" si="9"/>
        <v>0.11708135953882426</v>
      </c>
      <c r="J42" s="215">
        <f t="shared" ref="J42:K42" ca="1" si="11">J23</f>
        <v>0.12292976429015635</v>
      </c>
      <c r="K42" s="215">
        <f t="shared" ca="1" si="11"/>
        <v>0.1103347337675622</v>
      </c>
      <c r="M42" s="150"/>
      <c r="N42" s="150"/>
      <c r="O42" s="150"/>
      <c r="P42" s="248"/>
      <c r="Q42" s="249"/>
      <c r="R42" s="249"/>
      <c r="S42" s="150"/>
      <c r="T42" s="150"/>
      <c r="U42" s="150"/>
      <c r="V42" s="150"/>
      <c r="W42" s="150"/>
      <c r="X42" s="150"/>
      <c r="Y42" s="150"/>
      <c r="Z42" s="150"/>
      <c r="AA42" s="150"/>
    </row>
    <row r="43" spans="1:27" s="152" customFormat="1" ht="3" customHeight="1" x14ac:dyDescent="0.25">
      <c r="A43" s="154"/>
      <c r="B43" s="151"/>
      <c r="C43" s="151"/>
      <c r="D43" s="216"/>
      <c r="E43" s="217"/>
      <c r="F43" s="217"/>
      <c r="G43" s="217"/>
      <c r="H43" s="217"/>
      <c r="I43" s="217"/>
      <c r="J43" s="217"/>
      <c r="K43" s="166"/>
      <c r="M43" s="150"/>
      <c r="N43" s="150"/>
      <c r="O43" s="150"/>
      <c r="P43" s="150"/>
      <c r="Q43" s="150">
        <v>44012</v>
      </c>
      <c r="R43" s="150">
        <v>44104</v>
      </c>
      <c r="S43" s="150"/>
      <c r="T43" s="150"/>
      <c r="U43" s="150"/>
      <c r="V43" s="150"/>
      <c r="W43" s="150"/>
      <c r="X43" s="150"/>
      <c r="Y43" s="150"/>
      <c r="Z43" s="150"/>
      <c r="AA43" s="150"/>
    </row>
    <row r="44" spans="1:27" s="152" customFormat="1" ht="11.25" customHeight="1" x14ac:dyDescent="0.25">
      <c r="A44" s="154"/>
      <c r="B44" s="151"/>
      <c r="C44" s="151"/>
      <c r="M44" s="150"/>
      <c r="N44" s="150"/>
      <c r="O44" s="150"/>
      <c r="P44" s="150" t="s">
        <v>259</v>
      </c>
      <c r="Q44" s="150" t="s">
        <v>260</v>
      </c>
      <c r="R44" s="150" t="s">
        <v>258</v>
      </c>
      <c r="S44" s="150" t="s">
        <v>261</v>
      </c>
      <c r="T44" s="150"/>
      <c r="U44" s="150"/>
      <c r="V44" s="150"/>
      <c r="W44" s="150"/>
      <c r="X44" s="150"/>
      <c r="Y44" s="150"/>
      <c r="Z44" s="150"/>
      <c r="AA44" s="150"/>
    </row>
    <row r="45" spans="1:27" x14ac:dyDescent="0.25">
      <c r="A45" s="152"/>
      <c r="D45" s="152"/>
      <c r="E45" s="152"/>
      <c r="F45" s="152"/>
      <c r="G45" s="152"/>
      <c r="H45" s="152"/>
      <c r="L45" s="152"/>
      <c r="O45" s="248" t="s">
        <v>262</v>
      </c>
      <c r="P45" s="159" t="s">
        <v>263</v>
      </c>
      <c r="Q45" s="250" t="e" cm="1">
        <f t="array" aca="1" ref="Q45" ca="1">_xll.BDH($O45&amp;" Index","PX_LAST",$Q$43,$Q$43)</f>
        <v>#NAME?</v>
      </c>
      <c r="R45" s="250" t="e" cm="1">
        <f t="array" aca="1" ref="R45" ca="1">_xll.BDH($O45&amp;" Index","PX_LAST",$R$43,$R$43)</f>
        <v>#NAME?</v>
      </c>
      <c r="S45" s="243" t="e">
        <f ca="1">R45/Q45-1</f>
        <v>#NAME?</v>
      </c>
    </row>
    <row r="46" spans="1:27" x14ac:dyDescent="0.25">
      <c r="A46" s="152"/>
      <c r="D46" s="159"/>
      <c r="E46" s="160"/>
      <c r="F46" s="160"/>
      <c r="G46" s="178"/>
      <c r="H46" s="174"/>
      <c r="I46" s="174"/>
      <c r="J46" s="174"/>
      <c r="L46" s="152"/>
      <c r="O46" s="248" t="s">
        <v>105</v>
      </c>
      <c r="P46" s="161" t="s">
        <v>264</v>
      </c>
      <c r="Q46" s="244" t="e" cm="1">
        <f t="array" aca="1" ref="Q46" ca="1">_xll.BDH($O46&amp;" Index","PX_LAST",$Q$43,$Q$43)</f>
        <v>#NAME?</v>
      </c>
      <c r="R46" s="244" t="e" cm="1">
        <f t="array" aca="1" ref="R46" ca="1">_xll.BDH($O46&amp;" Index","PX_LAST",$R$43,$R$43)</f>
        <v>#NAME?</v>
      </c>
      <c r="S46" s="245" t="e">
        <f t="shared" ref="S46:S54" ca="1" si="12">R46/Q46-1</f>
        <v>#NAME?</v>
      </c>
    </row>
    <row r="47" spans="1:27" x14ac:dyDescent="0.25">
      <c r="A47" s="152"/>
      <c r="D47" s="216" t="s">
        <v>187</v>
      </c>
      <c r="E47" s="217" t="str">
        <f>E38</f>
        <v>4Q25</v>
      </c>
      <c r="F47" s="217" t="s">
        <v>7</v>
      </c>
      <c r="G47" s="217" t="str">
        <f t="shared" ref="G47:I47" si="13">G38</f>
        <v>1 Yr</v>
      </c>
      <c r="H47" s="217" t="str">
        <f t="shared" si="13"/>
        <v>3 Yrs</v>
      </c>
      <c r="I47" s="217" t="str">
        <f t="shared" si="13"/>
        <v>5 Yrs</v>
      </c>
      <c r="J47" s="217" t="s">
        <v>409</v>
      </c>
      <c r="K47" s="158" t="s">
        <v>53</v>
      </c>
      <c r="L47" s="152"/>
      <c r="O47" s="248" t="s">
        <v>265</v>
      </c>
      <c r="P47" s="159" t="s">
        <v>266</v>
      </c>
      <c r="Q47" s="250" t="e" cm="1">
        <f t="array" aca="1" ref="Q47" ca="1">_xll.BDH($O47&amp;" Index","PX_LAST",$Q$43,$Q$43)</f>
        <v>#NAME?</v>
      </c>
      <c r="R47" s="250" t="e" cm="1">
        <f t="array" aca="1" ref="R47" ca="1">_xll.BDH($O47&amp;" Index","PX_LAST",$R$43,$R$43)</f>
        <v>#NAME?</v>
      </c>
      <c r="S47" s="243" t="e">
        <f t="shared" ca="1" si="12"/>
        <v>#NAME?</v>
      </c>
    </row>
    <row r="48" spans="1:27" x14ac:dyDescent="0.25">
      <c r="A48" s="152"/>
      <c r="D48" s="159" t="str">
        <f>D15</f>
        <v>US Small Cap Core Gross</v>
      </c>
      <c r="E48" s="160">
        <f t="shared" ref="E48:I48" si="14">E15</f>
        <v>9.1548378466534963E-3</v>
      </c>
      <c r="F48" s="160">
        <f t="shared" ca="1" si="14"/>
        <v>0.10373821695814023</v>
      </c>
      <c r="G48" s="160">
        <f t="shared" ca="1" si="14"/>
        <v>0.10373821695814023</v>
      </c>
      <c r="H48" s="160">
        <f t="shared" ca="1" si="14"/>
        <v>0.13023656762473679</v>
      </c>
      <c r="I48" s="160">
        <f t="shared" ca="1" si="14"/>
        <v>8.9771568234633392E-2</v>
      </c>
      <c r="J48" s="160">
        <f t="shared" ref="J48:K48" ca="1" si="15">J15</f>
        <v>0.11251542268660607</v>
      </c>
      <c r="K48" s="160">
        <f t="shared" ca="1" si="15"/>
        <v>0.11793823845950267</v>
      </c>
      <c r="L48" s="152"/>
      <c r="O48" s="248" t="s">
        <v>267</v>
      </c>
      <c r="P48" s="161" t="s">
        <v>268</v>
      </c>
      <c r="Q48" s="244" t="e" cm="1">
        <f t="array" aca="1" ref="Q48" ca="1">_xll.BDH($O48&amp;" Index","PX_LAST",$Q$43,$Q$43)</f>
        <v>#NAME?</v>
      </c>
      <c r="R48" s="244" t="e" cm="1">
        <f t="array" aca="1" ref="R48" ca="1">_xll.BDH($O48&amp;" Index","PX_LAST",$R$43,$R$43)</f>
        <v>#NAME?</v>
      </c>
      <c r="S48" s="245" t="e">
        <f t="shared" ca="1" si="12"/>
        <v>#NAME?</v>
      </c>
    </row>
    <row r="49" spans="1:27" x14ac:dyDescent="0.25">
      <c r="A49" s="152"/>
      <c r="D49" s="214" t="str">
        <f>D16</f>
        <v>US Small Cap Core Net</v>
      </c>
      <c r="E49" s="215">
        <f>E16</f>
        <v>6.0640772438771418E-3</v>
      </c>
      <c r="F49" s="215">
        <f ca="1">F16</f>
        <v>9.0338287119451355E-2</v>
      </c>
      <c r="G49" s="215">
        <f ca="1">G16</f>
        <v>9.0338287119451355E-2</v>
      </c>
      <c r="H49" s="215">
        <f ca="1">H16</f>
        <v>0.11653242558910272</v>
      </c>
      <c r="I49" s="215">
        <f ca="1">I16</f>
        <v>7.6507677456078893E-2</v>
      </c>
      <c r="J49" s="215">
        <f t="shared" ref="J49:K49" ca="1" si="16">J16</f>
        <v>9.8888881069819856E-2</v>
      </c>
      <c r="K49" s="215">
        <f t="shared" ca="1" si="16"/>
        <v>0.10418534256714551</v>
      </c>
      <c r="L49" s="152"/>
      <c r="O49" s="248" t="s">
        <v>156</v>
      </c>
      <c r="P49" s="159" t="s">
        <v>269</v>
      </c>
      <c r="Q49" s="251" t="e" cm="1">
        <f t="array" aca="1" ref="Q49" ca="1">_xll.BDH($O49&amp;" Index","YIELD_TO_WORST",$Q$43,$Q$43)*0.01</f>
        <v>#NAME?</v>
      </c>
      <c r="R49" s="251" t="e" cm="1">
        <f t="array" aca="1" ref="R49" ca="1">_xll.BDH($O49&amp;" Index","YIELD_TO_WORST",$R$43,$R$43)*0.01</f>
        <v>#NAME?</v>
      </c>
      <c r="S49" s="243" t="e">
        <f t="shared" ca="1" si="12"/>
        <v>#NAME?</v>
      </c>
    </row>
    <row r="50" spans="1:27" x14ac:dyDescent="0.25">
      <c r="A50" s="152"/>
      <c r="D50" s="159" t="str">
        <f t="shared" ref="D50:I50" si="17">D18</f>
        <v>S&amp;P 600</v>
      </c>
      <c r="E50" s="160">
        <f t="shared" si="17"/>
        <v>1.6921921932065098E-2</v>
      </c>
      <c r="F50" s="160">
        <f t="shared" ca="1" si="17"/>
        <v>5.9863663846757564E-2</v>
      </c>
      <c r="G50" s="160">
        <f t="shared" ca="1" si="17"/>
        <v>5.9863663846757564E-2</v>
      </c>
      <c r="H50" s="160">
        <f t="shared" ca="1" si="17"/>
        <v>0.10110916287882032</v>
      </c>
      <c r="I50" s="160">
        <f t="shared" ca="1" si="17"/>
        <v>7.2469524830898635E-2</v>
      </c>
      <c r="J50" s="160">
        <f t="shared" ref="J50:K50" ca="1" si="18">J18</f>
        <v>9.7513181282001593E-2</v>
      </c>
      <c r="K50" s="160">
        <f t="shared" ca="1" si="18"/>
        <v>9.7767469065904056E-2</v>
      </c>
      <c r="L50" s="152"/>
      <c r="O50" s="248" t="s">
        <v>270</v>
      </c>
      <c r="P50" s="161" t="s">
        <v>271</v>
      </c>
      <c r="Q50" s="246" t="e" cm="1">
        <f t="array" aca="1" ref="Q50" ca="1">_xll.BDH($O50&amp;" Index","YIELD_TO_WORST",$Q$43,$Q$43)*0.01</f>
        <v>#NAME?</v>
      </c>
      <c r="R50" s="246" t="e" cm="1">
        <f t="array" aca="1" ref="R50" ca="1">_xll.BDH($O50&amp;" Index","YIELD_TO_WORST",$R$43,$R$43)*0.01</f>
        <v>#NAME?</v>
      </c>
      <c r="S50" s="245" t="e">
        <f t="shared" ca="1" si="12"/>
        <v>#NAME?</v>
      </c>
    </row>
    <row r="51" spans="1:27" s="152" customFormat="1" ht="3" customHeight="1" x14ac:dyDescent="0.25">
      <c r="A51" s="154"/>
      <c r="B51" s="151"/>
      <c r="C51" s="151"/>
      <c r="D51" s="216"/>
      <c r="E51" s="217"/>
      <c r="F51" s="217"/>
      <c r="G51" s="217"/>
      <c r="H51" s="217"/>
      <c r="I51" s="217"/>
      <c r="J51" s="217"/>
      <c r="K51" s="166"/>
      <c r="M51" s="150"/>
      <c r="N51" s="150"/>
      <c r="O51" s="150" t="s">
        <v>272</v>
      </c>
      <c r="P51" s="150" t="s">
        <v>273</v>
      </c>
      <c r="Q51" s="150" t="e" cm="1">
        <f t="array" aca="1" ref="Q51" ca="1">_xll.BDH($O51&amp;" Index","PX_LAST",$Q$43,$Q$43)*0.01</f>
        <v>#NAME?</v>
      </c>
      <c r="R51" s="150" t="e" cm="1">
        <f t="array" aca="1" ref="R51" ca="1">_xll.BDH($O51&amp;" Index","PX_LAST",$R$43,$R$43)*0.01</f>
        <v>#NAME?</v>
      </c>
      <c r="S51" s="150" t="e">
        <f t="shared" ca="1" si="12"/>
        <v>#NAME?</v>
      </c>
      <c r="T51" s="150"/>
      <c r="U51" s="150"/>
      <c r="V51" s="150"/>
      <c r="W51" s="150"/>
      <c r="X51" s="150"/>
      <c r="Y51" s="150"/>
      <c r="Z51" s="150"/>
      <c r="AA51" s="150"/>
    </row>
    <row r="52" spans="1:27" s="152" customFormat="1" ht="16.5" customHeight="1" x14ac:dyDescent="0.25">
      <c r="A52" s="154"/>
      <c r="B52" s="151"/>
      <c r="C52" s="151"/>
      <c r="M52" s="150"/>
      <c r="N52" s="150"/>
      <c r="O52" s="150" t="s">
        <v>274</v>
      </c>
      <c r="P52" s="150" t="s">
        <v>275</v>
      </c>
      <c r="Q52" s="150" t="e" cm="1">
        <f t="array" aca="1" ref="Q52" ca="1">_xll.BDH($O52&amp;" Index","PX_LAST",$Q$43,$Q$43)*0.01</f>
        <v>#NAME?</v>
      </c>
      <c r="R52" s="150" t="e" cm="1">
        <f t="array" aca="1" ref="R52" ca="1">_xll.BDH($O52&amp;" Index","PX_LAST",$R$43,$R$43)*0.01</f>
        <v>#NAME?</v>
      </c>
      <c r="S52" s="150" t="e">
        <f t="shared" ca="1" si="12"/>
        <v>#NAME?</v>
      </c>
      <c r="T52" s="150"/>
      <c r="U52" s="150"/>
      <c r="V52" s="150"/>
      <c r="W52" s="150"/>
      <c r="X52" s="150"/>
      <c r="Y52" s="150"/>
      <c r="Z52" s="150"/>
      <c r="AA52" s="150"/>
    </row>
    <row r="53" spans="1:27" s="152" customFormat="1" ht="14.25" customHeight="1" x14ac:dyDescent="0.25">
      <c r="A53" s="154"/>
      <c r="B53" s="151"/>
      <c r="C53" s="151"/>
      <c r="M53" s="150"/>
      <c r="N53" s="150"/>
      <c r="O53" s="150" t="s">
        <v>276</v>
      </c>
      <c r="P53" s="150" t="s">
        <v>277</v>
      </c>
      <c r="Q53" s="150" t="e" cm="1">
        <f t="array" aca="1" ref="Q53" ca="1">_xll.BDH($O53&amp;" Curncy","PX_LAST",$Q$43,$Q$43)</f>
        <v>#NAME?</v>
      </c>
      <c r="R53" s="150" t="e" cm="1">
        <f t="array" aca="1" ref="R53" ca="1">_xll.BDH($O53&amp;" Curncy","PX_LAST",$R$43,$R$43)</f>
        <v>#NAME?</v>
      </c>
      <c r="S53" s="150" t="e">
        <f t="shared" ca="1" si="12"/>
        <v>#NAME?</v>
      </c>
      <c r="T53" s="150"/>
      <c r="U53" s="150"/>
      <c r="V53" s="150"/>
      <c r="W53" s="150"/>
      <c r="X53" s="150"/>
      <c r="Y53" s="150"/>
      <c r="Z53" s="150"/>
      <c r="AA53" s="150"/>
    </row>
    <row r="54" spans="1:27" x14ac:dyDescent="0.25">
      <c r="A54" s="152"/>
      <c r="D54" s="216" t="s">
        <v>187</v>
      </c>
      <c r="E54" s="217" t="str">
        <f>E4</f>
        <v>4Q25</v>
      </c>
      <c r="F54" s="217" t="str">
        <f t="shared" ref="F54:I54" si="19">F4</f>
        <v>YTD</v>
      </c>
      <c r="G54" s="217" t="str">
        <f t="shared" si="19"/>
        <v>1 Yr</v>
      </c>
      <c r="H54" s="217" t="str">
        <f t="shared" si="19"/>
        <v>3 Yrs</v>
      </c>
      <c r="I54" s="217" t="str">
        <f t="shared" si="19"/>
        <v>5 Yrs</v>
      </c>
      <c r="J54" s="217" t="s">
        <v>409</v>
      </c>
      <c r="K54" s="158" t="s">
        <v>53</v>
      </c>
      <c r="L54" s="152"/>
      <c r="O54" s="248" t="s">
        <v>278</v>
      </c>
      <c r="P54" s="161" t="s">
        <v>279</v>
      </c>
      <c r="Q54" s="247" t="e" cm="1">
        <f t="array" aca="1" ref="Q54" ca="1">_xll.BDH($O54&amp;" Comdty","PX_LAST",$Q$43,$Q$43)</f>
        <v>#NAME?</v>
      </c>
      <c r="R54" s="247" t="e" cm="1">
        <f t="array" aca="1" ref="R54" ca="1">_xll.BDH($O54&amp;" Comdty","PX_LAST",$R$43,$R$43)</f>
        <v>#NAME?</v>
      </c>
      <c r="S54" s="245" t="e">
        <f t="shared" ca="1" si="12"/>
        <v>#NAME?</v>
      </c>
    </row>
    <row r="55" spans="1:27" x14ac:dyDescent="0.25">
      <c r="A55" s="152"/>
      <c r="D55" s="159" t="s">
        <v>344</v>
      </c>
      <c r="E55" s="160">
        <f>VLOOKUP(MAX('CRA (Gross)'!$B$16:$B$1000),'CRA (Gross)'!$B$16:$AAA$1000,11,FALSE)/100</f>
        <v>2.9995437383691703E-2</v>
      </c>
      <c r="F55" s="160">
        <f ca="1">'CRA (Gross)'!I5/100</f>
        <v>0.12509186150328366</v>
      </c>
      <c r="G55" s="160">
        <f ca="1">IF($N55&lt;M$4,'CRA (Gross)'!$I$6/100,"")</f>
        <v>0.12509186150328366</v>
      </c>
      <c r="H55" s="160">
        <f ca="1">IF($N55&lt;N$4,'CRA (Gross)'!$I$8/100,"")</f>
        <v>0.12876474314802899</v>
      </c>
      <c r="I55" s="160">
        <f ca="1">IF($N55&lt;O$4,'CRA (Gross)'!$I$10/100,"")</f>
        <v>7.3067779556395651E-2</v>
      </c>
      <c r="J55" s="160">
        <f ca="1">IF($N55&lt;P$4,'CRA (Gross)'!$I$11/100,"")</f>
        <v>8.6697797660914677E-2</v>
      </c>
      <c r="K55" s="160">
        <f ca="1">'CRA (Gross)'!$I$12/100</f>
        <v>8.6629637437509968E-2</v>
      </c>
      <c r="L55" s="152"/>
      <c r="N55" s="181">
        <v>41425</v>
      </c>
      <c r="P55" s="252" t="s">
        <v>280</v>
      </c>
      <c r="Q55" s="152"/>
      <c r="R55" s="152"/>
      <c r="S55" s="152"/>
    </row>
    <row r="56" spans="1:27" x14ac:dyDescent="0.25">
      <c r="A56" s="152"/>
      <c r="D56" s="214" t="s">
        <v>345</v>
      </c>
      <c r="E56" s="215">
        <f>VLOOKUP(MAX('CRA (Net)'!$B$16:$B$1000),'CRA (Net)'!$B$16:$AAA$1000,11,FALSE)/100</f>
        <v>2.6585847911591909E-2</v>
      </c>
      <c r="F56" s="215">
        <f ca="1">'CRA (Net)'!I5/100</f>
        <v>0.11026624798456307</v>
      </c>
      <c r="G56" s="215">
        <f ca="1">IF($N56&lt;M$4,'CRA (Net)'!$I$6/100,"")</f>
        <v>0.11026624798456307</v>
      </c>
      <c r="H56" s="215">
        <f ca="1">IF($N56&lt;N$4,'CRA (Net)'!$I$8/100,"")</f>
        <v>0.11319467831356377</v>
      </c>
      <c r="I56" s="215">
        <f ca="1">IF($N55&lt;O$4,'CRA (Net)'!$I$10/100,"")</f>
        <v>5.8089351502654374E-2</v>
      </c>
      <c r="J56" s="215">
        <f ca="1">IF($N55&lt;P$4,'CRA (Net)'!$I$11/100,"")</f>
        <v>7.1731146731451867E-2</v>
      </c>
      <c r="K56" s="215">
        <f ca="1">'CRA (Net)'!$I$12/100</f>
        <v>7.237705299945163E-2</v>
      </c>
      <c r="L56" s="152"/>
    </row>
    <row r="57" spans="1:27" x14ac:dyDescent="0.25">
      <c r="A57" s="152"/>
      <c r="D57" s="159" t="s">
        <v>346</v>
      </c>
      <c r="E57" s="160">
        <f>VLOOKUP(MAX('CRA (Gross)'!$B$16:$B$1000),'CRA (Gross)'!$B$16:$AAA$1000,18,FALSE)/100</f>
        <v>3.0464897207383546E-2</v>
      </c>
      <c r="F57" s="160">
        <f ca="1">'CRA (Gross)'!P5/100</f>
        <v>0.2023833396849706</v>
      </c>
      <c r="G57" s="160">
        <f ca="1">IF($N57&lt;M$4,'CRA (Gross)'!$P$6/100,"")</f>
        <v>0.2023833396849706</v>
      </c>
      <c r="H57" s="160">
        <f ca="1">IF($N57&lt;N$4,'CRA (Gross)'!$P$8/100,"")</f>
        <v>0.21574674107571856</v>
      </c>
      <c r="I57" s="160">
        <f ca="1">IF($N55&lt;O$4,'CRA (Gross)'!$P$10/100,"")</f>
        <v>0.1323311745087361</v>
      </c>
      <c r="J57" s="160">
        <f ca="1">IF(J5="","",'CRA (Gross)'!$P$11/100)</f>
        <v>0.12085764497847439</v>
      </c>
      <c r="K57" s="160">
        <f ca="1">'CRA (Gross)'!$P$12/100</f>
        <v>0.10889126420967109</v>
      </c>
      <c r="L57" s="152"/>
    </row>
    <row r="58" spans="1:27" x14ac:dyDescent="0.25">
      <c r="A58" s="152"/>
      <c r="D58" s="214" t="s">
        <v>378</v>
      </c>
      <c r="E58" s="215">
        <f>VLOOKUP(MAX('CRA (Net)'!$B$16:$B$1000),'CRA (Net)'!$B$16:$AAA$1000,18,FALSE)/100</f>
        <v>-1.1092200199633084E-2</v>
      </c>
      <c r="F58" s="215">
        <f ca="1">'CRA (Net)'!P5/100</f>
        <v>8.2640543467823235E-2</v>
      </c>
      <c r="G58" s="215">
        <f ca="1">IF($N58&lt;M$4,'CRA (Net)'!$P$6/100,"")</f>
        <v>8.2640543467823235E-2</v>
      </c>
      <c r="H58" s="215">
        <f ca="1">IF($N58&lt;N$4,'CRA (Net)'!$P$8/100,"")</f>
        <v>7.7080912506757748E-2</v>
      </c>
      <c r="I58" s="215">
        <f ca="1">IF($N55&lt;O$4,'CRA (Net)'!$P$10/100,"")</f>
        <v>7.0498587458690309E-2</v>
      </c>
      <c r="J58" s="215">
        <f ca="1">IF(J5="","",'CRA (Net)'!$P$11/100)</f>
        <v>6.9758708125525759E-2</v>
      </c>
      <c r="K58" s="215">
        <f ca="1">'CRA (Net)'!$P$12/100</f>
        <v>7.1306389575061413E-2</v>
      </c>
      <c r="L58" s="152"/>
    </row>
    <row r="59" spans="1:27" s="152" customFormat="1" ht="3" customHeight="1" x14ac:dyDescent="0.25">
      <c r="A59" s="154"/>
      <c r="B59" s="151"/>
      <c r="C59" s="151"/>
      <c r="D59" s="216"/>
      <c r="E59" s="217"/>
      <c r="F59" s="217"/>
      <c r="G59" s="217"/>
      <c r="H59" s="217"/>
      <c r="I59" s="217"/>
      <c r="J59" s="217"/>
      <c r="K59" s="166"/>
      <c r="M59" s="150"/>
      <c r="N59" s="150"/>
      <c r="O59" s="150"/>
      <c r="P59" s="150"/>
      <c r="Q59" s="150"/>
      <c r="R59" s="150"/>
      <c r="S59" s="150"/>
      <c r="T59" s="150"/>
      <c r="U59" s="150"/>
      <c r="V59" s="150"/>
      <c r="W59" s="150"/>
      <c r="X59" s="150"/>
      <c r="Y59" s="150"/>
      <c r="Z59" s="150"/>
      <c r="AA59" s="150"/>
    </row>
    <row r="60" spans="1:27" x14ac:dyDescent="0.25">
      <c r="A60" s="152"/>
      <c r="D60" s="152"/>
      <c r="E60" s="152"/>
      <c r="F60" s="152"/>
      <c r="G60" s="152"/>
      <c r="H60" s="152"/>
    </row>
    <row r="61" spans="1:27" x14ac:dyDescent="0.25">
      <c r="A61" s="152"/>
      <c r="D61" s="216" t="s">
        <v>187</v>
      </c>
      <c r="E61" s="217" t="str">
        <f>E4</f>
        <v>4Q25</v>
      </c>
      <c r="F61" s="217" t="str">
        <f t="shared" ref="F61:I61" si="20">F4</f>
        <v>YTD</v>
      </c>
      <c r="G61" s="217" t="str">
        <f t="shared" si="20"/>
        <v>1 Yr</v>
      </c>
      <c r="H61" s="217" t="str">
        <f t="shared" si="20"/>
        <v>3 Yrs</v>
      </c>
      <c r="I61" s="217" t="str">
        <f t="shared" si="20"/>
        <v>5 Yrs</v>
      </c>
      <c r="J61" s="217" t="s">
        <v>409</v>
      </c>
      <c r="K61" s="158" t="s">
        <v>53</v>
      </c>
      <c r="L61" s="152"/>
    </row>
    <row r="62" spans="1:27" x14ac:dyDescent="0.25">
      <c r="A62" s="152"/>
      <c r="D62" s="159" t="s">
        <v>349</v>
      </c>
      <c r="E62" s="160">
        <f>VLOOKUP(MAX('CRA (Gross)'!$B$16:$B$1000),'CRA (Gross)'!$B$16:$AAA$1000,37,FALSE)/100</f>
        <v>2.67912632377445E-2</v>
      </c>
      <c r="F62" s="160">
        <f ca="1">'CRA (Gross)'!AI5/100</f>
        <v>0.11204403948380669</v>
      </c>
      <c r="G62" s="160">
        <f ca="1">IF($N62&lt;M$4,'CRA (Gross)'!$AI$6/100,"")</f>
        <v>0.11204403948380669</v>
      </c>
      <c r="H62" s="160">
        <f ca="1">IF($N62&lt;N$4,'CRA (Gross)'!$AI$8/100,"")</f>
        <v>0.11210203859030399</v>
      </c>
      <c r="I62" s="160">
        <f ca="1">IF($N62&lt;O$4,'CRA (Gross)'!$AI$10/100,"")</f>
        <v>5.8246844828719446E-2</v>
      </c>
      <c r="J62" s="160">
        <f ca="1">IF($N62&lt;P$4,'CRA (Gross)'!$AI$10/100,"")</f>
        <v>5.8246844828719446E-2</v>
      </c>
      <c r="K62" s="160">
        <f ca="1">'CRA (Gross)'!$AI$12/100</f>
        <v>6.8881582142364506E-2</v>
      </c>
      <c r="L62" s="152"/>
      <c r="N62" s="181">
        <v>41425</v>
      </c>
    </row>
    <row r="63" spans="1:27" x14ac:dyDescent="0.25">
      <c r="A63" s="152"/>
      <c r="D63" s="214" t="s">
        <v>350</v>
      </c>
      <c r="E63" s="215">
        <f>VLOOKUP(MAX('CRA (Net)'!$B$16:$B$1000),'CRA (Net)'!$B$16:$AAA$1000,37,FALSE)/100</f>
        <v>2.323435460171841E-2</v>
      </c>
      <c r="F63" s="215">
        <f ca="1">'CRA (Net)'!AI5/100</f>
        <v>9.7328394525809644E-2</v>
      </c>
      <c r="G63" s="215">
        <f ca="1">IF($N62&lt;M$4,'CRA (Net)'!$AI$6/100,"")</f>
        <v>9.7328394525809644E-2</v>
      </c>
      <c r="H63" s="215">
        <f ca="1">IF($N62&lt;N$4,'CRA (Net)'!$AI$8/100,"")</f>
        <v>9.7327771948941599E-2</v>
      </c>
      <c r="I63" s="215">
        <f ca="1">IF($N62&lt;O$4,'CRA (Net)'!$AI$10/100,"")</f>
        <v>4.4204716661904619E-2</v>
      </c>
      <c r="J63" s="215">
        <f ca="1">IF($N62&lt;P$4,'CRA (Net)'!$AI$10/100,"")</f>
        <v>4.4204716661904619E-2</v>
      </c>
      <c r="K63" s="215">
        <f ca="1">'CRA (Net)'!$AI$12/100</f>
        <v>5.4574151986883646E-2</v>
      </c>
      <c r="L63" s="152"/>
    </row>
    <row r="64" spans="1:27" x14ac:dyDescent="0.25">
      <c r="A64" s="152"/>
      <c r="D64" s="159" t="s">
        <v>346</v>
      </c>
      <c r="E64" s="160">
        <f>VLOOKUP(MAX('CRA (Gross)'!$B$16:$B$1000),'CRA (Gross)'!$B$16:$AAA$1000,44,FALSE)/100</f>
        <v>2.282079780421653E-2</v>
      </c>
      <c r="F64" s="160">
        <f ca="1">'CRA (Gross)'!AP5/100</f>
        <v>0.15115808747463455</v>
      </c>
      <c r="G64" s="160">
        <f ca="1">IF($N62&lt;M$4,'CRA (Gross)'!$AP$6/100,"")</f>
        <v>0.15115808747463455</v>
      </c>
      <c r="H64" s="160">
        <f ca="1">IF($N62&lt;N$4,'CRA (Gross)'!$AP$8/100,"")</f>
        <v>0.14790634201423636</v>
      </c>
      <c r="I64" s="160">
        <f ca="1">IF($N62&lt;O$4,'CRA (Gross)'!$AP$10/100,"")</f>
        <v>7.9280927114269817E-2</v>
      </c>
      <c r="J64" s="160">
        <f ca="1">IF($N62&lt;P$4,'CRA (Gross)'!$AP$10/100,"")</f>
        <v>7.9280927114269817E-2</v>
      </c>
      <c r="K64" s="160">
        <f ca="1">'CRA (Gross)'!$AP$12/100</f>
        <v>7.5928967070255871E-2</v>
      </c>
      <c r="L64" s="152"/>
    </row>
    <row r="65" spans="1:27" x14ac:dyDescent="0.25">
      <c r="A65" s="152"/>
      <c r="D65" s="214" t="s">
        <v>378</v>
      </c>
      <c r="E65" s="215">
        <f>VLOOKUP(MAX('CRA (Net)'!$B$16:$B$1000),'CRA (Net)'!$B$16:$AAA$1000,44,FALSE)/100</f>
        <v>-2.3964314534544728E-3</v>
      </c>
      <c r="F65" s="215">
        <f ca="1">'CRA (Net)'!AP5/100</f>
        <v>7.8833512778787584E-2</v>
      </c>
      <c r="G65" s="215">
        <f ca="1">IF($N63&lt;M$4,'CRA (Net)'!$AP$6/100,"")</f>
        <v>7.8833512778787584E-2</v>
      </c>
      <c r="H65" s="215">
        <f ca="1">IF($N63&lt;N$4,'CRA (Net)'!$AP$8/100,"")</f>
        <v>6.5446632945888483E-2</v>
      </c>
      <c r="I65" s="215">
        <f ca="1">IF($N63&lt;O$4,'CRA (Net)'!$AP$10/100,"")</f>
        <v>4.2310705741109844E-2</v>
      </c>
      <c r="J65" s="215">
        <f ca="1">IF($N63&lt;P$4,'CRA (Net)'!$AP$10/100,"")</f>
        <v>4.2310705741109844E-2</v>
      </c>
      <c r="K65" s="215">
        <f ca="1">'CRA (Net)'!$AP$12/100</f>
        <v>5.2890173446203503E-2</v>
      </c>
      <c r="L65" s="152"/>
    </row>
    <row r="66" spans="1:27" s="152" customFormat="1" ht="3" customHeight="1" x14ac:dyDescent="0.25">
      <c r="A66" s="154"/>
      <c r="B66" s="151"/>
      <c r="C66" s="151"/>
      <c r="D66" s="216"/>
      <c r="E66" s="217"/>
      <c r="F66" s="217"/>
      <c r="G66" s="217"/>
      <c r="H66" s="217"/>
      <c r="I66" s="217"/>
      <c r="J66" s="217"/>
      <c r="K66" s="166"/>
      <c r="M66" s="150"/>
      <c r="N66" s="150"/>
      <c r="O66" s="150"/>
      <c r="P66" s="150"/>
      <c r="Q66" s="150"/>
      <c r="R66" s="150"/>
      <c r="S66" s="150"/>
      <c r="T66" s="150"/>
      <c r="U66" s="150"/>
      <c r="V66" s="150"/>
      <c r="W66" s="150"/>
      <c r="X66" s="150"/>
      <c r="Y66" s="150"/>
      <c r="Z66" s="150"/>
      <c r="AA66" s="150"/>
    </row>
    <row r="67" spans="1:27" x14ac:dyDescent="0.25">
      <c r="A67" s="152"/>
      <c r="D67" s="152"/>
      <c r="E67" s="152"/>
      <c r="F67" s="152"/>
      <c r="G67" s="152"/>
      <c r="H67" s="152"/>
      <c r="L67" s="152"/>
    </row>
    <row r="68" spans="1:27" x14ac:dyDescent="0.25">
      <c r="A68" s="152"/>
      <c r="D68" s="216" t="s">
        <v>187</v>
      </c>
      <c r="E68" s="217" t="str">
        <f>E4</f>
        <v>4Q25</v>
      </c>
      <c r="F68" s="217" t="str">
        <f t="shared" ref="F68:I68" si="21">F4</f>
        <v>YTD</v>
      </c>
      <c r="G68" s="217" t="str">
        <f t="shared" si="21"/>
        <v>1 Yr</v>
      </c>
      <c r="H68" s="217" t="str">
        <f t="shared" si="21"/>
        <v>3 Yrs</v>
      </c>
      <c r="I68" s="217" t="str">
        <f t="shared" si="21"/>
        <v>5 Yrs</v>
      </c>
      <c r="J68" s="217" t="s">
        <v>409</v>
      </c>
      <c r="K68" s="158" t="s">
        <v>53</v>
      </c>
      <c r="L68" s="152"/>
    </row>
    <row r="69" spans="1:27" x14ac:dyDescent="0.25">
      <c r="A69" s="152"/>
      <c r="D69" s="159" t="s">
        <v>347</v>
      </c>
      <c r="E69" s="160">
        <f>VLOOKUP(MAX('CRA (Gross)'!$B$16:$B$1000),'CRA (Gross)'!$B$16:$AAA$1000,76,FALSE)/100</f>
        <v>0</v>
      </c>
      <c r="F69" s="160">
        <f ca="1">'CRA (Gross)'!BI5/100</f>
        <v>8.4952351105426191E-2</v>
      </c>
      <c r="G69" s="160">
        <f ca="1">IF($N69&lt;M$4,'CRA (Gross)'!$BI$6/100,"")</f>
        <v>8.4952351105426191E-2</v>
      </c>
      <c r="H69" s="160">
        <f ca="1">IF($N69&lt;N$4,'CRA (Gross)'!$BI$8/100,"")</f>
        <v>7.1643687011480051E-2</v>
      </c>
      <c r="I69" s="160">
        <f ca="1">IF($N69&lt;O$4,'CRA (Gross)'!$BI$10/100,"")</f>
        <v>2.5519056356016367E-2</v>
      </c>
      <c r="J69" s="160"/>
      <c r="L69" s="152"/>
      <c r="N69" s="181">
        <v>43921</v>
      </c>
    </row>
    <row r="70" spans="1:27" x14ac:dyDescent="0.25">
      <c r="A70" s="152"/>
      <c r="D70" s="214" t="s">
        <v>348</v>
      </c>
      <c r="E70" s="215">
        <f>VLOOKUP(MAX('CRA (Net)'!$B$16:$B$1000),'CRA (Net)'!$B$16:$AAA$1000,76,FALSE)/100</f>
        <v>0</v>
      </c>
      <c r="F70" s="215">
        <f ca="1">'CRA (Net)'!BI5/100</f>
        <v>7.2623530956299476E-2</v>
      </c>
      <c r="G70" s="215">
        <f ca="1">IF($N69&lt;M$4,'CRA (Net)'!$BI$6/100,"")</f>
        <v>7.2623530956299476E-2</v>
      </c>
      <c r="H70" s="215">
        <f ca="1">IF($N69&lt;N$4,'CRA (Net)'!$BI$8/100,"")</f>
        <v>5.8622373612358114E-2</v>
      </c>
      <c r="I70" s="215" t="e">
        <f>IF($N69&lt;O$4,'CRA (Net)'!$BI$10/100,"")</f>
        <v>#VALUE!</v>
      </c>
      <c r="J70" s="215"/>
      <c r="L70" s="152"/>
    </row>
    <row r="71" spans="1:27" x14ac:dyDescent="0.25">
      <c r="A71" s="152"/>
      <c r="D71" s="159" t="s">
        <v>346</v>
      </c>
      <c r="E71" s="160">
        <f>VLOOKUP(MAX('CRA (Gross)'!$B$16:$B$1000),'CRA (Gross)'!$B$16:$AAA$1000,83,FALSE)/100</f>
        <v>0</v>
      </c>
      <c r="F71" s="160">
        <f ca="1">'CRA (Gross)'!BP5/100</f>
        <v>9.1264915932520729E-2</v>
      </c>
      <c r="G71" s="160">
        <f ca="1">IF($N69&lt;M$4,'CRA (Gross)'!$BP$6/100,"")</f>
        <v>9.1264915932520729E-2</v>
      </c>
      <c r="H71" s="160">
        <f ca="1">IF($N69&lt;M$4,'CRA (Gross)'!$BP$8/100,"")</f>
        <v>7.0694557770939914E-2</v>
      </c>
      <c r="I71" s="160" t="e">
        <f>IF($N69&lt;O$4,'CRA (Net)'!$BP$10/100,"")</f>
        <v>#VALUE!</v>
      </c>
      <c r="J71" s="160"/>
      <c r="L71" s="152"/>
    </row>
    <row r="72" spans="1:27" x14ac:dyDescent="0.25">
      <c r="A72" s="152"/>
      <c r="D72" s="214" t="s">
        <v>378</v>
      </c>
      <c r="E72" s="215">
        <f>VLOOKUP(MAX('CRA (Net)'!$B$16:$B$1000),'CRA (Net)'!$B$16:$AAA$1000,83,FALSE)/100</f>
        <v>0</v>
      </c>
      <c r="F72" s="215">
        <f ca="1">'CRA (Net)'!BP5/100</f>
        <v>7.3490051085449926E-2</v>
      </c>
      <c r="G72" s="215">
        <f ca="1">IF($N69&lt;M$4,'CRA (Net)'!$BP$6/100,"")</f>
        <v>7.3490051085449926E-2</v>
      </c>
      <c r="H72" s="215">
        <f ca="1">IF($N69&lt;M$4,'CRA (Net)'!$BP$8/100,"")</f>
        <v>5.0794941898923529E-2</v>
      </c>
      <c r="I72" s="215"/>
      <c r="J72" s="215"/>
      <c r="L72" s="152"/>
    </row>
    <row r="73" spans="1:27" s="152" customFormat="1" ht="3" customHeight="1" x14ac:dyDescent="0.25">
      <c r="A73" s="154"/>
      <c r="B73" s="151"/>
      <c r="C73" s="151"/>
      <c r="D73" s="216"/>
      <c r="E73" s="217"/>
      <c r="F73" s="217"/>
      <c r="G73" s="217"/>
      <c r="H73" s="217"/>
      <c r="I73" s="217"/>
      <c r="J73" s="217"/>
      <c r="K73" s="166"/>
      <c r="M73" s="150"/>
      <c r="N73" s="150"/>
      <c r="O73" s="150"/>
      <c r="P73" s="150"/>
      <c r="Q73" s="150"/>
      <c r="R73" s="150"/>
      <c r="S73" s="150"/>
      <c r="T73" s="150"/>
      <c r="U73" s="150"/>
      <c r="V73" s="150"/>
      <c r="W73" s="150"/>
      <c r="X73" s="150"/>
      <c r="Y73" s="150"/>
      <c r="Z73" s="150"/>
      <c r="AA73" s="150"/>
    </row>
    <row r="74" spans="1:27" x14ac:dyDescent="0.25">
      <c r="A74" s="152"/>
      <c r="D74" s="152"/>
      <c r="E74" s="152"/>
      <c r="F74" s="152"/>
      <c r="G74" s="152"/>
      <c r="H74" s="152"/>
      <c r="L74" s="152"/>
    </row>
    <row r="75" spans="1:27" x14ac:dyDescent="0.25">
      <c r="A75" s="152"/>
      <c r="D75" s="152"/>
      <c r="E75" s="152"/>
      <c r="F75" s="152"/>
      <c r="G75" s="152"/>
      <c r="H75" s="152"/>
      <c r="L75" s="152"/>
    </row>
    <row r="76" spans="1:27" x14ac:dyDescent="0.25">
      <c r="A76" s="152"/>
      <c r="D76" s="305" t="s">
        <v>351</v>
      </c>
      <c r="E76" s="152"/>
      <c r="F76" s="152"/>
      <c r="G76" s="152"/>
      <c r="H76" s="152"/>
      <c r="L76" s="152"/>
    </row>
    <row r="77" spans="1:27" x14ac:dyDescent="0.25">
      <c r="D77" s="216" t="s">
        <v>359</v>
      </c>
      <c r="E77" s="307" t="s">
        <v>358</v>
      </c>
      <c r="F77" s="307" t="s">
        <v>7</v>
      </c>
      <c r="G77" s="307" t="s">
        <v>346</v>
      </c>
    </row>
    <row r="78" spans="1:27" x14ac:dyDescent="0.25">
      <c r="D78" s="159" t="s">
        <v>352</v>
      </c>
      <c r="E78" s="310">
        <v>69.3</v>
      </c>
      <c r="F78" s="160"/>
      <c r="G78" s="160" t="s">
        <v>360</v>
      </c>
    </row>
    <row r="79" spans="1:27" x14ac:dyDescent="0.25">
      <c r="D79" s="214" t="s">
        <v>363</v>
      </c>
      <c r="E79" s="309">
        <v>0.79</v>
      </c>
      <c r="F79" s="215"/>
      <c r="G79" s="215" t="s">
        <v>360</v>
      </c>
    </row>
    <row r="80" spans="1:27" x14ac:dyDescent="0.25">
      <c r="D80" s="159" t="s">
        <v>353</v>
      </c>
      <c r="E80" s="178">
        <f ca="1">'CRA (Gross)'!K8</f>
        <v>0.87008502840176827</v>
      </c>
      <c r="F80" s="160"/>
      <c r="G80" s="178">
        <v>1</v>
      </c>
    </row>
    <row r="81" spans="4:7" x14ac:dyDescent="0.25">
      <c r="D81" s="214" t="s">
        <v>354</v>
      </c>
      <c r="E81" s="308">
        <f ca="1">'CRA (Gross)'!M8/100</f>
        <v>0.1065222598850856</v>
      </c>
      <c r="F81" s="215"/>
      <c r="G81" s="308">
        <f ca="1">'CRA (Gross)'!S8/100</f>
        <v>0.10981076619506812</v>
      </c>
    </row>
    <row r="82" spans="4:7" ht="11.25" customHeight="1" x14ac:dyDescent="0.25">
      <c r="D82" s="306" t="s">
        <v>355</v>
      </c>
    </row>
    <row r="83" spans="4:7" ht="11.25" customHeight="1" x14ac:dyDescent="0.25">
      <c r="D83" s="306"/>
    </row>
    <row r="85" spans="4:7" x14ac:dyDescent="0.25">
      <c r="D85" s="305" t="s">
        <v>356</v>
      </c>
      <c r="E85" s="152"/>
      <c r="F85" s="152"/>
      <c r="G85" s="152"/>
    </row>
    <row r="86" spans="4:7" x14ac:dyDescent="0.25">
      <c r="D86" s="216" t="s">
        <v>359</v>
      </c>
      <c r="E86" s="307" t="s">
        <v>358</v>
      </c>
      <c r="F86" s="307" t="s">
        <v>7</v>
      </c>
      <c r="G86" s="307" t="s">
        <v>346</v>
      </c>
    </row>
    <row r="87" spans="4:7" x14ac:dyDescent="0.25">
      <c r="D87" s="159" t="s">
        <v>352</v>
      </c>
      <c r="E87" s="310">
        <v>153.4</v>
      </c>
      <c r="F87" s="160"/>
      <c r="G87" s="160" t="s">
        <v>360</v>
      </c>
    </row>
    <row r="88" spans="4:7" x14ac:dyDescent="0.25">
      <c r="D88" s="214" t="s">
        <v>363</v>
      </c>
      <c r="E88" s="309">
        <v>0.52</v>
      </c>
      <c r="F88" s="215"/>
      <c r="G88" s="215" t="s">
        <v>360</v>
      </c>
    </row>
    <row r="89" spans="4:7" x14ac:dyDescent="0.25">
      <c r="D89" s="159" t="s">
        <v>353</v>
      </c>
      <c r="E89" s="178">
        <f ca="1">'CRA (Gross)'!AK8</f>
        <v>0.92980811024706878</v>
      </c>
      <c r="F89" s="160"/>
      <c r="G89" s="178">
        <v>1</v>
      </c>
    </row>
    <row r="90" spans="4:7" x14ac:dyDescent="0.25">
      <c r="D90" s="214" t="s">
        <v>354</v>
      </c>
      <c r="E90" s="308">
        <f ca="1">'CRA (Gross)'!AM8/100</f>
        <v>8.537020393108273E-2</v>
      </c>
      <c r="F90" s="215"/>
      <c r="G90" s="308">
        <f ca="1">'CRA (Gross)'!AS8/100</f>
        <v>8.4268270466961587E-2</v>
      </c>
    </row>
    <row r="91" spans="4:7" ht="11.25" customHeight="1" x14ac:dyDescent="0.25">
      <c r="D91" s="306" t="s">
        <v>355</v>
      </c>
    </row>
    <row r="92" spans="4:7" ht="11.25" customHeight="1" x14ac:dyDescent="0.25">
      <c r="D92" s="306"/>
    </row>
    <row r="94" spans="4:7" x14ac:dyDescent="0.25">
      <c r="D94" s="305" t="s">
        <v>357</v>
      </c>
      <c r="E94" s="152"/>
      <c r="F94" s="152"/>
      <c r="G94" s="152"/>
    </row>
    <row r="95" spans="4:7" x14ac:dyDescent="0.25">
      <c r="D95" s="216" t="s">
        <v>359</v>
      </c>
      <c r="E95" s="307" t="s">
        <v>358</v>
      </c>
      <c r="F95" s="307" t="s">
        <v>7</v>
      </c>
      <c r="G95" s="307" t="s">
        <v>346</v>
      </c>
    </row>
    <row r="96" spans="4:7" x14ac:dyDescent="0.25">
      <c r="D96" s="159" t="s">
        <v>352</v>
      </c>
      <c r="E96" s="160"/>
      <c r="F96" s="160"/>
      <c r="G96" s="160" t="s">
        <v>360</v>
      </c>
    </row>
    <row r="97" spans="1:27" x14ac:dyDescent="0.25">
      <c r="D97" s="214" t="s">
        <v>363</v>
      </c>
      <c r="E97" s="309">
        <v>0.15</v>
      </c>
      <c r="F97" s="215"/>
      <c r="G97" s="215" t="s">
        <v>360</v>
      </c>
    </row>
    <row r="98" spans="1:27" x14ac:dyDescent="0.25">
      <c r="D98" s="159" t="s">
        <v>361</v>
      </c>
      <c r="E98" s="178">
        <f ca="1">'CRA (Gross)'!BK8</f>
        <v>0.85731556700733413</v>
      </c>
      <c r="F98" s="160"/>
      <c r="G98" s="178">
        <v>1</v>
      </c>
    </row>
    <row r="99" spans="1:27" x14ac:dyDescent="0.25">
      <c r="D99" s="214" t="s">
        <v>354</v>
      </c>
      <c r="E99" s="215"/>
      <c r="F99" s="215"/>
      <c r="G99" s="215"/>
    </row>
    <row r="100" spans="1:27" ht="11.25" customHeight="1" x14ac:dyDescent="0.25">
      <c r="D100" s="306" t="s">
        <v>362</v>
      </c>
    </row>
    <row r="101" spans="1:27" ht="11.25" customHeight="1" x14ac:dyDescent="0.25">
      <c r="D101" s="306"/>
    </row>
    <row r="102" spans="1:27" x14ac:dyDescent="0.25">
      <c r="D102" s="216" t="s">
        <v>187</v>
      </c>
      <c r="E102" s="217" t="str">
        <f>E4</f>
        <v>4Q25</v>
      </c>
      <c r="F102" s="217" t="str">
        <f>F4</f>
        <v>YTD</v>
      </c>
      <c r="G102" s="217" t="str">
        <f>G4</f>
        <v>1 Yr</v>
      </c>
      <c r="H102" s="217" t="str">
        <f>H4</f>
        <v>3 Yrs</v>
      </c>
      <c r="I102" s="217" t="str">
        <f>I4</f>
        <v>5 Yrs</v>
      </c>
      <c r="J102" s="217"/>
    </row>
    <row r="103" spans="1:27" x14ac:dyDescent="0.25">
      <c r="D103" s="159" t="s">
        <v>406</v>
      </c>
      <c r="E103" s="160">
        <f>VLOOKUP(MAX(LCC!$B$17:$B$1000),LCC!$B$17:$AAG$1000,6,FALSE)/100</f>
        <v>4.8174890713754914E-2</v>
      </c>
      <c r="F103" s="160"/>
      <c r="G103" s="160">
        <f ca="1">IF($N103&lt;M$4,LCC!$D$6/100,"")</f>
        <v>0.18447396743197905</v>
      </c>
      <c r="H103" s="160" t="str">
        <f>IF($N103&lt;N$4,'CRA (Gross)'!$AI$8/100,"")</f>
        <v/>
      </c>
      <c r="I103" s="160" t="str">
        <f>IF($N103&lt;O$4,'CRA (Gross)'!$AI$10/100,"")</f>
        <v/>
      </c>
      <c r="J103" s="160"/>
      <c r="N103" s="181">
        <v>45016</v>
      </c>
    </row>
    <row r="104" spans="1:27" x14ac:dyDescent="0.25">
      <c r="D104" s="214" t="s">
        <v>408</v>
      </c>
      <c r="E104" s="215">
        <f>VLOOKUP(MAX(LCC!$K$17:$K$1000),LCC!$K$17:$AAG$1000,6,FALSE)/100</f>
        <v>4.5983673793385194E-2</v>
      </c>
      <c r="F104" s="215"/>
      <c r="G104" s="215">
        <f ca="1">IF($N103&lt;M$4,LCC!$M$6/100,"")</f>
        <v>0.17458018192703009</v>
      </c>
      <c r="H104" s="215"/>
      <c r="I104" s="215"/>
      <c r="J104" s="215"/>
      <c r="N104" s="181"/>
    </row>
    <row r="105" spans="1:27" x14ac:dyDescent="0.25">
      <c r="D105" s="159" t="s">
        <v>419</v>
      </c>
      <c r="E105" s="160">
        <f>VLOOKUP(MAX(LCC!$B$17:$B$1000),LCC!$B$17:$AAG$1000,22,FALSE)/100</f>
        <v>2.652933514688427E-2</v>
      </c>
      <c r="F105" s="160"/>
      <c r="G105" s="160">
        <f ca="1">IF($N103&lt;M$4,LCC!$T$6/100,"")</f>
        <v>0.17859983918730182</v>
      </c>
      <c r="H105" s="160" t="str">
        <f>IF($N103&lt;N$4,'CRA (Gross)'!$AP$8/100,"")</f>
        <v/>
      </c>
      <c r="I105" s="160" t="str">
        <f>IF($N103&lt;O$4,'CRA (Gross)'!$AP$10/100,"")</f>
        <v/>
      </c>
      <c r="J105" s="160"/>
    </row>
    <row r="106" spans="1:27" s="152" customFormat="1" ht="3" customHeight="1" x14ac:dyDescent="0.25">
      <c r="A106" s="154"/>
      <c r="B106" s="151"/>
      <c r="C106" s="151"/>
      <c r="D106" s="216"/>
      <c r="E106" s="217"/>
      <c r="F106" s="217"/>
      <c r="G106" s="217"/>
      <c r="H106" s="217"/>
      <c r="I106" s="217"/>
      <c r="J106" s="217"/>
      <c r="K106" s="166"/>
      <c r="M106" s="150"/>
      <c r="N106" s="150"/>
      <c r="O106" s="150"/>
      <c r="P106" s="150"/>
      <c r="Q106" s="150"/>
      <c r="R106" s="150"/>
      <c r="S106" s="150"/>
      <c r="T106" s="150"/>
      <c r="U106" s="150"/>
      <c r="V106" s="150"/>
      <c r="W106" s="150"/>
      <c r="X106" s="150"/>
      <c r="Y106" s="150"/>
      <c r="Z106" s="150"/>
      <c r="AA106" s="150"/>
    </row>
  </sheetData>
  <pageMargins left="0.7" right="0.7" top="0.75" bottom="0.75" header="0.3" footer="0.3"/>
  <ignoredErrors>
    <ignoredError sqref="J55"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FA12F-F9BC-4C35-91A6-236AF9170DA7}">
  <sheetPr codeName="Sheet26">
    <tabColor theme="4" tint="-0.499984740745262"/>
  </sheetPr>
  <dimension ref="A1:Q92"/>
  <sheetViews>
    <sheetView topLeftCell="A20" zoomScaleNormal="100" workbookViewId="0">
      <selection activeCell="G40" sqref="G40"/>
    </sheetView>
  </sheetViews>
  <sheetFormatPr defaultColWidth="8.625" defaultRowHeight="15.75" x14ac:dyDescent="0.25"/>
  <cols>
    <col min="1" max="2" width="9" style="196"/>
    <col min="3" max="3" width="21.125" bestFit="1" customWidth="1"/>
    <col min="5" max="5" width="9" customWidth="1"/>
    <col min="9" max="10" width="9" style="196"/>
  </cols>
  <sheetData>
    <row r="1" spans="1:17" s="196" customFormat="1" ht="58.5" customHeight="1" x14ac:dyDescent="0.25">
      <c r="B1" s="196" t="s">
        <v>281</v>
      </c>
    </row>
    <row r="2" spans="1:17" ht="42.75" customHeight="1" x14ac:dyDescent="0.25">
      <c r="C2" s="198" t="s">
        <v>282</v>
      </c>
      <c r="D2" s="199" t="str">
        <f>'Quarterly Perf Update Table'!E4</f>
        <v>4Q25</v>
      </c>
      <c r="E2" s="199" t="str">
        <f>'Quarterly Perf Update Table'!F4</f>
        <v>YTD</v>
      </c>
      <c r="F2" s="199" t="str">
        <f>'Quarterly Perf Update Table'!G4</f>
        <v>1 Yr</v>
      </c>
      <c r="G2" s="211" t="str">
        <f>'Quarterly Perf Update Table'!H4</f>
        <v>3 Yrs</v>
      </c>
      <c r="H2" s="204" t="str">
        <f>'Quarterly Perf Update Table'!I4</f>
        <v>5 Yrs</v>
      </c>
      <c r="L2" s="328" t="s">
        <v>283</v>
      </c>
      <c r="M2" s="328"/>
      <c r="N2" s="328"/>
      <c r="O2" s="328"/>
      <c r="P2" s="328"/>
      <c r="Q2" s="328"/>
    </row>
    <row r="3" spans="1:17" x14ac:dyDescent="0.25">
      <c r="C3" s="194" t="s">
        <v>284</v>
      </c>
      <c r="D3" s="200">
        <f>'Quarterly Perf Update Table'!E5</f>
        <v>3.6945085115160703E-2</v>
      </c>
      <c r="E3" s="200">
        <f ca="1">'Quarterly Perf Update Table'!F5</f>
        <v>9.8795519258839656E-2</v>
      </c>
      <c r="F3" s="200">
        <f ca="1">'Quarterly Perf Update Table'!G5</f>
        <v>9.8795519258839656E-2</v>
      </c>
      <c r="G3" s="212">
        <f ca="1">'Quarterly Perf Update Table'!H5</f>
        <v>0.1363960941573219</v>
      </c>
      <c r="H3" s="205">
        <f ca="1">'Quarterly Perf Update Table'!I5</f>
        <v>9.084744023186575E-2</v>
      </c>
      <c r="L3" s="328"/>
      <c r="M3" s="328"/>
      <c r="N3" s="328"/>
      <c r="O3" s="328"/>
      <c r="P3" s="328"/>
      <c r="Q3" s="328"/>
    </row>
    <row r="4" spans="1:17" x14ac:dyDescent="0.25">
      <c r="C4" s="195" t="s">
        <v>15</v>
      </c>
      <c r="D4" s="201">
        <f>'Quarterly Perf Update Table'!E8</f>
        <v>2.6529335146884492E-2</v>
      </c>
      <c r="E4" s="201">
        <f ca="1">'Quarterly Perf Update Table'!F8</f>
        <v>0.17859983918730182</v>
      </c>
      <c r="F4" s="201">
        <f ca="1">'Quarterly Perf Update Table'!G8</f>
        <v>0.17859983918730182</v>
      </c>
      <c r="G4" s="208">
        <f ca="1">'Quarterly Perf Update Table'!H8</f>
        <v>0.22982388961227262</v>
      </c>
      <c r="H4" s="201">
        <f ca="1">'Quarterly Perf Update Table'!I8</f>
        <v>0.14400235643986581</v>
      </c>
      <c r="L4" s="328"/>
      <c r="M4" s="328"/>
      <c r="N4" s="328"/>
      <c r="O4" s="328"/>
      <c r="P4" s="328"/>
      <c r="Q4" s="328"/>
    </row>
    <row r="5" spans="1:17" x14ac:dyDescent="0.25">
      <c r="C5" s="194" t="s">
        <v>373</v>
      </c>
      <c r="D5" s="202">
        <f>'Quarterly Perf Update Table'!E7</f>
        <v>-2.1895461692310048E-2</v>
      </c>
      <c r="E5" s="202">
        <f ca="1">'Quarterly Perf Update Table'!F7</f>
        <v>4.3575278943008167E-2</v>
      </c>
      <c r="F5" s="202">
        <f ca="1">'Quarterly Perf Update Table'!G7</f>
        <v>4.3575278943008167E-2</v>
      </c>
      <c r="G5" s="209">
        <f ca="1">'Quarterly Perf Update Table'!H7</f>
        <v>6.2917987717670432E-2</v>
      </c>
      <c r="H5" s="202">
        <f ca="1">'Quarterly Perf Update Table'!I7</f>
        <v>7.3495830452092736E-2</v>
      </c>
      <c r="L5" s="328"/>
      <c r="M5" s="328"/>
      <c r="N5" s="328"/>
      <c r="O5" s="328"/>
      <c r="P5" s="328"/>
      <c r="Q5" s="328"/>
    </row>
    <row r="6" spans="1:17" x14ac:dyDescent="0.25">
      <c r="C6" s="195" t="s">
        <v>285</v>
      </c>
      <c r="D6" s="201">
        <f>'Quarterly Perf Update Table'!E6</f>
        <v>3.5021436153867214E-2</v>
      </c>
      <c r="E6" s="203">
        <f ca="1">'Quarterly Perf Update Table'!F6</f>
        <v>9.0771338005631433E-2</v>
      </c>
      <c r="F6" s="203">
        <f ca="1">'Quarterly Perf Update Table'!G6</f>
        <v>9.0771338005631433E-2</v>
      </c>
      <c r="G6" s="210">
        <f ca="1">'Quarterly Perf Update Table'!H6</f>
        <v>0.12883268435796258</v>
      </c>
      <c r="H6" s="203">
        <f ca="1">'Quarterly Perf Update Table'!I6</f>
        <v>8.3141642632519788E-2</v>
      </c>
      <c r="L6" s="328"/>
      <c r="M6" s="328"/>
      <c r="N6" s="328"/>
      <c r="O6" s="328"/>
      <c r="P6" s="328"/>
      <c r="Q6" s="328"/>
    </row>
    <row r="7" spans="1:17" x14ac:dyDescent="0.25">
      <c r="C7" s="196"/>
      <c r="D7" s="196"/>
      <c r="E7" s="196"/>
      <c r="F7" s="196"/>
      <c r="G7" s="196"/>
      <c r="H7" s="196"/>
    </row>
    <row r="8" spans="1:17" x14ac:dyDescent="0.25">
      <c r="C8" s="196"/>
      <c r="D8" s="196"/>
      <c r="E8" s="196"/>
      <c r="F8" s="196"/>
      <c r="G8" s="196"/>
      <c r="H8" s="196"/>
    </row>
    <row r="9" spans="1:17" x14ac:dyDescent="0.25">
      <c r="C9" s="196"/>
      <c r="D9" s="196"/>
      <c r="E9" s="196"/>
      <c r="F9" s="196"/>
      <c r="G9" s="196"/>
      <c r="H9" s="196"/>
    </row>
    <row r="10" spans="1:17" x14ac:dyDescent="0.25">
      <c r="C10" s="196"/>
      <c r="D10" s="196"/>
      <c r="E10" s="196"/>
      <c r="F10" s="196"/>
      <c r="G10" s="196"/>
      <c r="H10" s="196"/>
    </row>
    <row r="11" spans="1:17" x14ac:dyDescent="0.25">
      <c r="C11" s="196"/>
      <c r="D11" s="196"/>
      <c r="E11" s="196"/>
      <c r="F11" s="196"/>
      <c r="G11" s="196"/>
      <c r="H11" s="196"/>
    </row>
    <row r="12" spans="1:17" s="3" customFormat="1" x14ac:dyDescent="0.25">
      <c r="A12" s="197"/>
      <c r="B12" s="197" t="s">
        <v>286</v>
      </c>
      <c r="C12" s="197"/>
      <c r="D12" s="197"/>
      <c r="E12" s="197"/>
      <c r="F12" s="197"/>
      <c r="G12" s="197"/>
      <c r="H12" s="197"/>
      <c r="I12" s="197"/>
      <c r="J12" s="197"/>
    </row>
    <row r="13" spans="1:17" ht="42.75" customHeight="1" x14ac:dyDescent="0.25">
      <c r="C13" s="198" t="s">
        <v>282</v>
      </c>
      <c r="D13" s="206" t="str">
        <f>D2</f>
        <v>4Q25</v>
      </c>
      <c r="E13" s="206" t="str">
        <f t="shared" ref="E13:H13" si="0">E2</f>
        <v>YTD</v>
      </c>
      <c r="F13" s="206" t="str">
        <f t="shared" si="0"/>
        <v>1 Yr</v>
      </c>
      <c r="G13" s="206" t="str">
        <f t="shared" si="0"/>
        <v>3 Yrs</v>
      </c>
      <c r="H13" s="206" t="str">
        <f t="shared" si="0"/>
        <v>5 Yrs</v>
      </c>
      <c r="L13" s="328" t="s">
        <v>283</v>
      </c>
      <c r="M13" s="328"/>
      <c r="N13" s="328"/>
      <c r="O13" s="328"/>
      <c r="P13" s="328"/>
      <c r="Q13" s="328"/>
    </row>
    <row r="14" spans="1:17" x14ac:dyDescent="0.25">
      <c r="C14" s="194" t="s">
        <v>284</v>
      </c>
      <c r="D14" s="207">
        <f>'Quarterly Perf Update Table'!E10</f>
        <v>0</v>
      </c>
      <c r="E14" s="200" t="e">
        <f ca="1">'Quarterly Perf Update Table'!F10</f>
        <v>#VALUE!</v>
      </c>
      <c r="F14" s="207">
        <f ca="1">'Quarterly Perf Update Table'!G10</f>
        <v>0</v>
      </c>
      <c r="G14" s="200">
        <f ca="1">'Quarterly Perf Update Table'!H10</f>
        <v>4.0159714493863685E-3</v>
      </c>
      <c r="H14" s="205">
        <f ca="1">'Quarterly Perf Update Table'!I10</f>
        <v>1.5306950300881583E-2</v>
      </c>
      <c r="L14" s="328"/>
      <c r="M14" s="328"/>
      <c r="N14" s="328"/>
      <c r="O14" s="328"/>
      <c r="P14" s="328"/>
      <c r="Q14" s="328"/>
    </row>
    <row r="15" spans="1:17" x14ac:dyDescent="0.25">
      <c r="C15" s="195" t="s">
        <v>264</v>
      </c>
      <c r="D15" s="208">
        <f>'Quarterly Perf Update Table'!E13</f>
        <v>3.2863005716283755E-3</v>
      </c>
      <c r="E15" s="201" t="e">
        <f ca="1">'Quarterly Perf Update Table'!F13</f>
        <v>#VALUE!</v>
      </c>
      <c r="F15" s="208">
        <f ca="1">'Quarterly Perf Update Table'!G13</f>
        <v>0.1152690924963682</v>
      </c>
      <c r="G15" s="201">
        <f ca="1">'Quarterly Perf Update Table'!H13</f>
        <v>1.2125139595128509E-2</v>
      </c>
      <c r="H15" s="201">
        <f ca="1">'Quarterly Perf Update Table'!I13</f>
        <v>7.375628675682866E-2</v>
      </c>
      <c r="L15" s="328"/>
      <c r="M15" s="328"/>
      <c r="N15" s="328"/>
      <c r="O15" s="328"/>
      <c r="P15" s="328"/>
      <c r="Q15" s="328"/>
    </row>
    <row r="16" spans="1:17" x14ac:dyDescent="0.25">
      <c r="C16" s="194" t="s">
        <v>374</v>
      </c>
      <c r="D16" s="209">
        <f>'Quarterly Perf Update Table'!E12</f>
        <v>0</v>
      </c>
      <c r="E16" s="202" t="e">
        <f ca="1">'Quarterly Perf Update Table'!F12</f>
        <v>#VALUE!</v>
      </c>
      <c r="F16" s="209">
        <f ca="1">'Quarterly Perf Update Table'!G12</f>
        <v>0</v>
      </c>
      <c r="G16" s="202">
        <f ca="1">'Quarterly Perf Update Table'!H12</f>
        <v>-3.533710676135482E-2</v>
      </c>
      <c r="H16" s="202">
        <f ca="1">'Quarterly Perf Update Table'!I12</f>
        <v>-7.1010816884871097E-3</v>
      </c>
      <c r="L16" s="328"/>
      <c r="M16" s="328"/>
      <c r="N16" s="328"/>
      <c r="O16" s="328"/>
      <c r="P16" s="328"/>
      <c r="Q16" s="328"/>
    </row>
    <row r="17" spans="1:17" x14ac:dyDescent="0.25">
      <c r="C17" s="195" t="s">
        <v>285</v>
      </c>
      <c r="D17" s="208">
        <f>'Quarterly Perf Update Table'!E11</f>
        <v>0</v>
      </c>
      <c r="E17" s="203" t="e">
        <f ca="1">'Quarterly Perf Update Table'!F11</f>
        <v>#VALUE!</v>
      </c>
      <c r="F17" s="210">
        <f ca="1">'Quarterly Perf Update Table'!G11</f>
        <v>9.3104535382370054E-2</v>
      </c>
      <c r="G17" s="203">
        <f ca="1">'Quarterly Perf Update Table'!H11</f>
        <v>3.1475281177401282E-2</v>
      </c>
      <c r="H17" s="203">
        <f ca="1">'Quarterly Perf Update Table'!I11</f>
        <v>2.2299238226671125E-2</v>
      </c>
      <c r="L17" s="328"/>
      <c r="M17" s="328"/>
      <c r="N17" s="328"/>
      <c r="O17" s="328"/>
      <c r="P17" s="328"/>
      <c r="Q17" s="328"/>
    </row>
    <row r="18" spans="1:17" x14ac:dyDescent="0.25">
      <c r="C18" s="196"/>
      <c r="D18" s="196"/>
      <c r="E18" s="196"/>
      <c r="F18" s="196"/>
      <c r="G18" s="196"/>
      <c r="H18" s="196"/>
    </row>
    <row r="19" spans="1:17" x14ac:dyDescent="0.25">
      <c r="C19" s="196"/>
      <c r="D19" s="196"/>
      <c r="E19" s="196"/>
      <c r="F19" s="196"/>
      <c r="G19" s="196"/>
      <c r="H19" s="196"/>
    </row>
    <row r="20" spans="1:17" x14ac:dyDescent="0.25">
      <c r="C20" s="196"/>
      <c r="D20" s="196"/>
      <c r="E20" s="196"/>
      <c r="F20" s="196"/>
      <c r="G20" s="196"/>
      <c r="H20" s="196"/>
    </row>
    <row r="21" spans="1:17" x14ac:dyDescent="0.25">
      <c r="C21" s="196"/>
      <c r="D21" s="196"/>
      <c r="E21" s="196"/>
      <c r="F21" s="196"/>
      <c r="G21" s="196"/>
      <c r="H21" s="196"/>
    </row>
    <row r="22" spans="1:17" x14ac:dyDescent="0.25">
      <c r="B22" s="196" t="s">
        <v>287</v>
      </c>
      <c r="C22" s="196"/>
      <c r="D22" s="196"/>
      <c r="E22" s="196"/>
      <c r="F22" s="196"/>
      <c r="G22" s="196"/>
      <c r="H22" s="196"/>
    </row>
    <row r="23" spans="1:17" ht="42.75" customHeight="1" x14ac:dyDescent="0.25">
      <c r="C23" s="198" t="s">
        <v>282</v>
      </c>
      <c r="D23" s="199" t="str">
        <f>D13</f>
        <v>4Q25</v>
      </c>
      <c r="E23" s="199" t="str">
        <f t="shared" ref="E23:H23" si="1">E13</f>
        <v>YTD</v>
      </c>
      <c r="F23" s="199" t="str">
        <f t="shared" si="1"/>
        <v>1 Yr</v>
      </c>
      <c r="G23" s="211" t="str">
        <f t="shared" si="1"/>
        <v>3 Yrs</v>
      </c>
      <c r="H23" s="204" t="str">
        <f t="shared" si="1"/>
        <v>5 Yrs</v>
      </c>
      <c r="L23" s="328" t="s">
        <v>283</v>
      </c>
      <c r="M23" s="328"/>
      <c r="N23" s="328"/>
      <c r="O23" s="328"/>
      <c r="P23" s="328"/>
      <c r="Q23" s="328"/>
    </row>
    <row r="24" spans="1:17" x14ac:dyDescent="0.25">
      <c r="C24" s="194" t="s">
        <v>284</v>
      </c>
      <c r="D24" s="200">
        <f>'Quarterly Perf Update Table'!E20</f>
        <v>1.48682499891859E-2</v>
      </c>
      <c r="E24" s="200">
        <f ca="1">'Quarterly Perf Update Table'!F20</f>
        <v>0.12659470144866081</v>
      </c>
      <c r="F24" s="200">
        <f ca="1">'Quarterly Perf Update Table'!G20</f>
        <v>0.12659470144866081</v>
      </c>
      <c r="G24" s="212">
        <f ca="1">'Quarterly Perf Update Table'!H20</f>
        <v>0.12376696040335823</v>
      </c>
      <c r="H24" s="205">
        <f ca="1">'Quarterly Perf Update Table'!I20</f>
        <v>7.7968754742904656E-2</v>
      </c>
      <c r="L24" s="328"/>
      <c r="M24" s="328"/>
      <c r="N24" s="328"/>
      <c r="O24" s="328"/>
      <c r="P24" s="328"/>
      <c r="Q24" s="328"/>
    </row>
    <row r="25" spans="1:17" x14ac:dyDescent="0.25">
      <c r="C25" s="195" t="s">
        <v>288</v>
      </c>
      <c r="D25" s="201">
        <f>'Quarterly Perf Update Table'!E23</f>
        <v>3.3691709372664969E-2</v>
      </c>
      <c r="E25" s="201">
        <f ca="1">'Quarterly Perf Update Table'!F23</f>
        <v>0.2289259672597963</v>
      </c>
      <c r="F25" s="201">
        <f ca="1">'Quarterly Perf Update Table'!G23</f>
        <v>0.2289259672597963</v>
      </c>
      <c r="G25" s="208">
        <f ca="1">'Quarterly Perf Update Table'!H23</f>
        <v>0.21210630310269774</v>
      </c>
      <c r="H25" s="201">
        <f ca="1">'Quarterly Perf Update Table'!I23</f>
        <v>0.11708135953882426</v>
      </c>
      <c r="L25" s="328"/>
      <c r="M25" s="328"/>
      <c r="N25" s="328"/>
      <c r="O25" s="328"/>
      <c r="P25" s="328"/>
      <c r="Q25" s="328"/>
    </row>
    <row r="26" spans="1:17" x14ac:dyDescent="0.25">
      <c r="C26" s="194" t="s">
        <v>375</v>
      </c>
      <c r="D26" s="202">
        <f>'Quarterly Perf Update Table'!E22</f>
        <v>2.2662250889486923E-3</v>
      </c>
      <c r="E26" s="202">
        <f ca="1">'Quarterly Perf Update Table'!F22</f>
        <v>0.11218931323398218</v>
      </c>
      <c r="F26" s="202">
        <f ca="1">'Quarterly Perf Update Table'!G22</f>
        <v>0.11218931323398218</v>
      </c>
      <c r="G26" s="209">
        <f ca="1">'Quarterly Perf Update Table'!H22</f>
        <v>0.10470772286509655</v>
      </c>
      <c r="H26" s="202">
        <f ca="1">'Quarterly Perf Update Table'!I22</f>
        <v>6.8376475718262997E-2</v>
      </c>
      <c r="L26" s="328"/>
      <c r="M26" s="328"/>
      <c r="N26" s="328"/>
      <c r="O26" s="328"/>
      <c r="P26" s="328"/>
      <c r="Q26" s="328"/>
    </row>
    <row r="27" spans="1:17" x14ac:dyDescent="0.25">
      <c r="C27" s="195" t="s">
        <v>285</v>
      </c>
      <c r="D27" s="201">
        <f>'Quarterly Perf Update Table'!E21</f>
        <v>1.2748518021145738E-2</v>
      </c>
      <c r="E27" s="203">
        <f ca="1">'Quarterly Perf Update Table'!F21</f>
        <v>0.11725899385235161</v>
      </c>
      <c r="F27" s="203">
        <f ca="1">'Quarterly Perf Update Table'!G21</f>
        <v>0.11725899385235161</v>
      </c>
      <c r="G27" s="210">
        <f ca="1">'Quarterly Perf Update Table'!H21</f>
        <v>0.11445626091994221</v>
      </c>
      <c r="H27" s="203">
        <f ca="1">'Quarterly Perf Update Table'!I21</f>
        <v>6.9026703164352332E-2</v>
      </c>
      <c r="L27" s="328"/>
      <c r="M27" s="328"/>
      <c r="N27" s="328"/>
      <c r="O27" s="328"/>
      <c r="P27" s="328"/>
      <c r="Q27" s="328"/>
    </row>
    <row r="28" spans="1:17" x14ac:dyDescent="0.25">
      <c r="C28" s="196"/>
      <c r="D28" s="196"/>
      <c r="E28" s="196"/>
      <c r="F28" s="196"/>
      <c r="G28" s="196"/>
      <c r="H28" s="196"/>
    </row>
    <row r="29" spans="1:17" x14ac:dyDescent="0.25">
      <c r="C29" s="196"/>
      <c r="D29" s="196"/>
      <c r="E29" s="196"/>
      <c r="F29" s="196"/>
      <c r="G29" s="196"/>
      <c r="H29" s="196"/>
    </row>
    <row r="30" spans="1:17" x14ac:dyDescent="0.25">
      <c r="C30" s="196"/>
      <c r="D30" s="196"/>
      <c r="E30" s="196"/>
      <c r="F30" s="196"/>
      <c r="G30" s="196"/>
      <c r="H30" s="196"/>
    </row>
    <row r="31" spans="1:17" ht="42.75" customHeight="1" x14ac:dyDescent="0.25">
      <c r="A31"/>
      <c r="B31"/>
      <c r="I31"/>
      <c r="J31"/>
    </row>
    <row r="32" spans="1:17" x14ac:dyDescent="0.25">
      <c r="A32"/>
      <c r="B32"/>
      <c r="I32"/>
      <c r="J32"/>
    </row>
    <row r="33" spans="1:17" x14ac:dyDescent="0.25">
      <c r="A33"/>
      <c r="B33"/>
      <c r="I33"/>
      <c r="J33"/>
    </row>
    <row r="34" spans="1:17" x14ac:dyDescent="0.25">
      <c r="A34"/>
      <c r="B34"/>
      <c r="I34"/>
      <c r="J34"/>
    </row>
    <row r="35" spans="1:17" x14ac:dyDescent="0.25">
      <c r="A35"/>
      <c r="B35"/>
      <c r="I35"/>
      <c r="J35"/>
    </row>
    <row r="36" spans="1:17" x14ac:dyDescent="0.25">
      <c r="A36"/>
      <c r="B36"/>
      <c r="I36"/>
      <c r="J36"/>
    </row>
    <row r="37" spans="1:17" x14ac:dyDescent="0.25">
      <c r="B37" s="196" t="s">
        <v>340</v>
      </c>
      <c r="C37" s="196"/>
      <c r="D37" s="196"/>
      <c r="E37" s="196"/>
      <c r="F37" s="196"/>
      <c r="G37" s="196"/>
      <c r="H37" s="196"/>
    </row>
    <row r="38" spans="1:17" ht="42.75" customHeight="1" x14ac:dyDescent="0.25">
      <c r="C38" s="198" t="s">
        <v>282</v>
      </c>
      <c r="D38" s="199" t="str">
        <f>D23</f>
        <v>4Q25</v>
      </c>
      <c r="E38" s="199" t="str">
        <f>E23</f>
        <v>YTD</v>
      </c>
      <c r="F38" s="199" t="str">
        <f>F23</f>
        <v>1 Yr</v>
      </c>
      <c r="G38" s="211" t="str">
        <f>G23</f>
        <v>3 Yrs</v>
      </c>
      <c r="H38" s="204" t="str">
        <f>H23</f>
        <v>5 Yrs</v>
      </c>
      <c r="L38" s="328" t="s">
        <v>283</v>
      </c>
      <c r="M38" s="328"/>
      <c r="N38" s="328"/>
      <c r="O38" s="328"/>
      <c r="P38" s="328"/>
      <c r="Q38" s="328"/>
    </row>
    <row r="39" spans="1:17" ht="16.350000000000001" customHeight="1" x14ac:dyDescent="0.25">
      <c r="C39" s="194" t="s">
        <v>284</v>
      </c>
      <c r="D39" s="311">
        <f>'Quarterly Perf Update Table'!E15</f>
        <v>9.1548378466534963E-3</v>
      </c>
      <c r="E39" s="311">
        <f ca="1">'Quarterly Perf Update Table'!F15</f>
        <v>0.10373821695814023</v>
      </c>
      <c r="F39" s="311">
        <f ca="1">'Quarterly Perf Update Table'!G15</f>
        <v>0.10373821695814023</v>
      </c>
      <c r="G39" s="212">
        <f ca="1">'Quarterly Perf Update Table'!H15</f>
        <v>0.13023656762473679</v>
      </c>
      <c r="H39" s="205">
        <f ca="1">'Quarterly Perf Update Table'!I15</f>
        <v>8.9771568234633392E-2</v>
      </c>
      <c r="L39" s="328"/>
      <c r="M39" s="328"/>
      <c r="N39" s="328"/>
      <c r="O39" s="328"/>
      <c r="P39" s="328"/>
      <c r="Q39" s="328"/>
    </row>
    <row r="40" spans="1:17" ht="16.350000000000001" customHeight="1" x14ac:dyDescent="0.25">
      <c r="C40" s="195" t="s">
        <v>264</v>
      </c>
      <c r="D40" s="312">
        <f>'Quarterly Perf Update Table'!E18</f>
        <v>1.6921921932065098E-2</v>
      </c>
      <c r="E40" s="312">
        <f ca="1">'Quarterly Perf Update Table'!F18</f>
        <v>5.9863663846757564E-2</v>
      </c>
      <c r="F40" s="312">
        <f ca="1">'Quarterly Perf Update Table'!G18</f>
        <v>5.9863663846757564E-2</v>
      </c>
      <c r="G40" s="312">
        <f ca="1">'Quarterly Perf Update Table'!H18</f>
        <v>0.10110916287882032</v>
      </c>
      <c r="H40" s="312">
        <f ca="1">'Quarterly Perf Update Table'!I18</f>
        <v>7.2469524830898635E-2</v>
      </c>
      <c r="L40" s="328"/>
      <c r="M40" s="328"/>
      <c r="N40" s="328"/>
      <c r="O40" s="328"/>
      <c r="P40" s="328"/>
      <c r="Q40" s="328"/>
    </row>
    <row r="41" spans="1:17" ht="16.350000000000001" customHeight="1" x14ac:dyDescent="0.25">
      <c r="C41" s="194" t="s">
        <v>285</v>
      </c>
      <c r="D41" s="311">
        <f>'Quarterly Perf Update Table'!E16</f>
        <v>6.0640772438771418E-3</v>
      </c>
      <c r="E41" s="311">
        <f ca="1">'Quarterly Perf Update Table'!F16</f>
        <v>9.0338287119451355E-2</v>
      </c>
      <c r="F41" s="311">
        <f ca="1">'Quarterly Perf Update Table'!G16</f>
        <v>9.0338287119451355E-2</v>
      </c>
      <c r="G41" s="311">
        <f ca="1">'Quarterly Perf Update Table'!H16</f>
        <v>0.11653242558910272</v>
      </c>
      <c r="H41" s="311">
        <f ca="1">'Quarterly Perf Update Table'!I16</f>
        <v>7.6507677456078893E-2</v>
      </c>
      <c r="L41" s="328"/>
      <c r="M41" s="328"/>
      <c r="N41" s="328"/>
      <c r="O41" s="328"/>
      <c r="P41" s="328"/>
      <c r="Q41" s="328"/>
    </row>
    <row r="42" spans="1:17" x14ac:dyDescent="0.25">
      <c r="C42" s="196"/>
      <c r="D42" s="196"/>
      <c r="E42" s="196"/>
      <c r="F42" s="196"/>
      <c r="G42" s="196"/>
      <c r="H42" s="196"/>
    </row>
    <row r="43" spans="1:17" x14ac:dyDescent="0.25">
      <c r="C43" s="196"/>
      <c r="D43" s="196"/>
      <c r="E43" s="196"/>
      <c r="F43" s="196"/>
      <c r="G43" s="196"/>
      <c r="H43" s="196"/>
    </row>
    <row r="44" spans="1:17" x14ac:dyDescent="0.25">
      <c r="C44" s="196"/>
      <c r="D44" s="196"/>
      <c r="E44" s="196"/>
      <c r="F44" s="196"/>
      <c r="G44" s="196"/>
      <c r="H44" s="196"/>
    </row>
    <row r="45" spans="1:17" x14ac:dyDescent="0.25">
      <c r="C45" s="196"/>
      <c r="D45" s="196"/>
      <c r="E45" s="196"/>
      <c r="F45" s="196"/>
      <c r="G45" s="196"/>
      <c r="H45" s="196"/>
    </row>
    <row r="46" spans="1:17" x14ac:dyDescent="0.25">
      <c r="C46" s="196"/>
      <c r="D46" s="196"/>
      <c r="E46" s="196"/>
      <c r="F46" s="196"/>
      <c r="G46" s="196"/>
      <c r="H46" s="196"/>
    </row>
    <row r="47" spans="1:17" x14ac:dyDescent="0.25">
      <c r="C47" s="196"/>
      <c r="D47" s="196"/>
      <c r="E47" s="196"/>
      <c r="F47" s="196"/>
      <c r="G47" s="196"/>
      <c r="H47" s="196"/>
    </row>
    <row r="48" spans="1:17" x14ac:dyDescent="0.25">
      <c r="C48" s="196"/>
      <c r="D48" s="196"/>
      <c r="E48" s="196"/>
      <c r="F48" s="196"/>
      <c r="G48" s="196"/>
      <c r="H48" s="196"/>
    </row>
    <row r="49" spans="3:8" x14ac:dyDescent="0.25">
      <c r="C49" s="196"/>
      <c r="D49" s="196"/>
      <c r="E49" s="196"/>
      <c r="F49" s="196"/>
      <c r="G49" s="196"/>
      <c r="H49" s="196"/>
    </row>
    <row r="50" spans="3:8" x14ac:dyDescent="0.25">
      <c r="C50" s="196"/>
      <c r="D50" s="196"/>
      <c r="E50" s="196"/>
      <c r="F50" s="196"/>
      <c r="G50" s="196"/>
      <c r="H50" s="196"/>
    </row>
    <row r="51" spans="3:8" x14ac:dyDescent="0.25">
      <c r="C51" s="196"/>
      <c r="D51" s="196"/>
      <c r="E51" s="196"/>
      <c r="F51" s="196"/>
      <c r="G51" s="196"/>
      <c r="H51" s="196"/>
    </row>
    <row r="52" spans="3:8" x14ac:dyDescent="0.25">
      <c r="C52" s="196"/>
      <c r="D52" s="196"/>
      <c r="E52" s="196"/>
      <c r="F52" s="196"/>
      <c r="G52" s="196"/>
      <c r="H52" s="196"/>
    </row>
    <row r="53" spans="3:8" x14ac:dyDescent="0.25">
      <c r="C53" s="196"/>
      <c r="D53" s="196"/>
      <c r="E53" s="196"/>
      <c r="F53" s="196"/>
      <c r="G53" s="196"/>
      <c r="H53" s="196"/>
    </row>
    <row r="54" spans="3:8" x14ac:dyDescent="0.25">
      <c r="C54" s="196"/>
      <c r="D54" s="196"/>
      <c r="E54" s="196"/>
      <c r="F54" s="196"/>
      <c r="G54" s="196"/>
      <c r="H54" s="196"/>
    </row>
    <row r="55" spans="3:8" x14ac:dyDescent="0.25">
      <c r="C55" s="196"/>
      <c r="D55" s="196"/>
      <c r="E55" s="196"/>
      <c r="F55" s="196"/>
      <c r="G55" s="196"/>
      <c r="H55" s="196"/>
    </row>
    <row r="56" spans="3:8" x14ac:dyDescent="0.25">
      <c r="C56" s="196"/>
      <c r="D56" s="196"/>
      <c r="E56" s="196"/>
      <c r="F56" s="196"/>
      <c r="G56" s="196"/>
      <c r="H56" s="196"/>
    </row>
    <row r="57" spans="3:8" x14ac:dyDescent="0.25">
      <c r="C57" s="196"/>
      <c r="D57" s="196"/>
      <c r="E57" s="196"/>
      <c r="F57" s="196"/>
      <c r="G57" s="196"/>
      <c r="H57" s="196"/>
    </row>
    <row r="58" spans="3:8" x14ac:dyDescent="0.25">
      <c r="C58" s="196"/>
      <c r="D58" s="196"/>
      <c r="E58" s="196"/>
      <c r="F58" s="196"/>
      <c r="G58" s="196"/>
      <c r="H58" s="196"/>
    </row>
    <row r="59" spans="3:8" x14ac:dyDescent="0.25">
      <c r="C59" s="196"/>
      <c r="D59" s="196"/>
      <c r="E59" s="196"/>
      <c r="F59" s="196"/>
      <c r="G59" s="196"/>
      <c r="H59" s="196"/>
    </row>
    <row r="60" spans="3:8" x14ac:dyDescent="0.25">
      <c r="C60" s="196"/>
      <c r="D60" s="196"/>
      <c r="E60" s="196"/>
      <c r="F60" s="196"/>
      <c r="G60" s="196"/>
      <c r="H60" s="196"/>
    </row>
    <row r="61" spans="3:8" x14ac:dyDescent="0.25">
      <c r="C61" s="196"/>
      <c r="D61" s="196"/>
      <c r="E61" s="196"/>
      <c r="F61" s="196"/>
      <c r="G61" s="196"/>
      <c r="H61" s="196"/>
    </row>
    <row r="62" spans="3:8" x14ac:dyDescent="0.25">
      <c r="C62" s="196"/>
      <c r="D62" s="196"/>
      <c r="E62" s="196"/>
      <c r="F62" s="196"/>
      <c r="G62" s="196"/>
      <c r="H62" s="196"/>
    </row>
    <row r="63" spans="3:8" x14ac:dyDescent="0.25">
      <c r="C63" s="196"/>
      <c r="D63" s="196"/>
      <c r="E63" s="196"/>
      <c r="F63" s="196"/>
      <c r="G63" s="196"/>
      <c r="H63" s="196"/>
    </row>
    <row r="64" spans="3:8" x14ac:dyDescent="0.25">
      <c r="C64" s="196"/>
      <c r="D64" s="196"/>
      <c r="E64" s="196"/>
      <c r="F64" s="196"/>
      <c r="G64" s="196"/>
      <c r="H64" s="196"/>
    </row>
    <row r="65" spans="3:8" x14ac:dyDescent="0.25">
      <c r="C65" s="196"/>
      <c r="D65" s="196"/>
      <c r="E65" s="196"/>
      <c r="F65" s="196"/>
      <c r="G65" s="196"/>
      <c r="H65" s="196"/>
    </row>
    <row r="66" spans="3:8" x14ac:dyDescent="0.25">
      <c r="C66" s="196"/>
      <c r="D66" s="196"/>
      <c r="E66" s="196"/>
      <c r="F66" s="196"/>
      <c r="G66" s="196"/>
      <c r="H66" s="196"/>
    </row>
    <row r="67" spans="3:8" x14ac:dyDescent="0.25">
      <c r="C67" s="196"/>
      <c r="D67" s="196"/>
      <c r="E67" s="196"/>
      <c r="F67" s="196"/>
      <c r="G67" s="196"/>
      <c r="H67" s="196"/>
    </row>
    <row r="68" spans="3:8" x14ac:dyDescent="0.25">
      <c r="C68" s="196"/>
      <c r="D68" s="196"/>
      <c r="E68" s="196"/>
      <c r="F68" s="196"/>
      <c r="G68" s="196"/>
      <c r="H68" s="196"/>
    </row>
    <row r="69" spans="3:8" x14ac:dyDescent="0.25">
      <c r="C69" s="196"/>
      <c r="D69" s="196"/>
      <c r="E69" s="196"/>
      <c r="F69" s="196"/>
      <c r="G69" s="196"/>
      <c r="H69" s="196"/>
    </row>
    <row r="70" spans="3:8" x14ac:dyDescent="0.25">
      <c r="C70" s="196"/>
      <c r="D70" s="196"/>
      <c r="E70" s="196"/>
      <c r="F70" s="196"/>
      <c r="G70" s="196"/>
      <c r="H70" s="196"/>
    </row>
    <row r="71" spans="3:8" x14ac:dyDescent="0.25">
      <c r="C71" s="196"/>
      <c r="D71" s="196"/>
      <c r="E71" s="196"/>
      <c r="F71" s="196"/>
      <c r="G71" s="196"/>
      <c r="H71" s="196"/>
    </row>
    <row r="72" spans="3:8" x14ac:dyDescent="0.25">
      <c r="C72" s="196"/>
      <c r="D72" s="196"/>
      <c r="E72" s="196"/>
      <c r="F72" s="196"/>
      <c r="G72" s="196"/>
      <c r="H72" s="196"/>
    </row>
    <row r="73" spans="3:8" x14ac:dyDescent="0.25">
      <c r="C73" s="196"/>
      <c r="D73" s="196"/>
      <c r="E73" s="196"/>
      <c r="F73" s="196"/>
      <c r="G73" s="196"/>
      <c r="H73" s="196"/>
    </row>
    <row r="74" spans="3:8" x14ac:dyDescent="0.25">
      <c r="C74" s="196"/>
      <c r="D74" s="196"/>
      <c r="E74" s="196"/>
      <c r="F74" s="196"/>
      <c r="G74" s="196"/>
      <c r="H74" s="196"/>
    </row>
    <row r="75" spans="3:8" x14ac:dyDescent="0.25">
      <c r="C75" s="196"/>
      <c r="D75" s="196"/>
      <c r="E75" s="196"/>
      <c r="F75" s="196"/>
      <c r="G75" s="196"/>
      <c r="H75" s="196"/>
    </row>
    <row r="76" spans="3:8" x14ac:dyDescent="0.25">
      <c r="C76" s="196"/>
      <c r="D76" s="196"/>
      <c r="E76" s="196"/>
      <c r="F76" s="196"/>
      <c r="G76" s="196"/>
      <c r="H76" s="196"/>
    </row>
    <row r="77" spans="3:8" x14ac:dyDescent="0.25">
      <c r="C77" s="196"/>
      <c r="D77" s="196"/>
      <c r="E77" s="196"/>
      <c r="F77" s="196"/>
      <c r="G77" s="196"/>
      <c r="H77" s="196"/>
    </row>
    <row r="78" spans="3:8" x14ac:dyDescent="0.25">
      <c r="C78" s="196"/>
      <c r="D78" s="196"/>
      <c r="E78" s="196"/>
      <c r="F78" s="196"/>
      <c r="G78" s="196"/>
      <c r="H78" s="196"/>
    </row>
    <row r="79" spans="3:8" x14ac:dyDescent="0.25">
      <c r="C79" s="196"/>
      <c r="D79" s="196"/>
      <c r="E79" s="196"/>
      <c r="F79" s="196"/>
      <c r="G79" s="196"/>
      <c r="H79" s="196"/>
    </row>
    <row r="80" spans="3:8" x14ac:dyDescent="0.25">
      <c r="C80" s="196"/>
      <c r="D80" s="196"/>
      <c r="E80" s="196"/>
      <c r="F80" s="196"/>
      <c r="G80" s="196"/>
      <c r="H80" s="196"/>
    </row>
    <row r="81" spans="3:8" x14ac:dyDescent="0.25">
      <c r="C81" s="196"/>
      <c r="D81" s="196"/>
      <c r="E81" s="196"/>
      <c r="F81" s="196"/>
      <c r="G81" s="196"/>
      <c r="H81" s="196"/>
    </row>
    <row r="82" spans="3:8" x14ac:dyDescent="0.25">
      <c r="C82" s="196"/>
      <c r="D82" s="196"/>
      <c r="E82" s="196"/>
      <c r="F82" s="196"/>
      <c r="G82" s="196"/>
      <c r="H82" s="196"/>
    </row>
    <row r="83" spans="3:8" x14ac:dyDescent="0.25">
      <c r="C83" s="196"/>
      <c r="D83" s="196"/>
      <c r="E83" s="196"/>
      <c r="F83" s="196"/>
      <c r="G83" s="196"/>
      <c r="H83" s="196"/>
    </row>
    <row r="84" spans="3:8" x14ac:dyDescent="0.25">
      <c r="C84" s="196"/>
      <c r="D84" s="196"/>
      <c r="E84" s="196"/>
      <c r="F84" s="196"/>
      <c r="G84" s="196"/>
      <c r="H84" s="196"/>
    </row>
    <row r="85" spans="3:8" x14ac:dyDescent="0.25">
      <c r="C85" s="196"/>
      <c r="D85" s="196"/>
      <c r="E85" s="196"/>
      <c r="F85" s="196"/>
      <c r="G85" s="196"/>
      <c r="H85" s="196"/>
    </row>
    <row r="86" spans="3:8" x14ac:dyDescent="0.25">
      <c r="C86" s="196"/>
      <c r="D86" s="196"/>
      <c r="E86" s="196"/>
      <c r="F86" s="196"/>
      <c r="G86" s="196"/>
      <c r="H86" s="196"/>
    </row>
    <row r="87" spans="3:8" x14ac:dyDescent="0.25">
      <c r="C87" s="196"/>
      <c r="D87" s="196"/>
      <c r="E87" s="196"/>
      <c r="F87" s="196"/>
      <c r="G87" s="196"/>
      <c r="H87" s="196"/>
    </row>
    <row r="88" spans="3:8" x14ac:dyDescent="0.25">
      <c r="C88" s="196"/>
      <c r="D88" s="196"/>
      <c r="E88" s="196"/>
      <c r="F88" s="196"/>
      <c r="G88" s="196"/>
      <c r="H88" s="196"/>
    </row>
    <row r="89" spans="3:8" x14ac:dyDescent="0.25">
      <c r="C89" s="196"/>
      <c r="D89" s="196"/>
      <c r="E89" s="196"/>
      <c r="F89" s="196"/>
      <c r="G89" s="196"/>
      <c r="H89" s="196"/>
    </row>
    <row r="90" spans="3:8" x14ac:dyDescent="0.25">
      <c r="C90" s="196"/>
      <c r="D90" s="196"/>
      <c r="E90" s="196"/>
      <c r="F90" s="196"/>
      <c r="G90" s="196"/>
      <c r="H90" s="196"/>
    </row>
    <row r="91" spans="3:8" x14ac:dyDescent="0.25">
      <c r="C91" s="196"/>
      <c r="D91" s="196"/>
      <c r="E91" s="196"/>
      <c r="F91" s="196"/>
      <c r="G91" s="196"/>
      <c r="H91" s="196"/>
    </row>
    <row r="92" spans="3:8" x14ac:dyDescent="0.25">
      <c r="C92" s="196"/>
      <c r="D92" s="196"/>
      <c r="E92" s="196"/>
      <c r="F92" s="196"/>
      <c r="G92" s="196"/>
      <c r="H92" s="196"/>
    </row>
  </sheetData>
  <mergeCells count="4">
    <mergeCell ref="L2:Q6"/>
    <mergeCell ref="L13:Q17"/>
    <mergeCell ref="L23:Q27"/>
    <mergeCell ref="L38:Q4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370E-258F-4440-B999-27F18B620E21}">
  <sheetPr codeName="Sheet23">
    <tabColor theme="4" tint="-0.499984740745262"/>
  </sheetPr>
  <dimension ref="A1:R15"/>
  <sheetViews>
    <sheetView workbookViewId="0">
      <selection activeCell="H34" sqref="H34"/>
    </sheetView>
  </sheetViews>
  <sheetFormatPr defaultColWidth="8.625" defaultRowHeight="15.75" x14ac:dyDescent="0.25"/>
  <cols>
    <col min="1" max="2" width="13.125" customWidth="1"/>
    <col min="3" max="16" width="13.125" style="1" customWidth="1"/>
    <col min="17" max="18" width="9" style="1"/>
  </cols>
  <sheetData>
    <row r="1" spans="1:17" x14ac:dyDescent="0.25">
      <c r="C1" s="1" t="s">
        <v>210</v>
      </c>
      <c r="D1" s="1" t="s">
        <v>211</v>
      </c>
      <c r="E1" s="1" t="s">
        <v>324</v>
      </c>
      <c r="F1" s="1" t="s">
        <v>151</v>
      </c>
      <c r="G1" s="1" t="s">
        <v>212</v>
      </c>
      <c r="H1" s="1" t="s">
        <v>213</v>
      </c>
      <c r="I1" s="1" t="s">
        <v>325</v>
      </c>
      <c r="J1" s="1" t="s">
        <v>214</v>
      </c>
      <c r="K1" s="1" t="s">
        <v>215</v>
      </c>
      <c r="L1" s="1" t="s">
        <v>216</v>
      </c>
      <c r="M1" s="1" t="s">
        <v>326</v>
      </c>
      <c r="N1" s="1" t="s">
        <v>175</v>
      </c>
      <c r="O1" s="1" t="s">
        <v>400</v>
      </c>
      <c r="P1" s="1" t="s">
        <v>401</v>
      </c>
      <c r="Q1" s="1" t="s">
        <v>407</v>
      </c>
    </row>
    <row r="2" spans="1:17" x14ac:dyDescent="0.25">
      <c r="A2" s="21">
        <v>46022</v>
      </c>
      <c r="B2" s="254">
        <v>2025</v>
      </c>
      <c r="C2" s="1">
        <f>VLOOKUP($A2,'LC (Gross)'!$A:$F,6,FALSE)/100</f>
        <v>9.879551925883924E-2</v>
      </c>
      <c r="D2" s="1">
        <f>VLOOKUP($A2,'LC (Net)'!$A:$F,6,FALSE)/100</f>
        <v>9.0771338005630073E-2</v>
      </c>
      <c r="E2" s="1">
        <f>VLOOKUP($A2,'LC (Gross)'!$W:$Z,4,FALSE)/100</f>
        <v>4.3575278943009943E-2</v>
      </c>
      <c r="F2" s="1">
        <f>VLOOKUP($A2,'LC (Gross)'!$J:$M,4,FALSE)/100</f>
        <v>0.17859983918730182</v>
      </c>
      <c r="G2" s="1" t="e">
        <f>VLOOKUP($A2,'SC (Gross)'!$A:$F,6,FALSE)/100</f>
        <v>#N/A</v>
      </c>
      <c r="H2" s="1" t="e">
        <f>VLOOKUP($A2,'SC (Net)'!$A:$F,6,FALSE)/100</f>
        <v>#N/A</v>
      </c>
      <c r="I2" s="1" t="e">
        <f>VLOOKUP($A2,'SC (Gross)'!$P:$S,4,FALSE)/100</f>
        <v>#N/A</v>
      </c>
      <c r="J2" s="1">
        <f>VLOOKUP($A2,'BOGIX (Gross)'!$J:$M,4,FALSE)/100</f>
        <v>0.12792397999509619</v>
      </c>
      <c r="K2" s="1">
        <f>VLOOKUP($A2,'Global (Gross)'!$A:$F,6,FALSE)/100</f>
        <v>0.12659470144866103</v>
      </c>
      <c r="L2" s="1">
        <f>VLOOKUP($A2,'Global (Net)'!$A:$F,6,FALSE)/100</f>
        <v>0.11725899385235138</v>
      </c>
      <c r="M2" s="1">
        <f>VLOOKUP($A2,'Global (Gross)'!$P:$S,4,FALSE)/100</f>
        <v>0.1121893132339833</v>
      </c>
      <c r="N2" s="1">
        <f>VLOOKUP($A2,'Global (Gross)'!$J:$M,4,FALSE)/100</f>
        <v>0.2289259672597963</v>
      </c>
      <c r="O2" s="1">
        <f>VLOOKUP($A2,'BOGIX (Gross)'!$A:$F,6,FALSE)/100</f>
        <v>0.10373821695814132</v>
      </c>
      <c r="P2" s="1">
        <f>VLOOKUP($A2,'BOGIX (Net)'!$A:$F,6,FALSE)/100</f>
        <v>9.0338287119451119E-2</v>
      </c>
      <c r="Q2" s="1">
        <f>VLOOKUP($A2,LCC!$A:$F,6,FALSE)/100</f>
        <v>0.18447396743197839</v>
      </c>
    </row>
    <row r="3" spans="1:17" x14ac:dyDescent="0.25">
      <c r="A3" s="21">
        <v>45657</v>
      </c>
      <c r="B3" s="254">
        <v>2024</v>
      </c>
      <c r="C3" s="1">
        <f>VLOOKUP($A3,'LC (Gross)'!$A:$F,6,FALSE)/100</f>
        <v>0.19823058782534075</v>
      </c>
      <c r="D3" s="1">
        <f>VLOOKUP($A3,'LC (Net)'!$A:$F,6,FALSE)/100</f>
        <v>0.19124988680729338</v>
      </c>
      <c r="E3" s="1">
        <f>VLOOKUP($A3,'LC (Gross)'!$W:$Z,4,FALSE)/100</f>
        <v>0.14255882233931483</v>
      </c>
      <c r="F3" s="1">
        <f>VLOOKUP($A3,'LC (Gross)'!$J:$M,4,FALSE)/100</f>
        <v>0.24997466794718329</v>
      </c>
      <c r="G3" s="1">
        <f>VLOOKUP($A3,'SC (Gross)'!$A:$F,6,FALSE)/100</f>
        <v>0</v>
      </c>
      <c r="H3" s="1" t="e">
        <f>VLOOKUP($A3,'SC (Net)'!$A:$F,6,FALSE)/100</f>
        <v>#N/A</v>
      </c>
      <c r="I3" s="1" t="e">
        <f>VLOOKUP($A3,'SC (Gross)'!$P:$S,4,FALSE)/100</f>
        <v>#N/A</v>
      </c>
      <c r="J3" s="1">
        <f>VLOOKUP($A3,'SC (Gross)'!$J:$M,4,FALSE)/100</f>
        <v>0.11526909249637063</v>
      </c>
      <c r="K3" s="1">
        <f>VLOOKUP($A3,'Global (Gross)'!$A:$F,6,FALSE)/100</f>
        <v>0.10136603203520768</v>
      </c>
      <c r="L3" s="1">
        <f>VLOOKUP($A3,'Global (Net)'!$A:$F,6,FALSE)/100</f>
        <v>9.2199225313137845E-2</v>
      </c>
      <c r="M3" s="1">
        <f>VLOOKUP($A3,'Global (Gross)'!$P:$S,4,FALSE)/100</f>
        <v>0.11929751620079498</v>
      </c>
      <c r="N3" s="1">
        <f>VLOOKUP($A3,'Global (Gross)'!$J:$M,4,FALSE)/100</f>
        <v>0.18030020954989556</v>
      </c>
      <c r="O3" s="1">
        <f>VLOOKUP($A3,'BOGIX (Gross)'!$A:$F,6,FALSE)/100</f>
        <v>6.6851053242467762E-2</v>
      </c>
      <c r="P3" s="1">
        <f>VLOOKUP($A3,'BOGIX (Net)'!$A:$F,6,FALSE)/100</f>
        <v>5.3852627299484812E-2</v>
      </c>
      <c r="Q3" s="1">
        <f>VLOOKUP($A3,LCC!$A:$F,6,FALSE)/100</f>
        <v>0.2087937516225136</v>
      </c>
    </row>
    <row r="4" spans="1:17" x14ac:dyDescent="0.25">
      <c r="A4" s="21">
        <v>45291</v>
      </c>
      <c r="B4" s="254">
        <v>2023</v>
      </c>
      <c r="C4" s="1">
        <f>VLOOKUP($A4,'LC (Gross)'!$A:$F,6,FALSE)/100</f>
        <v>0.11463304822208809</v>
      </c>
      <c r="D4" s="1">
        <f>VLOOKUP($A4,'LC (Net)'!$A:$F,6,FALSE)/100</f>
        <v>0.10701151072910096</v>
      </c>
      <c r="E4" s="1">
        <f>VLOOKUP($A4,'LC (Gross)'!$W:$Z,4,FALSE)/100</f>
        <v>7.156405685025069E-3</v>
      </c>
      <c r="F4" s="1">
        <f>VLOOKUP($A4,'LC (Gross)'!$J:$M,4,FALSE)/100</f>
        <v>0.26258662973368962</v>
      </c>
      <c r="G4" s="1">
        <f>VLOOKUP($A4,'SC (Gross)'!$A:$F,6,FALSE)/100</f>
        <v>0.13583111253327962</v>
      </c>
      <c r="H4" s="1">
        <f>VLOOKUP($A4,'SC (Net)'!$A:$F,6,FALSE)/100</f>
        <v>0.12502621921577206</v>
      </c>
      <c r="I4" s="1">
        <f>VLOOKUP($A4,'SC (Gross)'!$P:$S,4,FALSE)/100</f>
        <v>1.4314161511375989E-2</v>
      </c>
      <c r="J4" s="1">
        <f>VLOOKUP($A4,'SC (Gross)'!$J:$M,4,FALSE)/100</f>
        <v>0.16880006471677866</v>
      </c>
      <c r="K4" s="1">
        <f>VLOOKUP($A4,'Global (Gross)'!$A:$F,6,FALSE)/100</f>
        <v>0.14374549309133955</v>
      </c>
      <c r="L4" s="1">
        <f>VLOOKUP($A4,'Global (Net)'!$A:$F,6,FALSE)/100</f>
        <v>0.13431418108768112</v>
      </c>
      <c r="M4" s="1">
        <f>VLOOKUP($A4,'Global (Gross)'!$P:$S,4,FALSE)/100</f>
        <v>8.2973706645790526E-2</v>
      </c>
      <c r="N4" s="1">
        <f>VLOOKUP($A4,'Global (Gross)'!$J:$M,4,FALSE)/100</f>
        <v>0.22773298398089856</v>
      </c>
      <c r="O4" s="1">
        <f>VLOOKUP($A4,'BOGIX (Gross)'!$A:$F,6,FALSE)/100</f>
        <v>0.22613472584393612</v>
      </c>
      <c r="P4" s="1">
        <f>VLOOKUP($A4,'BOGIX (Net)'!$A:$F,6,FALSE)/100</f>
        <v>0.21135901333582433</v>
      </c>
      <c r="Q4" s="1">
        <f>VLOOKUP($A4,LCC!$A:$F,6,FALSE)/100</f>
        <v>0.21635625569112207</v>
      </c>
    </row>
    <row r="5" spans="1:17" x14ac:dyDescent="0.25">
      <c r="A5" s="21">
        <v>44926</v>
      </c>
      <c r="B5" s="254">
        <v>2022</v>
      </c>
      <c r="C5" s="1">
        <f>VLOOKUP($A5,'LC (Gross)'!$A:$F,6,FALSE)/100</f>
        <v>-0.11203321264775923</v>
      </c>
      <c r="D5" s="1">
        <f>VLOOKUP($A5,'LC (Net)'!$A:$F,6,FALSE)/100</f>
        <v>-0.11880232376843602</v>
      </c>
      <c r="E5" s="1">
        <f>VLOOKUP($A5,'LC (Gross)'!$W:$Z,4,FALSE)/100</f>
        <v>-4.585137818471785E-2</v>
      </c>
      <c r="F5" s="1">
        <f>VLOOKUP($A5,'LC (Gross)'!$J:$M,4,FALSE)/100</f>
        <v>-0.18134637497055939</v>
      </c>
      <c r="G5" s="1">
        <f>VLOOKUP($A5,'SC (Gross)'!$A:$F,6,FALSE)/100</f>
        <v>-0.10893762987298905</v>
      </c>
      <c r="H5" s="1">
        <f>VLOOKUP($A5,'SC (Net)'!$A:$F,6,FALSE)/100</f>
        <v>-0.11529934289146748</v>
      </c>
      <c r="I5" s="1">
        <f>VLOOKUP($A5,'SC (Gross)'!$P:$S,4,FALSE)/100</f>
        <v>-0.11497766541761889</v>
      </c>
      <c r="J5" s="1">
        <f>VLOOKUP($A5,'SC (Gross)'!$J:$M,4,FALSE)/100</f>
        <v>-0.20460520836683771</v>
      </c>
      <c r="K5" s="1">
        <f>VLOOKUP($A5,'Global (Gross)'!$A:$F,6,FALSE)/100</f>
        <v>-0.12312413724350479</v>
      </c>
      <c r="L5" s="1">
        <f>VLOOKUP($A5,'Global (Net)'!$A:$F,6,FALSE)/100</f>
        <v>-0.13051143670819776</v>
      </c>
      <c r="M5" s="1">
        <f>VLOOKUP($A5,'Global (Gross)'!$P:$S,4,FALSE)/100</f>
        <v>-9.8165208512639324E-2</v>
      </c>
      <c r="N5" s="1">
        <f>VLOOKUP($A5,'Global (Gross)'!$J:$M,4,FALSE)/100</f>
        <v>-0.17947079325447823</v>
      </c>
      <c r="O5" s="1">
        <f>VLOOKUP($A5,'BOGIX (Gross)'!$A:$F,6,FALSE)/100</f>
        <v>-0.1213842687030452</v>
      </c>
      <c r="P5" s="1">
        <f>VLOOKUP($A5,'BOGIX (Net)'!$A:$F,6,FALSE)/100</f>
        <v>-0.13227012538188787</v>
      </c>
      <c r="Q5" s="1">
        <f>VLOOKUP($A5,LCC!$A:$F,6,FALSE)/100</f>
        <v>-0.20019288452264491</v>
      </c>
    </row>
    <row r="6" spans="1:17" x14ac:dyDescent="0.25">
      <c r="A6" s="21">
        <v>44561</v>
      </c>
      <c r="B6" s="232">
        <v>2021</v>
      </c>
      <c r="C6" s="1">
        <f>VLOOKUP($A6,'LC (Gross)'!$A:$F,6,FALSE)/100</f>
        <v>0.18531604989419859</v>
      </c>
      <c r="D6" s="1">
        <f>VLOOKUP($A6,'LC (Net)'!$A:$F,6,FALSE)/100</f>
        <v>0.17615401565104993</v>
      </c>
      <c r="E6" s="1">
        <f>VLOOKUP($A6,'LC (Gross)'!$W:$Z,4,FALSE)/100</f>
        <v>0.24418944403398868</v>
      </c>
      <c r="F6" s="1">
        <f>VLOOKUP($A6,'LC (Gross)'!$J:$M,4,FALSE)/100</f>
        <v>0.28678393633262678</v>
      </c>
      <c r="G6" s="1">
        <f>VLOOKUP($A6,'SC (Gross)'!$A:$F,6,FALSE)/100</f>
        <v>0.19051521581416211</v>
      </c>
      <c r="H6" s="1">
        <f>VLOOKUP($A6,'SC (Net)'!$A:$F,6,FALSE)/100</f>
        <v>0.18163607044000218</v>
      </c>
      <c r="I6" s="1">
        <f>VLOOKUP($A6,'SC (Gross)'!$P:$S,4,FALSE)/100</f>
        <v>0.29837043672074515</v>
      </c>
      <c r="J6" s="1">
        <f>VLOOKUP($A6,'SC (Gross)'!$J:$M,4,FALSE)/100</f>
        <v>0.14784311878333534</v>
      </c>
      <c r="K6" s="1">
        <f>VLOOKUP($A6,'Global (Gross)'!$A:$F,6,FALSE)/100</f>
        <v>0.16967166836411487</v>
      </c>
      <c r="L6" s="1">
        <f>VLOOKUP($A6,'Global (Net)'!$A:$F,6,FALSE)/100</f>
        <v>0.16008499292573131</v>
      </c>
      <c r="M6" s="1">
        <f>VLOOKUP($A6,'Global (Gross)'!$P:$S,4,FALSE)/100</f>
        <v>0.14486012183993968</v>
      </c>
      <c r="N6" s="1">
        <f>VLOOKUP($A6,'Global (Gross)'!$J:$M,4,FALSE)/100</f>
        <v>0.19044093227364911</v>
      </c>
    </row>
    <row r="7" spans="1:17" x14ac:dyDescent="0.25">
      <c r="A7" s="21">
        <v>44196</v>
      </c>
      <c r="B7" s="232">
        <v>2020</v>
      </c>
      <c r="C7" s="1">
        <f>VLOOKUP($A7,'LC (Gross)'!$A:$F,6,FALSE)/100</f>
        <v>0.12514004222444552</v>
      </c>
      <c r="D7" s="1">
        <f>VLOOKUP($A7,'LC (Net)'!$A:$F,6,FALSE)/100</f>
        <v>0.11599279814649366</v>
      </c>
      <c r="E7" s="1">
        <f>VLOOKUP($A7,'LC (Gross)'!$W:$Z,4,FALSE)/100</f>
        <v>-1.1104996536831613E-2</v>
      </c>
      <c r="F7" s="1">
        <f>VLOOKUP($A7,'LC (Gross)'!$J:$M,4,FALSE)/100</f>
        <v>0.18388860270868279</v>
      </c>
      <c r="G7" s="1">
        <f>VLOOKUP($A7,'SC (Gross)'!$A:$F,6,FALSE)/100</f>
        <v>-0.10457342169148287</v>
      </c>
      <c r="H7" s="1">
        <f>VLOOKUP($A7,'SC (Net)'!$A:$F,6,FALSE)/100</f>
        <v>-0.11221374500987347</v>
      </c>
      <c r="I7" s="1">
        <f>VLOOKUP($A7,'SC (Gross)'!$P:$S,4,FALSE)/100</f>
        <v>-0.17205812262456155</v>
      </c>
      <c r="J7" s="1">
        <f>VLOOKUP($A7,'SC (Gross)'!$J:$M,4,FALSE)/100</f>
        <v>0.19934306010730871</v>
      </c>
      <c r="K7" s="1">
        <f>VLOOKUP($A7,'Global (Gross)'!$A:$F,6,FALSE)/100</f>
        <v>5.0517850988801127E-2</v>
      </c>
      <c r="L7" s="1">
        <f>VLOOKUP($A7,'Global (Net)'!$A:$F,6,FALSE)/100</f>
        <v>4.1205646189700795E-2</v>
      </c>
      <c r="M7" s="1">
        <f>VLOOKUP($A7,'Global (Gross)'!$P:$S,4,FALSE)/100</f>
        <v>3.3998664584876437E-2</v>
      </c>
      <c r="N7" s="1">
        <f>VLOOKUP($A7,'Global (Gross)'!$J:$M,4,FALSE)/100</f>
        <v>0.16830149532300864</v>
      </c>
    </row>
    <row r="8" spans="1:17" x14ac:dyDescent="0.25">
      <c r="A8" s="21">
        <v>43830</v>
      </c>
      <c r="B8" s="232">
        <v>2019</v>
      </c>
      <c r="C8" s="1">
        <f>VLOOKUP($A8,'LC (Gross)'!$A:$F,6,FALSE)/100</f>
        <v>0.2823070140605819</v>
      </c>
      <c r="D8" s="1">
        <f>VLOOKUP($A8,'LC (Net)'!$A:$F,6,FALSE)/100</f>
        <v>0.27203013810128041</v>
      </c>
      <c r="E8" s="1">
        <f>VLOOKUP($A8,'LC (Gross)'!$W:$Z,4,FALSE)/100</f>
        <v>0.28258747142274809</v>
      </c>
      <c r="F8" s="1">
        <f>VLOOKUP($A8,'LC (Gross)'!$J:$M,4,FALSE)/100</f>
        <v>0.31474617681388284</v>
      </c>
      <c r="G8" s="1">
        <f>VLOOKUP($A8,'SC (Gross)'!$A:$F,6,FALSE)/100</f>
        <v>0.22290831491855623</v>
      </c>
      <c r="H8" s="1">
        <f>VLOOKUP($A8,'SC (Net)'!$A:$F,6,FALSE)/100</f>
        <v>0.21371158595087691</v>
      </c>
      <c r="I8" s="1">
        <f>VLOOKUP($A8,'SC (Gross)'!$P:$S,4,FALSE)/100</f>
        <v>0.22761983347085679</v>
      </c>
      <c r="J8" s="1">
        <f>VLOOKUP($A8,'SC (Gross)'!$J:$M,4,FALSE)/100</f>
        <v>0.25485134285409039</v>
      </c>
      <c r="K8" s="1">
        <f>VLOOKUP($A8,'Global (Gross)'!$A:$F,6,FALSE)/100</f>
        <v>0.25279078173417457</v>
      </c>
      <c r="L8" s="1">
        <f>VLOOKUP($A8,'Global (Net)'!$A:$F,6,FALSE)/100</f>
        <v>0.24436781825463741</v>
      </c>
      <c r="M8" s="1">
        <f>VLOOKUP($A8,'Global (Gross)'!$P:$S,4,FALSE)/100</f>
        <v>0.21789818613584444</v>
      </c>
      <c r="N8" s="1">
        <f>VLOOKUP($A8,'Global (Gross)'!$J:$M,4,FALSE)/100</f>
        <v>0.27315547338911772</v>
      </c>
    </row>
    <row r="9" spans="1:17" x14ac:dyDescent="0.25">
      <c r="A9" s="21">
        <v>43465</v>
      </c>
      <c r="B9" s="232">
        <v>2018</v>
      </c>
      <c r="C9" s="1">
        <f>VLOOKUP($A9,'LC (Gross)'!$A:$F,6,FALSE)/100</f>
        <v>1.1291938765656706E-2</v>
      </c>
      <c r="D9" s="1">
        <f>VLOOKUP($A9,'LC (Net)'!$A:$F,6,FALSE)/100</f>
        <v>3.619614513930669E-3</v>
      </c>
      <c r="E9" s="1">
        <f>VLOOKUP($A9,'LC (Gross)'!$W:$Z,4,FALSE)/100</f>
        <v>2.7000179150740156E-3</v>
      </c>
      <c r="F9" s="1">
        <f>VLOOKUP($A9,'LC (Gross)'!$J:$M,4,FALSE)/100</f>
        <v>-4.3919415729458011E-2</v>
      </c>
      <c r="G9" s="1">
        <f>VLOOKUP($A9,'SC (Gross)'!$A:$F,6,FALSE)/100</f>
        <v>-8.7990991294937371E-2</v>
      </c>
      <c r="H9" s="1">
        <f>VLOOKUP($A9,'SC (Net)'!$A:$F,6,FALSE)/100</f>
        <v>-9.4363876291436069E-2</v>
      </c>
      <c r="I9" s="1">
        <f>VLOOKUP($A9,'SC (Gross)'!$P:$S,4,FALSE)/100</f>
        <v>-5.1255408790707883E-2</v>
      </c>
      <c r="J9" s="1">
        <f>VLOOKUP($A9,'SC (Gross)'!$J:$M,4,FALSE)/100</f>
        <v>-0.11027099852982147</v>
      </c>
      <c r="K9" s="1">
        <f>VLOOKUP($A9,'Global (Gross)'!$A:$F,6,FALSE)/100</f>
        <v>-2.147986189639095E-2</v>
      </c>
      <c r="L9" s="1">
        <f>VLOOKUP($A9,'Global (Net)'!$A:$F,6,FALSE)/100</f>
        <v>-2.7853220149869462E-2</v>
      </c>
      <c r="M9" s="1">
        <f>VLOOKUP($A9,'Global (Gross)'!$P:$S,4,FALSE)/100</f>
        <v>-9.8278067414619974E-3</v>
      </c>
      <c r="N9" s="1">
        <f>VLOOKUP($A9,'Global (Gross)'!$J:$M,4,FALSE)/100</f>
        <v>-8.9226571944063249E-2</v>
      </c>
    </row>
    <row r="10" spans="1:17" x14ac:dyDescent="0.25">
      <c r="A10" s="21">
        <v>43100</v>
      </c>
      <c r="B10" s="254">
        <v>2017</v>
      </c>
      <c r="C10" s="1">
        <f>VLOOKUP($A10,'LC (Gross)'!$A:$F,6,FALSE)/100</f>
        <v>0.176350269306915</v>
      </c>
      <c r="D10" s="1">
        <f>VLOOKUP($A10,'LC (Net)'!$A:$F,6,FALSE)/100</f>
        <v>0.16918080896635956</v>
      </c>
      <c r="E10" s="1">
        <f>VLOOKUP($A10,'LC (Gross)'!$W:$Z,4,FALSE)/100</f>
        <v>0.17408515897792534</v>
      </c>
      <c r="F10" s="1">
        <f>VLOOKUP($A10,'LC (Gross)'!$J:$M,4,FALSE)/100</f>
        <v>0.21822770989101101</v>
      </c>
      <c r="G10" s="1">
        <f>VLOOKUP($A10,'SC (Gross)'!$A:$F,6,FALSE)/100</f>
        <v>9.9981772179281059E-2</v>
      </c>
      <c r="H10" s="1">
        <f>VLOOKUP($A10,'SC (Net)'!$A:$F,6,FALSE)/100</f>
        <v>9.346588477478468E-2</v>
      </c>
      <c r="I10" s="1">
        <f>VLOOKUP($A10,'SC (Gross)'!$P:$S,4,FALSE)/100</f>
        <v>8.9172764479722222E-2</v>
      </c>
      <c r="J10" s="1">
        <f>VLOOKUP($A10,'SC (Gross)'!$J:$M,4,FALSE)/100</f>
        <v>0.14627724282029875</v>
      </c>
      <c r="K10" s="1">
        <f>VLOOKUP($A10,'Global (Gross)'!$A:$F,6,FALSE)/100</f>
        <v>0.2152597195369319</v>
      </c>
      <c r="L10" s="1">
        <f>VLOOKUP($A10,'Global (Net)'!$A:$F,6,FALSE)/100</f>
        <v>0.20747474509704111</v>
      </c>
      <c r="M10" s="1">
        <f>VLOOKUP($A10,'Global (Gross)'!$P:$S,4,FALSE)/100</f>
        <v>0.18634787797459196</v>
      </c>
      <c r="N10" s="1">
        <f>VLOOKUP($A10,'Global (Gross)'!$J:$M,4,FALSE)/100</f>
        <v>0.24653595280765583</v>
      </c>
    </row>
    <row r="11" spans="1:17" x14ac:dyDescent="0.25">
      <c r="A11" s="21">
        <v>42735</v>
      </c>
      <c r="B11" s="254">
        <v>2016</v>
      </c>
      <c r="C11" s="1">
        <f>VLOOKUP($A11,'LC (Gross)'!$A:$F,6,FALSE)/100</f>
        <v>0.10039343503433296</v>
      </c>
      <c r="D11" s="1">
        <f>VLOOKUP($A11,'LC (Net)'!$A:$F,6,FALSE)/100</f>
        <v>9.3216695191242524E-2</v>
      </c>
      <c r="E11" s="1">
        <f>VLOOKUP($A11,'LC (Gross)'!$W:$Z,4,FALSE)/100</f>
        <v>0.10372224202766865</v>
      </c>
      <c r="F11" s="1">
        <f>VLOOKUP($A11,'LC (Gross)'!$J:$M,4,FALSE)/100</f>
        <v>0.11952370430250327</v>
      </c>
      <c r="G11" s="1">
        <f>VLOOKUP($A11,'SC (Gross)'!$A:$F,6,FALSE)/100</f>
        <v>0.32119453878812093</v>
      </c>
      <c r="H11" s="1">
        <f>VLOOKUP($A11,'SC (Net)'!$A:$F,6,FALSE)/100</f>
        <v>0.3170771535028496</v>
      </c>
      <c r="I11" s="1">
        <f>VLOOKUP($A11,'SC (Gross)'!$P:$S,4,FALSE)/100</f>
        <v>0.31722358739083378</v>
      </c>
      <c r="J11" s="1">
        <f>VLOOKUP($A11,'SC (Gross)'!$J:$M,4,FALSE)/100</f>
        <v>0.21278189975207204</v>
      </c>
      <c r="K11" s="1">
        <f>VLOOKUP($A11,'Global (Gross)'!$A:$F,6,FALSE)/100</f>
        <v>0.10691396145825592</v>
      </c>
      <c r="L11" s="1">
        <f>VLOOKUP($A11,'Global (Net)'!$A:$F,6,FALSE)/100</f>
        <v>0.10691396145825592</v>
      </c>
      <c r="M11" s="1">
        <f>VLOOKUP($A11,'Global (Gross)'!$P:$S,4,FALSE)/100</f>
        <v>8.1099377695592167E-2</v>
      </c>
      <c r="N11" s="1">
        <f>VLOOKUP($A11,'Global (Gross)'!$J:$M,4,FALSE)/100</f>
        <v>8.5301428266853829E-2</v>
      </c>
    </row>
    <row r="12" spans="1:17" x14ac:dyDescent="0.25">
      <c r="A12" s="21">
        <v>42369</v>
      </c>
      <c r="B12" s="254">
        <v>2015</v>
      </c>
      <c r="C12" s="1">
        <f>VLOOKUP($A12,'LC (Gross)'!$A:$F,6,FALSE)/100</f>
        <v>4.5839718204458216E-2</v>
      </c>
      <c r="D12" s="1">
        <f>VLOOKUP($A12,'LC (Net)'!$A:$F,6,FALSE)/100</f>
        <v>3.5670356338330003E-2</v>
      </c>
      <c r="E12" s="1">
        <f>VLOOKUP($A12,'LC (Gross)'!$W:$Z,4,FALSE)/100</f>
        <v>4.3376271399978385E-2</v>
      </c>
      <c r="F12" s="1">
        <f>VLOOKUP($A12,'LC (Gross)'!$J:$M,4,FALSE)/100</f>
        <v>1.3748751803548726E-2</v>
      </c>
      <c r="G12" s="1">
        <f>VLOOKUP($A12,'SC (Gross)'!$A:$F,6,FALSE)/100</f>
        <v>2.6133611450025303E-2</v>
      </c>
      <c r="H12" s="1">
        <f>VLOOKUP($A12,'SC (Net)'!$A:$F,6,FALSE)/100</f>
        <v>2.6133611450025303E-2</v>
      </c>
      <c r="I12" s="1">
        <f>VLOOKUP($A12,'SC (Gross)'!$P:$S,4,FALSE)/100</f>
        <v>3.0036809815950697E-2</v>
      </c>
      <c r="J12" s="1">
        <f>VLOOKUP($A12,'SC (Gross)'!$J:$M,4,FALSE)/100</f>
        <v>-4.4132425955799331E-2</v>
      </c>
      <c r="K12" s="1">
        <f>VLOOKUP($A12,'Global (Gross)'!$A:$F,6,FALSE)/100</f>
        <v>-2.622006780558084E-3</v>
      </c>
      <c r="L12" s="1">
        <f>VLOOKUP($A12,'Global (Net)'!$A:$F,6,FALSE)/100</f>
        <v>-2.622006780558084E-3</v>
      </c>
      <c r="M12" s="1">
        <f>VLOOKUP($A12,'Global (Gross)'!$P:$S,4,FALSE)/100</f>
        <v>3.3522414863744888E-2</v>
      </c>
      <c r="N12" s="1">
        <f>VLOOKUP($A12,'Global (Gross)'!$J:$M,4,FALSE)/100</f>
        <v>-1.8033043915244629E-2</v>
      </c>
    </row>
    <row r="13" spans="1:17" x14ac:dyDescent="0.25">
      <c r="A13" s="21">
        <v>42004</v>
      </c>
      <c r="B13" s="254">
        <v>2014</v>
      </c>
      <c r="C13" s="1">
        <f>VLOOKUP($A13,'LC (Gross)'!$A:$F,6,FALSE)/100</f>
        <v>0.16059840540491888</v>
      </c>
      <c r="D13" s="1">
        <f>VLOOKUP($A13,'LC (Net)'!$A:$F,6,FALSE)/100</f>
        <v>0.14941196380503155</v>
      </c>
      <c r="E13" s="1">
        <f>VLOOKUP($A13,'LC (Gross)'!$W:$Z,4,FALSE)/100</f>
        <v>0.17486224693877181</v>
      </c>
      <c r="F13" s="1">
        <f>VLOOKUP($A13,'LC (Gross)'!$J:$M,4,FALSE)/100</f>
        <v>0.13678298383899959</v>
      </c>
      <c r="K13" s="1">
        <f>VLOOKUP($A13,'Global (Gross)'!$A:$F,6,FALSE)/100</f>
        <v>0.16317375411357002</v>
      </c>
      <c r="L13" s="1">
        <f>VLOOKUP($A13,'Global (Net)'!$A:$F,6,FALSE)/100</f>
        <v>0.16317375411357002</v>
      </c>
      <c r="M13" s="1">
        <f>VLOOKUP($A13,'Global (Gross)'!$P:$S,4,FALSE)/100</f>
        <v>0.11547243340852113</v>
      </c>
      <c r="N13" s="1">
        <f>VLOOKUP($A13,'Global (Gross)'!$J:$M,4,FALSE)/100</f>
        <v>4.7525957303424932E-2</v>
      </c>
    </row>
    <row r="14" spans="1:17" x14ac:dyDescent="0.25">
      <c r="A14" s="21">
        <v>41639</v>
      </c>
      <c r="B14" s="254">
        <v>2013</v>
      </c>
      <c r="C14" s="1">
        <f>VLOOKUP($A14,'LC (Gross)'!$A:$F,6,FALSE)/100</f>
        <v>0.28938653955757632</v>
      </c>
      <c r="D14" s="1">
        <f>VLOOKUP($A14,'LC (Net)'!$A:$F,6,FALSE)/100</f>
        <v>0.27706604093137249</v>
      </c>
      <c r="E14" s="1">
        <f>VLOOKUP($A14,'LC (Gross)'!$W:$Z,4,FALSE)/100</f>
        <v>0.23587673049659311</v>
      </c>
      <c r="F14" s="1">
        <f>VLOOKUP($A14,'LC (Gross)'!$J:$M,4,FALSE)/100</f>
        <v>0.323741690126639</v>
      </c>
      <c r="K14" s="1">
        <f>VLOOKUP($A14,'Global (Gross)'!$A:$F,6,FALSE)/100</f>
        <v>0.20808546052175023</v>
      </c>
      <c r="L14" s="1">
        <f>VLOOKUP($A14,'Global (Net)'!$A:$F,6,FALSE)/100</f>
        <v>0.20808546052175023</v>
      </c>
      <c r="M14" s="1">
        <f>VLOOKUP($A14,'Global (Gross)'!$P:$S,4,FALSE)/100</f>
        <v>0.17578144002724244</v>
      </c>
      <c r="N14" s="1">
        <f>VLOOKUP($A14,'Global (Gross)'!$J:$M,4,FALSE)/100</f>
        <v>0.23490114965376752</v>
      </c>
    </row>
    <row r="15" spans="1:17" x14ac:dyDescent="0.25">
      <c r="A15" s="21">
        <v>41274</v>
      </c>
      <c r="B15" s="254">
        <v>2012</v>
      </c>
      <c r="C15" s="1">
        <f>VLOOKUP($A15,'LC (Gross)'!$A:$F,6,FALSE)/100</f>
        <v>0.12076827347520828</v>
      </c>
      <c r="D15" s="1">
        <f>VLOOKUP($A15,'LC (Net)'!$A:$F,6,FALSE)/100</f>
        <v>0.1098442498343094</v>
      </c>
      <c r="E15" s="1">
        <f>VLOOKUP($A15,'LC (Gross)'!$W:$Z,4,FALSE)/100</f>
        <v>0.10301498786342175</v>
      </c>
      <c r="F15" s="1">
        <f>VLOOKUP($A15,'LC (Gross)'!$J:$M,4,FALSE)/100</f>
        <v>0.15993714551158131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1">
    <tabColor theme="4" tint="-0.499984740745262"/>
  </sheetPr>
  <dimension ref="A1:W89"/>
  <sheetViews>
    <sheetView workbookViewId="0">
      <selection activeCell="B49" sqref="B49"/>
    </sheetView>
  </sheetViews>
  <sheetFormatPr defaultColWidth="8.625" defaultRowHeight="15.75" x14ac:dyDescent="0.25"/>
  <cols>
    <col min="2" max="2" width="9.125" bestFit="1" customWidth="1"/>
    <col min="3" max="3" width="10.125" bestFit="1" customWidth="1"/>
    <col min="8" max="8" width="10.125" bestFit="1" customWidth="1"/>
    <col min="9" max="9" width="10.125" customWidth="1"/>
    <col min="23" max="23" width="19" bestFit="1" customWidth="1"/>
  </cols>
  <sheetData>
    <row r="1" spans="1:19" x14ac:dyDescent="0.25">
      <c r="D1" t="s">
        <v>182</v>
      </c>
      <c r="E1" t="s">
        <v>183</v>
      </c>
      <c r="F1" t="s">
        <v>86</v>
      </c>
      <c r="H1" t="s">
        <v>184</v>
      </c>
      <c r="I1" t="s">
        <v>183</v>
      </c>
      <c r="J1" t="s">
        <v>185</v>
      </c>
      <c r="L1" t="s">
        <v>186</v>
      </c>
      <c r="M1" t="s">
        <v>183</v>
      </c>
      <c r="N1" t="s">
        <v>175</v>
      </c>
    </row>
    <row r="2" spans="1:19" x14ac:dyDescent="0.25">
      <c r="A2">
        <v>1</v>
      </c>
      <c r="B2">
        <f>MAX('LC (Gross)'!B16:B1000)</f>
        <v>312</v>
      </c>
      <c r="C2" s="169">
        <f>VLOOKUP(B2,'LC (Gross)'!$B$16:$J$1000,9,FALSE)</f>
        <v>46022</v>
      </c>
      <c r="D2" s="171">
        <f>VLOOKUP($C2,'LC (Gross)'!$A$16:$H$31000,4,FALSE)/100</f>
        <v>-5.0948326786837334E-4</v>
      </c>
      <c r="E2" s="190">
        <f>VLOOKUP($C2,'LC (Net)'!$A$16:$H$31000,4,FALSE)/100</f>
        <v>-1.3073768602683152E-3</v>
      </c>
      <c r="F2" s="171">
        <f>VLOOKUP($C2,'LC (Gross)'!$J$16:$K$31000,2,FALSE)/100</f>
        <v>5.9176080000000004E-4</v>
      </c>
      <c r="H2" s="171" t="e">
        <f>VLOOKUP($C2,'SC (Gross)'!$A$16:$H$31000,4,FALSE)/100</f>
        <v>#N/A</v>
      </c>
      <c r="I2" s="190" t="e">
        <f>VLOOKUP($C2,'SC (Net)'!$A$16:$H$31000,4,FALSE)/100</f>
        <v>#N/A</v>
      </c>
      <c r="J2" s="171" t="e">
        <f>VLOOKUP($C2,'SC (Gross)'!$J$16:$K$31000,2,FALSE)/100</f>
        <v>#N/A</v>
      </c>
      <c r="L2" s="171">
        <f>VLOOKUP($C2,'Global (Gross)'!$A$16:$H$31000,4,FALSE)/100</f>
        <v>3.5737099999999999E-3</v>
      </c>
      <c r="M2" s="190">
        <f>VLOOKUP($C2,'Global (Net)'!$A$16:$H$31000,4,FALSE)/100</f>
        <v>2.8737099999999998E-3</v>
      </c>
      <c r="N2" s="171">
        <f>VLOOKUP($C2,'Global (Gross)'!$J$16:$K$31000,2,FALSE)/100</f>
        <v>1.0703000000000001E-2</v>
      </c>
      <c r="O2" s="171"/>
      <c r="P2" s="170"/>
      <c r="Q2" s="1">
        <f>AVERAGEIF(J2:J37,"&lt;0",H2:H37)</f>
        <v>-1.3037422333371075E-2</v>
      </c>
      <c r="R2" s="1">
        <f>AVERAGEIF(J2:J37,"&lt;0",J2:J37)</f>
        <v>-3.8446728307692309E-2</v>
      </c>
      <c r="S2" s="170"/>
    </row>
    <row r="3" spans="1:19" x14ac:dyDescent="0.25">
      <c r="A3">
        <v>2</v>
      </c>
      <c r="B3">
        <f>B2-1</f>
        <v>311</v>
      </c>
      <c r="C3" s="169">
        <f>VLOOKUP(B3,'LC (Gross)'!$B$16:$J$1000,9,FALSE)</f>
        <v>45991</v>
      </c>
      <c r="D3" s="171">
        <f>VLOOKUP($C3,'LC (Gross)'!$A$16:$H$31000,4,FALSE)/100</f>
        <v>3.8182025384643492E-2</v>
      </c>
      <c r="E3" s="190">
        <f>VLOOKUP($C3,'LC (Net)'!$A$16:$H$31000,4,FALSE)/100</f>
        <v>3.7661618229367512E-2</v>
      </c>
      <c r="F3" s="171">
        <f>VLOOKUP($C3,'LC (Gross)'!$J$16:$K$31000,2,FALSE)/100</f>
        <v>2.4512030000000003E-3</v>
      </c>
      <c r="H3" s="171" t="e">
        <f>VLOOKUP($C3,'SC (Gross)'!$A$16:$H$31000,4,FALSE)/100</f>
        <v>#N/A</v>
      </c>
      <c r="I3" s="190" t="e">
        <f>VLOOKUP($C3,'SC (Net)'!$A$16:$H$31000,4,FALSE)/100</f>
        <v>#N/A</v>
      </c>
      <c r="J3" s="171" t="e">
        <f>VLOOKUP($C3,'SC (Gross)'!$J$16:$K$31000,2,FALSE)/100</f>
        <v>#N/A</v>
      </c>
      <c r="L3" s="171">
        <f>VLOOKUP($C3,'Global (Gross)'!$A$16:$H$31000,4,FALSE)/100</f>
        <v>3.1137349999999998E-2</v>
      </c>
      <c r="M3" s="190">
        <f>VLOOKUP($C3,'Global (Net)'!$A$16:$H$31000,4,FALSE)/100</f>
        <v>3.0437349999999998E-2</v>
      </c>
      <c r="N3" s="171">
        <f>VLOOKUP($C3,'Global (Gross)'!$J$16:$K$31000,2,FALSE)/100</f>
        <v>1.8736109999999999E-4</v>
      </c>
      <c r="O3" s="171"/>
      <c r="P3" s="170"/>
      <c r="Q3" s="170"/>
      <c r="R3" s="170"/>
      <c r="S3" s="170"/>
    </row>
    <row r="4" spans="1:19" x14ac:dyDescent="0.25">
      <c r="A4">
        <v>3</v>
      </c>
      <c r="B4">
        <f t="shared" ref="B4:B37" si="0">B3-1</f>
        <v>310</v>
      </c>
      <c r="C4" s="169">
        <f>VLOOKUP(B4,'LC (Gross)'!$B$16:$J$1000,9,FALSE)</f>
        <v>45961</v>
      </c>
      <c r="D4" s="171">
        <f>VLOOKUP($C4,'LC (Gross)'!$A$16:$H$31000,4,FALSE)/100</f>
        <v>-6.8231271707644111E-4</v>
      </c>
      <c r="E4" s="190">
        <f>VLOOKUP($C4,'LC (Net)'!$A$16:$H$31000,4,FALSE)/100</f>
        <v>-1.2385999129374185E-3</v>
      </c>
      <c r="F4" s="171">
        <f>VLOOKUP($C4,'LC (Gross)'!$J$16:$K$31000,2,FALSE)/100</f>
        <v>2.3413639999999999E-2</v>
      </c>
      <c r="H4" s="171" t="e">
        <f>VLOOKUP($C4,'SC (Gross)'!$A$16:$H$31000,4,FALSE)/100</f>
        <v>#N/A</v>
      </c>
      <c r="I4" s="190" t="e">
        <f>VLOOKUP($C4,'SC (Net)'!$A$16:$H$31000,4,FALSE)/100</f>
        <v>#N/A</v>
      </c>
      <c r="J4" s="171" t="e">
        <f>VLOOKUP($C4,'SC (Gross)'!$J$16:$K$31000,2,FALSE)/100</f>
        <v>#N/A</v>
      </c>
      <c r="L4" s="171">
        <f>VLOOKUP($C4,'Global (Gross)'!$A$16:$H$31000,4,FALSE)/100</f>
        <v>-1.928262E-2</v>
      </c>
      <c r="M4" s="190">
        <f>VLOOKUP($C4,'Global (Net)'!$A$16:$H$31000,4,FALSE)/100</f>
        <v>-1.998262E-2</v>
      </c>
      <c r="N4" s="171">
        <f>VLOOKUP($C4,'Global (Gross)'!$J$16:$K$31000,2,FALSE)/100</f>
        <v>2.255368E-2</v>
      </c>
      <c r="O4" s="171"/>
      <c r="P4" s="170"/>
      <c r="Q4" s="170"/>
      <c r="R4" s="170"/>
      <c r="S4" s="170"/>
    </row>
    <row r="5" spans="1:19" x14ac:dyDescent="0.25">
      <c r="A5">
        <v>4</v>
      </c>
      <c r="B5">
        <f t="shared" si="0"/>
        <v>309</v>
      </c>
      <c r="C5" s="169">
        <f>VLOOKUP(B5,'LC (Gross)'!$B$16:$J$1000,9,FALSE)</f>
        <v>45930</v>
      </c>
      <c r="D5" s="171">
        <f>VLOOKUP($C5,'LC (Gross)'!$A$16:$H$31000,4,FALSE)/100</f>
        <v>1.273984284453792E-2</v>
      </c>
      <c r="E5" s="190">
        <f>VLOOKUP($C5,'LC (Net)'!$A$16:$H$31000,4,FALSE)/100</f>
        <v>1.2208076362087074E-2</v>
      </c>
      <c r="F5" s="171">
        <f>VLOOKUP($C5,'LC (Gross)'!$J$16:$K$31000,2,FALSE)/100</f>
        <v>3.640438E-2</v>
      </c>
      <c r="H5" s="171" t="e">
        <f>VLOOKUP($C5,'SC (Gross)'!$A$16:$H$31000,4,FALSE)/100</f>
        <v>#N/A</v>
      </c>
      <c r="I5" s="190" t="e">
        <f>VLOOKUP($C5,'SC (Net)'!$A$16:$H$31000,4,FALSE)/100</f>
        <v>#N/A</v>
      </c>
      <c r="J5" s="171" t="e">
        <f>VLOOKUP($C5,'SC (Gross)'!$J$16:$K$31000,2,FALSE)/100</f>
        <v>#N/A</v>
      </c>
      <c r="L5" s="171">
        <f>VLOOKUP($C5,'Global (Gross)'!$A$16:$H$31000,4,FALSE)/100</f>
        <v>3.3295689999999996E-2</v>
      </c>
      <c r="M5" s="190">
        <f>VLOOKUP($C5,'Global (Net)'!$A$16:$H$31000,4,FALSE)/100</f>
        <v>3.2595689999999997E-2</v>
      </c>
      <c r="N5" s="171">
        <f>VLOOKUP($C5,'Global (Gross)'!$J$16:$K$31000,2,FALSE)/100</f>
        <v>3.665293E-2</v>
      </c>
      <c r="O5" s="171"/>
      <c r="P5" s="170"/>
      <c r="Q5" s="170"/>
      <c r="R5" s="170"/>
      <c r="S5" s="170"/>
    </row>
    <row r="6" spans="1:19" x14ac:dyDescent="0.25">
      <c r="A6">
        <v>5</v>
      </c>
      <c r="B6">
        <f t="shared" si="0"/>
        <v>308</v>
      </c>
      <c r="C6" s="169">
        <f>VLOOKUP(B6,'LC (Gross)'!$B$16:$J$1000,9,FALSE)</f>
        <v>45900</v>
      </c>
      <c r="D6" s="171">
        <f>VLOOKUP($C6,'LC (Gross)'!$A$16:$H$31000,4,FALSE)/100</f>
        <v>2.7301060489229353E-2</v>
      </c>
      <c r="E6" s="190">
        <f>VLOOKUP($C6,'LC (Net)'!$A$16:$H$31000,4,FALSE)/100</f>
        <v>2.6797035488596386E-2</v>
      </c>
      <c r="F6" s="171">
        <f>VLOOKUP($C6,'LC (Gross)'!$J$16:$K$31000,2,FALSE)/100</f>
        <v>2.0271819999999999E-2</v>
      </c>
      <c r="H6" s="171" t="e">
        <f>VLOOKUP($C6,'SC (Gross)'!$A$16:$H$31000,4,FALSE)/100</f>
        <v>#N/A</v>
      </c>
      <c r="I6" s="190" t="e">
        <f>VLOOKUP($C6,'SC (Net)'!$A$16:$H$31000,4,FALSE)/100</f>
        <v>#N/A</v>
      </c>
      <c r="J6" s="171" t="e">
        <f>VLOOKUP($C6,'SC (Gross)'!$J$16:$K$31000,2,FALSE)/100</f>
        <v>#N/A</v>
      </c>
      <c r="L6" s="171">
        <f>VLOOKUP($C6,'Global (Gross)'!$A$16:$H$31000,4,FALSE)/100</f>
        <v>2.3329969999999998E-2</v>
      </c>
      <c r="M6" s="190">
        <f>VLOOKUP($C6,'Global (Net)'!$A$16:$H$31000,4,FALSE)/100</f>
        <v>2.2629969999999999E-2</v>
      </c>
      <c r="N6" s="171">
        <f>VLOOKUP($C6,'Global (Gross)'!$J$16:$K$31000,2,FALSE)/100</f>
        <v>2.5172910000000003E-2</v>
      </c>
      <c r="O6" s="171"/>
      <c r="P6" s="170"/>
      <c r="Q6" s="170"/>
      <c r="R6" s="170"/>
      <c r="S6" s="170"/>
    </row>
    <row r="7" spans="1:19" x14ac:dyDescent="0.25">
      <c r="A7">
        <v>6</v>
      </c>
      <c r="B7">
        <f t="shared" si="0"/>
        <v>307</v>
      </c>
      <c r="C7" s="169">
        <f>VLOOKUP(B7,'LC (Gross)'!$B$16:$J$1000,9,FALSE)</f>
        <v>45869</v>
      </c>
      <c r="D7" s="171">
        <f>VLOOKUP($C7,'LC (Gross)'!$A$16:$H$31000,4,FALSE)/100</f>
        <v>-3.5865398435556781E-3</v>
      </c>
      <c r="E7" s="190">
        <f>VLOOKUP($C7,'LC (Net)'!$A$16:$H$31000,4,FALSE)/100</f>
        <v>-4.3939681521318963E-3</v>
      </c>
      <c r="F7" s="171">
        <f>VLOOKUP($C7,'LC (Gross)'!$J$16:$K$31000,2,FALSE)/100</f>
        <v>2.2442899999999998E-2</v>
      </c>
      <c r="H7" s="171" t="e">
        <f>VLOOKUP($C7,'SC (Gross)'!$A$16:$H$31000,4,FALSE)/100</f>
        <v>#N/A</v>
      </c>
      <c r="I7" s="190" t="e">
        <f>VLOOKUP($C7,'SC (Net)'!$A$16:$H$31000,4,FALSE)/100</f>
        <v>#N/A</v>
      </c>
      <c r="J7" s="171" t="e">
        <f>VLOOKUP($C7,'SC (Gross)'!$J$16:$K$31000,2,FALSE)/100</f>
        <v>#N/A</v>
      </c>
      <c r="L7" s="171">
        <f>VLOOKUP($C7,'Global (Gross)'!$A$16:$H$31000,4,FALSE)/100</f>
        <v>-2.5795980000000003E-2</v>
      </c>
      <c r="M7" s="190">
        <f>VLOOKUP($C7,'Global (Net)'!$A$16:$H$31000,4,FALSE)/100</f>
        <v>-2.6495980000000002E-2</v>
      </c>
      <c r="N7" s="171">
        <f>VLOOKUP($C7,'Global (Gross)'!$J$16:$K$31000,2,FALSE)/100</f>
        <v>1.3846879999999999E-2</v>
      </c>
      <c r="O7" s="171"/>
      <c r="P7" s="170"/>
      <c r="Q7" s="170"/>
      <c r="R7" s="170"/>
      <c r="S7" s="170"/>
    </row>
    <row r="8" spans="1:19" x14ac:dyDescent="0.25">
      <c r="A8">
        <v>7</v>
      </c>
      <c r="B8">
        <f t="shared" si="0"/>
        <v>306</v>
      </c>
      <c r="C8" s="169">
        <f>VLOOKUP(B8,'LC (Gross)'!$B$16:$J$1000,9,FALSE)</f>
        <v>45838</v>
      </c>
      <c r="D8" s="171">
        <f>VLOOKUP($C8,'LC (Gross)'!$A$16:$H$31000,4,FALSE)/100</f>
        <v>4.8357748879533612E-3</v>
      </c>
      <c r="E8" s="190">
        <f>VLOOKUP($C8,'LC (Net)'!$A$16:$H$31000,4,FALSE)/100</f>
        <v>4.329401489169782E-3</v>
      </c>
      <c r="F8" s="171">
        <f>VLOOKUP($C8,'LC (Gross)'!$J$16:$K$31000,2,FALSE)/100</f>
        <v>5.0848299999999999E-2</v>
      </c>
      <c r="H8" s="171" t="e">
        <f>VLOOKUP($C8,'SC (Gross)'!$A$16:$H$31000,4,FALSE)/100</f>
        <v>#N/A</v>
      </c>
      <c r="I8" s="190" t="e">
        <f>VLOOKUP($C8,'SC (Net)'!$A$16:$H$31000,4,FALSE)/100</f>
        <v>#N/A</v>
      </c>
      <c r="J8" s="171" t="e">
        <f>VLOOKUP($C8,'SC (Gross)'!$J$16:$K$31000,2,FALSE)/100</f>
        <v>#N/A</v>
      </c>
      <c r="L8" s="171">
        <f>VLOOKUP($C8,'Global (Gross)'!$A$16:$H$31000,4,FALSE)/100</f>
        <v>1.122948E-2</v>
      </c>
      <c r="M8" s="190">
        <f>VLOOKUP($C8,'Global (Net)'!$A$16:$H$31000,4,FALSE)/100</f>
        <v>1.0529480000000001E-2</v>
      </c>
      <c r="N8" s="171">
        <f>VLOOKUP($C8,'Global (Gross)'!$J$16:$K$31000,2,FALSE)/100</f>
        <v>4.5320140000000002E-2</v>
      </c>
      <c r="O8" s="171"/>
      <c r="P8" s="170"/>
      <c r="Q8" s="170"/>
      <c r="R8" s="170"/>
      <c r="S8" s="170"/>
    </row>
    <row r="9" spans="1:19" x14ac:dyDescent="0.25">
      <c r="A9">
        <v>8</v>
      </c>
      <c r="B9">
        <f t="shared" si="0"/>
        <v>305</v>
      </c>
      <c r="C9" s="169">
        <f>VLOOKUP(B9,'LC (Gross)'!$B$16:$J$1000,9,FALSE)</f>
        <v>45808</v>
      </c>
      <c r="D9" s="171">
        <f>VLOOKUP($C9,'LC (Gross)'!$A$16:$H$31000,4,FALSE)/100</f>
        <v>1.698246054546064E-2</v>
      </c>
      <c r="E9" s="190">
        <f>VLOOKUP($C9,'LC (Net)'!$A$16:$H$31000,4,FALSE)/100</f>
        <v>1.6469021635570558E-2</v>
      </c>
      <c r="F9" s="171">
        <f>VLOOKUP($C9,'LC (Gross)'!$J$16:$K$31000,2,FALSE)/100</f>
        <v>6.2946189999999999E-2</v>
      </c>
      <c r="H9" s="171" t="e">
        <f>VLOOKUP($C9,'SC (Gross)'!$A$16:$H$31000,4,FALSE)/100</f>
        <v>#N/A</v>
      </c>
      <c r="I9" s="190" t="e">
        <f>VLOOKUP($C9,'SC (Net)'!$A$16:$H$31000,4,FALSE)/100</f>
        <v>#N/A</v>
      </c>
      <c r="J9" s="171" t="e">
        <f>VLOOKUP($C9,'SC (Gross)'!$J$16:$K$31000,2,FALSE)/100</f>
        <v>#N/A</v>
      </c>
      <c r="L9" s="171">
        <f>VLOOKUP($C9,'Global (Gross)'!$A$16:$H$31000,4,FALSE)/100</f>
        <v>2.0019230000000002E-2</v>
      </c>
      <c r="M9" s="190">
        <f>VLOOKUP($C9,'Global (Net)'!$A$16:$H$31000,4,FALSE)/100</f>
        <v>1.931923E-2</v>
      </c>
      <c r="N9" s="171">
        <f>VLOOKUP($C9,'Global (Gross)'!$J$16:$K$31000,2,FALSE)/100</f>
        <v>5.8145300000000004E-2</v>
      </c>
      <c r="O9" s="171"/>
      <c r="P9" s="170"/>
      <c r="Q9" s="170"/>
      <c r="R9" s="170"/>
      <c r="S9" s="170"/>
    </row>
    <row r="10" spans="1:19" x14ac:dyDescent="0.25">
      <c r="A10">
        <v>9</v>
      </c>
      <c r="B10">
        <f t="shared" si="0"/>
        <v>304</v>
      </c>
      <c r="C10" s="169">
        <f>VLOOKUP(B10,'LC (Gross)'!$B$16:$J$1000,9,FALSE)</f>
        <v>45777</v>
      </c>
      <c r="D10" s="171">
        <f>VLOOKUP($C10,'LC (Gross)'!$A$16:$H$31000,4,FALSE)/100</f>
        <v>-1.7007119457187261E-2</v>
      </c>
      <c r="E10" s="190">
        <f>VLOOKUP($C10,'LC (Net)'!$A$16:$H$31000,4,FALSE)/100</f>
        <v>-1.782123317791387E-2</v>
      </c>
      <c r="F10" s="171">
        <f>VLOOKUP($C10,'LC (Gross)'!$J$16:$K$31000,2,FALSE)/100</f>
        <v>-6.781306E-3</v>
      </c>
      <c r="H10" s="171" t="e">
        <f>VLOOKUP($C10,'SC (Gross)'!$A$16:$H$31000,4,FALSE)/100</f>
        <v>#N/A</v>
      </c>
      <c r="I10" s="190" t="e">
        <f>VLOOKUP($C10,'SC (Net)'!$A$16:$H$31000,4,FALSE)/100</f>
        <v>#N/A</v>
      </c>
      <c r="J10" s="171" t="e">
        <f>VLOOKUP($C10,'SC (Gross)'!$J$16:$K$31000,2,FALSE)/100</f>
        <v>#N/A</v>
      </c>
      <c r="L10" s="171">
        <f>VLOOKUP($C10,'Global (Gross)'!$A$16:$H$31000,4,FALSE)/100</f>
        <v>-2.1911760000000002E-4</v>
      </c>
      <c r="M10" s="190">
        <f>VLOOKUP($C10,'Global (Net)'!$A$16:$H$31000,4,FALSE)/100</f>
        <v>-9.1911759999999999E-4</v>
      </c>
      <c r="N10" s="171">
        <f>VLOOKUP($C10,'Global (Gross)'!$J$16:$K$31000,2,FALSE)/100</f>
        <v>9.7781580000000003E-3</v>
      </c>
      <c r="O10" s="171"/>
      <c r="P10" s="170"/>
      <c r="Q10" s="170"/>
      <c r="R10" s="170"/>
      <c r="S10" s="170"/>
    </row>
    <row r="11" spans="1:19" x14ac:dyDescent="0.25">
      <c r="A11">
        <v>10</v>
      </c>
      <c r="B11">
        <f t="shared" si="0"/>
        <v>303</v>
      </c>
      <c r="C11" s="169">
        <f>VLOOKUP(B11,'LC (Gross)'!$B$16:$J$1000,9,FALSE)</f>
        <v>45747</v>
      </c>
      <c r="D11" s="171">
        <f>VLOOKUP($C11,'LC (Gross)'!$A$16:$H$31000,4,FALSE)/100</f>
        <v>-1.6133805033496641E-2</v>
      </c>
      <c r="E11" s="190">
        <f>VLOOKUP($C11,'LC (Net)'!$A$16:$H$31000,4,FALSE)/100</f>
        <v>-1.6640538144661043E-2</v>
      </c>
      <c r="F11" s="171">
        <f>VLOOKUP($C11,'LC (Gross)'!$J$16:$K$31000,2,FALSE)/100</f>
        <v>-5.6343949999999997E-2</v>
      </c>
      <c r="H11" s="171" t="e">
        <f>VLOOKUP($C11,'SC (Gross)'!$A$16:$H$31000,4,FALSE)/100</f>
        <v>#N/A</v>
      </c>
      <c r="I11" s="190" t="e">
        <f>VLOOKUP($C11,'SC (Net)'!$A$16:$H$31000,4,FALSE)/100</f>
        <v>#N/A</v>
      </c>
      <c r="J11" s="171" t="e">
        <f>VLOOKUP($C11,'SC (Gross)'!$J$16:$K$31000,2,FALSE)/100</f>
        <v>#N/A</v>
      </c>
      <c r="L11" s="171">
        <f>VLOOKUP($C11,'Global (Gross)'!$A$16:$H$31000,4,FALSE)/100</f>
        <v>5.0076920000000002E-3</v>
      </c>
      <c r="M11" s="190">
        <f>VLOOKUP($C11,'Global (Net)'!$A$16:$H$31000,4,FALSE)/100</f>
        <v>4.3076920000000001E-3</v>
      </c>
      <c r="N11" s="171">
        <f>VLOOKUP($C11,'Global (Gross)'!$J$16:$K$31000,2,FALSE)/100</f>
        <v>-3.8918849999999998E-2</v>
      </c>
      <c r="O11" s="171"/>
      <c r="P11" s="170"/>
      <c r="Q11" s="170"/>
      <c r="R11" s="170"/>
      <c r="S11" s="170"/>
    </row>
    <row r="12" spans="1:19" x14ac:dyDescent="0.25">
      <c r="A12">
        <v>11</v>
      </c>
      <c r="B12">
        <f t="shared" si="0"/>
        <v>302</v>
      </c>
      <c r="C12" s="169">
        <f>VLOOKUP(B12,'LC (Gross)'!$B$16:$J$1000,9,FALSE)</f>
        <v>45716</v>
      </c>
      <c r="D12" s="171">
        <f>VLOOKUP($C12,'LC (Gross)'!$A$16:$H$31000,4,FALSE)/100</f>
        <v>-9.4939776271251407E-3</v>
      </c>
      <c r="E12" s="190">
        <f>VLOOKUP($C12,'LC (Net)'!$A$16:$H$31000,4,FALSE)/100</f>
        <v>-1.0010633566326886E-2</v>
      </c>
      <c r="F12" s="171">
        <f>VLOOKUP($C12,'LC (Gross)'!$J$16:$K$31000,2,FALSE)/100</f>
        <v>-1.304958E-2</v>
      </c>
      <c r="H12" s="171" t="e">
        <f>VLOOKUP($C12,'SC (Gross)'!$A$16:$H$31000,4,FALSE)/100</f>
        <v>#N/A</v>
      </c>
      <c r="I12" s="190" t="e">
        <f>VLOOKUP($C12,'SC (Net)'!$A$16:$H$31000,4,FALSE)/100</f>
        <v>#N/A</v>
      </c>
      <c r="J12" s="171" t="e">
        <f>VLOOKUP($C12,'SC (Gross)'!$J$16:$K$31000,2,FALSE)/100</f>
        <v>#N/A</v>
      </c>
      <c r="L12" s="171">
        <f>VLOOKUP($C12,'Global (Gross)'!$A$16:$H$31000,4,FALSE)/100</f>
        <v>1.347657E-2</v>
      </c>
      <c r="M12" s="190">
        <f>VLOOKUP($C12,'Global (Net)'!$A$16:$H$31000,4,FALSE)/100</f>
        <v>1.2776570000000001E-2</v>
      </c>
      <c r="N12" s="171">
        <f>VLOOKUP($C12,'Global (Gross)'!$J$16:$K$31000,2,FALSE)/100</f>
        <v>-5.7200150000000002E-3</v>
      </c>
      <c r="O12" s="171"/>
      <c r="P12" s="170"/>
      <c r="Q12" s="170"/>
      <c r="R12" s="170"/>
      <c r="S12" s="170"/>
    </row>
    <row r="13" spans="1:19" x14ac:dyDescent="0.25">
      <c r="A13">
        <v>12</v>
      </c>
      <c r="B13">
        <f t="shared" si="0"/>
        <v>301</v>
      </c>
      <c r="C13" s="169">
        <f>VLOOKUP(B13,'LC (Gross)'!$B$16:$J$1000,9,FALSE)</f>
        <v>45688</v>
      </c>
      <c r="D13" s="171">
        <f>VLOOKUP($C13,'LC (Gross)'!$A$16:$H$31000,4,FALSE)/100</f>
        <v>4.4176273945455528E-2</v>
      </c>
      <c r="E13" s="190">
        <f>VLOOKUP($C13,'LC (Net)'!$A$16:$H$31000,4,FALSE)/100</f>
        <v>4.3370980910674733E-2</v>
      </c>
      <c r="F13" s="171">
        <f>VLOOKUP($C13,'LC (Gross)'!$J$16:$K$31000,2,FALSE)/100</f>
        <v>2.7792780000000003E-2</v>
      </c>
      <c r="H13" s="171" t="e">
        <f>VLOOKUP($C13,'SC (Gross)'!$A$16:$H$31000,4,FALSE)/100</f>
        <v>#N/A</v>
      </c>
      <c r="I13" s="190" t="e">
        <f>VLOOKUP($C13,'SC (Net)'!$A$16:$H$31000,4,FALSE)/100</f>
        <v>#N/A</v>
      </c>
      <c r="J13" s="171" t="e">
        <f>VLOOKUP($C13,'SC (Gross)'!$J$16:$K$31000,2,FALSE)/100</f>
        <v>#N/A</v>
      </c>
      <c r="L13" s="171">
        <f>VLOOKUP($C13,'Global (Gross)'!$A$16:$H$31000,4,FALSE)/100</f>
        <v>2.593962E-2</v>
      </c>
      <c r="M13" s="190">
        <f>VLOOKUP($C13,'Global (Net)'!$A$16:$H$31000,4,FALSE)/100</f>
        <v>2.5239620000000001E-2</v>
      </c>
      <c r="N13" s="171">
        <f>VLOOKUP($C13,'Global (Gross)'!$J$16:$K$31000,2,FALSE)/100</f>
        <v>3.3814129999999998E-2</v>
      </c>
      <c r="O13" s="171"/>
      <c r="P13" s="170"/>
      <c r="Q13" s="170"/>
      <c r="R13" s="170"/>
      <c r="S13" s="170"/>
    </row>
    <row r="14" spans="1:19" x14ac:dyDescent="0.25">
      <c r="A14">
        <v>13</v>
      </c>
      <c r="B14">
        <f t="shared" si="0"/>
        <v>300</v>
      </c>
      <c r="C14" s="169">
        <f>VLOOKUP(B14,'LC (Gross)'!$B$16:$J$1000,9,FALSE)</f>
        <v>45657</v>
      </c>
      <c r="D14" s="171">
        <f>VLOOKUP($C14,'LC (Gross)'!$A$16:$H$31000,4,FALSE)/100</f>
        <v>-4.7396585490156309E-2</v>
      </c>
      <c r="E14" s="190">
        <f>VLOOKUP($C14,'LC (Net)'!$A$16:$H$31000,4,FALSE)/100</f>
        <v>-4.7917593802191495E-2</v>
      </c>
      <c r="F14" s="171">
        <f>VLOOKUP($C14,'LC (Gross)'!$J$16:$K$31000,2,FALSE)/100</f>
        <v>-2.3912279999999998E-2</v>
      </c>
      <c r="H14" s="171">
        <f>VLOOKUP($C14,'SC (Gross)'!$A$16:$H$31000,4,FALSE)/100</f>
        <v>0</v>
      </c>
      <c r="I14" s="190" t="e">
        <f>VLOOKUP($C14,'SC (Net)'!$A$16:$H$31000,4,FALSE)/100</f>
        <v>#N/A</v>
      </c>
      <c r="J14" s="171">
        <f>VLOOKUP($C14,'SC (Gross)'!$J$16:$K$31000,2,FALSE)/100</f>
        <v>-8.2611580000000004E-2</v>
      </c>
      <c r="L14" s="171">
        <f>VLOOKUP($C14,'Global (Gross)'!$A$16:$H$31000,4,FALSE)/100</f>
        <v>-3.837873E-2</v>
      </c>
      <c r="M14" s="190">
        <f>VLOOKUP($C14,'Global (Net)'!$A$16:$H$31000,4,FALSE)/100</f>
        <v>-3.9078729999999999E-2</v>
      </c>
      <c r="N14" s="171">
        <f>VLOOKUP($C14,'Global (Gross)'!$J$16:$K$31000,2,FALSE)/100</f>
        <v>-2.3337799999999999E-2</v>
      </c>
      <c r="O14" s="171"/>
      <c r="P14" s="170"/>
      <c r="Q14" s="170"/>
      <c r="R14" s="170"/>
      <c r="S14" s="170"/>
    </row>
    <row r="15" spans="1:19" x14ac:dyDescent="0.25">
      <c r="A15">
        <v>14</v>
      </c>
      <c r="B15">
        <f t="shared" si="0"/>
        <v>299</v>
      </c>
      <c r="C15" s="169">
        <f>VLOOKUP(B15,'LC (Gross)'!$B$16:$J$1000,9,FALSE)</f>
        <v>45626</v>
      </c>
      <c r="D15" s="171">
        <f>VLOOKUP($C15,'LC (Gross)'!$A$16:$H$31000,4,FALSE)/100</f>
        <v>7.127046480052722E-2</v>
      </c>
      <c r="E15" s="190">
        <f>VLOOKUP($C15,'LC (Net)'!$A$16:$H$31000,4,FALSE)/100</f>
        <v>7.0755668790189269E-2</v>
      </c>
      <c r="F15" s="171">
        <f>VLOOKUP($C15,'LC (Gross)'!$J$16:$K$31000,2,FALSE)/100</f>
        <v>5.8699979999999999E-2</v>
      </c>
      <c r="H15" s="171">
        <f>VLOOKUP($C15,'SC (Gross)'!$A$16:$H$31000,4,FALSE)/100</f>
        <v>0</v>
      </c>
      <c r="I15" s="190" t="e">
        <f>VLOOKUP($C15,'SC (Net)'!$A$16:$H$31000,4,FALSE)/100</f>
        <v>#N/A</v>
      </c>
      <c r="J15" s="171">
        <f>VLOOKUP($C15,'SC (Gross)'!$J$16:$K$31000,2,FALSE)/100</f>
        <v>0.10966110000000001</v>
      </c>
      <c r="L15" s="171">
        <f>VLOOKUP($C15,'Global (Gross)'!$A$16:$H$31000,4,FALSE)/100</f>
        <v>4.0504829999999999E-2</v>
      </c>
      <c r="M15" s="190">
        <f>VLOOKUP($C15,'Global (Net)'!$A$16:$H$31000,4,FALSE)/100</f>
        <v>3.9804829999999999E-2</v>
      </c>
      <c r="N15" s="171">
        <f>VLOOKUP($C15,'Global (Gross)'!$J$16:$K$31000,2,FALSE)/100</f>
        <v>3.7734209999999997E-2</v>
      </c>
      <c r="O15" s="171"/>
      <c r="P15" s="170"/>
      <c r="Q15" s="170"/>
      <c r="R15" s="170"/>
      <c r="S15" s="170"/>
    </row>
    <row r="16" spans="1:19" x14ac:dyDescent="0.25">
      <c r="A16">
        <v>15</v>
      </c>
      <c r="B16">
        <f t="shared" si="0"/>
        <v>298</v>
      </c>
      <c r="C16" s="169">
        <f>VLOOKUP(B16,'LC (Gross)'!$B$16:$J$1000,9,FALSE)</f>
        <v>45596</v>
      </c>
      <c r="D16" s="171">
        <f>VLOOKUP($C16,'LC (Gross)'!$A$16:$H$31000,4,FALSE)/100</f>
        <v>-2.837943522339902E-2</v>
      </c>
      <c r="E16" s="190">
        <f>VLOOKUP($C16,'LC (Net)'!$A$16:$H$31000,4,FALSE)/100</f>
        <v>-2.8920142538052706E-2</v>
      </c>
      <c r="F16" s="171">
        <f>VLOOKUP($C16,'LC (Gross)'!$J$16:$K$31000,2,FALSE)/100</f>
        <v>-9.1531749999999995E-3</v>
      </c>
      <c r="H16" s="171">
        <f>VLOOKUP($C16,'SC (Gross)'!$A$16:$H$31000,4,FALSE)/100</f>
        <v>0</v>
      </c>
      <c r="I16" s="190" t="e">
        <f>VLOOKUP($C16,'SC (Net)'!$A$16:$H$31000,4,FALSE)/100</f>
        <v>#N/A</v>
      </c>
      <c r="J16" s="171">
        <f>VLOOKUP($C16,'SC (Gross)'!$J$16:$K$31000,2,FALSE)/100</f>
        <v>-1.444409E-2</v>
      </c>
      <c r="L16" s="171">
        <f>VLOOKUP($C16,'Global (Gross)'!$A$16:$H$31000,4,FALSE)/100</f>
        <v>-3.4005010000000002E-2</v>
      </c>
      <c r="M16" s="190">
        <f>VLOOKUP($C16,'Global (Net)'!$A$16:$H$31000,4,FALSE)/100</f>
        <v>-3.4705010000000001E-2</v>
      </c>
      <c r="N16" s="171">
        <f>VLOOKUP($C16,'Global (Gross)'!$J$16:$K$31000,2,FALSE)/100</f>
        <v>-2.211631E-2</v>
      </c>
      <c r="O16" s="171"/>
      <c r="P16" s="170"/>
      <c r="Q16" s="170"/>
      <c r="R16" s="170"/>
      <c r="S16" s="170"/>
    </row>
    <row r="17" spans="1:23" x14ac:dyDescent="0.25">
      <c r="A17">
        <v>16</v>
      </c>
      <c r="B17">
        <f t="shared" si="0"/>
        <v>297</v>
      </c>
      <c r="C17" s="169">
        <f>VLOOKUP(B17,'LC (Gross)'!$B$16:$J$1000,9,FALSE)</f>
        <v>45565</v>
      </c>
      <c r="D17" s="171">
        <f>VLOOKUP($C17,'LC (Gross)'!$A$16:$H$31000,4,FALSE)/100</f>
        <v>4.1410713689470063E-3</v>
      </c>
      <c r="E17" s="190">
        <f>VLOOKUP($C17,'LC (Net)'!$A$16:$H$31000,4,FALSE)/100</f>
        <v>3.6247302426418125E-3</v>
      </c>
      <c r="F17" s="171">
        <f>VLOOKUP($C17,'LC (Gross)'!$J$16:$K$31000,2,FALSE)/100</f>
        <v>2.1354150000000002E-2</v>
      </c>
      <c r="H17" s="171">
        <f>VLOOKUP($C17,'SC (Gross)'!$A$16:$H$31000,4,FALSE)/100</f>
        <v>0</v>
      </c>
      <c r="I17" s="190" t="e">
        <f>VLOOKUP($C17,'SC (Net)'!$A$16:$H$31000,4,FALSE)/100</f>
        <v>#N/A</v>
      </c>
      <c r="J17" s="171">
        <f>VLOOKUP($C17,'SC (Gross)'!$J$16:$K$31000,2,FALSE)/100</f>
        <v>6.9889100000000001E-3</v>
      </c>
      <c r="L17" s="171">
        <f>VLOOKUP($C17,'Global (Gross)'!$A$16:$H$31000,4,FALSE)/100</f>
        <v>2.0445989999999992E-4</v>
      </c>
      <c r="M17" s="190">
        <f>VLOOKUP($C17,'Global (Net)'!$A$16:$H$31000,4,FALSE)/100</f>
        <v>-4.9554010000000008E-4</v>
      </c>
      <c r="N17" s="171">
        <f>VLOOKUP($C17,'Global (Gross)'!$J$16:$K$31000,2,FALSE)/100</f>
        <v>2.3676279999999997E-2</v>
      </c>
      <c r="O17" s="171"/>
      <c r="P17" s="170"/>
      <c r="Q17" s="170"/>
      <c r="R17" s="170"/>
      <c r="S17" s="170"/>
    </row>
    <row r="18" spans="1:23" x14ac:dyDescent="0.25">
      <c r="A18">
        <v>17</v>
      </c>
      <c r="B18">
        <f t="shared" si="0"/>
        <v>296</v>
      </c>
      <c r="C18" s="169">
        <f>VLOOKUP(B18,'LC (Gross)'!$B$16:$J$1000,9,FALSE)</f>
        <v>45535</v>
      </c>
      <c r="D18" s="171">
        <f>VLOOKUP($C18,'LC (Gross)'!$A$16:$H$31000,4,FALSE)/100</f>
        <v>5.0407000699022798E-2</v>
      </c>
      <c r="E18" s="190">
        <f>VLOOKUP($C18,'LC (Net)'!$A$16:$H$31000,4,FALSE)/100</f>
        <v>4.9884144927988247E-2</v>
      </c>
      <c r="F18" s="171">
        <f>VLOOKUP($C18,'LC (Gross)'!$J$16:$K$31000,2,FALSE)/100</f>
        <v>2.4257540000000001E-2</v>
      </c>
      <c r="H18" s="171">
        <f>VLOOKUP($C18,'SC (Gross)'!$A$16:$H$31000,4,FALSE)/100</f>
        <v>0</v>
      </c>
      <c r="I18" s="190" t="e">
        <f>VLOOKUP($C18,'SC (Net)'!$A$16:$H$31000,4,FALSE)/100</f>
        <v>#N/A</v>
      </c>
      <c r="J18" s="171">
        <f>VLOOKUP($C18,'SC (Gross)'!$J$16:$K$31000,2,FALSE)/100</f>
        <v>-1.4953719999999998E-2</v>
      </c>
      <c r="L18" s="171">
        <f>VLOOKUP($C18,'Global (Gross)'!$A$16:$H$31000,4,FALSE)/100</f>
        <v>3.7140227881264122E-2</v>
      </c>
      <c r="M18" s="190">
        <f>VLOOKUP($C18,'Global (Net)'!$A$16:$H$31000,4,FALSE)/100</f>
        <v>3.6476639369329274E-2</v>
      </c>
      <c r="N18" s="171">
        <f>VLOOKUP($C18,'Global (Gross)'!$J$16:$K$31000,2,FALSE)/100</f>
        <v>2.5737969999999999E-2</v>
      </c>
      <c r="O18" s="171"/>
      <c r="P18" s="170"/>
      <c r="Q18" s="170"/>
      <c r="R18" s="170"/>
      <c r="S18" s="170"/>
    </row>
    <row r="19" spans="1:23" x14ac:dyDescent="0.25">
      <c r="A19">
        <v>18</v>
      </c>
      <c r="B19">
        <f t="shared" si="0"/>
        <v>295</v>
      </c>
      <c r="C19" s="169">
        <f>VLOOKUP(B19,'LC (Gross)'!$B$16:$J$1000,9,FALSE)</f>
        <v>45504</v>
      </c>
      <c r="D19" s="171">
        <f>VLOOKUP($C19,'LC (Gross)'!$A$16:$H$31000,4,FALSE)/100</f>
        <v>2.831799119855178E-2</v>
      </c>
      <c r="E19" s="190">
        <f>VLOOKUP($C19,'LC (Net)'!$A$16:$H$31000,4,FALSE)/100</f>
        <v>2.7279068047180388E-2</v>
      </c>
      <c r="F19" s="171">
        <f>VLOOKUP($C19,'LC (Gross)'!$J$16:$K$31000,2,FALSE)/100</f>
        <v>1.2172529999999999E-2</v>
      </c>
      <c r="H19" s="171">
        <f>VLOOKUP($C19,'SC (Gross)'!$A$16:$H$31000,4,FALSE)/100</f>
        <v>0</v>
      </c>
      <c r="I19" s="190" t="e">
        <f>VLOOKUP($C19,'SC (Net)'!$A$16:$H$31000,4,FALSE)/100</f>
        <v>#N/A</v>
      </c>
      <c r="J19" s="171">
        <f>VLOOKUP($C19,'SC (Gross)'!$J$16:$K$31000,2,FALSE)/100</f>
        <v>0.1015991</v>
      </c>
      <c r="L19" s="171">
        <f>VLOOKUP($C19,'Global (Gross)'!$A$16:$H$31000,4,FALSE)/100</f>
        <v>2.6325542624837085E-2</v>
      </c>
      <c r="M19" s="190">
        <f>VLOOKUP($C19,'Global (Net)'!$A$16:$H$31000,4,FALSE)/100</f>
        <v>2.5553737156955223E-2</v>
      </c>
      <c r="N19" s="171">
        <f>VLOOKUP($C19,'Global (Gross)'!$J$16:$K$31000,2,FALSE)/100</f>
        <v>1.6436079999999999E-2</v>
      </c>
      <c r="O19" s="171"/>
      <c r="P19" s="170"/>
      <c r="Q19" s="170"/>
      <c r="R19" s="170"/>
      <c r="S19" s="170"/>
      <c r="U19" s="172"/>
      <c r="V19" s="172"/>
      <c r="W19" s="173"/>
    </row>
    <row r="20" spans="1:23" x14ac:dyDescent="0.25">
      <c r="A20">
        <v>19</v>
      </c>
      <c r="B20">
        <f t="shared" si="0"/>
        <v>294</v>
      </c>
      <c r="C20" s="169">
        <f>VLOOKUP(B20,'LC (Gross)'!$B$16:$J$1000,9,FALSE)</f>
        <v>45473</v>
      </c>
      <c r="D20" s="171">
        <f>VLOOKUP($C20,'LC (Gross)'!$A$16:$H$31000,4,FALSE)/100</f>
        <v>1.9618040202060379E-2</v>
      </c>
      <c r="E20" s="190">
        <f>VLOOKUP($C20,'LC (Net)'!$A$16:$H$31000,4,FALSE)/100</f>
        <v>1.9181031885381162E-2</v>
      </c>
      <c r="F20" s="171">
        <f>VLOOKUP($C20,'LC (Gross)'!$J$16:$K$31000,2,FALSE)/100</f>
        <v>3.5878790000000001E-2</v>
      </c>
      <c r="H20" s="171">
        <f>VLOOKUP($C20,'SC (Gross)'!$A$16:$H$31000,4,FALSE)/100</f>
        <v>0</v>
      </c>
      <c r="I20" s="190">
        <f>VLOOKUP($C20,'SC (Net)'!$A$16:$H$31000,4,FALSE)/100</f>
        <v>0</v>
      </c>
      <c r="J20" s="171">
        <f>VLOOKUP($C20,'SC (Gross)'!$J$16:$K$31000,2,FALSE)/100</f>
        <v>-9.264521999999999E-3</v>
      </c>
      <c r="L20" s="171">
        <f>VLOOKUP($C20,'Global (Gross)'!$A$16:$H$31000,4,FALSE)/100</f>
        <v>2.9304903650030998E-3</v>
      </c>
      <c r="M20" s="190">
        <f>VLOOKUP($C20,'Global (Net)'!$A$16:$H$31000,4,FALSE)/100</f>
        <v>2.2657466972229178E-3</v>
      </c>
      <c r="N20" s="171">
        <f>VLOOKUP($C20,'Global (Gross)'!$J$16:$K$31000,2,FALSE)/100</f>
        <v>2.2624209999999999E-2</v>
      </c>
      <c r="O20" s="171"/>
      <c r="P20" s="170"/>
      <c r="Q20" s="170"/>
      <c r="R20" s="170"/>
      <c r="S20" s="170"/>
    </row>
    <row r="21" spans="1:23" x14ac:dyDescent="0.25">
      <c r="A21">
        <v>20</v>
      </c>
      <c r="B21">
        <f t="shared" si="0"/>
        <v>293</v>
      </c>
      <c r="C21" s="169">
        <f>VLOOKUP(B21,'LC (Gross)'!$B$16:$J$1000,9,FALSE)</f>
        <v>45443</v>
      </c>
      <c r="D21" s="171">
        <f>VLOOKUP($C21,'LC (Gross)'!$A$16:$H$31000,4,FALSE)/100</f>
        <v>3.6816566581423862E-2</v>
      </c>
      <c r="E21" s="190">
        <f>VLOOKUP($C21,'LC (Net)'!$A$16:$H$31000,4,FALSE)/100</f>
        <v>3.6378928867356414E-2</v>
      </c>
      <c r="F21" s="171">
        <f>VLOOKUP($C21,'LC (Gross)'!$J$16:$K$31000,2,FALSE)/100</f>
        <v>4.9585549999999999E-2</v>
      </c>
      <c r="H21" s="171">
        <f>VLOOKUP($C21,'SC (Gross)'!$A$16:$H$31000,4,FALSE)/100</f>
        <v>0</v>
      </c>
      <c r="I21" s="190">
        <f>VLOOKUP($C21,'SC (Net)'!$A$16:$H$31000,4,FALSE)/100</f>
        <v>0</v>
      </c>
      <c r="J21" s="171">
        <f>VLOOKUP($C21,'SC (Gross)'!$J$16:$K$31000,2,FALSE)/100</f>
        <v>5.0208769999999993E-2</v>
      </c>
      <c r="L21" s="171">
        <f>VLOOKUP($C21,'Global (Gross)'!$A$16:$H$31000,4,FALSE)/100</f>
        <v>2.3062300727677544E-2</v>
      </c>
      <c r="M21" s="190">
        <f>VLOOKUP($C21,'Global (Net)'!$A$16:$H$31000,4,FALSE)/100</f>
        <v>2.241124428223196E-2</v>
      </c>
      <c r="N21" s="171">
        <f>VLOOKUP($C21,'Global (Gross)'!$J$16:$K$31000,2,FALSE)/100</f>
        <v>4.1195639999999999E-2</v>
      </c>
      <c r="O21" s="171"/>
      <c r="P21" s="170"/>
      <c r="Q21" s="170"/>
      <c r="R21" s="170"/>
      <c r="S21" s="170"/>
      <c r="U21" s="172"/>
    </row>
    <row r="22" spans="1:23" x14ac:dyDescent="0.25">
      <c r="A22">
        <v>21</v>
      </c>
      <c r="B22">
        <f t="shared" si="0"/>
        <v>292</v>
      </c>
      <c r="C22" s="169">
        <f>VLOOKUP(B22,'LC (Gross)'!$B$16:$J$1000,9,FALSE)</f>
        <v>45412</v>
      </c>
      <c r="D22" s="171">
        <f>VLOOKUP($C22,'LC (Gross)'!$A$16:$H$31000,4,FALSE)/100</f>
        <v>-3.9984913813974933E-2</v>
      </c>
      <c r="E22" s="190">
        <f>VLOOKUP($C22,'LC (Net)'!$A$16:$H$31000,4,FALSE)/100</f>
        <v>-4.0443709388205719E-2</v>
      </c>
      <c r="F22" s="171">
        <f>VLOOKUP($C22,'LC (Gross)'!$J$16:$K$31000,2,FALSE)/100</f>
        <v>-4.0844069999999996E-2</v>
      </c>
      <c r="H22" s="171">
        <f>VLOOKUP($C22,'SC (Gross)'!$A$16:$H$31000,4,FALSE)/100</f>
        <v>0</v>
      </c>
      <c r="I22" s="190">
        <f>VLOOKUP($C22,'SC (Net)'!$A$16:$H$31000,4,FALSE)/100</f>
        <v>0</v>
      </c>
      <c r="J22" s="171">
        <f>VLOOKUP($C22,'SC (Gross)'!$J$16:$K$31000,2,FALSE)/100</f>
        <v>-7.038266E-2</v>
      </c>
      <c r="L22" s="171">
        <f>VLOOKUP($C22,'Global (Gross)'!$A$16:$H$31000,4,FALSE)/100</f>
        <v>-2.5710239003672513E-2</v>
      </c>
      <c r="M22" s="190">
        <f>VLOOKUP($C22,'Global (Net)'!$A$16:$H$31000,4,FALSE)/100</f>
        <v>-2.6488353266014744E-2</v>
      </c>
      <c r="N22" s="171">
        <f>VLOOKUP($C22,'Global (Gross)'!$J$16:$K$31000,2,FALSE)/100</f>
        <v>-3.2620160000000002E-2</v>
      </c>
      <c r="O22" s="171"/>
      <c r="P22" s="170"/>
      <c r="Q22" s="170"/>
      <c r="R22" s="170"/>
      <c r="S22" s="170"/>
    </row>
    <row r="23" spans="1:23" x14ac:dyDescent="0.25">
      <c r="A23">
        <v>22</v>
      </c>
      <c r="B23">
        <f t="shared" si="0"/>
        <v>291</v>
      </c>
      <c r="C23" s="169">
        <f>VLOOKUP(B23,'LC (Gross)'!$B$16:$J$1000,9,FALSE)</f>
        <v>45382</v>
      </c>
      <c r="D23" s="171">
        <f>VLOOKUP($C23,'LC (Gross)'!$A$16:$H$31000,4,FALSE)/100</f>
        <v>3.4650632662020259E-2</v>
      </c>
      <c r="E23" s="190">
        <f>VLOOKUP($C23,'LC (Net)'!$A$16:$H$31000,4,FALSE)/100</f>
        <v>3.4274537616093212E-2</v>
      </c>
      <c r="F23" s="171">
        <f>VLOOKUP($C23,'LC (Gross)'!$J$16:$K$31000,2,FALSE)/100</f>
        <v>3.2173630000000002E-2</v>
      </c>
      <c r="H23" s="171">
        <f>VLOOKUP($C23,'SC (Gross)'!$A$16:$H$31000,4,FALSE)/100</f>
        <v>0</v>
      </c>
      <c r="I23" s="190">
        <f>VLOOKUP($C23,'SC (Net)'!$A$16:$H$31000,4,FALSE)/100</f>
        <v>0</v>
      </c>
      <c r="J23" s="171">
        <f>VLOOKUP($C23,'SC (Gross)'!$J$16:$K$31000,2,FALSE)/100</f>
        <v>3.5787600000000003E-2</v>
      </c>
      <c r="L23" s="171">
        <f>VLOOKUP($C23,'Global (Gross)'!$A$16:$H$31000,4,FALSE)/100</f>
        <v>3.1532220903994573E-2</v>
      </c>
      <c r="M23" s="190">
        <f>VLOOKUP($C23,'Global (Net)'!$A$16:$H$31000,4,FALSE)/100</f>
        <v>3.0864815180447321E-2</v>
      </c>
      <c r="N23" s="171">
        <f>VLOOKUP($C23,'Global (Gross)'!$J$16:$K$31000,2,FALSE)/100</f>
        <v>3.2044410000000002E-2</v>
      </c>
      <c r="O23" s="171"/>
      <c r="P23" s="170"/>
      <c r="Q23" s="170"/>
      <c r="R23" s="170"/>
      <c r="S23" s="170"/>
    </row>
    <row r="24" spans="1:23" x14ac:dyDescent="0.25">
      <c r="A24">
        <v>23</v>
      </c>
      <c r="B24">
        <f t="shared" si="0"/>
        <v>290</v>
      </c>
      <c r="C24" s="169">
        <f>VLOOKUP(B24,'LC (Gross)'!$B$16:$J$1000,9,FALSE)</f>
        <v>45351</v>
      </c>
      <c r="D24" s="171">
        <f>VLOOKUP($C24,'LC (Gross)'!$A$16:$H$31000,4,FALSE)/100</f>
        <v>3.3854661954757725E-2</v>
      </c>
      <c r="E24" s="190">
        <f>VLOOKUP($C24,'LC (Net)'!$A$16:$H$31000,4,FALSE)/100</f>
        <v>3.3854661954757725E-2</v>
      </c>
      <c r="F24" s="171">
        <f>VLOOKUP($C24,'LC (Gross)'!$J$16:$K$31000,2,FALSE)/100</f>
        <v>5.3395100000000001E-2</v>
      </c>
      <c r="H24" s="171">
        <f>VLOOKUP($C24,'SC (Gross)'!$A$16:$H$31000,4,FALSE)/100</f>
        <v>0</v>
      </c>
      <c r="I24" s="190">
        <f>VLOOKUP($C24,'SC (Net)'!$A$16:$H$31000,4,FALSE)/100</f>
        <v>0</v>
      </c>
      <c r="J24" s="171">
        <f>VLOOKUP($C24,'SC (Gross)'!$J$16:$K$31000,2,FALSE)/100</f>
        <v>5.6506040000000007E-2</v>
      </c>
      <c r="L24" s="171">
        <f>VLOOKUP($C24,'Global (Gross)'!$A$16:$H$31000,4,FALSE)/100</f>
        <v>2.7640462105890041E-2</v>
      </c>
      <c r="M24" s="190">
        <f>VLOOKUP($C24,'Global (Net)'!$A$16:$H$31000,4,FALSE)/100</f>
        <v>2.6971585671766499E-2</v>
      </c>
      <c r="N24" s="171">
        <f>VLOOKUP($C24,'Global (Gross)'!$J$16:$K$31000,2,FALSE)/100</f>
        <v>4.3309620000000007E-2</v>
      </c>
      <c r="O24" s="171"/>
      <c r="P24" s="170"/>
      <c r="Q24" s="170"/>
      <c r="R24" s="170"/>
      <c r="S24" s="170"/>
    </row>
    <row r="25" spans="1:23" x14ac:dyDescent="0.25">
      <c r="A25">
        <v>24</v>
      </c>
      <c r="B25">
        <f t="shared" si="0"/>
        <v>289</v>
      </c>
      <c r="C25" s="169">
        <f>VLOOKUP(B25,'LC (Gross)'!$B$16:$J$1000,9,FALSE)</f>
        <v>45322</v>
      </c>
      <c r="D25" s="171">
        <f>VLOOKUP($C25,'LC (Gross)'!$A$16:$H$31000,4,FALSE)/100</f>
        <v>2.631801198476685E-2</v>
      </c>
      <c r="E25" s="190">
        <f>VLOOKUP($C25,'LC (Net)'!$A$16:$H$31000,4,FALSE)/100</f>
        <v>2.5760914411812247E-2</v>
      </c>
      <c r="F25" s="171">
        <f>VLOOKUP($C25,'LC (Gross)'!$J$16:$K$31000,2,FALSE)/100</f>
        <v>1.679361E-2</v>
      </c>
      <c r="H25" s="171">
        <f>VLOOKUP($C25,'SC (Gross)'!$A$16:$H$31000,4,FALSE)/100</f>
        <v>0</v>
      </c>
      <c r="I25" s="190">
        <f>VLOOKUP($C25,'SC (Net)'!$A$16:$H$31000,4,FALSE)/100</f>
        <v>0</v>
      </c>
      <c r="J25" s="171">
        <f>VLOOKUP($C25,'SC (Gross)'!$J$16:$K$31000,2,FALSE)/100</f>
        <v>-3.8897680000000004E-2</v>
      </c>
      <c r="L25" s="171">
        <f>VLOOKUP($C25,'Global (Gross)'!$A$16:$H$31000,4,FALSE)/100</f>
        <v>9.978642695839526E-3</v>
      </c>
      <c r="M25" s="190">
        <f>VLOOKUP($C25,'Global (Net)'!$A$16:$H$31000,4,FALSE)/100</f>
        <v>9.2289443191436414E-3</v>
      </c>
      <c r="N25" s="171">
        <f>VLOOKUP($C25,'Global (Gross)'!$J$16:$K$31000,2,FALSE)/100</f>
        <v>6.0940530000000003E-3</v>
      </c>
      <c r="O25" s="171"/>
      <c r="P25" s="170"/>
      <c r="Q25" s="170"/>
      <c r="R25" s="170"/>
      <c r="S25" s="170"/>
    </row>
    <row r="26" spans="1:23" x14ac:dyDescent="0.25">
      <c r="A26">
        <v>25</v>
      </c>
      <c r="B26">
        <f t="shared" si="0"/>
        <v>288</v>
      </c>
      <c r="C26" s="169">
        <f>VLOOKUP(B26,'LC (Gross)'!$B$16:$J$1000,9,FALSE)</f>
        <v>45291</v>
      </c>
      <c r="D26" s="171">
        <f>VLOOKUP($C26,'LC (Gross)'!$A$16:$H$31000,4,FALSE)/100</f>
        <v>3.6510591214129487E-2</v>
      </c>
      <c r="E26" s="190">
        <f>VLOOKUP($C26,'LC (Net)'!$A$16:$H$31000,4,FALSE)/100</f>
        <v>3.5955201526564111E-2</v>
      </c>
      <c r="F26" s="171">
        <f>VLOOKUP($C26,'LC (Gross)'!$J$16:$K$31000,2,FALSE)/100</f>
        <v>4.5311299999999999E-2</v>
      </c>
      <c r="H26" s="171">
        <f>VLOOKUP($C26,'SC (Gross)'!$A$16:$H$31000,4,FALSE)/100</f>
        <v>9.408496999999999E-2</v>
      </c>
      <c r="I26" s="190">
        <f>VLOOKUP($C26,'SC (Net)'!$A$16:$H$31000,4,FALSE)/100</f>
        <v>9.3059969999999992E-2</v>
      </c>
      <c r="J26" s="171">
        <f>VLOOKUP($C26,'SC (Gross)'!$J$16:$K$31000,2,FALSE)/100</f>
        <v>0.1223072</v>
      </c>
      <c r="L26" s="171">
        <f>VLOOKUP($C26,'Global (Gross)'!$A$16:$H$31000,4,FALSE)/100</f>
        <v>3.7169089155897908E-2</v>
      </c>
      <c r="M26" s="190">
        <f>VLOOKUP($C26,'Global (Net)'!$A$16:$H$31000,4,FALSE)/100</f>
        <v>3.6500408411167203E-2</v>
      </c>
      <c r="N26" s="171">
        <f>VLOOKUP($C26,'Global (Gross)'!$J$16:$K$31000,2,FALSE)/100</f>
        <v>4.8394820000000005E-2</v>
      </c>
      <c r="O26" s="171"/>
      <c r="P26" s="170"/>
      <c r="Q26" s="170"/>
      <c r="R26" s="170"/>
      <c r="S26" s="170"/>
    </row>
    <row r="27" spans="1:23" x14ac:dyDescent="0.25">
      <c r="A27">
        <v>26</v>
      </c>
      <c r="B27">
        <f t="shared" si="0"/>
        <v>287</v>
      </c>
      <c r="C27" s="169">
        <f>VLOOKUP(B27,'LC (Gross)'!$B$16:$J$1000,9,FALSE)</f>
        <v>45260</v>
      </c>
      <c r="D27" s="171">
        <f>VLOOKUP($C27,'LC (Gross)'!$A$16:$H$31000,4,FALSE)/100</f>
        <v>6.8032830611097633E-2</v>
      </c>
      <c r="E27" s="190">
        <f>VLOOKUP($C27,'LC (Net)'!$A$16:$H$31000,4,FALSE)/100</f>
        <v>6.7473040628722156E-2</v>
      </c>
      <c r="F27" s="171">
        <f>VLOOKUP($C27,'LC (Gross)'!$J$16:$K$31000,2,FALSE)/100</f>
        <v>9.1325980000000001E-2</v>
      </c>
      <c r="H27" s="171">
        <f>VLOOKUP($C27,'SC (Gross)'!$A$16:$H$31000,4,FALSE)/100</f>
        <v>6.779694E-2</v>
      </c>
      <c r="I27" s="190">
        <f>VLOOKUP($C27,'SC (Net)'!$A$16:$H$31000,4,FALSE)/100</f>
        <v>6.6771940000000002E-2</v>
      </c>
      <c r="J27" s="171">
        <f>VLOOKUP($C27,'SC (Gross)'!$J$16:$K$31000,2,FALSE)/100</f>
        <v>9.0285180000000007E-2</v>
      </c>
      <c r="L27" s="171">
        <f>VLOOKUP($C27,'Global (Gross)'!$A$16:$H$31000,4,FALSE)/100</f>
        <v>5.9887544830788321E-2</v>
      </c>
      <c r="M27" s="190">
        <f>VLOOKUP($C27,'Global (Net)'!$A$16:$H$31000,4,FALSE)/100</f>
        <v>5.9218905451178604E-2</v>
      </c>
      <c r="N27" s="171">
        <f>VLOOKUP($C27,'Global (Gross)'!$J$16:$K$31000,2,FALSE)/100</f>
        <v>9.2788260000000011E-2</v>
      </c>
      <c r="O27" s="171"/>
      <c r="P27" s="170"/>
      <c r="Q27" s="170"/>
      <c r="R27" s="170"/>
      <c r="S27" s="170"/>
    </row>
    <row r="28" spans="1:23" x14ac:dyDescent="0.25">
      <c r="A28">
        <v>27</v>
      </c>
      <c r="B28">
        <f t="shared" si="0"/>
        <v>286</v>
      </c>
      <c r="C28" s="169">
        <f>VLOOKUP(B28,'LC (Gross)'!$B$16:$J$1000,9,FALSE)</f>
        <v>45230</v>
      </c>
      <c r="D28" s="171">
        <f>VLOOKUP($C28,'LC (Gross)'!$A$16:$H$31000,4,FALSE)/100</f>
        <v>-9.4426173619984125E-3</v>
      </c>
      <c r="E28" s="190">
        <f>VLOOKUP($C28,'LC (Net)'!$A$16:$H$31000,4,FALSE)/100</f>
        <v>-1.0039554517785295E-2</v>
      </c>
      <c r="F28" s="171">
        <f>VLOOKUP($C28,'LC (Gross)'!$J$16:$K$31000,2,FALSE)/100</f>
        <v>-2.1025820000000001E-2</v>
      </c>
      <c r="H28" s="171">
        <f>VLOOKUP($C28,'SC (Gross)'!$A$16:$H$31000,4,FALSE)/100</f>
        <v>-1.8065910000000001E-2</v>
      </c>
      <c r="I28" s="190">
        <f>VLOOKUP($C28,'SC (Net)'!$A$16:$H$31000,4,FALSE)/100</f>
        <v>-1.9090910000000003E-2</v>
      </c>
      <c r="J28" s="171">
        <f>VLOOKUP($C28,'SC (Gross)'!$J$16:$K$31000,2,FALSE)/100</f>
        <v>-6.8217509999999995E-2</v>
      </c>
      <c r="L28" s="171">
        <f>VLOOKUP($C28,'Global (Gross)'!$A$16:$H$31000,4,FALSE)/100</f>
        <v>-1.2443623587775126E-2</v>
      </c>
      <c r="M28" s="190">
        <f>VLOOKUP($C28,'Global (Net)'!$A$16:$H$31000,4,FALSE)/100</f>
        <v>-1.3198598656500818E-2</v>
      </c>
      <c r="N28" s="171">
        <f>VLOOKUP($C28,'Global (Gross)'!$J$16:$K$31000,2,FALSE)/100</f>
        <v>-2.9870000000000001E-2</v>
      </c>
      <c r="O28" s="171"/>
      <c r="P28" s="170"/>
      <c r="Q28" s="170"/>
      <c r="R28" s="170"/>
      <c r="S28" s="170"/>
    </row>
    <row r="29" spans="1:23" x14ac:dyDescent="0.25">
      <c r="A29">
        <v>28</v>
      </c>
      <c r="B29">
        <f t="shared" si="0"/>
        <v>285</v>
      </c>
      <c r="C29" s="169">
        <f>VLOOKUP(B29,'LC (Gross)'!$B$16:$J$1000,9,FALSE)</f>
        <v>45199</v>
      </c>
      <c r="D29" s="171">
        <f>VLOOKUP($C29,'LC (Gross)'!$A$16:$H$31000,4,FALSE)/100</f>
        <v>-2.2848957873521945E-2</v>
      </c>
      <c r="E29" s="190">
        <f>VLOOKUP($C29,'LC (Net)'!$A$16:$H$31000,4,FALSE)/100</f>
        <v>-2.342679022940369E-2</v>
      </c>
      <c r="F29" s="171">
        <f>VLOOKUP($C29,'LC (Gross)'!$J$16:$K$31000,2,FALSE)/100</f>
        <v>-4.7678450000000004E-2</v>
      </c>
      <c r="H29" s="171">
        <f>VLOOKUP($C29,'SC (Gross)'!$A$16:$H$31000,4,FALSE)/100</f>
        <v>-3.9951460000000001E-2</v>
      </c>
      <c r="I29" s="190">
        <f>VLOOKUP($C29,'SC (Net)'!$A$16:$H$31000,4,FALSE)/100</f>
        <v>-4.0976459999999999E-2</v>
      </c>
      <c r="J29" s="171">
        <f>VLOOKUP($C29,'SC (Gross)'!$J$16:$K$31000,2,FALSE)/100</f>
        <v>-5.8905890000000002E-2</v>
      </c>
      <c r="L29" s="171">
        <f>VLOOKUP($C29,'Global (Gross)'!$A$16:$H$31000,4,FALSE)/100</f>
        <v>-2.2444274492501616E-2</v>
      </c>
      <c r="M29" s="190">
        <f>VLOOKUP($C29,'Global (Net)'!$A$16:$H$31000,4,FALSE)/100</f>
        <v>-2.3112636895573732E-2</v>
      </c>
      <c r="N29" s="171">
        <f>VLOOKUP($C29,'Global (Gross)'!$J$16:$K$31000,2,FALSE)/100</f>
        <v>-4.0971E-2</v>
      </c>
      <c r="O29" s="171"/>
      <c r="P29" s="170"/>
      <c r="Q29" s="170"/>
      <c r="R29" s="170"/>
      <c r="S29" s="170"/>
    </row>
    <row r="30" spans="1:23" x14ac:dyDescent="0.25">
      <c r="A30">
        <v>29</v>
      </c>
      <c r="B30">
        <f t="shared" si="0"/>
        <v>284</v>
      </c>
      <c r="C30" s="169">
        <f>VLOOKUP(B30,'LC (Gross)'!$B$16:$J$1000,9,FALSE)</f>
        <v>45169</v>
      </c>
      <c r="D30" s="171">
        <f>VLOOKUP($C30,'LC (Gross)'!$A$16:$H$31000,4,FALSE)/100</f>
        <v>-2.1062522896691166E-2</v>
      </c>
      <c r="E30" s="190">
        <f>VLOOKUP($C30,'LC (Net)'!$A$16:$H$31000,4,FALSE)/100</f>
        <v>-2.1652389652342074E-2</v>
      </c>
      <c r="F30" s="171">
        <f>VLOOKUP($C30,'LC (Gross)'!$J$16:$K$31000,2,FALSE)/100</f>
        <v>-1.5921680000000001E-2</v>
      </c>
      <c r="H30" s="171">
        <f>VLOOKUP($C30,'SC (Gross)'!$A$16:$H$31000,4,FALSE)/100</f>
        <v>-3.510945E-2</v>
      </c>
      <c r="I30" s="190">
        <f>VLOOKUP($C30,'SC (Net)'!$A$16:$H$31000,4,FALSE)/100</f>
        <v>-3.6134449999999999E-2</v>
      </c>
      <c r="J30" s="171">
        <f>VLOOKUP($C30,'SC (Gross)'!$J$16:$K$31000,2,FALSE)/100</f>
        <v>-5.0064710000000005E-2</v>
      </c>
      <c r="L30" s="171">
        <f>VLOOKUP($C30,'Global (Gross)'!$A$16:$H$31000,4,FALSE)/100</f>
        <v>-2.0007244223140173E-2</v>
      </c>
      <c r="M30" s="190">
        <f>VLOOKUP($C30,'Global (Net)'!$A$16:$H$31000,4,FALSE)/100</f>
        <v>-2.0673644510230765E-2</v>
      </c>
      <c r="N30" s="171">
        <f>VLOOKUP($C30,'Global (Gross)'!$J$16:$K$31000,2,FALSE)/100</f>
        <v>-2.7650000000000001E-2</v>
      </c>
      <c r="O30" s="171"/>
      <c r="P30" s="170"/>
      <c r="Q30" s="170"/>
      <c r="R30" s="170"/>
      <c r="S30" s="170"/>
    </row>
    <row r="31" spans="1:23" x14ac:dyDescent="0.25">
      <c r="A31">
        <v>30</v>
      </c>
      <c r="B31">
        <f t="shared" si="0"/>
        <v>283</v>
      </c>
      <c r="C31" s="169">
        <f>VLOOKUP(B31,'LC (Gross)'!$B$16:$J$1000,9,FALSE)</f>
        <v>45138</v>
      </c>
      <c r="D31" s="171">
        <f>VLOOKUP($C31,'LC (Gross)'!$A$16:$H$31000,4,FALSE)/100</f>
        <v>1.6975906447378512E-2</v>
      </c>
      <c r="E31" s="190">
        <f>VLOOKUP($C31,'LC (Net)'!$A$16:$H$31000,4,FALSE)/100</f>
        <v>1.6373723154375863E-2</v>
      </c>
      <c r="F31" s="171">
        <f>VLOOKUP($C31,'LC (Gross)'!$J$16:$K$31000,2,FALSE)/100</f>
        <v>3.2125000000000001E-2</v>
      </c>
      <c r="H31" s="171">
        <f>VLOOKUP($C31,'SC (Gross)'!$A$16:$H$31000,4,FALSE)/100</f>
        <v>3.4908580000000002E-2</v>
      </c>
      <c r="I31" s="190">
        <f>VLOOKUP($C31,'SC (Net)'!$A$16:$H$31000,4,FALSE)/100</f>
        <v>3.3883580000000003E-2</v>
      </c>
      <c r="J31" s="171">
        <f>VLOOKUP($C31,'SC (Gross)'!$J$16:$K$31000,2,FALSE)/100</f>
        <v>6.114903E-2</v>
      </c>
      <c r="L31" s="171">
        <f>VLOOKUP($C31,'Global (Gross)'!$A$16:$H$31000,4,FALSE)/100</f>
        <v>1.1483673688421965E-2</v>
      </c>
      <c r="M31" s="190">
        <f>VLOOKUP($C31,'Global (Net)'!$A$16:$H$31000,4,FALSE)/100</f>
        <v>1.0720313867897895E-2</v>
      </c>
      <c r="N31" s="171">
        <f>VLOOKUP($C31,'Global (Gross)'!$J$16:$K$31000,2,FALSE)/100</f>
        <v>3.6906000000000001E-2</v>
      </c>
      <c r="O31" s="171"/>
      <c r="P31" s="170"/>
      <c r="Q31" s="170"/>
      <c r="R31" s="170"/>
      <c r="S31" s="170"/>
    </row>
    <row r="32" spans="1:23" x14ac:dyDescent="0.25">
      <c r="A32">
        <v>31</v>
      </c>
      <c r="B32">
        <f t="shared" si="0"/>
        <v>282</v>
      </c>
      <c r="C32" s="169">
        <f>VLOOKUP(B32,'LC (Gross)'!$B$16:$J$1000,9,FALSE)</f>
        <v>45107</v>
      </c>
      <c r="D32" s="171">
        <f>VLOOKUP($C32,'LC (Gross)'!$A$16:$H$31000,4,FALSE)/100</f>
        <v>4.9628988125141299E-2</v>
      </c>
      <c r="E32" s="190">
        <f>VLOOKUP($C32,'LC (Net)'!$A$16:$H$31000,4,FALSE)/100</f>
        <v>4.9069800185492826E-2</v>
      </c>
      <c r="F32" s="171">
        <f>VLOOKUP($C32,'LC (Gross)'!$J$16:$K$31000,2,FALSE)/100</f>
        <v>6.6073800000000002E-2</v>
      </c>
      <c r="H32" s="171">
        <f>VLOOKUP($C32,'SC (Gross)'!$A$16:$H$31000,4,FALSE)/100</f>
        <v>6.1854490000000005E-2</v>
      </c>
      <c r="I32" s="190">
        <f>VLOOKUP($C32,'SC (Net)'!$A$16:$H$31000,4,FALSE)/100</f>
        <v>6.082949E-2</v>
      </c>
      <c r="J32" s="171">
        <f>VLOOKUP($C32,'SC (Gross)'!$J$16:$K$31000,2,FALSE)/100</f>
        <v>8.125694E-2</v>
      </c>
      <c r="L32" s="171">
        <f>VLOOKUP($C32,'Global (Gross)'!$A$16:$H$31000,4,FALSE)/100</f>
        <v>4.4193750973587818E-2</v>
      </c>
      <c r="M32" s="190">
        <f>VLOOKUP($C32,'Global (Net)'!$A$16:$H$31000,4,FALSE)/100</f>
        <v>4.3532564540588764E-2</v>
      </c>
      <c r="N32" s="171">
        <f>VLOOKUP($C32,'Global (Gross)'!$J$16:$K$31000,2,FALSE)/100</f>
        <v>5.8438999999999998E-2</v>
      </c>
      <c r="O32" s="171"/>
      <c r="P32" s="170"/>
      <c r="Q32" s="170"/>
      <c r="R32" s="170"/>
      <c r="S32" s="170"/>
    </row>
    <row r="33" spans="1:19" x14ac:dyDescent="0.25">
      <c r="A33">
        <v>32</v>
      </c>
      <c r="B33">
        <f t="shared" si="0"/>
        <v>281</v>
      </c>
      <c r="C33" s="169">
        <f>VLOOKUP(B33,'LC (Gross)'!$B$16:$J$1000,9,FALSE)</f>
        <v>45077</v>
      </c>
      <c r="D33" s="171">
        <f>VLOOKUP($C33,'LC (Gross)'!$A$16:$H$31000,4,FALSE)/100</f>
        <v>-2.7888501293758621E-2</v>
      </c>
      <c r="E33" s="190">
        <f>VLOOKUP($C33,'LC (Net)'!$A$16:$H$31000,4,FALSE)/100</f>
        <v>-2.845058157139423E-2</v>
      </c>
      <c r="F33" s="171">
        <f>VLOOKUP($C33,'LC (Gross)'!$J$16:$K$31000,2,FALSE)/100</f>
        <v>4.3486430000000001E-3</v>
      </c>
      <c r="H33" s="171">
        <f>VLOOKUP($C33,'SC (Gross)'!$A$16:$H$31000,4,FALSE)/100</f>
        <v>-2.7328037455045976E-2</v>
      </c>
      <c r="I33" s="190">
        <f>VLOOKUP($C33,'SC (Net)'!$A$16:$H$31000,4,FALSE)/100</f>
        <v>-2.7833622509883173E-2</v>
      </c>
      <c r="J33" s="171">
        <f>VLOOKUP($C33,'SC (Gross)'!$J$16:$K$31000,2,FALSE)/100</f>
        <v>-9.3249360000000007E-3</v>
      </c>
      <c r="L33" s="171">
        <f>VLOOKUP($C33,'Global (Gross)'!$A$16:$H$31000,4,FALSE)/100</f>
        <v>-2.6831842464369489E-2</v>
      </c>
      <c r="M33" s="190">
        <f>VLOOKUP($C33,'Global (Net)'!$A$16:$H$31000,4,FALSE)/100</f>
        <v>-2.7492766843027362E-2</v>
      </c>
      <c r="N33" s="171">
        <f>VLOOKUP($C33,'Global (Gross)'!$J$16:$K$31000,2,FALSE)/100</f>
        <v>-1.0115000000000001E-2</v>
      </c>
      <c r="O33" s="171"/>
      <c r="P33" s="170"/>
      <c r="Q33" s="170"/>
      <c r="R33" s="170"/>
      <c r="S33" s="170"/>
    </row>
    <row r="34" spans="1:19" x14ac:dyDescent="0.25">
      <c r="A34">
        <v>33</v>
      </c>
      <c r="B34">
        <f t="shared" si="0"/>
        <v>280</v>
      </c>
      <c r="C34" s="169">
        <f>VLOOKUP(B34,'LC (Gross)'!$B$16:$J$1000,9,FALSE)</f>
        <v>45046</v>
      </c>
      <c r="D34" s="171">
        <f>VLOOKUP($C34,'LC (Gross)'!$A$16:$H$31000,4,FALSE)/100</f>
        <v>1.1585569287576312E-2</v>
      </c>
      <c r="E34" s="190">
        <f>VLOOKUP($C34,'LC (Net)'!$A$16:$H$31000,4,FALSE)/100</f>
        <v>1.099480071381295E-2</v>
      </c>
      <c r="F34" s="171">
        <f>VLOOKUP($C34,'LC (Gross)'!$J$16:$K$31000,2,FALSE)/100</f>
        <v>1.560872E-2</v>
      </c>
      <c r="H34" s="171">
        <f>VLOOKUP($C34,'SC (Gross)'!$A$16:$H$31000,4,FALSE)/100</f>
        <v>-1.0251083133536065E-2</v>
      </c>
      <c r="I34" s="190">
        <f>VLOOKUP($C34,'SC (Net)'!$A$16:$H$31000,4,FALSE)/100</f>
        <v>-1.0752694708132025E-2</v>
      </c>
      <c r="J34" s="171">
        <f>VLOOKUP($C34,'SC (Gross)'!$J$16:$K$31000,2,FALSE)/100</f>
        <v>-1.7983370000000002E-2</v>
      </c>
      <c r="L34" s="171">
        <f>VLOOKUP($C34,'Global (Gross)'!$A$16:$H$31000,4,FALSE)/100</f>
        <v>1.5725506870097283E-2</v>
      </c>
      <c r="M34" s="190">
        <f>VLOOKUP($C34,'Global (Net)'!$A$16:$H$31000,4,FALSE)/100</f>
        <v>1.4958007552858209E-2</v>
      </c>
      <c r="N34" s="171">
        <f>VLOOKUP($C34,'Global (Gross)'!$J$16:$K$31000,2,FALSE)/100</f>
        <v>1.4809000000000001E-2</v>
      </c>
      <c r="O34" s="171"/>
      <c r="P34" s="170"/>
      <c r="Q34" s="170"/>
      <c r="R34" s="170"/>
      <c r="S34" s="170"/>
    </row>
    <row r="35" spans="1:19" x14ac:dyDescent="0.25">
      <c r="A35">
        <v>34</v>
      </c>
      <c r="B35">
        <f t="shared" si="0"/>
        <v>279</v>
      </c>
      <c r="C35" s="169">
        <f>VLOOKUP(B35,'LC (Gross)'!$B$16:$J$1000,9,FALSE)</f>
        <v>45016</v>
      </c>
      <c r="D35" s="171">
        <f>VLOOKUP($C35,'LC (Gross)'!$A$16:$H$31000,4,FALSE)/100</f>
        <v>1.2561934295472017E-2</v>
      </c>
      <c r="E35" s="190">
        <f>VLOOKUP($C35,'LC (Net)'!$A$16:$H$31000,4,FALSE)/100</f>
        <v>1.1997793736767013E-2</v>
      </c>
      <c r="F35" s="171">
        <f>VLOOKUP($C35,'LC (Gross)'!$J$16:$K$31000,2,FALSE)/100</f>
        <v>3.669584E-2</v>
      </c>
      <c r="H35" s="171">
        <f>VLOOKUP($C35,'SC (Gross)'!$A$16:$H$31000,4,FALSE)/100</f>
        <v>-2.1568557176685134E-2</v>
      </c>
      <c r="I35" s="190">
        <f>VLOOKUP($C35,'SC (Net)'!$A$16:$H$31000,4,FALSE)/100</f>
        <v>-2.2071729154978473E-2</v>
      </c>
      <c r="J35" s="171">
        <f>VLOOKUP($C35,'SC (Gross)'!$J$16:$K$31000,2,FALSE)/100</f>
        <v>-4.782989E-2</v>
      </c>
      <c r="L35" s="171">
        <f>VLOOKUP($C35,'Global (Gross)'!$A$16:$H$31000,4,FALSE)/100</f>
        <v>1.9567662266374103E-2</v>
      </c>
      <c r="M35" s="190">
        <f>VLOOKUP($C35,'Global (Net)'!$A$16:$H$31000,4,FALSE)/100</f>
        <v>1.8907131180832367E-2</v>
      </c>
      <c r="N35" s="171">
        <f>VLOOKUP($C35,'Global (Gross)'!$J$16:$K$31000,2,FALSE)/100</f>
        <v>3.1548E-2</v>
      </c>
      <c r="O35" s="171"/>
      <c r="P35" s="170"/>
      <c r="Q35" s="170"/>
      <c r="R35" s="170"/>
      <c r="S35" s="170"/>
    </row>
    <row r="36" spans="1:19" x14ac:dyDescent="0.25">
      <c r="A36">
        <v>35</v>
      </c>
      <c r="B36">
        <f t="shared" si="0"/>
        <v>278</v>
      </c>
      <c r="C36" s="169">
        <f>VLOOKUP(B36,'LC (Gross)'!$B$16:$J$1000,9,FALSE)</f>
        <v>44985</v>
      </c>
      <c r="D36" s="171">
        <f>VLOOKUP($C36,'LC (Gross)'!$A$16:$H$31000,4,FALSE)/100</f>
        <v>-2.7952823047861813E-2</v>
      </c>
      <c r="E36" s="190">
        <f>VLOOKUP($C36,'LC (Net)'!$A$16:$H$31000,4,FALSE)/100</f>
        <v>-2.8517419938387648E-2</v>
      </c>
      <c r="F36" s="171">
        <f>VLOOKUP($C36,'LC (Gross)'!$J$16:$K$31000,2,FALSE)/100</f>
        <v>-2.4490709999999999E-2</v>
      </c>
      <c r="H36" s="171">
        <f>VLOOKUP($C36,'SC (Gross)'!$A$16:$H$31000,4,FALSE)/100</f>
        <v>-1.7211992568556815E-2</v>
      </c>
      <c r="I36" s="190">
        <f>VLOOKUP($C36,'SC (Net)'!$A$16:$H$31000,4,FALSE)/100</f>
        <v>-1.7713006518090983E-2</v>
      </c>
      <c r="J36" s="171">
        <f>VLOOKUP($C36,'SC (Gross)'!$J$16:$K$31000,2,FALSE)/100</f>
        <v>-1.692691E-2</v>
      </c>
      <c r="L36" s="171">
        <f>VLOOKUP($C36,'Global (Gross)'!$A$16:$H$31000,4,FALSE)/100</f>
        <v>-3.1415559766686876E-2</v>
      </c>
      <c r="M36" s="190">
        <f>VLOOKUP($C36,'Global (Net)'!$A$16:$H$31000,4,FALSE)/100</f>
        <v>-3.2075639342745009E-2</v>
      </c>
      <c r="N36" s="171">
        <f>VLOOKUP($C36,'Global (Gross)'!$J$16:$K$31000,2,FALSE)/100</f>
        <v>-2.8328000000000002E-2</v>
      </c>
      <c r="O36" s="171"/>
      <c r="P36" s="170"/>
      <c r="Q36" s="170"/>
      <c r="R36" s="170"/>
      <c r="S36" s="170"/>
    </row>
    <row r="37" spans="1:19" x14ac:dyDescent="0.25">
      <c r="A37">
        <v>36</v>
      </c>
      <c r="B37">
        <f t="shared" si="0"/>
        <v>277</v>
      </c>
      <c r="C37" s="169">
        <f>VLOOKUP(B37,'LC (Gross)'!$B$16:$J$1000,9,FALSE)</f>
        <v>44957</v>
      </c>
      <c r="D37" s="171">
        <f>VLOOKUP($C37,'LC (Gross)'!$A$16:$H$31000,4,FALSE)/100</f>
        <v>2.8497283152063436E-2</v>
      </c>
      <c r="E37" s="190">
        <f>VLOOKUP($C37,'LC (Net)'!$A$16:$H$31000,4,FALSE)/100</f>
        <v>2.7903141978001429E-2</v>
      </c>
      <c r="F37" s="171">
        <f>VLOOKUP($C37,'LC (Gross)'!$J$16:$K$31000,2,FALSE)/100</f>
        <v>6.2828720000000005E-2</v>
      </c>
      <c r="H37" s="171">
        <f>VLOOKUP($C37,'SC (Gross)'!$A$16:$H$31000,4,FALSE)/100</f>
        <v>5.0683174382068347E-2</v>
      </c>
      <c r="I37" s="190">
        <f>VLOOKUP($C37,'SC (Net)'!$A$16:$H$31000,4,FALSE)/100</f>
        <v>5.0181820262223037E-2</v>
      </c>
      <c r="J37" s="171">
        <f>VLOOKUP($C37,'SC (Gross)'!$J$16:$K$31000,2,FALSE)/100</f>
        <v>9.7465889999999999E-2</v>
      </c>
      <c r="L37" s="171">
        <f>VLOOKUP($C37,'Global (Gross)'!$A$16:$H$31000,4,FALSE)/100</f>
        <v>6.6684536521078724E-2</v>
      </c>
      <c r="M37" s="190">
        <f>VLOOKUP($C37,'Global (Net)'!$A$16:$H$31000,4,FALSE)/100</f>
        <v>6.591489653176609E-2</v>
      </c>
      <c r="N37" s="171">
        <f>VLOOKUP($C37,'Global (Gross)'!$J$16:$K$31000,2,FALSE)/100</f>
        <v>7.1952000000000002E-2</v>
      </c>
      <c r="O37" s="171"/>
      <c r="P37" s="170"/>
      <c r="Q37" s="170"/>
      <c r="R37" s="170"/>
      <c r="S37" s="170"/>
    </row>
    <row r="39" spans="1:19" x14ac:dyDescent="0.25">
      <c r="C39" s="169">
        <f>DATE(R39,P39,Q39)</f>
        <v>43100</v>
      </c>
      <c r="D39" s="171">
        <f>VLOOKUP(C39,'LC (Gross)'!$A$16:$H$31000,4,FALSE)/100</f>
        <v>1.5900000000000001E-2</v>
      </c>
      <c r="E39" s="190">
        <f>VLOOKUP($C39,'LC (Net)'!$A$16:$H$31000,4,FALSE)/100</f>
        <v>1.5505999999999999E-2</v>
      </c>
      <c r="F39" s="171">
        <f>VLOOKUP(C39,'LC (Gross)'!$J$16:$K$31000,2,FALSE)/100</f>
        <v>1.1047152674964622E-2</v>
      </c>
      <c r="H39" s="171">
        <f>VLOOKUP($C39,'SC (Gross)'!$A$16:$H$31000,4,FALSE)/100</f>
        <v>-1.7410000000000002E-2</v>
      </c>
      <c r="I39" s="190">
        <f>VLOOKUP($C39,'SC (Net)'!$A$16:$H$31000,4,FALSE)/100</f>
        <v>-1.7787999999999998E-2</v>
      </c>
      <c r="J39" s="171">
        <f>VLOOKUP($C39,'SC (Gross)'!$J$16:$K$31000,2,FALSE)/100</f>
        <v>-4.0824535940505941E-3</v>
      </c>
      <c r="L39" s="171">
        <f>VLOOKUP($C39,'Global (Gross)'!$A$16:$H$31000,4,FALSE)/100</f>
        <v>8.2179999999999996E-3</v>
      </c>
      <c r="M39" s="190">
        <f>VLOOKUP($C39,'Global (Net)'!$A$16:$H$31000,4,FALSE)/100</f>
        <v>7.4050000000000001E-3</v>
      </c>
      <c r="N39" s="171">
        <f>VLOOKUP($C39,'Global (Gross)'!$J$16:$K$31000,2,FALSE)/100</f>
        <v>1.6544917851371833E-2</v>
      </c>
      <c r="O39" s="171"/>
      <c r="P39">
        <v>12</v>
      </c>
      <c r="Q39">
        <v>31</v>
      </c>
      <c r="R39">
        <f>'Monthly Perf Update Table'!F16</f>
        <v>2017</v>
      </c>
    </row>
    <row r="40" spans="1:19" x14ac:dyDescent="0.25">
      <c r="C40" s="169">
        <f t="shared" ref="C40:C50" si="1">DATE(R40,P40,Q40)</f>
        <v>43069</v>
      </c>
      <c r="D40" s="171">
        <f>VLOOKUP(C40,'LC (Gross)'!$A$16:$H$31000,4,FALSE)/100</f>
        <v>5.0007000000000003E-2</v>
      </c>
      <c r="E40" s="190">
        <f>VLOOKUP($C40,'LC (Net)'!$A$16:$H$31000,4,FALSE)/100</f>
        <v>4.9181999999999997E-2</v>
      </c>
      <c r="F40" s="171">
        <f>VLOOKUP(C40,'LC (Gross)'!$J$16:$K$31000,2,FALSE)/100</f>
        <v>3.067134936751429E-2</v>
      </c>
      <c r="H40" s="171">
        <f>VLOOKUP($C40,'SC (Gross)'!$A$16:$H$31000,4,FALSE)/100</f>
        <v>1.5989E-2</v>
      </c>
      <c r="I40" s="190">
        <f>VLOOKUP($C40,'SC (Net)'!$A$16:$H$31000,4,FALSE)/100</f>
        <v>1.5157E-2</v>
      </c>
      <c r="J40" s="171">
        <f>VLOOKUP($C40,'SC (Gross)'!$J$16:$K$31000,2,FALSE)/100</f>
        <v>2.8792520157457955E-2</v>
      </c>
      <c r="L40" s="171">
        <f>VLOOKUP($C40,'Global (Gross)'!$A$16:$H$31000,4,FALSE)/100</f>
        <v>2.3616000000000002E-2</v>
      </c>
      <c r="M40" s="190">
        <f>VLOOKUP($C40,'Global (Net)'!$A$16:$H$31000,4,FALSE)/100</f>
        <v>2.3206000000000001E-2</v>
      </c>
      <c r="N40" s="171">
        <f>VLOOKUP($C40,'Global (Gross)'!$J$16:$K$31000,2,FALSE)/100</f>
        <v>1.9861009226556731E-2</v>
      </c>
      <c r="O40" s="171"/>
      <c r="P40">
        <f>P39-1</f>
        <v>11</v>
      </c>
      <c r="Q40">
        <v>30</v>
      </c>
      <c r="R40">
        <f>R39</f>
        <v>2017</v>
      </c>
    </row>
    <row r="41" spans="1:19" x14ac:dyDescent="0.25">
      <c r="C41" s="169">
        <f t="shared" si="1"/>
        <v>43039</v>
      </c>
      <c r="D41" s="171">
        <f>VLOOKUP(C41,'LC (Gross)'!$A$16:$H$31000,4,FALSE)/100</f>
        <v>7.1250000000000003E-3</v>
      </c>
      <c r="E41" s="190">
        <f>VLOOKUP($C41,'LC (Net)'!$A$16:$H$31000,4,FALSE)/100</f>
        <v>6.7159999999999997E-3</v>
      </c>
      <c r="F41" s="171">
        <f>VLOOKUP(C41,'LC (Gross)'!$J$16:$K$31000,2,FALSE)/100</f>
        <v>2.3333760755019292E-2</v>
      </c>
      <c r="H41" s="171">
        <f>VLOOKUP($C41,'SC (Gross)'!$A$16:$H$31000,4,FALSE)/100</f>
        <v>1.2041999999999999E-2</v>
      </c>
      <c r="I41" s="190">
        <f>VLOOKUP($C41,'SC (Net)'!$A$16:$H$31000,4,FALSE)/100</f>
        <v>1.1702999999999998E-2</v>
      </c>
      <c r="J41" s="171">
        <f>VLOOKUP($C41,'SC (Gross)'!$J$16:$K$31000,2,FALSE)/100</f>
        <v>8.5147616539708124E-3</v>
      </c>
      <c r="L41" s="171">
        <f>VLOOKUP($C41,'Global (Gross)'!$A$16:$H$31000,4,FALSE)/100</f>
        <v>1.3911E-2</v>
      </c>
      <c r="M41" s="190">
        <f>VLOOKUP($C41,'Global (Net)'!$A$16:$H$31000,4,FALSE)/100</f>
        <v>1.3496999999999999E-2</v>
      </c>
      <c r="N41" s="171">
        <f>VLOOKUP($C41,'Global (Gross)'!$J$16:$K$31000,2,FALSE)/100</f>
        <v>2.1003109407469803E-2</v>
      </c>
      <c r="O41" s="171"/>
      <c r="P41">
        <f t="shared" ref="P41:P50" si="2">P40-1</f>
        <v>10</v>
      </c>
      <c r="Q41">
        <v>31</v>
      </c>
      <c r="R41">
        <f t="shared" ref="R41:R50" si="3">R40</f>
        <v>2017</v>
      </c>
    </row>
    <row r="42" spans="1:19" x14ac:dyDescent="0.25">
      <c r="C42" s="169">
        <f t="shared" si="1"/>
        <v>43008</v>
      </c>
      <c r="D42" s="171">
        <f>VLOOKUP(C42,'LC (Gross)'!$A$16:$H$31000,4,FALSE)/100</f>
        <v>1.3939E-2</v>
      </c>
      <c r="E42" s="190">
        <f>VLOOKUP($C42,'LC (Net)'!$A$16:$H$31000,4,FALSE)/100</f>
        <v>1.3157E-2</v>
      </c>
      <c r="F42" s="171">
        <f>VLOOKUP(C42,'LC (Gross)'!$J$16:$K$31000,2,FALSE)/100</f>
        <v>2.062837167180839E-2</v>
      </c>
      <c r="H42" s="171">
        <f>VLOOKUP($C42,'SC (Gross)'!$A$16:$H$31000,4,FALSE)/100</f>
        <v>6.1718000000000002E-2</v>
      </c>
      <c r="I42" s="190">
        <f>VLOOKUP($C42,'SC (Net)'!$A$16:$H$31000,4,FALSE)/100</f>
        <v>6.0856E-2</v>
      </c>
      <c r="J42" s="171">
        <f>VLOOKUP($C42,'SC (Gross)'!$J$16:$K$31000,2,FALSE)/100</f>
        <v>6.239825368400366E-2</v>
      </c>
      <c r="L42" s="171">
        <f>VLOOKUP($C42,'Global (Gross)'!$A$16:$H$31000,4,FALSE)/100</f>
        <v>1.4859000000000001E-2</v>
      </c>
      <c r="M42" s="190">
        <f>VLOOKUP($C42,'Global (Net)'!$A$16:$H$31000,4,FALSE)/100</f>
        <v>1.4439E-2</v>
      </c>
      <c r="N42" s="171">
        <f>VLOOKUP($C42,'Global (Gross)'!$J$16:$K$31000,2,FALSE)/100</f>
        <v>1.9743600083037331E-2</v>
      </c>
      <c r="O42" s="171"/>
      <c r="P42">
        <f t="shared" si="2"/>
        <v>9</v>
      </c>
      <c r="Q42">
        <v>30</v>
      </c>
      <c r="R42">
        <f t="shared" si="3"/>
        <v>2017</v>
      </c>
    </row>
    <row r="43" spans="1:19" x14ac:dyDescent="0.25">
      <c r="C43" s="169">
        <f t="shared" si="1"/>
        <v>42978</v>
      </c>
      <c r="D43" s="171">
        <f>VLOOKUP(C43,'LC (Gross)'!$A$16:$H$31000,4,FALSE)/100</f>
        <v>7.85E-4</v>
      </c>
      <c r="E43" s="190">
        <f>VLOOKUP($C43,'LC (Net)'!$A$16:$H$31000,4,FALSE)/100</f>
        <v>4.1599999999999997E-4</v>
      </c>
      <c r="F43" s="171">
        <f>VLOOKUP(C43,'LC (Gross)'!$J$16:$K$31000,2,FALSE)/100</f>
        <v>3.0611160404652787E-3</v>
      </c>
      <c r="H43" s="171">
        <f>VLOOKUP($C43,'SC (Gross)'!$A$16:$H$31000,4,FALSE)/100</f>
        <v>-1.7017999999999998E-2</v>
      </c>
      <c r="I43" s="190">
        <f>VLOOKUP($C43,'SC (Net)'!$A$16:$H$31000,4,FALSE)/100</f>
        <v>-1.7353E-2</v>
      </c>
      <c r="J43" s="171">
        <f>VLOOKUP($C43,'SC (Gross)'!$J$16:$K$31000,2,FALSE)/100</f>
        <v>-1.2722891480434002E-2</v>
      </c>
      <c r="L43" s="171">
        <f>VLOOKUP($C43,'Global (Gross)'!$A$16:$H$31000,4,FALSE)/100</f>
        <v>1.8672000000000001E-2</v>
      </c>
      <c r="M43" s="190">
        <f>VLOOKUP($C43,'Global (Net)'!$A$16:$H$31000,4,FALSE)/100</f>
        <v>1.8186999999999998E-2</v>
      </c>
      <c r="N43" s="171">
        <f>VLOOKUP($C43,'Global (Gross)'!$J$16:$K$31000,2,FALSE)/100</f>
        <v>4.3875833640838495E-3</v>
      </c>
      <c r="O43" s="171"/>
      <c r="P43">
        <f t="shared" si="2"/>
        <v>8</v>
      </c>
      <c r="Q43">
        <v>31</v>
      </c>
      <c r="R43">
        <f t="shared" si="3"/>
        <v>2017</v>
      </c>
    </row>
    <row r="44" spans="1:19" x14ac:dyDescent="0.25">
      <c r="C44" s="169">
        <f t="shared" si="1"/>
        <v>42947</v>
      </c>
      <c r="D44" s="171">
        <f>VLOOKUP(C44,'LC (Gross)'!$A$16:$H$31000,4,FALSE)/100</f>
        <v>1.5465E-2</v>
      </c>
      <c r="E44" s="190">
        <f>VLOOKUP($C44,'LC (Net)'!$A$16:$H$31000,4,FALSE)/100</f>
        <v>1.5096E-2</v>
      </c>
      <c r="F44" s="171">
        <f>VLOOKUP(C44,'LC (Gross)'!$J$16:$K$31000,2,FALSE)/100</f>
        <v>2.0562208301688933E-2</v>
      </c>
      <c r="H44" s="171">
        <f>VLOOKUP($C44,'SC (Gross)'!$A$16:$H$31000,4,FALSE)/100</f>
        <v>1.1075999999999999E-2</v>
      </c>
      <c r="I44" s="190">
        <f>VLOOKUP($C44,'SC (Net)'!$A$16:$H$31000,4,FALSE)/100</f>
        <v>1.0736000000000001E-2</v>
      </c>
      <c r="J44" s="171">
        <f>VLOOKUP($C44,'SC (Gross)'!$J$16:$K$31000,2,FALSE)/100</f>
        <v>7.4206765933175203E-3</v>
      </c>
      <c r="L44" s="171">
        <f>VLOOKUP($C44,'Global (Gross)'!$A$16:$H$31000,4,FALSE)/100</f>
        <v>1.1594999999999999E-2</v>
      </c>
      <c r="M44" s="190">
        <f>VLOOKUP($C44,'Global (Net)'!$A$16:$H$31000,4,FALSE)/100</f>
        <v>1.1109000000000001E-2</v>
      </c>
      <c r="N44" s="171">
        <f>VLOOKUP($C44,'Global (Gross)'!$J$16:$K$31000,2,FALSE)/100</f>
        <v>2.8323498003446274E-2</v>
      </c>
      <c r="O44" s="171"/>
      <c r="P44">
        <f t="shared" si="2"/>
        <v>7</v>
      </c>
      <c r="Q44">
        <v>31</v>
      </c>
      <c r="R44">
        <f t="shared" si="3"/>
        <v>2017</v>
      </c>
    </row>
    <row r="45" spans="1:19" x14ac:dyDescent="0.25">
      <c r="C45" s="169">
        <f t="shared" si="1"/>
        <v>42916</v>
      </c>
      <c r="D45" s="171">
        <f>VLOOKUP(C45,'LC (Gross)'!$A$16:$H$31000,4,FALSE)/100</f>
        <v>1.7480000000000002E-3</v>
      </c>
      <c r="E45" s="190">
        <f>VLOOKUP($C45,'LC (Net)'!$A$16:$H$31000,4,FALSE)/100</f>
        <v>1.3800000000000002E-3</v>
      </c>
      <c r="F45" s="171">
        <f>VLOOKUP(C45,'LC (Gross)'!$J$16:$K$31000,2,FALSE)/100</f>
        <v>6.2408740693053544E-3</v>
      </c>
      <c r="H45" s="171">
        <f>VLOOKUP($C45,'SC (Gross)'!$A$16:$H$31000,4,FALSE)/100</f>
        <v>1.4237E-2</v>
      </c>
      <c r="I45" s="190">
        <f>VLOOKUP($C45,'SC (Net)'!$A$16:$H$31000,4,FALSE)/100</f>
        <v>1.3897999999999999E-2</v>
      </c>
      <c r="J45" s="171">
        <f>VLOOKUP($C45,'SC (Gross)'!$J$16:$K$31000,2,FALSE)/100</f>
        <v>3.4550215532803123E-2</v>
      </c>
      <c r="L45" s="171">
        <f>VLOOKUP($C45,'Global (Gross)'!$A$16:$H$31000,4,FALSE)/100</f>
        <v>-2.32E-3</v>
      </c>
      <c r="M45" s="190">
        <f>VLOOKUP($C45,'Global (Net)'!$A$16:$H$31000,4,FALSE)/100</f>
        <v>-3.0200000000000001E-3</v>
      </c>
      <c r="N45" s="171">
        <f>VLOOKUP($C45,'Global (Gross)'!$J$16:$K$31000,2,FALSE)/100</f>
        <v>4.9756434216776E-3</v>
      </c>
      <c r="O45" s="171"/>
      <c r="P45">
        <f t="shared" si="2"/>
        <v>6</v>
      </c>
      <c r="Q45">
        <v>30</v>
      </c>
      <c r="R45">
        <f t="shared" si="3"/>
        <v>2017</v>
      </c>
    </row>
    <row r="46" spans="1:19" x14ac:dyDescent="0.25">
      <c r="C46" s="169">
        <f t="shared" si="1"/>
        <v>42886</v>
      </c>
      <c r="D46" s="171">
        <f>VLOOKUP(C46,'LC (Gross)'!$A$16:$H$31000,4,FALSE)/100</f>
        <v>1.2832E-2</v>
      </c>
      <c r="E46" s="190">
        <f>VLOOKUP($C46,'LC (Net)'!$A$16:$H$31000,4,FALSE)/100</f>
        <v>1.2131000000000001E-2</v>
      </c>
      <c r="F46" s="171">
        <f>VLOOKUP(C46,'LC (Gross)'!$J$16:$K$31000,2,FALSE)/100</f>
        <v>1.4072016778941637E-2</v>
      </c>
      <c r="H46" s="171">
        <f>VLOOKUP($C46,'SC (Gross)'!$A$16:$H$31000,4,FALSE)/100</f>
        <v>-7.3499999999999998E-4</v>
      </c>
      <c r="I46" s="190">
        <f>VLOOKUP($C46,'SC (Net)'!$A$16:$H$31000,4,FALSE)/100</f>
        <v>-1.555E-3</v>
      </c>
      <c r="J46" s="171">
        <f>VLOOKUP($C46,'SC (Gross)'!$J$16:$K$31000,2,FALSE)/100</f>
        <v>-2.0343905575018348E-2</v>
      </c>
      <c r="L46" s="171">
        <f>VLOOKUP($C46,'Global (Gross)'!$A$16:$H$31000,4,FALSE)/100</f>
        <v>2.8241000000000002E-2</v>
      </c>
      <c r="M46" s="190">
        <f>VLOOKUP($C46,'Global (Net)'!$A$16:$H$31000,4,FALSE)/100</f>
        <v>2.7541000000000003E-2</v>
      </c>
      <c r="N46" s="171">
        <f>VLOOKUP($C46,'Global (Gross)'!$J$16:$K$31000,2,FALSE)/100</f>
        <v>2.2794300798517918E-2</v>
      </c>
      <c r="O46" s="171"/>
      <c r="P46">
        <f t="shared" si="2"/>
        <v>5</v>
      </c>
      <c r="Q46">
        <v>31</v>
      </c>
      <c r="R46">
        <f t="shared" si="3"/>
        <v>2017</v>
      </c>
    </row>
    <row r="47" spans="1:19" x14ac:dyDescent="0.25">
      <c r="C47" s="169">
        <f t="shared" si="1"/>
        <v>42855</v>
      </c>
      <c r="D47" s="171">
        <f>VLOOKUP(C47,'LC (Gross)'!$A$16:$H$31000,4,FALSE)/100</f>
        <v>8.7760000000000008E-3</v>
      </c>
      <c r="E47" s="190">
        <f>VLOOKUP($C47,'LC (Net)'!$A$16:$H$31000,4,FALSE)/100</f>
        <v>8.3990000000000002E-3</v>
      </c>
      <c r="F47" s="171">
        <f>VLOOKUP(C47,'LC (Gross)'!$J$16:$K$31000,2,FALSE)/100</f>
        <v>1.0271052392714737E-2</v>
      </c>
      <c r="H47" s="171">
        <f>VLOOKUP($C47,'SC (Gross)'!$A$16:$H$31000,4,FALSE)/100</f>
        <v>3.2566999999999999E-2</v>
      </c>
      <c r="I47" s="190">
        <f>VLOOKUP($C47,'SC (Net)'!$A$16:$H$31000,4,FALSE)/100</f>
        <v>3.2252999999999997E-2</v>
      </c>
      <c r="J47" s="171">
        <f>VLOOKUP($C47,'SC (Gross)'!$J$16:$K$31000,2,FALSE)/100</f>
        <v>1.0966058849237991E-2</v>
      </c>
      <c r="L47" s="171">
        <f>VLOOKUP($C47,'Global (Gross)'!$A$16:$H$31000,4,FALSE)/100</f>
        <v>1.0492E-2</v>
      </c>
      <c r="M47" s="190">
        <f>VLOOKUP($C47,'Global (Net)'!$A$16:$H$31000,4,FALSE)/100</f>
        <v>9.7920000000000004E-3</v>
      </c>
      <c r="N47" s="171">
        <f>VLOOKUP($C47,'Global (Gross)'!$J$16:$K$31000,2,FALSE)/100</f>
        <v>1.6037847096030913E-2</v>
      </c>
      <c r="O47" s="171"/>
      <c r="P47">
        <f t="shared" si="2"/>
        <v>4</v>
      </c>
      <c r="Q47">
        <v>30</v>
      </c>
      <c r="R47">
        <f t="shared" si="3"/>
        <v>2017</v>
      </c>
    </row>
    <row r="48" spans="1:19" x14ac:dyDescent="0.25">
      <c r="C48" s="169">
        <f t="shared" si="1"/>
        <v>42825</v>
      </c>
      <c r="D48" s="171">
        <f>VLOOKUP(C48,'LC (Gross)'!$A$16:$H$31000,4,FALSE)/100</f>
        <v>-3.3079999999999997E-3</v>
      </c>
      <c r="E48" s="190">
        <f>VLOOKUP($C48,'LC (Net)'!$A$16:$H$31000,4,FALSE)/100</f>
        <v>-3.7209999999999999E-3</v>
      </c>
      <c r="F48" s="171">
        <f>VLOOKUP(C48,'LC (Gross)'!$J$16:$K$31000,2,FALSE)/100</f>
        <v>1.1664881162675512E-3</v>
      </c>
      <c r="H48" s="171">
        <f>VLOOKUP($C48,'SC (Gross)'!$A$16:$H$31000,4,FALSE)/100</f>
        <v>4.3300000000000001E-4</v>
      </c>
      <c r="I48" s="190">
        <f>VLOOKUP($C48,'SC (Net)'!$A$16:$H$31000,4,FALSE)/100</f>
        <v>1.1900000000000001E-4</v>
      </c>
      <c r="J48" s="171">
        <f>VLOOKUP($C48,'SC (Gross)'!$J$16:$K$31000,2,FALSE)/100</f>
        <v>1.3084916475280836E-3</v>
      </c>
      <c r="L48" s="171">
        <f>VLOOKUP($C48,'Global (Gross)'!$A$16:$H$31000,4,FALSE)/100</f>
        <v>1.5809E-2</v>
      </c>
      <c r="M48" s="190">
        <f>VLOOKUP($C48,'Global (Net)'!$A$16:$H$31000,4,FALSE)/100</f>
        <v>1.5108999999999999E-2</v>
      </c>
      <c r="N48" s="171">
        <f>VLOOKUP($C48,'Global (Gross)'!$J$16:$K$31000,2,FALSE)/100</f>
        <v>1.2979841265386129E-2</v>
      </c>
      <c r="O48" s="171"/>
      <c r="P48">
        <f t="shared" si="2"/>
        <v>3</v>
      </c>
      <c r="Q48">
        <v>31</v>
      </c>
      <c r="R48">
        <f t="shared" si="3"/>
        <v>2017</v>
      </c>
    </row>
    <row r="49" spans="2:19" x14ac:dyDescent="0.25">
      <c r="B49" s="169">
        <f>DATE(R49,P49,S49)</f>
        <v>42795</v>
      </c>
      <c r="C49" s="169">
        <f t="shared" si="1"/>
        <v>42794</v>
      </c>
      <c r="D49" s="171">
        <f>VLOOKUP(C49,'LC (Gross)'!$A$16:$H$31000,4,FALSE)/100</f>
        <v>4.0064000000000002E-2</v>
      </c>
      <c r="E49" s="190">
        <f>VLOOKUP($C49,'LC (Net)'!$A$16:$H$31000,4,FALSE)/100</f>
        <v>3.9276999999999999E-2</v>
      </c>
      <c r="F49" s="171">
        <f>IFERROR(VLOOKUP($C49,'LC (Gross)'!$J$16:$K$31000,2,FALSE)/100,VLOOKUP($B49,'LC (Gross)'!$J$16:$K$31000,2,FALSE)/100)</f>
        <v>3.9705270262314359E-2</v>
      </c>
      <c r="H49" s="171">
        <f>IFERROR(VLOOKUP($C49,'SC (Gross)'!$A$16:$H$31000,4,FALSE)/100,VLOOKUP($B49,'SC (Gross)'!$A$16:$H$31000,4,FALSE)/100)</f>
        <v>4.993E-3</v>
      </c>
      <c r="I49" s="190">
        <f>VLOOKUP($C49,'SC (Net)'!$A$16:$H$31000,4,FALSE)/100</f>
        <v>4.1700000000000001E-3</v>
      </c>
      <c r="J49" s="171">
        <f>IFERROR(VLOOKUP($C49,'SC (Gross)'!$J$16:$K$31000,2,FALSE)/100,VLOOKUP($B49,'SC (Gross)'!$J$16:$K$31000,2,FALSE)/100)</f>
        <v>1.925907515637346E-2</v>
      </c>
      <c r="L49" s="171">
        <f>IFERROR(VLOOKUP($C49,'Global (Gross)'!$A$16:$H$31000,4,FALSE)/100,VLOOKUP($B49,'Global (Gross)'!$A$16:$H$31000,4,FALSE)/100)</f>
        <v>3.7386000000000003E-2</v>
      </c>
      <c r="M49" s="190">
        <f>VLOOKUP($C49,'Global (Net)'!$A$16:$H$31000,4,FALSE)/100</f>
        <v>3.6686000000000003E-2</v>
      </c>
      <c r="N49" s="171">
        <f>IFERROR(VLOOKUP($C49,'Global (Gross)'!$J$16:$K$31000,2,FALSE)/100,VLOOKUP($B49,'Global (Gross)'!$J$16:$K$31000,2,FALSE)/100)</f>
        <v>2.8537898269149212E-2</v>
      </c>
      <c r="O49" s="171"/>
      <c r="P49">
        <f t="shared" si="2"/>
        <v>2</v>
      </c>
      <c r="Q49">
        <v>28</v>
      </c>
      <c r="R49">
        <f t="shared" si="3"/>
        <v>2017</v>
      </c>
      <c r="S49">
        <v>29</v>
      </c>
    </row>
    <row r="50" spans="2:19" x14ac:dyDescent="0.25">
      <c r="C50" s="169">
        <f t="shared" si="1"/>
        <v>42766</v>
      </c>
      <c r="D50" s="171">
        <f>VLOOKUP(C50,'LC (Gross)'!$A$16:$H$31000,4,FALSE)/100</f>
        <v>1.5690000000000001E-3</v>
      </c>
      <c r="E50" s="190">
        <f>VLOOKUP($C50,'LC (Net)'!$A$16:$H$31000,4,FALSE)/100</f>
        <v>1.1440000000000001E-3</v>
      </c>
      <c r="F50" s="171">
        <f>VLOOKUP(C50,'LC (Gross)'!$J$16:$K$31000,2,FALSE)/100</f>
        <v>1.8966324399677482E-2</v>
      </c>
      <c r="H50" s="171">
        <f>VLOOKUP($C50,'SC (Gross)'!$A$16:$H$31000,4,FALSE)/100</f>
        <v>-1.9387000000000001E-2</v>
      </c>
      <c r="I50" s="190">
        <f>VLOOKUP($C50,'SC (Net)'!$A$16:$H$31000,4,FALSE)/100</f>
        <v>-1.9701E-2</v>
      </c>
      <c r="J50" s="171">
        <f>VLOOKUP($C50,'SC (Gross)'!$J$16:$K$31000,2,FALSE)/100</f>
        <v>3.9328651542358019E-3</v>
      </c>
      <c r="L50" s="171">
        <f>VLOOKUP($C50,'Global (Gross)'!$A$16:$H$31000,4,FALSE)/100</f>
        <v>1.6621999999999998E-2</v>
      </c>
      <c r="M50" s="190">
        <f>VLOOKUP($C50,'Global (Net)'!$A$16:$H$31000,4,FALSE)/100</f>
        <v>1.6621999999999998E-2</v>
      </c>
      <c r="N50" s="171">
        <f>VLOOKUP($C50,'Global (Gross)'!$J$16:$K$31000,2,FALSE)/100</f>
        <v>2.7574400329489566E-2</v>
      </c>
      <c r="O50" s="171"/>
      <c r="P50">
        <f t="shared" si="2"/>
        <v>1</v>
      </c>
      <c r="Q50">
        <v>31</v>
      </c>
      <c r="R50">
        <f t="shared" si="3"/>
        <v>2017</v>
      </c>
    </row>
    <row r="52" spans="2:19" x14ac:dyDescent="0.25">
      <c r="C52" s="169">
        <f>DATE(R52,P52,Q52)</f>
        <v>42735</v>
      </c>
      <c r="D52" s="171">
        <f>VLOOKUP(C52,'LC (Gross)'!$A$16:$H$31000,4,FALSE)/100</f>
        <v>1.6786000000000002E-2</v>
      </c>
      <c r="E52" s="190">
        <f>VLOOKUP($C52,'LC (Net)'!$A$16:$H$31000,4,FALSE)/100</f>
        <v>1.6361000000000001E-2</v>
      </c>
      <c r="F52" s="171">
        <f>VLOOKUP(C52,'LC (Gross)'!$J$16:$K$31000,2,FALSE)/100</f>
        <v>1.9699106132464748E-2</v>
      </c>
      <c r="H52" s="171">
        <f>VLOOKUP($C52,'SC (Gross)'!$A$16:$H$31000,4,FALSE)/100</f>
        <v>5.0953999999999999E-2</v>
      </c>
      <c r="I52" s="190">
        <f>VLOOKUP($C52,'SC (Net)'!$A$16:$H$31000,4,FALSE)/100</f>
        <v>5.0644000000000002E-2</v>
      </c>
      <c r="J52" s="171">
        <f>VLOOKUP($C52,'SC (Gross)'!$J$16:$K$31000,2,FALSE)/100</f>
        <v>2.800542828420069E-2</v>
      </c>
      <c r="L52" s="171">
        <f>VLOOKUP($C52,'Global (Gross)'!$A$16:$H$31000,4,FALSE)/100</f>
        <v>1.7399999999999999E-2</v>
      </c>
      <c r="M52" s="190">
        <f>VLOOKUP($C52,'Global (Net)'!$A$16:$H$31000,4,FALSE)/100</f>
        <v>1.7399999999999999E-2</v>
      </c>
      <c r="N52" s="171">
        <f>VLOOKUP($C52,'Global (Gross)'!$J$16:$K$31000,2,FALSE)/100</f>
        <v>2.2033787761807404E-2</v>
      </c>
      <c r="O52" s="171"/>
      <c r="P52">
        <v>12</v>
      </c>
      <c r="Q52">
        <v>31</v>
      </c>
      <c r="R52">
        <f>'Monthly Perf Update Table'!G16</f>
        <v>2016</v>
      </c>
    </row>
    <row r="53" spans="2:19" x14ac:dyDescent="0.25">
      <c r="C53" s="169">
        <f t="shared" ref="C53:C63" si="4">DATE(R53,P53,Q53)</f>
        <v>42704</v>
      </c>
      <c r="D53" s="171">
        <f>VLOOKUP(C53,'LC (Gross)'!$A$16:$H$31000,4,FALSE)/100</f>
        <v>2.4836E-2</v>
      </c>
      <c r="E53" s="190">
        <f>VLOOKUP($C53,'LC (Net)'!$A$16:$H$31000,4,FALSE)/100</f>
        <v>2.4029999999999999E-2</v>
      </c>
      <c r="F53" s="171">
        <f>VLOOKUP(C53,'LC (Gross)'!$J$16:$K$31000,2,FALSE)/100</f>
        <v>3.7036267290456192E-2</v>
      </c>
      <c r="H53" s="171">
        <f>VLOOKUP($C53,'SC (Gross)'!$A$16:$H$31000,4,FALSE)/100</f>
        <v>8.7833000000000008E-2</v>
      </c>
      <c r="I53" s="190">
        <f>VLOOKUP($C53,'SC (Net)'!$A$16:$H$31000,4,FALSE)/100</f>
        <v>8.698800000000001E-2</v>
      </c>
      <c r="J53" s="171">
        <f>VLOOKUP($C53,'SC (Gross)'!$J$16:$K$31000,2,FALSE)/100</f>
        <v>0.11137505370213507</v>
      </c>
      <c r="L53" s="171">
        <f>VLOOKUP($C53,'Global (Gross)'!$A$16:$H$31000,4,FALSE)/100</f>
        <v>-5.3E-3</v>
      </c>
      <c r="M53" s="190">
        <f>VLOOKUP($C53,'Global (Net)'!$A$16:$H$31000,4,FALSE)/100</f>
        <v>-5.3E-3</v>
      </c>
      <c r="N53" s="171">
        <f>VLOOKUP($C53,'Global (Gross)'!$J$16:$K$31000,2,FALSE)/100</f>
        <v>8.2294324170858399E-3</v>
      </c>
      <c r="O53" s="171"/>
      <c r="P53">
        <f>P52-1</f>
        <v>11</v>
      </c>
      <c r="Q53">
        <v>30</v>
      </c>
      <c r="R53">
        <f>R52</f>
        <v>2016</v>
      </c>
    </row>
    <row r="54" spans="2:19" x14ac:dyDescent="0.25">
      <c r="C54" s="169">
        <f t="shared" si="4"/>
        <v>42674</v>
      </c>
      <c r="D54" s="171">
        <f>VLOOKUP(C54,'LC (Gross)'!$A$16:$H$31000,4,FALSE)/100</f>
        <v>-2.4225E-2</v>
      </c>
      <c r="E54" s="190">
        <f>VLOOKUP($C54,'LC (Net)'!$A$16:$H$31000,4,FALSE)/100</f>
        <v>-2.4656999999999998E-2</v>
      </c>
      <c r="F54" s="171">
        <f>VLOOKUP(C54,'LC (Gross)'!$J$16:$K$31000,2,FALSE)/100</f>
        <v>-1.8241743085794966E-2</v>
      </c>
      <c r="H54" s="171">
        <f>VLOOKUP($C54,'SC (Gross)'!$A$16:$H$31000,4,FALSE)/100</f>
        <v>-1.2204999999999999E-2</v>
      </c>
      <c r="I54" s="190">
        <f>VLOOKUP($C54,'SC (Net)'!$A$16:$H$31000,4,FALSE)/100</f>
        <v>-1.2514000000000001E-2</v>
      </c>
      <c r="J54" s="171">
        <f>VLOOKUP($C54,'SC (Gross)'!$J$16:$K$31000,2,FALSE)/100</f>
        <v>-4.7540048686390585E-2</v>
      </c>
      <c r="L54" s="171">
        <f>VLOOKUP($C54,'Global (Gross)'!$A$16:$H$31000,4,FALSE)/100</f>
        <v>-2.8500000000000001E-2</v>
      </c>
      <c r="M54" s="190">
        <f>VLOOKUP($C54,'Global (Net)'!$A$16:$H$31000,4,FALSE)/100</f>
        <v>-2.8500000000000001E-2</v>
      </c>
      <c r="N54" s="171">
        <f>VLOOKUP($C54,'Global (Gross)'!$J$16:$K$31000,2,FALSE)/100</f>
        <v>-1.6692833411041334E-2</v>
      </c>
      <c r="O54" s="171"/>
      <c r="P54">
        <f t="shared" ref="P54:P63" si="5">P53-1</f>
        <v>10</v>
      </c>
      <c r="Q54">
        <v>31</v>
      </c>
      <c r="R54">
        <f t="shared" ref="R54:R63" si="6">R53</f>
        <v>2016</v>
      </c>
    </row>
    <row r="55" spans="2:19" x14ac:dyDescent="0.25">
      <c r="C55" s="169">
        <f t="shared" si="4"/>
        <v>42643</v>
      </c>
      <c r="D55" s="171">
        <f>VLOOKUP(C55,'LC (Gross)'!$A$16:$H$31000,4,FALSE)/100</f>
        <v>-1.2156999999999999E-2</v>
      </c>
      <c r="E55" s="190">
        <f>VLOOKUP($C55,'LC (Net)'!$A$16:$H$31000,4,FALSE)/100</f>
        <v>-1.2599000000000001E-2</v>
      </c>
      <c r="F55" s="171">
        <f>VLOOKUP(C55,'LC (Gross)'!$J$16:$K$31000,2,FALSE)/100</f>
        <v>1.867100831628743E-4</v>
      </c>
      <c r="H55" s="171">
        <f>VLOOKUP($C55,'SC (Gross)'!$A$16:$H$31000,4,FALSE)/100</f>
        <v>5.202E-3</v>
      </c>
      <c r="I55" s="190">
        <f>VLOOKUP($C55,'SC (Net)'!$A$16:$H$31000,4,FALSE)/100</f>
        <v>4.8980000000000004E-3</v>
      </c>
      <c r="J55" s="171">
        <f>VLOOKUP($C55,'SC (Gross)'!$J$16:$K$31000,2,FALSE)/100</f>
        <v>1.1138247744474569E-2</v>
      </c>
      <c r="L55" s="171">
        <f>VLOOKUP($C55,'Global (Gross)'!$A$16:$H$31000,4,FALSE)/100</f>
        <v>-4.4000000000000003E-3</v>
      </c>
      <c r="M55" s="190">
        <f>VLOOKUP($C55,'Global (Net)'!$A$16:$H$31000,4,FALSE)/100</f>
        <v>-4.4000000000000003E-3</v>
      </c>
      <c r="N55" s="171">
        <f>VLOOKUP($C55,'Global (Gross)'!$J$16:$K$31000,2,FALSE)/100</f>
        <v>6.5793906038007308E-3</v>
      </c>
      <c r="O55" s="171"/>
      <c r="P55">
        <f t="shared" si="5"/>
        <v>9</v>
      </c>
      <c r="Q55">
        <v>30</v>
      </c>
      <c r="R55">
        <f t="shared" si="6"/>
        <v>2016</v>
      </c>
    </row>
    <row r="56" spans="2:19" x14ac:dyDescent="0.25">
      <c r="C56" s="169">
        <f t="shared" si="4"/>
        <v>42613</v>
      </c>
      <c r="D56" s="171">
        <f>VLOOKUP(C56,'LC (Gross)'!$A$16:$H$31000,4,FALSE)/100</f>
        <v>-1.6608999999999999E-2</v>
      </c>
      <c r="E56" s="190">
        <f>VLOOKUP($C56,'LC (Net)'!$A$16:$H$31000,4,FALSE)/100</f>
        <v>-1.7051E-2</v>
      </c>
      <c r="F56" s="171">
        <f>VLOOKUP(C56,'LC (Gross)'!$J$16:$K$31000,2,FALSE)/100</f>
        <v>1.4072129967986941E-3</v>
      </c>
      <c r="H56" s="171">
        <f>VLOOKUP($C56,'SC (Gross)'!$A$16:$H$31000,4,FALSE)/100</f>
        <v>1.8649999999999999E-3</v>
      </c>
      <c r="I56" s="190">
        <f>VLOOKUP($C56,'SC (Net)'!$A$16:$H$31000,4,FALSE)/100</f>
        <v>1.5640000000000001E-3</v>
      </c>
      <c r="J56" s="171">
        <f>VLOOKUP($C56,'SC (Gross)'!$J$16:$K$31000,2,FALSE)/100</f>
        <v>1.7677409666168632E-2</v>
      </c>
      <c r="L56" s="171">
        <f>VLOOKUP($C56,'Global (Gross)'!$A$16:$H$31000,4,FALSE)/100</f>
        <v>-1.55E-2</v>
      </c>
      <c r="M56" s="190">
        <f>VLOOKUP($C56,'Global (Net)'!$A$16:$H$31000,4,FALSE)/100</f>
        <v>-1.55E-2</v>
      </c>
      <c r="N56" s="171">
        <f>VLOOKUP($C56,'Global (Gross)'!$J$16:$K$31000,2,FALSE)/100</f>
        <v>3.9014406351650334E-3</v>
      </c>
      <c r="O56" s="171"/>
      <c r="P56">
        <f t="shared" si="5"/>
        <v>8</v>
      </c>
      <c r="Q56">
        <v>31</v>
      </c>
      <c r="R56">
        <f t="shared" si="6"/>
        <v>2016</v>
      </c>
    </row>
    <row r="57" spans="2:19" x14ac:dyDescent="0.25">
      <c r="C57" s="169">
        <f t="shared" si="4"/>
        <v>42582</v>
      </c>
      <c r="D57" s="171">
        <f>VLOOKUP(C57,'LC (Gross)'!$A$16:$H$31000,4,FALSE)/100</f>
        <v>1.6184E-2</v>
      </c>
      <c r="E57" s="190">
        <f>VLOOKUP($C57,'LC (Net)'!$A$16:$H$31000,4,FALSE)/100</f>
        <v>1.5397000000000001E-2</v>
      </c>
      <c r="F57" s="171">
        <f>VLOOKUP(C57,'LC (Gross)'!$J$16:$K$31000,2,FALSE)/100</f>
        <v>3.6864546457923149E-2</v>
      </c>
      <c r="H57" s="171">
        <f>VLOOKUP($C57,'SC (Gross)'!$A$16:$H$31000,4,FALSE)/100</f>
        <v>2.963E-2</v>
      </c>
      <c r="I57" s="190">
        <f>VLOOKUP($C57,'SC (Net)'!$A$16:$H$31000,4,FALSE)/100</f>
        <v>2.8793000000000003E-2</v>
      </c>
      <c r="J57" s="171">
        <f>VLOOKUP($C57,'SC (Gross)'!$J$16:$K$31000,2,FALSE)/100</f>
        <v>5.9706867954982139E-2</v>
      </c>
      <c r="L57" s="171">
        <f>VLOOKUP($C57,'Global (Gross)'!$A$16:$H$31000,4,FALSE)/100</f>
        <v>1.3450999999999999E-2</v>
      </c>
      <c r="M57" s="190">
        <f>VLOOKUP($C57,'Global (Net)'!$A$16:$H$31000,4,FALSE)/100</f>
        <v>1.3450999999999999E-2</v>
      </c>
      <c r="N57" s="171">
        <f>VLOOKUP($C57,'Global (Gross)'!$J$16:$K$31000,2,FALSE)/100</f>
        <v>4.3578224690770717E-2</v>
      </c>
      <c r="O57" s="171"/>
      <c r="P57">
        <f t="shared" si="5"/>
        <v>7</v>
      </c>
      <c r="Q57">
        <v>31</v>
      </c>
      <c r="R57">
        <f t="shared" si="6"/>
        <v>2016</v>
      </c>
    </row>
    <row r="58" spans="2:19" x14ac:dyDescent="0.25">
      <c r="C58" s="169">
        <f t="shared" si="4"/>
        <v>42551</v>
      </c>
      <c r="D58" s="171">
        <f>VLOOKUP(C58,'LC (Gross)'!$A$16:$H$31000,4,FALSE)/100</f>
        <v>2.9489999999999999E-2</v>
      </c>
      <c r="E58" s="190">
        <f>VLOOKUP($C58,'LC (Net)'!$A$16:$H$31000,4,FALSE)/100</f>
        <v>2.8815E-2</v>
      </c>
      <c r="F58" s="171">
        <f>VLOOKUP(C58,'LC (Gross)'!$J$16:$K$31000,2,FALSE)/100</f>
        <v>2.5953603335601978E-3</v>
      </c>
      <c r="H58" s="171">
        <f>VLOOKUP($C58,'SC (Gross)'!$A$16:$H$31000,4,FALSE)/100</f>
        <v>2.5323000000000002E-2</v>
      </c>
      <c r="I58" s="190">
        <f>VLOOKUP($C58,'SC (Net)'!$A$16:$H$31000,4,FALSE)/100</f>
        <v>2.5017000000000001E-2</v>
      </c>
      <c r="J58" s="171">
        <f>VLOOKUP($C58,'SC (Gross)'!$J$16:$K$31000,2,FALSE)/100</f>
        <v>-6.3906032296119186E-4</v>
      </c>
      <c r="L58" s="171">
        <f>VLOOKUP($C58,'Global (Gross)'!$A$16:$H$31000,4,FALSE)/100</f>
        <v>4.2500000000000003E-2</v>
      </c>
      <c r="M58" s="190">
        <f>VLOOKUP($C58,'Global (Net)'!$A$16:$H$31000,4,FALSE)/100</f>
        <v>4.2500000000000003E-2</v>
      </c>
      <c r="N58" s="171">
        <f>VLOOKUP($C58,'Global (Gross)'!$J$16:$K$31000,2,FALSE)/100</f>
        <v>-5.5098852259972938E-3</v>
      </c>
      <c r="O58" s="171"/>
      <c r="P58">
        <f t="shared" si="5"/>
        <v>6</v>
      </c>
      <c r="Q58">
        <v>30</v>
      </c>
      <c r="R58">
        <f t="shared" si="6"/>
        <v>2016</v>
      </c>
    </row>
    <row r="59" spans="2:19" x14ac:dyDescent="0.25">
      <c r="C59" s="169">
        <f t="shared" si="4"/>
        <v>42521</v>
      </c>
      <c r="D59" s="171">
        <f>VLOOKUP(C59,'LC (Gross)'!$A$16:$H$31000,4,FALSE)/100</f>
        <v>1.9955000000000001E-2</v>
      </c>
      <c r="E59" s="190">
        <f>VLOOKUP($C59,'LC (Net)'!$A$16:$H$31000,4,FALSE)/100</f>
        <v>1.9543999999999999E-2</v>
      </c>
      <c r="F59" s="171">
        <f>VLOOKUP(C59,'LC (Gross)'!$J$16:$K$31000,2,FALSE)/100</f>
        <v>1.7954286499449398E-2</v>
      </c>
      <c r="H59" s="171">
        <f>VLOOKUP($C59,'SC (Gross)'!$A$16:$H$31000,4,FALSE)/100</f>
        <v>2.5308999999999998E-2</v>
      </c>
      <c r="I59" s="190">
        <f>VLOOKUP($C59,'SC (Net)'!$A$16:$H$31000,4,FALSE)/100</f>
        <v>2.5299000000000002E-2</v>
      </c>
      <c r="J59" s="171">
        <f>VLOOKUP($C59,'SC (Gross)'!$J$16:$K$31000,2,FALSE)/100</f>
        <v>2.2518361605255558E-2</v>
      </c>
      <c r="L59" s="171">
        <f>VLOOKUP($C59,'Global (Gross)'!$A$16:$H$31000,4,FALSE)/100</f>
        <v>1.6200000000000003E-2</v>
      </c>
      <c r="M59" s="190">
        <f>VLOOKUP($C59,'Global (Net)'!$A$16:$H$31000,4,FALSE)/100</f>
        <v>1.6200000000000003E-2</v>
      </c>
      <c r="N59" s="171">
        <f>VLOOKUP($C59,'Global (Gross)'!$J$16:$K$31000,2,FALSE)/100</f>
        <v>2.0647800641014065E-3</v>
      </c>
      <c r="O59" s="171"/>
      <c r="P59">
        <f t="shared" si="5"/>
        <v>5</v>
      </c>
      <c r="Q59">
        <v>31</v>
      </c>
      <c r="R59">
        <f t="shared" si="6"/>
        <v>2016</v>
      </c>
    </row>
    <row r="60" spans="2:19" x14ac:dyDescent="0.25">
      <c r="C60" s="169">
        <f t="shared" si="4"/>
        <v>42490</v>
      </c>
      <c r="D60" s="171">
        <f>VLOOKUP(C60,'LC (Gross)'!$A$16:$H$31000,4,FALSE)/100</f>
        <v>-1.3212999999999999E-2</v>
      </c>
      <c r="E60" s="190">
        <f>VLOOKUP($C60,'LC (Net)'!$A$16:$H$31000,4,FALSE)/100</f>
        <v>-1.3619000000000001E-2</v>
      </c>
      <c r="F60" s="171">
        <f>VLOOKUP(C60,'LC (Gross)'!$J$16:$K$31000,2,FALSE)/100</f>
        <v>3.8791035526038221E-3</v>
      </c>
      <c r="H60" s="171">
        <f>VLOOKUP($C60,'SC (Gross)'!$A$16:$H$31000,4,FALSE)/100</f>
        <v>1.0139E-2</v>
      </c>
      <c r="I60" s="190">
        <f>VLOOKUP($C60,'SC (Net)'!$A$16:$H$31000,4,FALSE)/100</f>
        <v>1.0126999999999999E-2</v>
      </c>
      <c r="J60" s="171">
        <f>VLOOKUP($C60,'SC (Gross)'!$J$16:$K$31000,2,FALSE)/100</f>
        <v>1.5694968610604175E-2</v>
      </c>
      <c r="L60" s="171">
        <f>VLOOKUP($C60,'Global (Gross)'!$A$16:$H$31000,4,FALSE)/100</f>
        <v>2.2070000000000002E-3</v>
      </c>
      <c r="M60" s="190">
        <f>VLOOKUP($C60,'Global (Net)'!$A$16:$H$31000,4,FALSE)/100</f>
        <v>2.2070000000000002E-3</v>
      </c>
      <c r="N60" s="171">
        <f>VLOOKUP($C60,'Global (Gross)'!$J$16:$K$31000,2,FALSE)/100</f>
        <v>1.5259663378262284E-2</v>
      </c>
      <c r="O60" s="171"/>
      <c r="P60">
        <f t="shared" si="5"/>
        <v>4</v>
      </c>
      <c r="Q60">
        <v>30</v>
      </c>
      <c r="R60">
        <f t="shared" si="6"/>
        <v>2016</v>
      </c>
    </row>
    <row r="61" spans="2:19" x14ac:dyDescent="0.25">
      <c r="C61" s="169">
        <f t="shared" si="4"/>
        <v>42460</v>
      </c>
      <c r="D61" s="171">
        <f>VLOOKUP(C61,'LC (Gross)'!$A$16:$H$31000,4,FALSE)/100</f>
        <v>6.2297999999999999E-2</v>
      </c>
      <c r="E61" s="190">
        <f>VLOOKUP($C61,'LC (Net)'!$A$16:$H$31000,4,FALSE)/100</f>
        <v>6.1807999999999995E-2</v>
      </c>
      <c r="F61" s="171">
        <f>VLOOKUP(C61,'LC (Gross)'!$J$16:$K$31000,2,FALSE)/100</f>
        <v>6.783559084936909E-2</v>
      </c>
      <c r="H61" s="171">
        <f>VLOOKUP($C61,'SC (Gross)'!$A$16:$H$31000,4,FALSE)/100</f>
        <v>5.6100000000000004E-2</v>
      </c>
      <c r="I61" s="190">
        <f>VLOOKUP($C61,'SC (Net)'!$A$16:$H$31000,4,FALSE)/100</f>
        <v>5.6100000000000004E-2</v>
      </c>
      <c r="J61" s="171">
        <f>VLOOKUP($C61,'SC (Gross)'!$J$16:$K$31000,2,FALSE)/100</f>
        <v>7.9811016800056062E-2</v>
      </c>
      <c r="L61" s="171">
        <f>VLOOKUP($C61,'Global (Gross)'!$A$16:$H$31000,4,FALSE)/100</f>
        <v>6.6353999999999996E-2</v>
      </c>
      <c r="M61" s="190">
        <f>VLOOKUP($C61,'Global (Net)'!$A$16:$H$31000,4,FALSE)/100</f>
        <v>6.6353999999999996E-2</v>
      </c>
      <c r="N61" s="171">
        <f>VLOOKUP($C61,'Global (Gross)'!$J$16:$K$31000,2,FALSE)/100</f>
        <v>7.4820108129513271E-2</v>
      </c>
      <c r="O61" s="171"/>
      <c r="P61">
        <f t="shared" si="5"/>
        <v>3</v>
      </c>
      <c r="Q61">
        <v>31</v>
      </c>
      <c r="R61">
        <f t="shared" si="6"/>
        <v>2016</v>
      </c>
    </row>
    <row r="62" spans="2:19" x14ac:dyDescent="0.25">
      <c r="B62" s="169">
        <f>DATE(R62,P62,S62)</f>
        <v>42429</v>
      </c>
      <c r="C62" s="169">
        <f t="shared" si="4"/>
        <v>42428</v>
      </c>
      <c r="D62" s="171">
        <f>IFERROR(VLOOKUP($C62,'LC (Gross)'!$A$16:$H$31000,4,FALSE)/100,VLOOKUP($B62,'LC (Gross)'!$A$16:$H$31000,4,FALSE)/100)</f>
        <v>2.0731000000000003E-2</v>
      </c>
      <c r="E62" s="190">
        <f>IFERROR(VLOOKUP($C62,'LC (Net)'!$A$16:$H$31000,4,FALSE)/100,VLOOKUP($B62,'LC (Net)'!$A$16:$H$31000,4,FALSE)/100)</f>
        <v>2.0267E-2</v>
      </c>
      <c r="F62" s="171">
        <f>IFERROR(VLOOKUP($C62,'LC (Gross)'!$J$16:$K$31000,2,FALSE)/100,VLOOKUP($B62,'LC (Gross)'!$J$16:$K$31000,2,FALSE)/100)</f>
        <v>-1.347500848582405E-3</v>
      </c>
      <c r="H62" s="171">
        <f>IFERROR(VLOOKUP($C62,'SC (Gross)'!$A$16:$H$31000,4,FALSE)/100,VLOOKUP($B62,'SC (Gross)'!$A$16:$H$31000,4,FALSE)/100)</f>
        <v>1.67E-2</v>
      </c>
      <c r="I62" s="190">
        <f>IFERROR(VLOOKUP($C62,'SC (Net)'!$A$16:$H$31000,4,FALSE)/100,VLOOKUP($B62,'SC (Net)'!$A$16:$H$31000,4,FALSE)/100)</f>
        <v>1.67E-2</v>
      </c>
      <c r="J62" s="171">
        <f>IFERROR(VLOOKUP($C62,'SC (Gross)'!$J$16:$K$31000,2,FALSE)/100,VLOOKUP($B62,'SC (Gross)'!$J$16:$K$31000,2,FALSE)/100)</f>
        <v>-1.125449271752009E-4</v>
      </c>
      <c r="L62" s="171">
        <f>IFERROR(VLOOKUP($C62,'Global (Gross)'!$A$16:$H$31000,4,FALSE)/100,VLOOKUP($B62,'Global (Gross)'!$A$16:$H$31000,4,FALSE)/100)</f>
        <v>4.7999999999999996E-3</v>
      </c>
      <c r="M62" s="190">
        <f>IFERROR(VLOOKUP($C62,'Global (Net)'!$A$16:$H$31000,4,FALSE)/100,VLOOKUP($B62,'Global (Net)'!$A$16:$H$31000,4,FALSE)/100)</f>
        <v>4.7999999999999996E-3</v>
      </c>
      <c r="N62" s="171">
        <f>IFERROR(VLOOKUP($C62,'Global (Gross)'!$J$16:$K$31000,2,FALSE)/100,VLOOKUP($B62,'Global (Gross)'!$J$16:$K$31000,2,FALSE)/100)</f>
        <v>-6.2960539338588169E-3</v>
      </c>
      <c r="O62" s="171"/>
      <c r="P62">
        <f t="shared" si="5"/>
        <v>2</v>
      </c>
      <c r="Q62">
        <v>28</v>
      </c>
      <c r="R62">
        <f t="shared" si="6"/>
        <v>2016</v>
      </c>
      <c r="S62">
        <v>29</v>
      </c>
    </row>
    <row r="63" spans="2:19" x14ac:dyDescent="0.25">
      <c r="C63" s="169">
        <f t="shared" si="4"/>
        <v>42400</v>
      </c>
      <c r="D63" s="171">
        <f>VLOOKUP(C63,'LC (Gross)'!$A$16:$H$31000,4,FALSE)/100</f>
        <v>-2.4238602309014975E-2</v>
      </c>
      <c r="E63" s="190">
        <f>VLOOKUP($C63,'LC (Net)'!$A$16:$H$31000,4,FALSE)/100</f>
        <v>-2.5055268975681638E-2</v>
      </c>
      <c r="F63" s="171">
        <f>VLOOKUP(C63,'LC (Gross)'!$J$16:$K$31000,2,FALSE)/100</f>
        <v>-4.9625526699858299E-2</v>
      </c>
      <c r="H63" s="171">
        <f>VLOOKUP($C63,'SC (Gross)'!$A$16:$H$31000,4,FALSE)/100</f>
        <v>-1.0500000000000001E-2</v>
      </c>
      <c r="I63" s="190">
        <f>VLOOKUP($C63,'SC (Net)'!$A$16:$H$31000,4,FALSE)/100</f>
        <v>-1.0500000000000001E-2</v>
      </c>
      <c r="J63" s="171">
        <f>VLOOKUP($C63,'SC (Gross)'!$J$16:$K$31000,2,FALSE)/100</f>
        <v>-8.7951679430077978E-2</v>
      </c>
      <c r="L63" s="171">
        <f>VLOOKUP($C63,'Global (Gross)'!$A$16:$H$31000,4,FALSE)/100</f>
        <v>-3.7000000000000002E-3</v>
      </c>
      <c r="M63" s="190">
        <f>VLOOKUP($C63,'Global (Net)'!$A$16:$H$31000,4,FALSE)/100</f>
        <v>-3.7000000000000002E-3</v>
      </c>
      <c r="N63" s="171">
        <f>VLOOKUP($C63,'Global (Gross)'!$J$16:$K$31000,2,FALSE)/100</f>
        <v>-6.0046807125479891E-2</v>
      </c>
      <c r="O63" s="171"/>
      <c r="P63">
        <f t="shared" si="5"/>
        <v>1</v>
      </c>
      <c r="Q63">
        <v>31</v>
      </c>
      <c r="R63">
        <f t="shared" si="6"/>
        <v>2016</v>
      </c>
    </row>
    <row r="65" spans="2:19" x14ac:dyDescent="0.25">
      <c r="C65" s="169">
        <f>DATE(R65,P65,Q65)</f>
        <v>42369</v>
      </c>
      <c r="D65" s="171">
        <f>VLOOKUP(C65,'LC (Gross)'!$A$16:$H$31000,4,FALSE)/100</f>
        <v>-1.9502273333333331E-3</v>
      </c>
      <c r="E65" s="190">
        <f>VLOOKUP($C65,'LC (Net)'!$A$16:$H$31000,4,FALSE)/100</f>
        <v>-2.7668939999999998E-3</v>
      </c>
      <c r="F65" s="171">
        <f>VLOOKUP(C65,'LC (Gross)'!$J$16:$K$31000,2,FALSE)/100</f>
        <v>-1.5862368127833485E-2</v>
      </c>
      <c r="H65" s="171">
        <f>VLOOKUP($C65,'SC (Gross)'!$A$16:$H$31000,4,FALSE)/100</f>
        <v>-1.6799999999999999E-2</v>
      </c>
      <c r="I65" s="190">
        <f>VLOOKUP($C65,'SC (Net)'!$A$16:$H$31000,4,FALSE)/100</f>
        <v>-1.6799999999999999E-2</v>
      </c>
      <c r="J65" s="171">
        <f>VLOOKUP($C65,'SC (Gross)'!$J$16:$K$31000,2,FALSE)/100</f>
        <v>-5.0212707421467877E-2</v>
      </c>
      <c r="L65" s="171">
        <f>VLOOKUP($C65,'Global (Gross)'!$A$16:$H$31000,4,FALSE)/100</f>
        <v>-5.4000000000000003E-3</v>
      </c>
      <c r="M65" s="190">
        <f>VLOOKUP($C65,'Global (Net)'!$A$16:$H$31000,4,FALSE)/100</f>
        <v>-5.4000000000000003E-3</v>
      </c>
      <c r="N65" s="171">
        <f>VLOOKUP($C65,'Global (Gross)'!$J$16:$K$31000,2,FALSE)/100</f>
        <v>-1.7553961121070102E-2</v>
      </c>
      <c r="O65" s="171"/>
      <c r="P65">
        <v>12</v>
      </c>
      <c r="Q65">
        <v>31</v>
      </c>
      <c r="R65">
        <f>'Monthly Perf Update Table'!H16</f>
        <v>2015</v>
      </c>
    </row>
    <row r="66" spans="2:19" x14ac:dyDescent="0.25">
      <c r="C66" s="169">
        <f t="shared" ref="C66:C76" si="7">DATE(R66,P66,Q66)</f>
        <v>42338</v>
      </c>
      <c r="D66" s="171">
        <f>VLOOKUP(C66,'LC (Gross)'!$A$16:$H$31000,4,FALSE)/100</f>
        <v>-4.6515493278651218E-3</v>
      </c>
      <c r="E66" s="190">
        <f>VLOOKUP($C66,'LC (Net)'!$A$16:$H$31000,4,FALSE)/100</f>
        <v>-5.4682159945317887E-3</v>
      </c>
      <c r="F66" s="171">
        <f>VLOOKUP(C66,'LC (Gross)'!$J$16:$K$31000,2,FALSE)/100</f>
        <v>2.9752942236979663E-3</v>
      </c>
      <c r="H66" s="171">
        <f>VLOOKUP($C66,'SC (Gross)'!$A$16:$H$31000,4,FALSE)/100</f>
        <v>1.9099999999999999E-2</v>
      </c>
      <c r="I66" s="190">
        <f>VLOOKUP($C66,'SC (Net)'!$A$16:$H$31000,4,FALSE)/100</f>
        <v>1.9099999999999999E-2</v>
      </c>
      <c r="J66" s="171">
        <f>VLOOKUP($C66,'SC (Gross)'!$J$16:$K$31000,2,FALSE)/100</f>
        <v>3.2529358603983836E-2</v>
      </c>
      <c r="L66" s="171">
        <f>VLOOKUP($C66,'Global (Gross)'!$A$16:$H$31000,4,FALSE)/100</f>
        <v>-1.1599999999999999E-2</v>
      </c>
      <c r="M66" s="190">
        <f>VLOOKUP($C66,'Global (Net)'!$A$16:$H$31000,4,FALSE)/100</f>
        <v>-1.1599999999999999E-2</v>
      </c>
      <c r="N66" s="171">
        <f>VLOOKUP($C66,'Global (Gross)'!$J$16:$K$31000,2,FALSE)/100</f>
        <v>-7.7148480624924997E-3</v>
      </c>
      <c r="O66" s="171"/>
      <c r="P66">
        <f>P65-1</f>
        <v>11</v>
      </c>
      <c r="Q66">
        <v>30</v>
      </c>
      <c r="R66">
        <f>R65</f>
        <v>2015</v>
      </c>
    </row>
    <row r="67" spans="2:19" x14ac:dyDescent="0.25">
      <c r="C67" s="169">
        <f t="shared" si="7"/>
        <v>42308</v>
      </c>
      <c r="D67" s="171">
        <f>VLOOKUP(C67,'LC (Gross)'!$A$16:$H$31000,4,FALSE)/100</f>
        <v>5.866193058568335E-2</v>
      </c>
      <c r="E67" s="190">
        <f>VLOOKUP($C67,'LC (Net)'!$A$16:$H$31000,4,FALSE)/100</f>
        <v>5.7845263919016683E-2</v>
      </c>
      <c r="F67" s="171">
        <f>VLOOKUP(C67,'LC (Gross)'!$J$16:$K$31000,2,FALSE)/100</f>
        <v>8.4352208713533716E-2</v>
      </c>
      <c r="H67" s="171">
        <f>VLOOKUP($C67,'SC (Gross)'!$A$16:$H$31000,4,FALSE)/100</f>
        <v>3.8100000000000002E-2</v>
      </c>
      <c r="I67" s="190">
        <f>VLOOKUP($C67,'SC (Net)'!$A$16:$H$31000,4,FALSE)/100</f>
        <v>3.8100000000000002E-2</v>
      </c>
      <c r="J67" s="171">
        <f>VLOOKUP($C67,'SC (Gross)'!$J$16:$K$31000,2,FALSE)/100</f>
        <v>5.634204345986376E-2</v>
      </c>
      <c r="L67" s="171">
        <f>VLOOKUP($C67,'Global (Gross)'!$A$16:$H$31000,4,FALSE)/100</f>
        <v>5.5E-2</v>
      </c>
      <c r="M67" s="190">
        <f>VLOOKUP($C67,'Global (Net)'!$A$16:$H$31000,4,FALSE)/100</f>
        <v>5.5E-2</v>
      </c>
      <c r="N67" s="171">
        <f>VLOOKUP($C67,'Global (Gross)'!$J$16:$K$31000,2,FALSE)/100</f>
        <v>7.877880916412823E-2</v>
      </c>
      <c r="O67" s="171"/>
      <c r="P67">
        <f t="shared" ref="P67:P76" si="8">P66-1</f>
        <v>10</v>
      </c>
      <c r="Q67">
        <v>31</v>
      </c>
      <c r="R67">
        <f t="shared" ref="R67:R76" si="9">R66</f>
        <v>2015</v>
      </c>
    </row>
    <row r="68" spans="2:19" x14ac:dyDescent="0.25">
      <c r="C68" s="169">
        <f t="shared" si="7"/>
        <v>42277</v>
      </c>
      <c r="D68" s="171">
        <f>VLOOKUP(C68,'LC (Gross)'!$A$16:$H$31000,4,FALSE)/100</f>
        <v>4.4451136913401575E-3</v>
      </c>
      <c r="E68" s="190">
        <f>VLOOKUP($C68,'LC (Net)'!$A$16:$H$31000,4,FALSE)/100</f>
        <v>3.628447024673491E-3</v>
      </c>
      <c r="F68" s="171">
        <f>VLOOKUP(C68,'LC (Gross)'!$J$16:$K$31000,2,FALSE)/100</f>
        <v>-2.4739432189367951E-2</v>
      </c>
      <c r="H68" s="171">
        <f>VLOOKUP($C68,'SC (Gross)'!$A$16:$H$31000,4,FALSE)/100</f>
        <v>-3.9000000000000003E-3</v>
      </c>
      <c r="I68" s="190">
        <f>VLOOKUP($C68,'SC (Net)'!$A$16:$H$31000,4,FALSE)/100</f>
        <v>-3.9000000000000003E-3</v>
      </c>
      <c r="J68" s="171">
        <f>VLOOKUP($C68,'SC (Gross)'!$J$16:$K$31000,2,FALSE)/100</f>
        <v>-4.906226403573407E-2</v>
      </c>
      <c r="L68" s="171">
        <f>VLOOKUP($C68,'Global (Gross)'!$A$16:$H$31000,4,FALSE)/100</f>
        <v>-1.11E-2</v>
      </c>
      <c r="M68" s="190">
        <f>VLOOKUP($C68,'Global (Net)'!$A$16:$H$31000,4,FALSE)/100</f>
        <v>-1.11E-2</v>
      </c>
      <c r="N68" s="171">
        <f>VLOOKUP($C68,'Global (Gross)'!$J$16:$K$31000,2,FALSE)/100</f>
        <v>-3.5676536381570215E-2</v>
      </c>
      <c r="O68" s="171"/>
      <c r="P68">
        <f t="shared" si="8"/>
        <v>9</v>
      </c>
      <c r="Q68">
        <v>30</v>
      </c>
      <c r="R68">
        <f t="shared" si="9"/>
        <v>2015</v>
      </c>
    </row>
    <row r="69" spans="2:19" x14ac:dyDescent="0.25">
      <c r="C69" s="169">
        <f t="shared" si="7"/>
        <v>42247</v>
      </c>
      <c r="D69" s="171">
        <f>VLOOKUP(C69,'LC (Gross)'!$A$16:$H$31000,4,FALSE)/100</f>
        <v>-4.6868198571757745E-2</v>
      </c>
      <c r="E69" s="190">
        <f>VLOOKUP($C69,'LC (Net)'!$A$16:$H$31000,4,FALSE)/100</f>
        <v>-4.7684865238424419E-2</v>
      </c>
      <c r="F69" s="171">
        <f>VLOOKUP(C69,'LC (Gross)'!$J$16:$K$31000,2,FALSE)/100</f>
        <v>-6.0338140445487153E-2</v>
      </c>
      <c r="H69" s="171">
        <f>VLOOKUP($C69,'SC (Gross)'!$A$16:$H$31000,4,FALSE)/100</f>
        <v>-4.1399999999999999E-2</v>
      </c>
      <c r="I69" s="190">
        <f>VLOOKUP($C69,'SC (Net)'!$A$16:$H$31000,4,FALSE)/100</f>
        <v>-4.1399999999999999E-2</v>
      </c>
      <c r="J69" s="171">
        <f>VLOOKUP($C69,'SC (Gross)'!$J$16:$K$31000,2,FALSE)/100</f>
        <v>-6.2840456545254345E-2</v>
      </c>
      <c r="L69" s="171">
        <f>VLOOKUP($C69,'Global (Gross)'!$A$16:$H$31000,4,FALSE)/100</f>
        <v>-4.6199999999999998E-2</v>
      </c>
      <c r="M69" s="190">
        <f>VLOOKUP($C69,'Global (Net)'!$A$16:$H$31000,4,FALSE)/100</f>
        <v>-4.6199999999999998E-2</v>
      </c>
      <c r="N69" s="171">
        <f>VLOOKUP($C69,'Global (Gross)'!$J$16:$K$31000,2,FALSE)/100</f>
        <v>-6.8078439586629694E-2</v>
      </c>
      <c r="O69" s="171"/>
      <c r="P69">
        <f t="shared" si="8"/>
        <v>8</v>
      </c>
      <c r="Q69">
        <v>31</v>
      </c>
      <c r="R69">
        <f t="shared" si="9"/>
        <v>2015</v>
      </c>
    </row>
    <row r="70" spans="2:19" x14ac:dyDescent="0.25">
      <c r="C70" s="169">
        <f t="shared" si="7"/>
        <v>42216</v>
      </c>
      <c r="D70" s="171">
        <f>VLOOKUP(C70,'LC (Gross)'!$A$16:$H$31000,4,FALSE)/100</f>
        <v>4.7092877801880012E-2</v>
      </c>
      <c r="E70" s="190">
        <f>VLOOKUP($C70,'LC (Net)'!$A$16:$H$31000,4,FALSE)/100</f>
        <v>4.6276211135213338E-2</v>
      </c>
      <c r="F70" s="171">
        <f>VLOOKUP(C70,'LC (Gross)'!$J$16:$K$31000,2,FALSE)/100</f>
        <v>2.0954396522417248E-2</v>
      </c>
      <c r="H70" s="171">
        <f>VLOOKUP($C70,'SC (Gross)'!$A$16:$H$31000,4,FALSE)/100</f>
        <v>9.1000000000000004E-3</v>
      </c>
      <c r="I70" s="190">
        <f>VLOOKUP($C70,'SC (Net)'!$A$16:$H$31000,4,FALSE)/100</f>
        <v>9.1000000000000004E-3</v>
      </c>
      <c r="J70" s="171">
        <f>VLOOKUP($C70,'SC (Gross)'!$J$16:$K$31000,2,FALSE)/100</f>
        <v>-1.1619530266059153E-2</v>
      </c>
      <c r="L70" s="171">
        <f>VLOOKUP($C70,'Global (Gross)'!$A$16:$H$31000,4,FALSE)/100</f>
        <v>3.2300000000000002E-2</v>
      </c>
      <c r="M70" s="190">
        <f>VLOOKUP($C70,'Global (Net)'!$A$16:$H$31000,4,FALSE)/100</f>
        <v>3.2300000000000002E-2</v>
      </c>
      <c r="N70" s="171">
        <f>VLOOKUP($C70,'Global (Gross)'!$J$16:$K$31000,2,FALSE)/100</f>
        <v>9.0381619214768404E-3</v>
      </c>
      <c r="O70" s="171"/>
      <c r="P70">
        <f t="shared" si="8"/>
        <v>7</v>
      </c>
      <c r="Q70">
        <v>31</v>
      </c>
      <c r="R70">
        <f t="shared" si="9"/>
        <v>2015</v>
      </c>
    </row>
    <row r="71" spans="2:19" x14ac:dyDescent="0.25">
      <c r="C71" s="169">
        <f t="shared" si="7"/>
        <v>42185</v>
      </c>
      <c r="D71" s="171">
        <f>VLOOKUP(C71,'LC (Gross)'!$A$16:$H$31000,4,FALSE)/100</f>
        <v>-1.8332269503546068E-2</v>
      </c>
      <c r="E71" s="190">
        <f>VLOOKUP($C71,'LC (Net)'!$A$16:$H$31000,4,FALSE)/100</f>
        <v>-1.9148936170212735E-2</v>
      </c>
      <c r="F71" s="171">
        <f>VLOOKUP(C71,'LC (Gross)'!$J$16:$K$31000,2,FALSE)/100</f>
        <v>-1.9358188264035552E-2</v>
      </c>
      <c r="H71" s="171">
        <f>VLOOKUP($C71,'SC (Gross)'!$A$16:$H$31000,4,FALSE)/100</f>
        <v>1.15E-2</v>
      </c>
      <c r="I71" s="190">
        <f>VLOOKUP($C71,'SC (Net)'!$A$16:$H$31000,4,FALSE)/100</f>
        <v>1.15E-2</v>
      </c>
      <c r="J71" s="171">
        <f>VLOOKUP($C71,'SC (Gross)'!$J$16:$K$31000,2,FALSE)/100</f>
        <v>7.4882261871327925E-3</v>
      </c>
      <c r="L71" s="171">
        <f>VLOOKUP($C71,'Global (Gross)'!$A$16:$H$31000,4,FALSE)/100</f>
        <v>-2.4199999999999999E-2</v>
      </c>
      <c r="M71" s="190">
        <f>VLOOKUP($C71,'Global (Net)'!$A$16:$H$31000,4,FALSE)/100</f>
        <v>-2.4199999999999999E-2</v>
      </c>
      <c r="N71" s="171">
        <f>VLOOKUP($C71,'Global (Gross)'!$J$16:$K$31000,2,FALSE)/100</f>
        <v>-2.3054046922851401E-2</v>
      </c>
      <c r="O71" s="171"/>
      <c r="P71">
        <f t="shared" si="8"/>
        <v>6</v>
      </c>
      <c r="Q71">
        <v>30</v>
      </c>
      <c r="R71">
        <f t="shared" si="9"/>
        <v>2015</v>
      </c>
    </row>
    <row r="72" spans="2:19" x14ac:dyDescent="0.25">
      <c r="C72" s="169">
        <f t="shared" si="7"/>
        <v>42155</v>
      </c>
      <c r="D72" s="171">
        <f>VLOOKUP(C72,'LC (Gross)'!$A$16:$H$31000,4,FALSE)/100</f>
        <v>1.0845319961795519E-2</v>
      </c>
      <c r="E72" s="190">
        <f>VLOOKUP($C72,'LC (Net)'!$A$16:$H$31000,4,FALSE)/100</f>
        <v>1.0028653295128854E-2</v>
      </c>
      <c r="F72" s="171">
        <f>VLOOKUP(C72,'LC (Gross)'!$J$16:$K$31000,2,FALSE)/100</f>
        <v>1.2861229340560991E-2</v>
      </c>
      <c r="H72" s="171">
        <f>VLOOKUP($C72,'SC (Gross)'!$A$16:$H$31000,4,FALSE)/100</f>
        <v>1.8000000000000002E-2</v>
      </c>
      <c r="I72" s="190">
        <f>VLOOKUP($C72,'SC (Net)'!$A$16:$H$31000,4,FALSE)/100</f>
        <v>1.8000000000000002E-2</v>
      </c>
      <c r="J72" s="171">
        <f>VLOOKUP($C72,'SC (Gross)'!$J$16:$K$31000,2,FALSE)/100</f>
        <v>2.2830562424304077E-2</v>
      </c>
      <c r="L72" s="171">
        <f>VLOOKUP($C72,'Global (Gross)'!$A$16:$H$31000,4,FALSE)/100</f>
        <v>-9.1000000000000004E-3</v>
      </c>
      <c r="M72" s="190">
        <f>VLOOKUP($C72,'Global (Net)'!$A$16:$H$31000,4,FALSE)/100</f>
        <v>-9.1000000000000004E-3</v>
      </c>
      <c r="N72" s="171">
        <f>VLOOKUP($C72,'Global (Gross)'!$J$16:$K$31000,2,FALSE)/100</f>
        <v>-6.1679122166133349E-4</v>
      </c>
      <c r="O72" s="171"/>
      <c r="P72">
        <f t="shared" si="8"/>
        <v>5</v>
      </c>
      <c r="Q72">
        <v>31</v>
      </c>
      <c r="R72">
        <f t="shared" si="9"/>
        <v>2015</v>
      </c>
    </row>
    <row r="73" spans="2:19" x14ac:dyDescent="0.25">
      <c r="C73" s="169">
        <f t="shared" si="7"/>
        <v>42124</v>
      </c>
      <c r="D73" s="171">
        <f>VLOOKUP(C73,'LC (Gross)'!$A$16:$H$31000,4,FALSE)/100</f>
        <v>-1.3307627118644017E-2</v>
      </c>
      <c r="E73" s="190">
        <f>VLOOKUP($C73,'LC (Net)'!$A$16:$H$31000,4,FALSE)/100</f>
        <v>-1.4124293785310684E-2</v>
      </c>
      <c r="F73" s="171">
        <f>VLOOKUP(C73,'LC (Gross)'!$J$16:$K$31000,2,FALSE)/100</f>
        <v>9.5901070467064135E-3</v>
      </c>
      <c r="H73" s="171">
        <f>VLOOKUP($C73,'SC (Gross)'!$A$16:$H$31000,4,FALSE)/100</f>
        <v>-3.6699999999999997E-2</v>
      </c>
      <c r="I73" s="190">
        <f>VLOOKUP($C73,'SC (Net)'!$A$16:$H$31000,4,FALSE)/100</f>
        <v>-3.6699999999999997E-2</v>
      </c>
      <c r="J73" s="171">
        <f>VLOOKUP($C73,'SC (Gross)'!$J$16:$K$31000,2,FALSE)/100</f>
        <v>-2.5502843863635615E-2</v>
      </c>
      <c r="L73" s="171">
        <f>VLOOKUP($C73,'Global (Gross)'!$A$16:$H$31000,4,FALSE)/100</f>
        <v>2.2099999999999998E-2</v>
      </c>
      <c r="M73" s="190">
        <f>VLOOKUP($C73,'Global (Net)'!$A$16:$H$31000,4,FALSE)/100</f>
        <v>2.2099999999999998E-2</v>
      </c>
      <c r="N73" s="171">
        <f>VLOOKUP($C73,'Global (Gross)'!$J$16:$K$31000,2,FALSE)/100</f>
        <v>2.9354884312032786E-2</v>
      </c>
      <c r="O73" s="171"/>
      <c r="P73">
        <f t="shared" si="8"/>
        <v>4</v>
      </c>
      <c r="Q73">
        <v>30</v>
      </c>
      <c r="R73">
        <f t="shared" si="9"/>
        <v>2015</v>
      </c>
    </row>
    <row r="74" spans="2:19" x14ac:dyDescent="0.25">
      <c r="C74" s="169">
        <f t="shared" si="7"/>
        <v>42094</v>
      </c>
      <c r="D74" s="171">
        <f>VLOOKUP(C74,'LC (Gross)'!$A$16:$H$31000,4,FALSE)/100</f>
        <v>-6.1959560542309243E-3</v>
      </c>
      <c r="E74" s="190">
        <f>VLOOKUP($C74,'LC (Net)'!$A$16:$H$31000,4,FALSE)/100</f>
        <v>-7.0126227208975912E-3</v>
      </c>
      <c r="F74" s="171">
        <f>VLOOKUP(C74,'LC (Gross)'!$J$16:$K$31000,2,FALSE)/100</f>
        <v>-1.5811659792919264E-2</v>
      </c>
      <c r="H74" s="171">
        <f>VLOOKUP($C74,'SC (Gross)'!$A$16:$H$31000,4,FALSE)/100</f>
        <v>2.3E-2</v>
      </c>
      <c r="I74" s="190">
        <f>VLOOKUP($C74,'SC (Net)'!$A$16:$H$31000,4,FALSE)/100</f>
        <v>2.3E-2</v>
      </c>
      <c r="J74" s="171">
        <f>VLOOKUP($C74,'SC (Gross)'!$J$16:$K$31000,2,FALSE)/100</f>
        <v>1.7420488950149301E-2</v>
      </c>
      <c r="L74" s="171">
        <f>VLOOKUP($C74,'Global (Gross)'!$A$16:$H$31000,4,FALSE)/100</f>
        <v>-1.2800000000000001E-2</v>
      </c>
      <c r="M74" s="190">
        <f>VLOOKUP($C74,'Global (Net)'!$A$16:$H$31000,4,FALSE)/100</f>
        <v>-1.2800000000000001E-2</v>
      </c>
      <c r="N74" s="171">
        <f>VLOOKUP($C74,'Global (Gross)'!$J$16:$K$31000,2,FALSE)/100</f>
        <v>-1.475725759740446E-2</v>
      </c>
      <c r="O74" s="171"/>
      <c r="P74">
        <f t="shared" si="8"/>
        <v>3</v>
      </c>
      <c r="Q74">
        <v>31</v>
      </c>
      <c r="R74">
        <f t="shared" si="9"/>
        <v>2015</v>
      </c>
    </row>
    <row r="75" spans="2:19" x14ac:dyDescent="0.25">
      <c r="B75" s="169">
        <f>DATE(R75,P75,S75)</f>
        <v>42064</v>
      </c>
      <c r="C75" s="169">
        <f t="shared" si="7"/>
        <v>42063</v>
      </c>
      <c r="D75" s="171">
        <f>VLOOKUP(C75,'LC (Gross)'!$A$16:$H$31000,4,FALSE)/100</f>
        <v>3.1163487475915214E-2</v>
      </c>
      <c r="E75" s="190">
        <f>VLOOKUP($C75,'LC (Net)'!$A$16:$H$31000,4,FALSE)/100</f>
        <v>3.034682080924855E-2</v>
      </c>
      <c r="F75" s="171">
        <f>IFERROR(VLOOKUP($C75,'LC (Gross)'!$J$16:$K$31000,2,FALSE)/100,VLOOKUP($B75,'LC (Gross)'!$J$16:$K$31000,2,FALSE)/100)</f>
        <v>5.7470113655331431E-2</v>
      </c>
      <c r="H75" s="171">
        <f>VLOOKUP($C75,'SC (Gross)'!$A$16:$H$31000,4,FALSE)/100</f>
        <v>3.2199999999999999E-2</v>
      </c>
      <c r="I75" s="190">
        <f>VLOOKUP($C75,'SC (Net)'!$A$16:$H$31000,4,FALSE)/100</f>
        <v>3.2199999999999999E-2</v>
      </c>
      <c r="J75" s="171">
        <f>IFERROR(VLOOKUP($C75,'SC (Gross)'!$J$16:$K$31000,2,FALSE)/100,VLOOKUP($B75,'SC (Gross)'!$J$16:$K$31000,2,FALSE)/100)</f>
        <v>5.9366466793778522E-2</v>
      </c>
      <c r="L75" s="171">
        <f>VLOOKUP($C75,'Global (Gross)'!$A$16:$H$31000,4,FALSE)/100</f>
        <v>1.67E-2</v>
      </c>
      <c r="M75" s="190">
        <f>VLOOKUP($C75,'Global (Net)'!$A$16:$H$31000,4,FALSE)/100</f>
        <v>1.67E-2</v>
      </c>
      <c r="N75" s="171">
        <f>IFERROR(VLOOKUP($C75,'Global (Gross)'!$J$16:$K$31000,2,FALSE)/100,VLOOKUP($B75,'Global (Gross)'!$J$16:$K$31000,2,FALSE)/100)</f>
        <v>5.6143616728353711E-2</v>
      </c>
      <c r="O75" s="171"/>
      <c r="P75">
        <f t="shared" si="8"/>
        <v>2</v>
      </c>
      <c r="Q75">
        <v>28</v>
      </c>
      <c r="R75">
        <f t="shared" si="9"/>
        <v>2015</v>
      </c>
      <c r="S75">
        <v>29</v>
      </c>
    </row>
    <row r="76" spans="2:19" x14ac:dyDescent="0.25">
      <c r="C76" s="169">
        <f t="shared" si="7"/>
        <v>42035</v>
      </c>
      <c r="D76" s="171">
        <f>VLOOKUP(C76,'LC (Gross)'!$A$16:$H$31000,4,FALSE)/100</f>
        <v>-1.1317523197715911E-2</v>
      </c>
      <c r="E76" s="190">
        <f>VLOOKUP($C76,'LC (Net)'!$A$16:$H$31000,4,FALSE)/100</f>
        <v>-1.2134189864382578E-2</v>
      </c>
      <c r="F76" s="171">
        <f>VLOOKUP(C76,'LC (Gross)'!$J$16:$K$31000,2,FALSE)/100</f>
        <v>-3.0018337485743868E-2</v>
      </c>
      <c r="H76" s="171">
        <f>VLOOKUP($C76,'SC (Gross)'!$A$16:$H$31000,4,FALSE)/100</f>
        <v>-2.2499999999999999E-2</v>
      </c>
      <c r="I76" s="190">
        <f>VLOOKUP($C76,'SC (Net)'!$A$16:$H$31000,4,FALSE)/100</f>
        <v>-2.2499999999999999E-2</v>
      </c>
      <c r="J76" s="171">
        <f>VLOOKUP($C76,'SC (Gross)'!$J$16:$K$31000,2,FALSE)/100</f>
        <v>-3.2159753259148764E-2</v>
      </c>
      <c r="L76" s="171">
        <f>VLOOKUP($C76,'Global (Gross)'!$A$16:$H$31000,4,FALSE)/100</f>
        <v>-4.3E-3</v>
      </c>
      <c r="M76" s="190">
        <f>VLOOKUP($C76,'Global (Net)'!$A$16:$H$31000,4,FALSE)/100</f>
        <v>-4.3E-3</v>
      </c>
      <c r="N76" s="171">
        <f>VLOOKUP($C76,'Global (Gross)'!$J$16:$K$31000,2,FALSE)/100</f>
        <v>-1.5364150474858958E-2</v>
      </c>
      <c r="O76" s="171"/>
      <c r="P76">
        <f t="shared" si="8"/>
        <v>1</v>
      </c>
      <c r="Q76">
        <v>31</v>
      </c>
      <c r="R76">
        <f t="shared" si="9"/>
        <v>2015</v>
      </c>
    </row>
    <row r="78" spans="2:19" x14ac:dyDescent="0.25">
      <c r="C78" s="169">
        <f>DATE(R78,P78,Q78)</f>
        <v>42004</v>
      </c>
      <c r="D78" s="171">
        <f>VLOOKUP(C78,'LC (Gross)'!$A$16:$H$31000,4,FALSE)/100</f>
        <v>8.5224666666666672E-4</v>
      </c>
      <c r="E78" s="190">
        <f>VLOOKUP(C78,'LC (Net)'!$A$16:$H$31000,4,FALSE)/100</f>
        <v>3.5580000000000002E-5</v>
      </c>
      <c r="F78" s="171">
        <f>VLOOKUP(C78,'LC (Gross)'!$J$16:$K$31000,2,FALSE)/100</f>
        <v>-2.5732260110186045E-3</v>
      </c>
      <c r="H78" s="171">
        <f>VLOOKUP($C78,'SC (Gross)'!$A$16:$H$31000,4,FALSE)/100</f>
        <v>3.3500000000000002E-2</v>
      </c>
      <c r="I78" s="190">
        <f>VLOOKUP($C78,'SC (Net)'!$A$16:$H$31000,4,FALSE)/100</f>
        <v>3.3500000000000002E-2</v>
      </c>
      <c r="J78" s="171">
        <f>VLOOKUP($C78,'SC (Gross)'!$J$16:$K$31000,2,FALSE)/100</f>
        <v>2.8498588871171827E-2</v>
      </c>
      <c r="L78" s="171">
        <f>VLOOKUP($C78,'Global (Gross)'!$A$16:$H$31000,4,FALSE)/100</f>
        <v>-4.1000000000000003E-3</v>
      </c>
      <c r="M78" s="190">
        <f>VLOOKUP($C78,'Global (Net)'!$A$16:$H$31000,4,FALSE)/100</f>
        <v>-4.1000000000000003E-3</v>
      </c>
      <c r="N78" s="171">
        <f>VLOOKUP($C78,'Global (Gross)'!$J$16:$K$31000,2,FALSE)/100</f>
        <v>-1.8764197641083512E-2</v>
      </c>
      <c r="O78" s="171"/>
      <c r="P78">
        <v>12</v>
      </c>
      <c r="Q78">
        <v>31</v>
      </c>
      <c r="R78">
        <f>'Monthly Perf Update Table'!I16</f>
        <v>2014</v>
      </c>
    </row>
    <row r="79" spans="2:19" x14ac:dyDescent="0.25">
      <c r="C79" s="169">
        <f t="shared" ref="C79:C89" si="10">DATE(R79,P79,Q79)</f>
        <v>41973</v>
      </c>
      <c r="D79" s="171">
        <f>VLOOKUP(C79,'LC (Gross)'!$A$16:$H$31000,4,FALSE)/100</f>
        <v>4.2127207977207988E-2</v>
      </c>
      <c r="E79" s="190">
        <f>VLOOKUP(C79,'LC (Net)'!$A$16:$H$31000,4,FALSE)/100</f>
        <v>4.1310541310541321E-2</v>
      </c>
      <c r="F79" s="171">
        <f>VLOOKUP(C79,'LC (Gross)'!$J$16:$K$31000,2,FALSE)/100</f>
        <v>2.6882268432619146E-2</v>
      </c>
      <c r="H79" s="171">
        <f>VLOOKUP($C79,'SC (Gross)'!$A$16:$H$31000,4,FALSE)/100</f>
        <v>8.6999999999999994E-3</v>
      </c>
      <c r="I79" s="190">
        <f>VLOOKUP($C79,'SC (Net)'!$A$16:$H$31000,4,FALSE)/100</f>
        <v>8.6999999999999994E-3</v>
      </c>
      <c r="J79" s="171">
        <f>VLOOKUP($C79,'SC (Gross)'!$J$16:$K$31000,2,FALSE)/100</f>
        <v>9.0243889280836997E-4</v>
      </c>
      <c r="L79" s="171">
        <f>VLOOKUP($C79,'Global (Gross)'!$A$16:$H$31000,4,FALSE)/100</f>
        <v>2.35E-2</v>
      </c>
      <c r="M79" s="190">
        <f>VLOOKUP($C79,'Global (Net)'!$A$16:$H$31000,4,FALSE)/100</f>
        <v>2.35E-2</v>
      </c>
      <c r="N79" s="171">
        <f>VLOOKUP($C79,'Global (Gross)'!$J$16:$K$31000,2,FALSE)/100</f>
        <v>1.7273389282044048E-2</v>
      </c>
      <c r="O79" s="171"/>
      <c r="P79">
        <f>P78-1</f>
        <v>11</v>
      </c>
      <c r="Q79">
        <v>30</v>
      </c>
      <c r="R79">
        <f>R78</f>
        <v>2014</v>
      </c>
    </row>
    <row r="80" spans="2:19" x14ac:dyDescent="0.25">
      <c r="C80" s="169">
        <f t="shared" si="10"/>
        <v>41943</v>
      </c>
      <c r="D80" s="171">
        <f>VLOOKUP(C80,'LC (Gross)'!$A$16:$H$31000,4,FALSE)/100</f>
        <v>3.3169607843137223E-2</v>
      </c>
      <c r="E80" s="190">
        <f>VLOOKUP(C80,'LC (Net)'!$A$16:$H$31000,4,FALSE)/100</f>
        <v>3.2352941176470557E-2</v>
      </c>
      <c r="F80" s="171">
        <f>VLOOKUP(C80,'LC (Gross)'!$J$16:$K$31000,2,FALSE)/100</f>
        <v>2.4420309995375748E-2</v>
      </c>
      <c r="H80" s="171">
        <f>VLOOKUP($C80,'SC (Gross)'!$A$16:$H$31000,4,FALSE)/100</f>
        <v>0.10369999999999999</v>
      </c>
      <c r="I80" s="190">
        <f>VLOOKUP($C80,'SC (Net)'!$A$16:$H$31000,4,FALSE)/100</f>
        <v>0.10369999999999999</v>
      </c>
      <c r="J80" s="171">
        <f>VLOOKUP($C80,'SC (Gross)'!$J$16:$K$31000,2,FALSE)/100</f>
        <v>6.5919147344933191E-2</v>
      </c>
      <c r="L80" s="171">
        <f>VLOOKUP($C80,'Global (Gross)'!$A$16:$H$31000,4,FALSE)/100</f>
        <v>2.9300000000000003E-2</v>
      </c>
      <c r="M80" s="190">
        <f>VLOOKUP($C80,'Global (Net)'!$A$16:$H$31000,4,FALSE)/100</f>
        <v>2.9300000000000003E-2</v>
      </c>
      <c r="N80" s="171">
        <f>VLOOKUP($C80,'Global (Gross)'!$J$16:$K$31000,2,FALSE)/100</f>
        <v>7.3243500540315721E-3</v>
      </c>
      <c r="O80" s="171"/>
      <c r="P80">
        <f t="shared" ref="P80:P89" si="11">P79-1</f>
        <v>10</v>
      </c>
      <c r="Q80">
        <v>31</v>
      </c>
      <c r="R80">
        <f t="shared" ref="R80:R89" si="12">R79</f>
        <v>2014</v>
      </c>
    </row>
    <row r="81" spans="2:19" x14ac:dyDescent="0.25">
      <c r="C81" s="169">
        <f t="shared" si="10"/>
        <v>41912</v>
      </c>
      <c r="D81" s="171">
        <f>VLOOKUP(C81,'LC (Gross)'!$A$16:$H$31000,4,FALSE)/100</f>
        <v>-7.9296890184645998E-3</v>
      </c>
      <c r="E81" s="190">
        <f>VLOOKUP(C81,'LC (Net)'!$A$16:$H$31000,4,FALSE)/100</f>
        <v>-8.7463556851312668E-3</v>
      </c>
      <c r="F81" s="171">
        <f>VLOOKUP(C81,'LC (Gross)'!$J$16:$K$31000,2,FALSE)/100</f>
        <v>-1.4020945270779435E-2</v>
      </c>
      <c r="H81" s="171">
        <f>VLOOKUP($C81,'SC (Gross)'!$A$16:$H$31000,4,FALSE)/100</f>
        <v>-3.9399999999999998E-2</v>
      </c>
      <c r="I81" s="190">
        <f>VLOOKUP($C81,'SC (Net)'!$A$16:$H$31000,4,FALSE)/100</f>
        <v>-3.9399999999999998E-2</v>
      </c>
      <c r="J81" s="171">
        <f>VLOOKUP($C81,'SC (Gross)'!$J$16:$K$31000,2,FALSE)/100</f>
        <v>-6.0493826882581737E-2</v>
      </c>
      <c r="L81" s="171">
        <f>VLOOKUP($C81,'Global (Gross)'!$A$16:$H$31000,4,FALSE)/100</f>
        <v>-2.0799999999999999E-2</v>
      </c>
      <c r="M81" s="190">
        <f>VLOOKUP($C81,'Global (Net)'!$A$16:$H$31000,4,FALSE)/100</f>
        <v>-2.0799999999999999E-2</v>
      </c>
      <c r="N81" s="171">
        <f>VLOOKUP($C81,'Global (Gross)'!$J$16:$K$31000,2,FALSE)/100</f>
        <v>-3.1960384709725946E-2</v>
      </c>
      <c r="O81" s="171"/>
      <c r="P81">
        <f t="shared" si="11"/>
        <v>9</v>
      </c>
      <c r="Q81">
        <v>30</v>
      </c>
      <c r="R81">
        <f t="shared" si="12"/>
        <v>2014</v>
      </c>
    </row>
    <row r="82" spans="2:19" x14ac:dyDescent="0.25">
      <c r="C82" s="169">
        <f t="shared" si="10"/>
        <v>41882</v>
      </c>
      <c r="D82" s="171">
        <f>VLOOKUP(C82,'LC (Gross)'!$A$16:$H$31000,4,FALSE)/100</f>
        <v>3.7070443101712015E-2</v>
      </c>
      <c r="E82" s="190">
        <f>VLOOKUP(C82,'LC (Net)'!$A$16:$H$31000,4,FALSE)/100</f>
        <v>3.6253776435045348E-2</v>
      </c>
      <c r="F82" s="171">
        <f>VLOOKUP(C82,'LC (Gross)'!$J$16:$K$31000,2,FALSE)/100</f>
        <v>4.0001307171931559E-2</v>
      </c>
      <c r="H82" s="171">
        <f>VLOOKUP($C82,'SC (Gross)'!$A$16:$H$31000,4,FALSE)/100</f>
        <v>4.4299999999999999E-2</v>
      </c>
      <c r="I82" s="190">
        <f>VLOOKUP($C82,'SC (Net)'!$A$16:$H$31000,4,FALSE)/100</f>
        <v>4.4299999999999999E-2</v>
      </c>
      <c r="J82" s="171">
        <f>VLOOKUP($C82,'SC (Gross)'!$J$16:$K$31000,2,FALSE)/100</f>
        <v>4.9585935266501638E-2</v>
      </c>
      <c r="L82" s="171">
        <f>VLOOKUP($C82,'Global (Gross)'!$A$16:$H$31000,4,FALSE)/100</f>
        <v>4.5999999999999999E-2</v>
      </c>
      <c r="M82" s="190">
        <f>VLOOKUP($C82,'Global (Net)'!$A$16:$H$31000,4,FALSE)/100</f>
        <v>4.5999999999999999E-2</v>
      </c>
      <c r="N82" s="171">
        <f>VLOOKUP($C82,'Global (Gross)'!$J$16:$K$31000,2,FALSE)/100</f>
        <v>2.2589010239507296E-2</v>
      </c>
      <c r="O82" s="171"/>
      <c r="P82">
        <f t="shared" si="11"/>
        <v>8</v>
      </c>
      <c r="Q82">
        <v>31</v>
      </c>
      <c r="R82">
        <f t="shared" si="12"/>
        <v>2014</v>
      </c>
    </row>
    <row r="83" spans="2:19" x14ac:dyDescent="0.25">
      <c r="C83" s="169">
        <f t="shared" si="10"/>
        <v>41851</v>
      </c>
      <c r="D83" s="171">
        <f>VLOOKUP(C83,'LC (Gross)'!$A$16:$H$31000,4,FALSE)/100</f>
        <v>-9.6467115097160355E-3</v>
      </c>
      <c r="E83" s="190">
        <f>VLOOKUP(C83,'LC (Net)'!$A$16:$H$31000,4,FALSE)/100</f>
        <v>-1.0463378176382702E-2</v>
      </c>
      <c r="F83" s="171">
        <f>VLOOKUP(C83,'LC (Gross)'!$J$16:$K$31000,2,FALSE)/100</f>
        <v>-1.379228117077598E-2</v>
      </c>
      <c r="H83" s="171">
        <f>VLOOKUP($C83,'SC (Gross)'!$A$16:$H$31000,4,FALSE)/100</f>
        <v>-4.1200000000000001E-2</v>
      </c>
      <c r="I83" s="190">
        <f>VLOOKUP($C83,'SC (Net)'!$A$16:$H$31000,4,FALSE)/100</f>
        <v>-4.1200000000000001E-2</v>
      </c>
      <c r="J83" s="171">
        <f>VLOOKUP($C83,'SC (Gross)'!$J$16:$K$31000,2,FALSE)/100</f>
        <v>-6.0529187375197531E-2</v>
      </c>
      <c r="L83" s="171">
        <f>VLOOKUP($C83,'Global (Gross)'!$A$16:$H$31000,4,FALSE)/100</f>
        <v>-1.04E-2</v>
      </c>
      <c r="M83" s="190">
        <f>VLOOKUP($C83,'Global (Net)'!$A$16:$H$31000,4,FALSE)/100</f>
        <v>-1.04E-2</v>
      </c>
      <c r="N83" s="171">
        <f>VLOOKUP($C83,'Global (Gross)'!$J$16:$K$31000,2,FALSE)/100</f>
        <v>-1.1760758034444884E-2</v>
      </c>
      <c r="O83" s="171"/>
      <c r="P83">
        <f t="shared" si="11"/>
        <v>7</v>
      </c>
      <c r="Q83">
        <v>31</v>
      </c>
      <c r="R83">
        <f t="shared" si="12"/>
        <v>2014</v>
      </c>
    </row>
    <row r="84" spans="2:19" x14ac:dyDescent="0.25">
      <c r="C84" s="169">
        <f t="shared" si="10"/>
        <v>41820</v>
      </c>
      <c r="D84" s="171">
        <f>VLOOKUP(C84,'LC (Gross)'!$A$16:$H$31000,4,FALSE)/100</f>
        <v>1.4453030303030419E-2</v>
      </c>
      <c r="E84" s="190">
        <f>VLOOKUP(C84,'LC (Net)'!$A$16:$H$31000,4,FALSE)/100</f>
        <v>1.363636363636375E-2</v>
      </c>
      <c r="F84" s="171">
        <f>VLOOKUP(C84,'LC (Gross)'!$J$16:$K$31000,2,FALSE)/100</f>
        <v>2.0658252562913794E-2</v>
      </c>
      <c r="H84" s="171">
        <f>VLOOKUP($C84,'SC (Gross)'!$A$16:$H$31000,4,FALSE)/100</f>
        <v>3.8800000000000001E-2</v>
      </c>
      <c r="I84" s="190">
        <f>VLOOKUP($C84,'SC (Net)'!$A$16:$H$31000,4,FALSE)/100</f>
        <v>3.8800000000000001E-2</v>
      </c>
      <c r="J84" s="171">
        <f>VLOOKUP($C84,'SC (Gross)'!$J$16:$K$31000,2,FALSE)/100</f>
        <v>5.3207317594899169E-2</v>
      </c>
      <c r="L84" s="171">
        <f>VLOOKUP($C84,'Global (Gross)'!$A$16:$H$31000,4,FALSE)/100</f>
        <v>1.52E-2</v>
      </c>
      <c r="M84" s="190">
        <f>VLOOKUP($C84,'Global (Net)'!$A$16:$H$31000,4,FALSE)/100</f>
        <v>1.52E-2</v>
      </c>
      <c r="N84" s="171">
        <f>VLOOKUP($C84,'Global (Gross)'!$J$16:$K$31000,2,FALSE)/100</f>
        <v>1.9244427261298491E-2</v>
      </c>
      <c r="O84" s="171"/>
      <c r="P84">
        <f t="shared" si="11"/>
        <v>6</v>
      </c>
      <c r="Q84">
        <v>30</v>
      </c>
      <c r="R84">
        <f t="shared" si="12"/>
        <v>2014</v>
      </c>
    </row>
    <row r="85" spans="2:19" x14ac:dyDescent="0.25">
      <c r="C85" s="169">
        <f t="shared" si="10"/>
        <v>41790</v>
      </c>
      <c r="D85" s="171">
        <f>VLOOKUP(C85,'LC (Gross)'!$A$16:$H$31000,4,FALSE)/100</f>
        <v>1.2310919540229776E-2</v>
      </c>
      <c r="E85" s="190">
        <f>VLOOKUP(C85,'LC (Net)'!$A$16:$H$31000,4,FALSE)/100</f>
        <v>1.1494252873563109E-2</v>
      </c>
      <c r="F85" s="171">
        <f>VLOOKUP(C85,'LC (Gross)'!$J$16:$K$31000,2,FALSE)/100</f>
        <v>2.3465618221986662E-2</v>
      </c>
      <c r="H85" s="171">
        <f>VLOOKUP($C85,'SC (Gross)'!$A$16:$H$31000,4,FALSE)/100</f>
        <v>6.8999999999999999E-3</v>
      </c>
      <c r="I85" s="190">
        <f>VLOOKUP($C85,'SC (Net)'!$A$16:$H$31000,4,FALSE)/100</f>
        <v>6.8999999999999999E-3</v>
      </c>
      <c r="J85" s="171">
        <f>VLOOKUP($C85,'SC (Gross)'!$J$16:$K$31000,2,FALSE)/100</f>
        <v>8.0152936191700656E-3</v>
      </c>
      <c r="L85" s="171">
        <f>VLOOKUP($C85,'Global (Gross)'!$A$16:$H$31000,4,FALSE)/100</f>
        <v>6.4000000000000003E-3</v>
      </c>
      <c r="M85" s="190">
        <f>VLOOKUP($C85,'Global (Net)'!$A$16:$H$31000,4,FALSE)/100</f>
        <v>6.4000000000000003E-3</v>
      </c>
      <c r="N85" s="171">
        <f>VLOOKUP($C85,'Global (Gross)'!$J$16:$K$31000,2,FALSE)/100</f>
        <v>2.2048845461827643E-2</v>
      </c>
      <c r="O85" s="171"/>
      <c r="P85">
        <f t="shared" si="11"/>
        <v>5</v>
      </c>
      <c r="Q85">
        <v>31</v>
      </c>
      <c r="R85">
        <f t="shared" si="12"/>
        <v>2014</v>
      </c>
    </row>
    <row r="86" spans="2:19" x14ac:dyDescent="0.25">
      <c r="C86" s="169">
        <f t="shared" si="10"/>
        <v>41759</v>
      </c>
      <c r="D86" s="171">
        <f>VLOOKUP(C86,'LC (Gross)'!$A$16:$H$31000,4,FALSE)/100</f>
        <v>6.9847468517090774E-3</v>
      </c>
      <c r="E86" s="190">
        <f>VLOOKUP(C86,'LC (Net)'!$A$16:$H$31000,4,FALSE)/100</f>
        <v>6.1680801850424105E-3</v>
      </c>
      <c r="F86" s="171">
        <f>VLOOKUP(C86,'LC (Gross)'!$J$16:$K$31000,2,FALSE)/100</f>
        <v>7.3893574420213536E-3</v>
      </c>
      <c r="H86" s="171">
        <f>VLOOKUP($C86,'SC (Gross)'!$A$16:$H$31000,4,FALSE)/100</f>
        <v>-2.9900000000000003E-2</v>
      </c>
      <c r="I86" s="190">
        <f>VLOOKUP($C86,'SC (Net)'!$A$16:$H$31000,4,FALSE)/100</f>
        <v>-2.9900000000000003E-2</v>
      </c>
      <c r="J86" s="171">
        <f>VLOOKUP($C86,'SC (Gross)'!$J$16:$K$31000,2,FALSE)/100</f>
        <v>-3.878116259828291E-2</v>
      </c>
      <c r="L86" s="171">
        <f>VLOOKUP($C86,'Global (Gross)'!$A$16:$H$31000,4,FALSE)/100</f>
        <v>3.3099999999999997E-2</v>
      </c>
      <c r="M86" s="190">
        <f>VLOOKUP($C86,'Global (Net)'!$A$16:$H$31000,4,FALSE)/100</f>
        <v>3.3099999999999997E-2</v>
      </c>
      <c r="N86" s="171">
        <f>VLOOKUP($C86,'Global (Gross)'!$J$16:$K$31000,2,FALSE)/100</f>
        <v>9.9330083072437722E-3</v>
      </c>
      <c r="O86" s="171"/>
      <c r="P86">
        <f t="shared" si="11"/>
        <v>4</v>
      </c>
      <c r="Q86">
        <v>30</v>
      </c>
      <c r="R86">
        <f t="shared" si="12"/>
        <v>2014</v>
      </c>
    </row>
    <row r="87" spans="2:19" x14ac:dyDescent="0.25">
      <c r="C87" s="169">
        <f t="shared" si="10"/>
        <v>41729</v>
      </c>
      <c r="D87" s="171">
        <f>VLOOKUP(C87,'LC (Gross)'!$A$16:$H$31000,4,FALSE)/100</f>
        <v>1.8870041862899041E-2</v>
      </c>
      <c r="E87" s="190">
        <f>VLOOKUP(C87,'LC (Net)'!$A$16:$H$31000,4,FALSE)/100</f>
        <v>1.8053375196232374E-2</v>
      </c>
      <c r="F87" s="171">
        <f>VLOOKUP(C87,'LC (Gross)'!$J$16:$K$31000,2,FALSE)/100</f>
        <v>8.4079821406014832E-3</v>
      </c>
      <c r="H87" s="171">
        <f>VLOOKUP($C87,'SC (Gross)'!$A$16:$H$31000,4,FALSE)/100</f>
        <v>2.4900000000000002E-2</v>
      </c>
      <c r="I87" s="190">
        <f>VLOOKUP($C87,'SC (Net)'!$A$16:$H$31000,4,FALSE)/100</f>
        <v>2.4900000000000002E-2</v>
      </c>
      <c r="J87" s="171">
        <f>VLOOKUP($C87,'SC (Gross)'!$J$16:$K$31000,2,FALSE)/100</f>
        <v>-6.8078276144242908E-3</v>
      </c>
      <c r="L87" s="171">
        <f>VLOOKUP($C87,'Global (Gross)'!$A$16:$H$31000,4,FALSE)/100</f>
        <v>2.1400000000000002E-2</v>
      </c>
      <c r="M87" s="190">
        <f>VLOOKUP($C87,'Global (Net)'!$A$16:$H$31000,4,FALSE)/100</f>
        <v>2.1400000000000002E-2</v>
      </c>
      <c r="N87" s="171">
        <f>VLOOKUP($C87,'Global (Gross)'!$J$16:$K$31000,2,FALSE)/100</f>
        <v>5.1204134568489422E-3</v>
      </c>
      <c r="O87" s="171"/>
      <c r="P87">
        <f t="shared" si="11"/>
        <v>3</v>
      </c>
      <c r="Q87">
        <v>31</v>
      </c>
      <c r="R87">
        <f t="shared" si="12"/>
        <v>2014</v>
      </c>
    </row>
    <row r="88" spans="2:19" x14ac:dyDescent="0.25">
      <c r="B88" s="169">
        <f>DATE(R88,P88,S88)</f>
        <v>41699</v>
      </c>
      <c r="C88" s="169">
        <f t="shared" si="10"/>
        <v>41698</v>
      </c>
      <c r="D88" s="171">
        <f>VLOOKUP(C88,'LC (Gross)'!$A$16:$H$31000,4,FALSE)/100</f>
        <v>3.6589024390243863E-2</v>
      </c>
      <c r="E88" s="190">
        <f>VLOOKUP(C88,'LC (Net)'!$A$16:$H$31000,4,FALSE)/100</f>
        <v>3.5772357723577196E-2</v>
      </c>
      <c r="F88" s="171">
        <f>IFERROR(VLOOKUP($C88,'LC (Gross)'!$J$16:$K$31000,2,FALSE)/100,VLOOKUP($B88,'LC (Gross)'!$J$16:$K$31000,2,FALSE)/100)</f>
        <v>4.5734913571781319E-2</v>
      </c>
      <c r="H88" s="171">
        <f>VLOOKUP($C88,'SC (Gross)'!$A$16:$H$31000,4,FALSE)/100</f>
        <v>5.3399999999999996E-2</v>
      </c>
      <c r="I88" s="190">
        <f>VLOOKUP($C88,'SC (Net)'!$A$16:$H$31000,4,FALSE)/100</f>
        <v>5.3399999999999996E-2</v>
      </c>
      <c r="J88" s="171">
        <f>IFERROR(VLOOKUP($C88,'SC (Gross)'!$J$16:$K$31000,2,FALSE)/100,VLOOKUP($B88,'SC (Gross)'!$J$16:$K$31000,2,FALSE)/100)</f>
        <v>4.7112568096957082E-2</v>
      </c>
      <c r="L88" s="171">
        <f>VLOOKUP($C88,'Global (Gross)'!$A$16:$H$31000,4,FALSE)/100</f>
        <v>3.4099999999999998E-2</v>
      </c>
      <c r="M88" s="190">
        <f>VLOOKUP($C88,'Global (Net)'!$A$16:$H$31000,4,FALSE)/100</f>
        <v>3.4099999999999998E-2</v>
      </c>
      <c r="N88" s="171">
        <f>IFERROR(VLOOKUP($C88,'Global (Gross)'!$J$16:$K$31000,2,FALSE)/100,VLOOKUP($B88,'Global (Gross)'!$J$16:$K$31000,2,FALSE)/100)</f>
        <v>4.8807797665584872E-2</v>
      </c>
      <c r="O88" s="171"/>
      <c r="P88">
        <f t="shared" si="11"/>
        <v>2</v>
      </c>
      <c r="Q88">
        <v>28</v>
      </c>
      <c r="R88">
        <f t="shared" si="12"/>
        <v>2014</v>
      </c>
      <c r="S88">
        <v>29</v>
      </c>
    </row>
    <row r="89" spans="2:19" x14ac:dyDescent="0.25">
      <c r="C89" s="169">
        <f t="shared" si="10"/>
        <v>41670</v>
      </c>
      <c r="D89" s="171">
        <f>VLOOKUP(C89,'LC (Gross)'!$A$16:$H$31000,4,FALSE)/100</f>
        <v>-3.2202201257861628E-2</v>
      </c>
      <c r="E89" s="190">
        <f>VLOOKUP(C89,'LC (Net)'!$A$16:$H$31000,4,FALSE)/100</f>
        <v>-3.3018867924528295E-2</v>
      </c>
      <c r="F89" s="171">
        <f>VLOOKUP(C89,'LC (Gross)'!$J$16:$K$31000,2,FALSE)/100</f>
        <v>-3.4574234097127891E-2</v>
      </c>
      <c r="H89" s="171">
        <f>VLOOKUP($C89,'SC (Gross)'!$A$16:$H$31000,4,FALSE)/100</f>
        <v>-1.4800000000000001E-2</v>
      </c>
      <c r="I89" s="190">
        <f>VLOOKUP($C89,'SC (Net)'!$A$16:$H$31000,4,FALSE)/100</f>
        <v>-1.4800000000000001E-2</v>
      </c>
      <c r="J89" s="171">
        <f>VLOOKUP($C89,'SC (Gross)'!$J$16:$K$31000,2,FALSE)/100</f>
        <v>-2.7679779878653211E-2</v>
      </c>
      <c r="L89" s="171">
        <f>VLOOKUP($C89,'Global (Gross)'!$A$16:$H$31000,4,FALSE)/100</f>
        <v>-1.89E-2</v>
      </c>
      <c r="M89" s="190">
        <f>VLOOKUP($C89,'Global (Net)'!$A$16:$H$31000,4,FALSE)/100</f>
        <v>-1.89E-2</v>
      </c>
      <c r="N89" s="171">
        <f>VLOOKUP($C89,'Global (Gross)'!$J$16:$K$31000,2,FALSE)/100</f>
        <v>-3.9778382151194884E-2</v>
      </c>
      <c r="O89" s="171"/>
      <c r="P89">
        <f t="shared" si="11"/>
        <v>1</v>
      </c>
      <c r="Q89">
        <v>31</v>
      </c>
      <c r="R89">
        <f t="shared" si="12"/>
        <v>2014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theme="4" tint="-0.499984740745262"/>
  </sheetPr>
  <dimension ref="A1:Z38"/>
  <sheetViews>
    <sheetView topLeftCell="A3" zoomScale="120" zoomScaleNormal="120" workbookViewId="0">
      <selection activeCell="P15" sqref="P15"/>
    </sheetView>
  </sheetViews>
  <sheetFormatPr defaultColWidth="9" defaultRowHeight="15" x14ac:dyDescent="0.25"/>
  <cols>
    <col min="1" max="1" width="9.625" style="150" customWidth="1"/>
    <col min="2" max="2" width="14.125" style="150" hidden="1" customWidth="1"/>
    <col min="3" max="3" width="29.625" style="150" hidden="1" customWidth="1"/>
    <col min="4" max="4" width="22.125" style="150" customWidth="1"/>
    <col min="5" max="7" width="7.125" style="150" customWidth="1"/>
    <col min="8" max="9" width="7.125" style="152" customWidth="1"/>
    <col min="10" max="10" width="9" style="150"/>
    <col min="11" max="13" width="10.5" style="150" customWidth="1"/>
    <col min="14" max="26" width="9" style="150" customWidth="1"/>
    <col min="27" max="16384" width="9" style="150"/>
  </cols>
  <sheetData>
    <row r="1" spans="1:26" s="152" customFormat="1" x14ac:dyDescent="0.25">
      <c r="A1" s="154"/>
      <c r="D1" s="155"/>
      <c r="E1" s="168">
        <f>VLOOKUP(MAX('LC (Gross)'!$B$16:$B$1000),'LC (Gross)'!$B$16:$J$1000,9,FALSE)</f>
        <v>46022</v>
      </c>
      <c r="F1" s="168">
        <f>VLOOKUP(MAX('SC (Gross)'!$B$16:$B$1000),'SC (Gross)'!$B$16:$J$1000,9,FALSE)</f>
        <v>45657</v>
      </c>
      <c r="G1" s="168">
        <f>VLOOKUP(MAX('Global (Gross)'!$B$16:$B$1000),'Global (Gross)'!$B$16:$J$1000,9,FALSE)</f>
        <v>46022</v>
      </c>
      <c r="J1" s="150"/>
      <c r="K1" s="150">
        <f>MONTH(E1)</f>
        <v>12</v>
      </c>
      <c r="L1" s="150">
        <f>DAY(E1)</f>
        <v>31</v>
      </c>
      <c r="M1" s="150">
        <f>YEAR(E1)</f>
        <v>2025</v>
      </c>
      <c r="N1" s="150"/>
      <c r="O1" s="150"/>
      <c r="P1" s="150"/>
      <c r="Q1" s="150"/>
      <c r="R1" s="150"/>
      <c r="S1" s="150"/>
      <c r="T1" s="150"/>
      <c r="U1" s="150"/>
      <c r="V1" s="150"/>
      <c r="W1" s="150"/>
      <c r="X1" s="150"/>
      <c r="Y1" s="150"/>
      <c r="Z1" s="150"/>
    </row>
    <row r="2" spans="1:26" s="152" customFormat="1" x14ac:dyDescent="0.25">
      <c r="A2" s="154"/>
      <c r="D2" s="155"/>
      <c r="E2" s="156">
        <f>MONTH(E1)</f>
        <v>12</v>
      </c>
      <c r="F2" s="156">
        <f t="shared" ref="F2:G2" si="0">MONTH(F1)</f>
        <v>12</v>
      </c>
      <c r="G2" s="156">
        <f t="shared" si="0"/>
        <v>12</v>
      </c>
      <c r="H2" s="152">
        <f>AVERAGE(E2:G2)</f>
        <v>12</v>
      </c>
      <c r="I2" s="152" t="str">
        <f>IF(H2=1,"Jan.",IF(H2=2,"Feb.",IF(H2=3,"March",IF(H2=4,"April",IF(H2=5,"May",IF(H2=6,"June",IF(H2=7,"July",IF(H2=8,"Aug",IF(H2=9,"Sept.",IF(H2=10,"Oct.",IF(H2=11,"Nov.",IF(H2=12,"Dec.","ERROR"))))))))))))</f>
        <v>Dec.</v>
      </c>
      <c r="J2" s="150"/>
      <c r="K2" s="150"/>
      <c r="L2" s="150"/>
      <c r="M2" s="150"/>
      <c r="N2" s="150"/>
      <c r="O2" s="150"/>
      <c r="P2" s="150"/>
      <c r="Q2" s="150"/>
      <c r="R2" s="150"/>
      <c r="S2" s="150"/>
      <c r="T2" s="150"/>
      <c r="U2" s="150"/>
      <c r="V2" s="150"/>
      <c r="W2" s="150"/>
      <c r="X2" s="150"/>
      <c r="Y2" s="150"/>
      <c r="Z2" s="150"/>
    </row>
    <row r="3" spans="1:26" s="152" customFormat="1" x14ac:dyDescent="0.25">
      <c r="A3" s="154"/>
      <c r="D3" s="155"/>
      <c r="E3" s="156"/>
      <c r="F3" s="156"/>
      <c r="G3" s="156"/>
      <c r="J3" s="150"/>
      <c r="K3" s="150"/>
      <c r="L3" s="150"/>
      <c r="M3" s="150"/>
      <c r="N3" s="150"/>
      <c r="O3" s="150"/>
      <c r="P3" s="150"/>
      <c r="Q3" s="150"/>
      <c r="R3" s="150"/>
      <c r="S3" s="150"/>
      <c r="T3" s="150"/>
      <c r="U3" s="150"/>
      <c r="V3" s="150"/>
      <c r="W3" s="150"/>
      <c r="X3" s="150"/>
      <c r="Y3" s="150"/>
      <c r="Z3" s="150"/>
    </row>
    <row r="4" spans="1:26" s="152" customFormat="1" x14ac:dyDescent="0.25">
      <c r="A4" s="154"/>
      <c r="B4" s="153"/>
      <c r="C4" s="153"/>
      <c r="D4" s="157" t="s">
        <v>187</v>
      </c>
      <c r="E4" s="158" t="s">
        <v>420</v>
      </c>
      <c r="F4" s="158" t="s">
        <v>188</v>
      </c>
      <c r="G4" s="158" t="s">
        <v>189</v>
      </c>
      <c r="H4" s="158" t="s">
        <v>190</v>
      </c>
      <c r="I4" s="158" t="s">
        <v>53</v>
      </c>
      <c r="J4" s="150"/>
      <c r="K4" s="181">
        <f>DATE($M$1-1,$K$1,$L$1)</f>
        <v>45657</v>
      </c>
      <c r="L4" s="181">
        <f>DATE($M$1-3,$K$1,$L$1)</f>
        <v>44926</v>
      </c>
      <c r="M4" s="181">
        <f>DATE($M$1-5,$K$1,$L$1)</f>
        <v>44196</v>
      </c>
      <c r="N4" s="150"/>
      <c r="O4" s="150"/>
      <c r="P4" s="150"/>
      <c r="Q4" s="150"/>
      <c r="R4" s="150"/>
      <c r="S4" s="150"/>
      <c r="T4" s="150"/>
      <c r="U4" s="150"/>
      <c r="V4" s="150"/>
      <c r="W4" s="150"/>
      <c r="X4" s="150"/>
      <c r="Y4" s="150"/>
      <c r="Z4" s="150"/>
    </row>
    <row r="5" spans="1:26" s="152" customFormat="1" x14ac:dyDescent="0.25">
      <c r="A5" s="154"/>
      <c r="B5" s="151"/>
      <c r="C5" s="151"/>
      <c r="D5" s="159" t="s">
        <v>191</v>
      </c>
      <c r="E5" s="160">
        <f>VLOOKUP(MAX('LC (Gross)'!$B$16:$B$1000),'LC (Gross)'!$B$16:$J$1000,3,FALSE)/100</f>
        <v>-5.0948326786837334E-4</v>
      </c>
      <c r="F5" s="160">
        <f ca="1">IF($L5&lt;K$4,'LC (Gross)'!$D$6/100,"")</f>
        <v>9.8795519258839656E-2</v>
      </c>
      <c r="G5" s="160">
        <f ca="1">IF($L5&lt;L$4,'LC (Gross)'!$D$8/100,"")</f>
        <v>0.1363960941573219</v>
      </c>
      <c r="H5" s="160">
        <f ca="1">IF($L5&lt;M$4,'LC (Gross)'!$D$10/100,"")</f>
        <v>9.084744023186575E-2</v>
      </c>
      <c r="I5" s="160">
        <f ca="1">'LC (Gross)'!D$13/100</f>
        <v>0.12725922947307522</v>
      </c>
      <c r="J5" s="150"/>
      <c r="L5" s="181">
        <v>40602</v>
      </c>
      <c r="M5" s="179"/>
      <c r="N5" s="150"/>
      <c r="O5" s="150"/>
      <c r="P5" s="150"/>
      <c r="Q5" s="150"/>
      <c r="R5" s="150"/>
      <c r="S5" s="150"/>
      <c r="T5" s="150"/>
      <c r="U5" s="150"/>
      <c r="V5" s="150"/>
      <c r="W5" s="150"/>
      <c r="X5" s="150"/>
      <c r="Y5" s="150"/>
      <c r="Z5" s="150"/>
    </row>
    <row r="6" spans="1:26" s="152" customFormat="1" x14ac:dyDescent="0.25">
      <c r="A6" s="154"/>
      <c r="B6" s="151"/>
      <c r="C6" s="151"/>
      <c r="D6" s="161" t="s">
        <v>192</v>
      </c>
      <c r="E6" s="162">
        <f>VLOOKUP(MAX('LC (Net)'!$B$16:$B$1000),'LC (Net)'!$B$16:$J$1000,3,FALSE)/100</f>
        <v>-1.3073768602683152E-3</v>
      </c>
      <c r="F6" s="162">
        <f ca="1">IF($L5&lt;K$4,'LC (Net)'!$D$6/100,"")</f>
        <v>9.0771338005631433E-2</v>
      </c>
      <c r="G6" s="162">
        <f ca="1">IF($L5&lt;L$4,'LC (Net)'!$D$8/100,"")</f>
        <v>0.12883268435796258</v>
      </c>
      <c r="H6" s="162">
        <f ca="1">IF($L5&lt;M$4,'LC (Net)'!$D$10/100,"")</f>
        <v>8.3141642632519788E-2</v>
      </c>
      <c r="I6" s="162">
        <f ca="1">'LC (Net)'!D$13/100</f>
        <v>0.11824032482423075</v>
      </c>
      <c r="J6" s="150"/>
      <c r="L6" s="181"/>
      <c r="M6" s="179"/>
      <c r="N6" s="150"/>
      <c r="O6" s="150"/>
      <c r="P6" s="150"/>
      <c r="Q6" s="150"/>
      <c r="R6" s="150"/>
      <c r="S6" s="150"/>
      <c r="T6" s="150"/>
      <c r="U6" s="150"/>
      <c r="V6" s="150"/>
      <c r="W6" s="150"/>
      <c r="X6" s="150"/>
      <c r="Y6" s="150"/>
      <c r="Z6" s="150"/>
    </row>
    <row r="7" spans="1:26" s="152" customFormat="1" x14ac:dyDescent="0.25">
      <c r="A7" s="154"/>
      <c r="B7" s="151" t="s">
        <v>193</v>
      </c>
      <c r="C7" s="151" t="str">
        <f>_xll.BDP(B7,"name")</f>
        <v>S&amp;P 500 Total Return</v>
      </c>
      <c r="D7" s="159" t="s">
        <v>194</v>
      </c>
      <c r="E7" s="160">
        <f>VLOOKUP(MAX('LC (Gross)'!$B$16:$B$1000),'LC (Gross)'!$B$16:$N$1000,10,FALSE)/100</f>
        <v>5.9176080000000004E-4</v>
      </c>
      <c r="F7" s="160">
        <f ca="1">IF(F5="","",'LC (Gross)'!$K$6/100)</f>
        <v>0.17859983918730182</v>
      </c>
      <c r="G7" s="160">
        <f ca="1">IF(G5="","",'LC (Gross)'!$K$8/100)</f>
        <v>0.22982388961227262</v>
      </c>
      <c r="H7" s="160">
        <f ca="1">IF(H5="","",'LC (Gross)'!$K$10/100)</f>
        <v>0.14400235643986581</v>
      </c>
      <c r="I7" s="160">
        <f ca="1">'LC (Gross)'!K13/100</f>
        <v>0.13954857158133338</v>
      </c>
      <c r="J7" s="150"/>
      <c r="L7" s="150"/>
      <c r="M7" s="150"/>
      <c r="N7" s="150"/>
      <c r="O7" s="150"/>
      <c r="P7" s="150"/>
      <c r="Q7" s="150"/>
      <c r="R7" s="150"/>
      <c r="S7" s="150"/>
      <c r="T7" s="150"/>
      <c r="U7" s="150"/>
      <c r="V7" s="150"/>
      <c r="W7" s="150"/>
      <c r="X7" s="150"/>
      <c r="Y7" s="150"/>
      <c r="Z7" s="150"/>
    </row>
    <row r="8" spans="1:26" s="152" customFormat="1" ht="3" customHeight="1" x14ac:dyDescent="0.25">
      <c r="A8" s="154"/>
      <c r="B8" s="151"/>
      <c r="C8" s="151"/>
      <c r="D8" s="163"/>
      <c r="E8" s="164"/>
      <c r="F8" s="164"/>
      <c r="G8" s="164"/>
      <c r="H8" s="164"/>
      <c r="I8" s="164"/>
      <c r="J8" s="150"/>
      <c r="L8" s="150"/>
      <c r="M8" s="150"/>
      <c r="N8" s="150"/>
      <c r="O8" s="150"/>
      <c r="P8" s="150"/>
      <c r="Q8" s="150"/>
      <c r="R8" s="150"/>
      <c r="S8" s="150"/>
      <c r="T8" s="150"/>
      <c r="U8" s="150"/>
      <c r="V8" s="150"/>
      <c r="W8" s="150"/>
      <c r="X8" s="150"/>
      <c r="Y8" s="150"/>
      <c r="Z8" s="150"/>
    </row>
    <row r="9" spans="1:26" s="152" customFormat="1" x14ac:dyDescent="0.25">
      <c r="A9" s="154"/>
      <c r="B9" s="151"/>
      <c r="C9" s="151"/>
      <c r="D9" s="159" t="s">
        <v>195</v>
      </c>
      <c r="E9" s="160">
        <f>VLOOKUP(MAX('SC (Gross)'!$B$16:$B$1000),'SC (Gross)'!$B$16:$J$1000,3,FALSE)/100</f>
        <v>0</v>
      </c>
      <c r="F9" s="160">
        <f ca="1">IF($L9&lt;K$4,'SC (Gross)'!$D$6/100,"")</f>
        <v>0</v>
      </c>
      <c r="G9" s="160">
        <f ca="1">IF($L9&lt;L$4,'SC (Gross)'!$D$8/100,"")</f>
        <v>4.0159714493863685E-3</v>
      </c>
      <c r="H9" s="160">
        <f ca="1">IF($L9&lt;M$4,'SC (Gross)'!$D$10/100,"")</f>
        <v>1.5306950300881583E-2</v>
      </c>
      <c r="I9" s="160">
        <f ca="1">'SC (Gross)'!D$13/100</f>
        <v>7.3796505564889259E-2</v>
      </c>
      <c r="J9" s="150"/>
      <c r="L9" s="181">
        <v>41698</v>
      </c>
      <c r="M9" s="180"/>
      <c r="N9" s="150"/>
      <c r="O9" s="150"/>
      <c r="P9" s="150"/>
      <c r="Q9" s="150"/>
      <c r="R9" s="150"/>
      <c r="S9" s="150"/>
      <c r="T9" s="150"/>
      <c r="U9" s="150"/>
      <c r="V9" s="150"/>
      <c r="W9" s="150"/>
      <c r="X9" s="150"/>
      <c r="Y9" s="150"/>
      <c r="Z9" s="150"/>
    </row>
    <row r="10" spans="1:26" s="152" customFormat="1" x14ac:dyDescent="0.25">
      <c r="A10" s="154"/>
      <c r="B10" s="151"/>
      <c r="C10" s="151"/>
      <c r="D10" s="161" t="s">
        <v>196</v>
      </c>
      <c r="E10" s="162">
        <f>VLOOKUP(MAX('SC (Net)'!$B$16:$B$1000),'SC (Net)'!$B$16:$J$1000,3,FALSE)/100</f>
        <v>0</v>
      </c>
      <c r="F10" s="162">
        <f ca="1">IF($L9&lt;K$4,'SC (Net)'!$D$6/100,"")</f>
        <v>9.3104535382370054E-2</v>
      </c>
      <c r="G10" s="162">
        <f ca="1">IF($L9&lt;L$4,'SC (Net)'!$D$8/100,"")</f>
        <v>3.1475281177401282E-2</v>
      </c>
      <c r="H10" s="162">
        <f ca="1">IF($L9&lt;M$4,'SC (Net)'!$D$10/100,"")</f>
        <v>2.2299238226671125E-2</v>
      </c>
      <c r="I10" s="162">
        <f ca="1">'SC (Net)'!D$13/100</f>
        <v>7.1654269507906543E-2</v>
      </c>
      <c r="J10" s="150"/>
      <c r="L10" s="181"/>
      <c r="M10" s="180"/>
      <c r="N10" s="150"/>
      <c r="O10" s="150"/>
      <c r="P10" s="150"/>
      <c r="Q10" s="150"/>
      <c r="R10" s="150"/>
      <c r="S10" s="150"/>
      <c r="T10" s="150"/>
      <c r="U10" s="150"/>
      <c r="V10" s="150"/>
      <c r="W10" s="150"/>
      <c r="X10" s="150"/>
      <c r="Y10" s="150"/>
      <c r="Z10" s="150"/>
    </row>
    <row r="11" spans="1:26" s="152" customFormat="1" x14ac:dyDescent="0.25">
      <c r="A11" s="154"/>
      <c r="B11" s="151" t="s">
        <v>197</v>
      </c>
      <c r="C11" s="151" t="str">
        <f>_xll.BDP(B11,"name")</f>
        <v>Russell 2000 TR Idx</v>
      </c>
      <c r="D11" s="159" t="s">
        <v>198</v>
      </c>
      <c r="E11" s="160">
        <f>VLOOKUP(MAX('SC (Gross)'!$B$16:$B$1000),'SC (Gross)'!$B$16:$N$1000,10,FALSE)/100</f>
        <v>-8.2611580000000004E-2</v>
      </c>
      <c r="F11" s="160">
        <f ca="1">IF(F9="","",'SC (Gross)'!$K$6/100)</f>
        <v>0.1152690924963682</v>
      </c>
      <c r="G11" s="160">
        <f ca="1">IF(G9="","",'SC (Gross)'!$K$8/100)</f>
        <v>1.2125139595128509E-2</v>
      </c>
      <c r="H11" s="160">
        <f ca="1">IF(H9="","",'SC (Gross)'!$K$10/100)</f>
        <v>7.375628675682866E-2</v>
      </c>
      <c r="I11" s="160">
        <f ca="1">'SC (Gross)'!K13/100</f>
        <v>7.8616628326007909E-2</v>
      </c>
      <c r="J11" s="150"/>
      <c r="L11" s="150"/>
      <c r="M11" s="150"/>
      <c r="N11" s="150"/>
      <c r="O11" s="150"/>
      <c r="P11" s="150"/>
      <c r="Q11" s="150"/>
      <c r="R11" s="150"/>
      <c r="S11" s="150"/>
      <c r="T11" s="150"/>
      <c r="U11" s="150"/>
      <c r="V11" s="150"/>
      <c r="W11" s="150"/>
      <c r="X11" s="150"/>
      <c r="Y11" s="150"/>
      <c r="Z11" s="150"/>
    </row>
    <row r="12" spans="1:26" s="152" customFormat="1" ht="3" customHeight="1" x14ac:dyDescent="0.25">
      <c r="A12" s="154"/>
      <c r="B12" s="151"/>
      <c r="C12" s="151"/>
      <c r="D12" s="165"/>
      <c r="E12" s="166"/>
      <c r="F12" s="166"/>
      <c r="G12" s="166"/>
      <c r="H12" s="166"/>
      <c r="I12" s="166"/>
      <c r="J12" s="150"/>
      <c r="L12" s="150"/>
      <c r="M12" s="150"/>
      <c r="N12" s="150"/>
      <c r="O12" s="150"/>
      <c r="P12" s="150"/>
      <c r="Q12" s="150"/>
      <c r="R12" s="150"/>
      <c r="S12" s="150"/>
      <c r="T12" s="150"/>
      <c r="U12" s="150"/>
      <c r="V12" s="150"/>
      <c r="W12" s="150"/>
      <c r="X12" s="150"/>
      <c r="Y12" s="150"/>
      <c r="Z12" s="150"/>
    </row>
    <row r="13" spans="1:26" s="152" customFormat="1" x14ac:dyDescent="0.25">
      <c r="A13" s="154"/>
      <c r="B13" s="151"/>
      <c r="C13" s="151"/>
      <c r="D13" s="159" t="s">
        <v>199</v>
      </c>
      <c r="E13" s="160">
        <f>VLOOKUP(MAX('Global (Gross)'!$B$16:$B$1000),'Global (Gross)'!$B$16:$J$1000,3,FALSE)/100</f>
        <v>3.5737099999999999E-3</v>
      </c>
      <c r="F13" s="160">
        <f ca="1">IF($L13&lt;K$4,'Global (Gross)'!$D$6/100,"")</f>
        <v>0.12659470144866081</v>
      </c>
      <c r="G13" s="160">
        <f ca="1">IF($L13&lt;L$4,'Global (Gross)'!$D$8/100,"")</f>
        <v>0.12376696040335823</v>
      </c>
      <c r="H13" s="160">
        <f ca="1">IF($L13&lt;M$4,'Global (Gross)'!$D$10/100,"")</f>
        <v>7.7968754742904656E-2</v>
      </c>
      <c r="I13" s="160">
        <f ca="1">'Global (Gross)'!D$13/100</f>
        <v>0.10047427669983101</v>
      </c>
      <c r="J13" s="150"/>
      <c r="L13" s="181">
        <v>40999</v>
      </c>
      <c r="M13" s="180"/>
      <c r="N13" s="150"/>
      <c r="O13" s="150"/>
      <c r="P13" s="150"/>
      <c r="Q13" s="150"/>
      <c r="R13" s="150"/>
      <c r="S13" s="150"/>
      <c r="T13" s="150"/>
      <c r="U13" s="150"/>
      <c r="V13" s="150"/>
      <c r="W13" s="150"/>
      <c r="X13" s="150"/>
      <c r="Y13" s="150"/>
      <c r="Z13" s="150"/>
    </row>
    <row r="14" spans="1:26" s="152" customFormat="1" x14ac:dyDescent="0.25">
      <c r="A14" s="154"/>
      <c r="B14" s="151"/>
      <c r="C14" s="151"/>
      <c r="D14" s="161" t="s">
        <v>200</v>
      </c>
      <c r="E14" s="162">
        <f>VLOOKUP(MAX('Global (Net)'!$B$16:$B$1000),'Global (Net)'!$B$16:$J$1000,3,FALSE)/100</f>
        <v>2.8737099999999998E-3</v>
      </c>
      <c r="F14" s="162">
        <f ca="1">IF($L13&lt;K$4,'Global (Net)'!$D$6/100,"")</f>
        <v>0.11725899385235161</v>
      </c>
      <c r="G14" s="162">
        <f ca="1">IF($L13&lt;L$4,'Global (Net)'!$D$8/100,"")</f>
        <v>0.11445626091994221</v>
      </c>
      <c r="H14" s="162">
        <f ca="1">IF($L13&lt;M$4,'Global (Net)'!$D$10/100,"")</f>
        <v>6.9026703164352332E-2</v>
      </c>
      <c r="I14" s="162">
        <f ca="1">'Global (Net)'!D$13/100</f>
        <v>9.4899054641681926E-2</v>
      </c>
      <c r="J14" s="150"/>
      <c r="L14" s="181"/>
      <c r="M14" s="180"/>
      <c r="N14" s="150"/>
      <c r="O14" s="150"/>
      <c r="P14" s="150"/>
      <c r="Q14" s="150"/>
      <c r="R14" s="150"/>
      <c r="S14" s="150"/>
      <c r="T14" s="150"/>
      <c r="U14" s="150"/>
      <c r="V14" s="150"/>
      <c r="W14" s="150"/>
      <c r="X14" s="150"/>
      <c r="Y14" s="150"/>
      <c r="Z14" s="150"/>
    </row>
    <row r="15" spans="1:26" s="152" customFormat="1" x14ac:dyDescent="0.25">
      <c r="A15" s="154"/>
      <c r="B15" s="151" t="s">
        <v>201</v>
      </c>
      <c r="C15" s="151"/>
      <c r="D15" s="159" t="s">
        <v>202</v>
      </c>
      <c r="E15" s="160">
        <f>VLOOKUP(MAX('Global (Gross)'!$B$16:$B$1000),'Global (Gross)'!$B$16:$N$1000,10,FALSE)/100</f>
        <v>1.0703000000000001E-2</v>
      </c>
      <c r="F15" s="160">
        <f ca="1">IF(F13="","",'Global (Gross)'!$K$6/100)</f>
        <v>0.2289259672597963</v>
      </c>
      <c r="G15" s="160">
        <f ca="1">IF(G13="","",'Global (Gross)'!$K$8/100)</f>
        <v>0.21210630310269774</v>
      </c>
      <c r="H15" s="160">
        <f ca="1">IF(H13="","",'Global (Gross)'!$K$10/100)</f>
        <v>0.11708135953882426</v>
      </c>
      <c r="I15" s="160">
        <f ca="1">'Global (Gross)'!K13/100</f>
        <v>0.1103347337675622</v>
      </c>
      <c r="J15" s="150"/>
      <c r="K15" s="150"/>
      <c r="L15" s="150"/>
      <c r="M15" s="150"/>
      <c r="N15" s="150"/>
      <c r="O15" s="150"/>
      <c r="P15" s="150"/>
      <c r="Q15" s="150"/>
      <c r="R15" s="150"/>
      <c r="S15" s="150"/>
      <c r="T15" s="150"/>
      <c r="U15" s="150"/>
      <c r="V15" s="150"/>
      <c r="W15" s="150"/>
      <c r="X15" s="150"/>
      <c r="Y15" s="150"/>
      <c r="Z15" s="150"/>
    </row>
    <row r="16" spans="1:26" s="152" customFormat="1" x14ac:dyDescent="0.25">
      <c r="A16" s="154"/>
      <c r="B16" s="153"/>
      <c r="C16" s="153"/>
      <c r="D16" s="157" t="s">
        <v>187</v>
      </c>
      <c r="E16" s="158" t="s">
        <v>7</v>
      </c>
      <c r="F16" s="158">
        <v>2017</v>
      </c>
      <c r="G16" s="158">
        <v>2016</v>
      </c>
      <c r="H16" s="158">
        <v>2015</v>
      </c>
      <c r="I16" s="158">
        <v>2014</v>
      </c>
      <c r="J16" s="150"/>
      <c r="K16" s="150"/>
      <c r="L16" s="150"/>
      <c r="M16" s="150"/>
      <c r="N16" s="150"/>
      <c r="O16" s="150"/>
      <c r="P16" s="150"/>
      <c r="Q16" s="150"/>
      <c r="R16" s="150"/>
      <c r="S16" s="150"/>
      <c r="T16" s="150"/>
      <c r="U16" s="150"/>
      <c r="V16" s="150"/>
      <c r="W16" s="150"/>
      <c r="X16" s="150"/>
      <c r="Y16" s="150"/>
      <c r="Z16" s="150"/>
    </row>
    <row r="17" spans="1:26" s="152" customFormat="1" x14ac:dyDescent="0.25">
      <c r="A17" s="154"/>
      <c r="B17" s="151"/>
      <c r="C17" s="151"/>
      <c r="D17" s="159" t="s">
        <v>191</v>
      </c>
      <c r="E17" s="160">
        <f ca="1">'LC (Gross)'!D5/100</f>
        <v>9.8795519258839656E-2</v>
      </c>
      <c r="F17" s="160">
        <f t="array" ref="F17">IF($L$17&lt;$F$16,PRODUCT('Monthly Performance Update'!$D$39:$D$50+1)-1,"")</f>
        <v>0.17635026930691544</v>
      </c>
      <c r="G17" s="160">
        <f t="array" ref="G17">IF($L$17&lt;$G$16,PRODUCT('Monthly Performance Update'!$D$52:$D$63+1)-1,"")</f>
        <v>0.10039343503433273</v>
      </c>
      <c r="H17" s="160">
        <f t="array" ref="H17">IF($L$17&lt;$H$16,PRODUCT('Monthly Performance Update'!$D$65:$D$76+1)-1,"")</f>
        <v>4.5839718204458091E-2</v>
      </c>
      <c r="I17" s="160">
        <f t="array" ref="I17">IF($L$17&lt;$I$16,PRODUCT('Monthly Performance Update'!$D$78:$D$89+1)-1,"")</f>
        <v>0.16059840540491876</v>
      </c>
      <c r="J17" s="150"/>
      <c r="K17" s="150"/>
      <c r="L17" s="150">
        <f>YEAR(L5)</f>
        <v>2011</v>
      </c>
      <c r="M17" s="150"/>
      <c r="N17" s="150"/>
      <c r="O17" s="150"/>
      <c r="P17" s="150"/>
      <c r="Q17" s="150"/>
      <c r="R17" s="150"/>
      <c r="S17" s="150"/>
      <c r="T17" s="150"/>
      <c r="U17" s="150"/>
      <c r="V17" s="150"/>
      <c r="W17" s="150"/>
      <c r="X17" s="150"/>
      <c r="Y17" s="150"/>
      <c r="Z17" s="150"/>
    </row>
    <row r="18" spans="1:26" s="152" customFormat="1" x14ac:dyDescent="0.25">
      <c r="A18" s="154"/>
      <c r="B18" s="151"/>
      <c r="C18" s="151"/>
      <c r="D18" s="161" t="s">
        <v>192</v>
      </c>
      <c r="E18" s="162">
        <f ca="1">'LC (Net)'!D5/100</f>
        <v>9.0771338005631433E-2</v>
      </c>
      <c r="F18" s="162">
        <f t="array" ref="F18">IF($L$17&lt;$F$16,PRODUCT('Monthly Performance Update'!$E$39:$E$50+1)-1,"")</f>
        <v>0.16918080896636001</v>
      </c>
      <c r="G18" s="162">
        <f t="array" ref="G18">IF($L$17&lt;$G$16,PRODUCT('Monthly Performance Update'!$E$52:$E$63+1)-1,"")</f>
        <v>9.321669519124276E-2</v>
      </c>
      <c r="H18" s="162">
        <f t="array" ref="H18">IF($L$17&lt;$H$16,PRODUCT('Monthly Performance Update'!$E$65:$E$76+1)-1,"")</f>
        <v>3.5670356338330045E-2</v>
      </c>
      <c r="I18" s="162">
        <f t="array" ref="I18">IF($L$17&lt;$I$16,PRODUCT('Monthly Performance Update'!$E$78:$E$89+1)-1,"")</f>
        <v>0.1494119638050313</v>
      </c>
      <c r="J18" s="150"/>
      <c r="K18" s="150"/>
      <c r="L18" s="150"/>
      <c r="M18" s="150"/>
      <c r="N18" s="150"/>
      <c r="O18" s="150"/>
      <c r="P18" s="150"/>
      <c r="Q18" s="150"/>
      <c r="R18" s="150"/>
      <c r="S18" s="150"/>
      <c r="T18" s="150"/>
      <c r="U18" s="150"/>
      <c r="V18" s="150"/>
      <c r="W18" s="150"/>
      <c r="X18" s="150"/>
      <c r="Y18" s="150"/>
      <c r="Z18" s="150"/>
    </row>
    <row r="19" spans="1:26" s="152" customFormat="1" x14ac:dyDescent="0.25">
      <c r="A19" s="154"/>
      <c r="B19" s="151" t="s">
        <v>193</v>
      </c>
      <c r="C19" s="151" t="str">
        <f>_xll.BDP(B19,"name")</f>
        <v>S&amp;P 500 Total Return</v>
      </c>
      <c r="D19" s="159" t="s">
        <v>194</v>
      </c>
      <c r="E19" s="160">
        <f ca="1">'LC (Gross)'!K5/100</f>
        <v>0.17859983918730182</v>
      </c>
      <c r="F19" s="160">
        <f t="array" ref="F19">IF(F17="","",IF($L19&lt;$F$16,PRODUCT('Monthly Performance Update'!$F$39:$F$50+1)-1,""))</f>
        <v>0.21822770989101192</v>
      </c>
      <c r="G19" s="160">
        <f t="array" ref="G19">IF(G17="","",IF($L19&lt;$G$16,PRODUCT('Monthly Performance Update'!$F$52:$F$63+1)-1,""))</f>
        <v>0.11952370430250325</v>
      </c>
      <c r="H19" s="160">
        <f t="array" ref="H19">IF(H17="","",IF($L19&lt;$H$16,PRODUCT('Monthly Performance Update'!$F$65:$F$76+1)-1,""))</f>
        <v>1.3748751803548842E-2</v>
      </c>
      <c r="I19" s="160">
        <f t="array" ref="I19">IF(I17="","",IF($L19&lt;$I$16,PRODUCT('Monthly Performance Update'!$F$78:$F$89+1)-1,""))</f>
        <v>0.13678298383899978</v>
      </c>
      <c r="J19" s="150"/>
      <c r="K19" s="150"/>
      <c r="L19" s="150"/>
      <c r="M19" s="150"/>
      <c r="N19" s="150"/>
      <c r="O19" s="150"/>
      <c r="P19" s="150"/>
      <c r="Q19" s="150"/>
      <c r="R19" s="150"/>
      <c r="S19" s="150"/>
      <c r="T19" s="150"/>
      <c r="U19" s="150"/>
      <c r="V19" s="150"/>
      <c r="W19" s="150"/>
      <c r="X19" s="150"/>
      <c r="Y19" s="150"/>
      <c r="Z19" s="150"/>
    </row>
    <row r="20" spans="1:26" s="152" customFormat="1" ht="3" customHeight="1" x14ac:dyDescent="0.25">
      <c r="A20" s="154"/>
      <c r="B20" s="151"/>
      <c r="C20" s="151"/>
      <c r="D20" s="163"/>
      <c r="E20" s="164"/>
      <c r="F20" s="164"/>
      <c r="G20" s="164"/>
      <c r="H20" s="164"/>
      <c r="I20" s="164"/>
      <c r="J20" s="150"/>
      <c r="K20" s="150"/>
      <c r="L20" s="150"/>
      <c r="M20" s="150"/>
      <c r="N20" s="150"/>
      <c r="O20" s="150"/>
      <c r="P20" s="150"/>
      <c r="Q20" s="150"/>
      <c r="R20" s="150"/>
      <c r="S20" s="150"/>
      <c r="T20" s="150"/>
      <c r="U20" s="150"/>
      <c r="V20" s="150"/>
      <c r="W20" s="150"/>
      <c r="X20" s="150"/>
      <c r="Y20" s="150"/>
      <c r="Z20" s="150"/>
    </row>
    <row r="21" spans="1:26" s="152" customFormat="1" x14ac:dyDescent="0.25">
      <c r="A21" s="154"/>
      <c r="B21" s="151"/>
      <c r="C21" s="151"/>
      <c r="D21" s="159" t="s">
        <v>195</v>
      </c>
      <c r="E21" s="160" t="e">
        <f ca="1">'SC (Gross)'!D5/100</f>
        <v>#VALUE!</v>
      </c>
      <c r="F21" s="160">
        <f t="array" ref="F21">IF($L21&lt;$F$16,PRODUCT('Monthly Performance Update'!$H$39:$H$50+1)-1,"")</f>
        <v>9.9981772179280837E-2</v>
      </c>
      <c r="G21" s="160">
        <f t="array" ref="G21">IF($L21&lt;$G$16,PRODUCT('Monthly Performance Update'!$H$52:$H$63+1)-1,"")</f>
        <v>0.32119453878812099</v>
      </c>
      <c r="H21" s="160">
        <f t="array" ref="H21">IF($L21&lt;$H$16,PRODUCT('Monthly Performance Update'!$H$65:$H$76+1)-1,"")</f>
        <v>2.613361145002524E-2</v>
      </c>
      <c r="I21" s="160"/>
      <c r="J21" s="150"/>
      <c r="K21" s="150"/>
      <c r="L21" s="150">
        <f>YEAR(L9)</f>
        <v>2014</v>
      </c>
      <c r="M21" s="150"/>
      <c r="N21" s="150"/>
      <c r="O21" s="150"/>
      <c r="P21" s="150"/>
      <c r="Q21" s="150"/>
      <c r="R21" s="150"/>
      <c r="S21" s="150"/>
      <c r="T21" s="150"/>
      <c r="U21" s="150"/>
      <c r="V21" s="150"/>
      <c r="W21" s="150"/>
      <c r="X21" s="150"/>
      <c r="Y21" s="150"/>
      <c r="Z21" s="150"/>
    </row>
    <row r="22" spans="1:26" s="152" customFormat="1" x14ac:dyDescent="0.25">
      <c r="A22" s="154"/>
      <c r="B22" s="151"/>
      <c r="C22" s="151"/>
      <c r="D22" s="161" t="s">
        <v>196</v>
      </c>
      <c r="E22" s="162" t="e">
        <f ca="1">'SC (Net)'!D5/100</f>
        <v>#VALUE!</v>
      </c>
      <c r="F22" s="162">
        <f t="array" ref="F22">IF($L22&lt;$F$16,PRODUCT('Monthly Performance Update'!$I$39:$I$50+1)-1,"")</f>
        <v>9.3465884774784458E-2</v>
      </c>
      <c r="G22" s="162">
        <f t="array" ref="G22">IF($L22&lt;$G$16,PRODUCT('Monthly Performance Update'!$I$52:$I$63+1)-1,"")</f>
        <v>0.31707715350284982</v>
      </c>
      <c r="H22" s="162">
        <f t="array" ref="H22">IF($L22&lt;$I$16,PRODUCT('Monthly Performance Update'!$I$65:$I$76+1)-1,"")</f>
        <v>2.613361145002524E-2</v>
      </c>
      <c r="I22" s="162"/>
      <c r="J22" s="150"/>
      <c r="K22" s="150"/>
      <c r="L22" s="150"/>
      <c r="M22" s="150"/>
      <c r="N22" s="150"/>
      <c r="O22" s="150"/>
      <c r="P22" s="150"/>
      <c r="Q22" s="150"/>
      <c r="R22" s="150"/>
      <c r="S22" s="150"/>
      <c r="T22" s="150"/>
      <c r="U22" s="150"/>
      <c r="V22" s="150"/>
      <c r="W22" s="150"/>
      <c r="X22" s="150"/>
      <c r="Y22" s="150"/>
      <c r="Z22" s="150"/>
    </row>
    <row r="23" spans="1:26" s="152" customFormat="1" x14ac:dyDescent="0.25">
      <c r="A23" s="154"/>
      <c r="B23" s="151" t="s">
        <v>197</v>
      </c>
      <c r="C23" s="151" t="str">
        <f>_xll.BDP(B23,"name")</f>
        <v>Russell 2000 TR Idx</v>
      </c>
      <c r="D23" s="159" t="s">
        <v>198</v>
      </c>
      <c r="E23" s="160" t="e">
        <f ca="1">'SC (Gross)'!K5/100</f>
        <v>#VALUE!</v>
      </c>
      <c r="F23" s="160">
        <f t="array" ref="F23">IF(F21="","",IF($L23&lt;$F$16,PRODUCT('Monthly Performance Update'!$J$39:$J$50+1)-1,""))</f>
        <v>0.14627724282029853</v>
      </c>
      <c r="G23" s="160">
        <f t="array" ref="G23">IF(G21="","",IF($L23&lt;$G$16,PRODUCT('Monthly Performance Update'!$J$52:$J$63+1)-1,""))</f>
        <v>0.21278189975207229</v>
      </c>
      <c r="H23" s="160">
        <f t="array" ref="H23">IF(H21="","",IF($L23&lt;$H$16,PRODUCT('Monthly Performance Update'!$J$65:$J$76+1)-1,""))</f>
        <v>-4.413242595579947E-2</v>
      </c>
      <c r="I23" s="160" t="str">
        <f t="array" ref="I23">IF(I21="","",IF($L23&lt;$I$16,PRODUCT('Monthly Performance Update'!$J$78:$J$89+1)-1,""))</f>
        <v/>
      </c>
      <c r="J23" s="150"/>
      <c r="K23" s="150"/>
      <c r="L23" s="150"/>
      <c r="M23" s="150"/>
      <c r="N23" s="150"/>
      <c r="O23" s="150"/>
      <c r="P23" s="150"/>
      <c r="Q23" s="150"/>
      <c r="R23" s="150"/>
      <c r="S23" s="150"/>
      <c r="T23" s="150"/>
      <c r="U23" s="150"/>
      <c r="V23" s="150"/>
      <c r="W23" s="150"/>
      <c r="X23" s="150"/>
      <c r="Y23" s="150"/>
      <c r="Z23" s="150"/>
    </row>
    <row r="24" spans="1:26" s="152" customFormat="1" ht="3" customHeight="1" x14ac:dyDescent="0.25">
      <c r="A24" s="154"/>
      <c r="B24" s="151"/>
      <c r="C24" s="151"/>
      <c r="D24" s="165"/>
      <c r="E24" s="166"/>
      <c r="F24" s="166"/>
      <c r="G24" s="166"/>
      <c r="H24" s="166"/>
      <c r="I24" s="166"/>
      <c r="J24" s="150"/>
      <c r="K24" s="150"/>
      <c r="L24" s="150"/>
      <c r="M24" s="150"/>
      <c r="N24" s="150"/>
      <c r="O24" s="150"/>
      <c r="P24" s="150"/>
      <c r="Q24" s="150"/>
      <c r="R24" s="150"/>
      <c r="S24" s="150"/>
      <c r="T24" s="150"/>
      <c r="U24" s="150"/>
      <c r="V24" s="150"/>
      <c r="W24" s="150"/>
      <c r="X24" s="150"/>
      <c r="Y24" s="150"/>
      <c r="Z24" s="150"/>
    </row>
    <row r="25" spans="1:26" s="152" customFormat="1" x14ac:dyDescent="0.25">
      <c r="A25" s="154"/>
      <c r="B25" s="151"/>
      <c r="C25" s="151"/>
      <c r="D25" s="159" t="s">
        <v>199</v>
      </c>
      <c r="E25" s="160">
        <f ca="1">'Global (Gross)'!D5/100</f>
        <v>0.12659470144866081</v>
      </c>
      <c r="F25" s="160">
        <f t="array" ref="F25">IF($L25&lt;$F$16,PRODUCT('Monthly Performance Update'!$L$39:$L$50+1)-1,"")</f>
        <v>0.21525971953693124</v>
      </c>
      <c r="G25" s="160">
        <f t="array" ref="G25">IF($L25&lt;$G$16,PRODUCT('Monthly Performance Update'!$L$52:$L$63+1)-1,"")</f>
        <v>0.10691396145825638</v>
      </c>
      <c r="H25" s="160">
        <f t="array" ref="H25">IF($L25&lt;$H$16,PRODUCT('Monthly Performance Update'!$L$65:$L$76+1)-1,"")</f>
        <v>-2.6220067805579061E-3</v>
      </c>
      <c r="I25" s="160">
        <f t="array" ref="I25">IF($L25&lt;$I$16,PRODUCT('Monthly Performance Update'!$L$78:$L$89+1)-1,"")</f>
        <v>0.16317375411357005</v>
      </c>
      <c r="J25" s="150"/>
      <c r="K25" s="150"/>
      <c r="L25" s="150">
        <f>YEAR(L13)</f>
        <v>2012</v>
      </c>
      <c r="M25" s="150"/>
      <c r="N25" s="150"/>
      <c r="O25" s="150"/>
      <c r="P25" s="150"/>
      <c r="Q25" s="150"/>
      <c r="R25" s="150"/>
      <c r="S25" s="150"/>
      <c r="T25" s="150"/>
      <c r="U25" s="150"/>
      <c r="V25" s="150"/>
      <c r="W25" s="150"/>
      <c r="X25" s="150"/>
      <c r="Y25" s="150"/>
      <c r="Z25" s="150"/>
    </row>
    <row r="26" spans="1:26" s="152" customFormat="1" x14ac:dyDescent="0.25">
      <c r="A26" s="154"/>
      <c r="B26" s="151"/>
      <c r="C26" s="151"/>
      <c r="D26" s="161" t="s">
        <v>200</v>
      </c>
      <c r="E26" s="162">
        <f ca="1">'Global (Net)'!D5/100</f>
        <v>0.11725899385235161</v>
      </c>
      <c r="F26" s="162">
        <f t="array" ref="F26">IF($M26&lt;$F$16,PRODUCT('Monthly Performance Update'!$M$39:$M$50+1)-1,"")</f>
        <v>0.20747474509704111</v>
      </c>
      <c r="G26" s="162">
        <f t="array" ref="G26">IF($M26&lt;$G$16,PRODUCT('Monthly Performance Update'!$M$52:$M$63+1)-1,"")</f>
        <v>0.10691396145825638</v>
      </c>
      <c r="H26" s="162">
        <f t="array" ref="H26">IF($M26&lt;$H$16,PRODUCT('Monthly Performance Update'!$M$65:$M$76+1)-1,"")</f>
        <v>-2.6220067805579061E-3</v>
      </c>
      <c r="I26" s="162">
        <f t="array" ref="I26">IF($M26&lt;$I$16,PRODUCT('Monthly Performance Update'!$M$78:$M$89+1)-1,"")</f>
        <v>0.16317375411357005</v>
      </c>
      <c r="J26" s="150"/>
      <c r="K26" s="150"/>
      <c r="L26" s="150"/>
      <c r="M26" s="150"/>
      <c r="N26" s="150"/>
      <c r="O26" s="150"/>
      <c r="P26" s="150"/>
      <c r="Q26" s="150"/>
      <c r="R26" s="150"/>
      <c r="S26" s="150"/>
      <c r="T26" s="150"/>
      <c r="U26" s="150"/>
      <c r="V26" s="150"/>
      <c r="W26" s="150"/>
      <c r="X26" s="150"/>
      <c r="Y26" s="150"/>
      <c r="Z26" s="150"/>
    </row>
    <row r="27" spans="1:26" s="152" customFormat="1" x14ac:dyDescent="0.25">
      <c r="A27" s="154"/>
      <c r="B27" s="151" t="s">
        <v>201</v>
      </c>
      <c r="C27" s="151"/>
      <c r="D27" s="159" t="s">
        <v>202</v>
      </c>
      <c r="E27" s="160">
        <f ca="1">'Global (Gross)'!K5/100</f>
        <v>0.2289259672597963</v>
      </c>
      <c r="F27" s="160">
        <f t="array" ref="F27">IF(F25="","",IF($L27&lt;$F$16,PRODUCT('Monthly Performance Update'!$N$39:$N$50+1)-1,""))</f>
        <v>0.24653595280765583</v>
      </c>
      <c r="G27" s="160">
        <f t="array" ref="G27">IF(G25="","",IF($L27&lt;$G$16,PRODUCT('Monthly Performance Update'!$N$52:$N$63+1)-1,""))</f>
        <v>8.5301428266854051E-2</v>
      </c>
      <c r="H27" s="160">
        <f t="array" ref="H27">IF(H25="","",IF($L27&lt;$H$16,PRODUCT('Monthly Performance Update'!$N$65:$N$76+1)-1,""))</f>
        <v>-1.8033043915244629E-2</v>
      </c>
      <c r="I27" s="160">
        <f t="array" ref="I27">IF(I25="","",IF($L27&lt;$I$16,PRODUCT('Monthly Performance Update'!$N$78:$N$89+1)-1,""))</f>
        <v>4.7525957303425015E-2</v>
      </c>
      <c r="J27" s="150"/>
      <c r="K27" s="150"/>
      <c r="L27" s="150"/>
      <c r="M27" s="150"/>
      <c r="N27" s="150"/>
      <c r="O27" s="150"/>
      <c r="P27" s="150"/>
      <c r="Q27" s="150"/>
      <c r="R27" s="150"/>
      <c r="S27" s="150"/>
      <c r="T27" s="150"/>
      <c r="U27" s="150"/>
      <c r="V27" s="150"/>
      <c r="W27" s="150"/>
      <c r="X27" s="150"/>
      <c r="Y27" s="150"/>
      <c r="Z27" s="150"/>
    </row>
    <row r="28" spans="1:26" x14ac:dyDescent="0.25">
      <c r="A28" s="154"/>
      <c r="D28" s="157" t="s">
        <v>203</v>
      </c>
      <c r="E28" s="158" t="s">
        <v>204</v>
      </c>
      <c r="F28" s="158" t="s">
        <v>43</v>
      </c>
      <c r="G28" s="158" t="s">
        <v>205</v>
      </c>
      <c r="H28" s="158" t="s">
        <v>206</v>
      </c>
      <c r="I28" s="158" t="s">
        <v>44</v>
      </c>
    </row>
    <row r="29" spans="1:26" x14ac:dyDescent="0.25">
      <c r="A29" s="154"/>
      <c r="D29" s="159" t="s">
        <v>207</v>
      </c>
      <c r="E29" s="160">
        <f>STDEV('Monthly Performance Update'!$D$2:$D$37)*SQRT(12)</f>
        <v>0.10328643085123042</v>
      </c>
      <c r="F29" s="178">
        <f>_xlfn.COVARIANCE.S('Monthly Performance Update'!$D$2:$D$37,'Monthly Performance Update'!$F$2:$F$37)/_xlfn.VAR.S('Monthly Performance Update'!$F$2:$F$37)</f>
        <v>0.68543853098020147</v>
      </c>
      <c r="G29" s="174">
        <f>AVERAGEIF('Monthly Performance Update'!$F$2:$F$37,"&gt;0",'Monthly Performance Update'!$D$2:$D$37)/AVERAGEIF('Monthly Performance Update'!$F$2:$F$37,"&gt;0",'Monthly Performance Update'!$F$2:$F$37)</f>
        <v>0.70737900848829705</v>
      </c>
      <c r="H29" s="174">
        <f>AVERAGEIF('Monthly Performance Update'!$F$2:$F$37,"&lt;0",'Monthly Performance Update'!$D$2:$D$37)/AVERAGEIF('Monthly Performance Update'!$F$2:$F$37,"&lt;0",'Monthly Performance Update'!$F$2:$F$37)</f>
        <v>0.92477551554633985</v>
      </c>
      <c r="I29" s="160">
        <f>INTERCEPT('Monthly Performance Update'!$D$2:$D$37,'Monthly Performance Update'!$F$2:$F$37)*12</f>
        <v>-1.4054294967155732E-2</v>
      </c>
    </row>
    <row r="30" spans="1:26" x14ac:dyDescent="0.25">
      <c r="A30" s="154"/>
      <c r="D30" s="161" t="s">
        <v>194</v>
      </c>
      <c r="E30" s="162">
        <f>STDEV('Monthly Performance Update'!$F$2:$F$37)*SQRT(12)</f>
        <v>0.11954928587490486</v>
      </c>
      <c r="F30" s="167">
        <v>1</v>
      </c>
      <c r="G30" s="175">
        <v>1</v>
      </c>
      <c r="H30" s="175">
        <v>1</v>
      </c>
      <c r="I30" s="167">
        <v>0</v>
      </c>
    </row>
    <row r="31" spans="1:26" ht="3" customHeight="1" x14ac:dyDescent="0.25">
      <c r="A31" s="154"/>
      <c r="D31" s="163"/>
      <c r="E31" s="164"/>
      <c r="F31" s="164"/>
      <c r="G31" s="176"/>
      <c r="H31" s="176"/>
      <c r="I31" s="176"/>
    </row>
    <row r="32" spans="1:26" s="152" customFormat="1" x14ac:dyDescent="0.25">
      <c r="A32" s="154"/>
      <c r="B32" s="150"/>
      <c r="C32" s="150"/>
      <c r="D32" s="159" t="s">
        <v>208</v>
      </c>
      <c r="E32" s="160" t="e">
        <f>STDEV('Monthly Performance Update'!$H$2:$H$37)*SQRT(12)</f>
        <v>#N/A</v>
      </c>
      <c r="F32" s="178" t="e">
        <f>_xlfn.COVARIANCE.S('Monthly Performance Update'!$H$2:$H$37,'Monthly Performance Update'!$J$2:$J$37)/_xlfn.VAR.S('Monthly Performance Update'!$J$2:$J$37)</f>
        <v>#N/A</v>
      </c>
      <c r="G32" s="174">
        <f>AVERAGEIF('Monthly Performance Update'!$J$2:$J$37,"&gt;0",'Monthly Performance Update'!$H$2:$H$37)/AVERAGEIF('Monthly Performance Update'!$J$2:$J$37,"&gt;0",'Monthly Performance Update'!$J$2:$J$37)</f>
        <v>0.38037648751675468</v>
      </c>
      <c r="H32" s="174">
        <f>AVERAGEIF('Monthly Performance Update'!$J$2:$J$37,"&lt;0",'Monthly Performance Update'!$H$2:$H$37)/AVERAGEIF('Monthly Performance Update'!$J$2:$J$37,"&lt;0",'Monthly Performance Update'!$J$2:$J$37)</f>
        <v>0.33910355723981295</v>
      </c>
      <c r="I32" s="160" t="e">
        <f>INTERCEPT('Monthly Performance Update'!$H$2:$H$37,'Monthly Performance Update'!$J$2:$J$37)*12</f>
        <v>#N/A</v>
      </c>
      <c r="J32" s="150"/>
      <c r="K32" s="150"/>
      <c r="L32" s="150"/>
      <c r="M32" s="150"/>
      <c r="N32" s="150"/>
      <c r="O32" s="150"/>
      <c r="P32" s="150"/>
      <c r="Q32" s="150"/>
      <c r="R32" s="150"/>
      <c r="S32" s="150"/>
      <c r="T32" s="150"/>
      <c r="U32" s="150"/>
      <c r="V32" s="150"/>
      <c r="W32" s="150"/>
      <c r="X32" s="150"/>
      <c r="Y32" s="150"/>
      <c r="Z32" s="150"/>
    </row>
    <row r="33" spans="1:26" s="152" customFormat="1" x14ac:dyDescent="0.25">
      <c r="A33" s="154"/>
      <c r="B33" s="150"/>
      <c r="C33" s="150"/>
      <c r="D33" s="161" t="s">
        <v>198</v>
      </c>
      <c r="E33" s="162" t="e">
        <f>STDEV('Monthly Performance Update'!$J$2:$J$37)*SQRT(12)</f>
        <v>#N/A</v>
      </c>
      <c r="F33" s="167">
        <v>1</v>
      </c>
      <c r="G33" s="175">
        <v>1</v>
      </c>
      <c r="H33" s="175">
        <v>1</v>
      </c>
      <c r="I33" s="167">
        <v>0</v>
      </c>
      <c r="J33" s="150"/>
      <c r="K33" s="150"/>
      <c r="L33" s="150"/>
      <c r="M33" s="150"/>
      <c r="N33" s="150"/>
      <c r="O33" s="150"/>
      <c r="P33" s="150"/>
      <c r="Q33" s="150"/>
      <c r="R33" s="150"/>
      <c r="S33" s="150"/>
      <c r="T33" s="150"/>
      <c r="U33" s="150"/>
      <c r="V33" s="150"/>
      <c r="W33" s="150"/>
      <c r="X33" s="150"/>
      <c r="Y33" s="150"/>
      <c r="Z33" s="150"/>
    </row>
    <row r="34" spans="1:26" s="152" customFormat="1" ht="3" customHeight="1" x14ac:dyDescent="0.25">
      <c r="A34" s="154"/>
      <c r="B34" s="150"/>
      <c r="C34" s="150"/>
      <c r="D34" s="165"/>
      <c r="E34" s="166"/>
      <c r="F34" s="166"/>
      <c r="G34" s="177"/>
      <c r="H34" s="177"/>
      <c r="I34" s="177"/>
      <c r="J34" s="150"/>
      <c r="K34" s="150"/>
      <c r="L34" s="150"/>
      <c r="M34" s="150"/>
      <c r="N34" s="150"/>
      <c r="O34" s="150"/>
      <c r="P34" s="150"/>
      <c r="Q34" s="150"/>
      <c r="R34" s="150"/>
      <c r="S34" s="150"/>
      <c r="T34" s="150"/>
      <c r="U34" s="150"/>
      <c r="V34" s="150"/>
      <c r="W34" s="150"/>
      <c r="X34" s="150"/>
      <c r="Y34" s="150"/>
      <c r="Z34" s="150"/>
    </row>
    <row r="35" spans="1:26" s="152" customFormat="1" x14ac:dyDescent="0.25">
      <c r="A35" s="154"/>
      <c r="B35" s="150"/>
      <c r="C35" s="150"/>
      <c r="D35" s="159" t="s">
        <v>209</v>
      </c>
      <c r="E35" s="160">
        <f>STDEV('Monthly Performance Update'!$L$2:$L$37)*SQRT(12)</f>
        <v>9.3843172583151363E-2</v>
      </c>
      <c r="F35" s="178">
        <f>_xlfn.COVARIANCE.S('Monthly Performance Update'!$L$2:$L$37,'Monthly Performance Update'!$N$2:$N$37)/_xlfn.VAR.S('Monthly Performance Update'!$N$2:$N$37)</f>
        <v>0.66526204341597839</v>
      </c>
      <c r="G35" s="174">
        <f>AVERAGEIF('Monthly Performance Update'!$N$2:$N$37,"&gt;0",'Monthly Performance Update'!$L$2:$L$37)/AVERAGEIF('Monthly Performance Update'!$N$2:$N$37,"&gt;0",'Monthly Performance Update'!$N$2:$N$37)</f>
        <v>0.64807719200559888</v>
      </c>
      <c r="H35" s="174">
        <f>AVERAGEIF('Monthly Performance Update'!$N$2:$N$37,"&lt;0",'Monthly Performance Update'!$L$2:$L$37)/AVERAGEIF('Monthly Performance Update'!$N$2:$N$37,"&lt;0",'Monthly Performance Update'!$N$2:$N$37)</f>
        <v>0.74236236628663654</v>
      </c>
      <c r="I35" s="160">
        <f>INTERCEPT('Monthly Performance Update'!$L$2:$L$37,'Monthly Performance Update'!$N$2:$N$37)*12</f>
        <v>-1.1598504579186E-2</v>
      </c>
      <c r="J35" s="150"/>
      <c r="K35" s="150"/>
      <c r="L35" s="150"/>
      <c r="M35" s="150"/>
      <c r="N35" s="150"/>
      <c r="O35" s="150"/>
      <c r="P35" s="150"/>
      <c r="Q35" s="150"/>
      <c r="R35" s="150"/>
      <c r="S35" s="150"/>
      <c r="T35" s="150"/>
      <c r="U35" s="150"/>
      <c r="V35" s="150"/>
      <c r="W35" s="150"/>
      <c r="X35" s="150"/>
      <c r="Y35" s="150"/>
      <c r="Z35" s="150"/>
    </row>
    <row r="36" spans="1:26" s="152" customFormat="1" x14ac:dyDescent="0.25">
      <c r="A36" s="154"/>
      <c r="B36" s="150"/>
      <c r="C36" s="150"/>
      <c r="D36" s="161" t="s">
        <v>202</v>
      </c>
      <c r="E36" s="162">
        <f>STDEV('Monthly Performance Update'!$N$2:$N$37)*SQRT(12)</f>
        <v>0.11343515224900244</v>
      </c>
      <c r="F36" s="167">
        <v>1</v>
      </c>
      <c r="G36" s="175">
        <v>1</v>
      </c>
      <c r="H36" s="175">
        <v>1</v>
      </c>
      <c r="I36" s="167">
        <v>0</v>
      </c>
      <c r="J36" s="150"/>
      <c r="K36" s="150"/>
      <c r="L36" s="150"/>
      <c r="M36" s="150"/>
      <c r="N36" s="150"/>
      <c r="O36" s="150"/>
      <c r="P36" s="150"/>
      <c r="Q36" s="150"/>
      <c r="R36" s="150"/>
      <c r="S36" s="150"/>
      <c r="T36" s="150"/>
      <c r="U36" s="150"/>
      <c r="V36" s="150"/>
      <c r="W36" s="150"/>
      <c r="X36" s="150"/>
      <c r="Y36" s="150"/>
      <c r="Z36" s="150"/>
    </row>
    <row r="37" spans="1:26" s="152" customFormat="1" x14ac:dyDescent="0.25">
      <c r="A37" s="154"/>
      <c r="B37" s="150"/>
      <c r="C37" s="150"/>
      <c r="J37" s="150"/>
      <c r="K37" s="150"/>
      <c r="L37" s="150"/>
      <c r="M37" s="150"/>
      <c r="N37" s="150"/>
      <c r="O37" s="150"/>
      <c r="P37" s="150"/>
      <c r="Q37" s="150"/>
      <c r="R37" s="150"/>
      <c r="S37" s="150"/>
      <c r="T37" s="150"/>
      <c r="U37" s="150"/>
      <c r="V37" s="150"/>
      <c r="W37" s="150"/>
      <c r="X37" s="150"/>
      <c r="Y37" s="150"/>
      <c r="Z37" s="150"/>
    </row>
    <row r="38" spans="1:26" s="152" customFormat="1" x14ac:dyDescent="0.25">
      <c r="A38" s="154"/>
      <c r="B38" s="150"/>
      <c r="C38" s="150"/>
      <c r="J38" s="150"/>
      <c r="K38" s="150"/>
      <c r="L38" s="150"/>
      <c r="M38" s="150"/>
      <c r="N38" s="150"/>
      <c r="O38" s="150"/>
      <c r="P38" s="150"/>
      <c r="Q38" s="150"/>
      <c r="R38" s="150"/>
      <c r="S38" s="150"/>
      <c r="T38" s="150"/>
      <c r="U38" s="150"/>
      <c r="V38" s="150"/>
      <c r="W38" s="150"/>
      <c r="X38" s="150"/>
      <c r="Y38" s="150"/>
      <c r="Z38" s="15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ED41-1386-418C-A32E-9AF42C3DCB5C}">
  <sheetPr>
    <tabColor theme="4" tint="-0.499984740745262"/>
  </sheetPr>
  <dimension ref="A1:H17"/>
  <sheetViews>
    <sheetView workbookViewId="0">
      <selection activeCell="J1" sqref="J1"/>
    </sheetView>
  </sheetViews>
  <sheetFormatPr defaultColWidth="8.625" defaultRowHeight="15.75" x14ac:dyDescent="0.25"/>
  <cols>
    <col min="1" max="1" width="25" bestFit="1" customWidth="1"/>
  </cols>
  <sheetData>
    <row r="1" spans="1:8" x14ac:dyDescent="0.25">
      <c r="A1" s="216" t="s">
        <v>187</v>
      </c>
      <c r="B1" s="217" t="s">
        <v>416</v>
      </c>
      <c r="C1" s="217" t="s">
        <v>7</v>
      </c>
      <c r="D1" s="217" t="s">
        <v>188</v>
      </c>
      <c r="E1" s="217" t="s">
        <v>189</v>
      </c>
      <c r="F1" s="217" t="s">
        <v>190</v>
      </c>
      <c r="G1" s="217" t="s">
        <v>409</v>
      </c>
      <c r="H1" s="158" t="s">
        <v>53</v>
      </c>
    </row>
    <row r="2" spans="1:8" x14ac:dyDescent="0.25">
      <c r="A2" s="159" t="s">
        <v>191</v>
      </c>
      <c r="B2" s="160">
        <v>-2.719158504529029E-2</v>
      </c>
      <c r="C2" s="160">
        <v>1.6468511368847638E-2</v>
      </c>
      <c r="D2" s="160">
        <v>0.13288182294141304</v>
      </c>
      <c r="E2" s="160">
        <v>5.2549739427471653E-2</v>
      </c>
      <c r="F2" s="160">
        <v>6.09171826580992E-2</v>
      </c>
      <c r="G2" s="160">
        <v>0.10231481826410072</v>
      </c>
      <c r="H2" s="160">
        <v>0.11859568020126421</v>
      </c>
    </row>
    <row r="3" spans="1:8" x14ac:dyDescent="0.25">
      <c r="A3" s="214" t="s">
        <v>192</v>
      </c>
      <c r="B3" s="215">
        <v>-2.8928019243012026E-2</v>
      </c>
      <c r="C3" s="215">
        <v>1.11984688899609E-2</v>
      </c>
      <c r="D3" s="215">
        <v>0.12510347426274215</v>
      </c>
      <c r="E3" s="215">
        <v>4.4652848639666898E-2</v>
      </c>
      <c r="F3" s="215">
        <v>5.2675346133628453E-2</v>
      </c>
      <c r="G3" s="215">
        <v>9.3647663846258222E-2</v>
      </c>
      <c r="H3" s="215">
        <v>0.10936241080538366</v>
      </c>
    </row>
    <row r="4" spans="1:8" x14ac:dyDescent="0.25">
      <c r="A4" s="159" t="s">
        <v>335</v>
      </c>
      <c r="B4" s="160">
        <v>-5.7660871763738575E-2</v>
      </c>
      <c r="C4" s="160">
        <v>-6.1943213991256026E-2</v>
      </c>
      <c r="D4" s="160">
        <v>4.3756431518776617E-2</v>
      </c>
      <c r="E4" s="160">
        <v>5.4537893290487194E-2</v>
      </c>
      <c r="F4" s="160">
        <v>6.0083762482597836E-2</v>
      </c>
      <c r="G4" s="160">
        <v>9.1835618048161649E-2</v>
      </c>
      <c r="H4" s="160">
        <v>0.10473177095968221</v>
      </c>
    </row>
    <row r="5" spans="1:8" ht="3" customHeight="1" x14ac:dyDescent="0.25">
      <c r="A5" s="218"/>
      <c r="B5" s="219"/>
      <c r="C5" s="219"/>
      <c r="D5" s="219"/>
      <c r="E5" s="219"/>
      <c r="F5" s="219"/>
      <c r="G5" s="219"/>
      <c r="H5" s="164"/>
    </row>
    <row r="7" spans="1:8" x14ac:dyDescent="0.25">
      <c r="A7" s="216" t="s">
        <v>187</v>
      </c>
      <c r="B7" s="217" t="s">
        <v>416</v>
      </c>
      <c r="C7" s="217" t="s">
        <v>7</v>
      </c>
      <c r="D7" s="217" t="s">
        <v>188</v>
      </c>
      <c r="E7" s="217" t="s">
        <v>189</v>
      </c>
      <c r="F7" s="217" t="s">
        <v>190</v>
      </c>
      <c r="G7" s="158" t="s">
        <v>53</v>
      </c>
    </row>
    <row r="8" spans="1:8" x14ac:dyDescent="0.25">
      <c r="A8" s="159" t="s">
        <v>195</v>
      </c>
      <c r="B8" s="160">
        <v>-4.1320960644192987E-2</v>
      </c>
      <c r="C8" s="160">
        <v>-9.8711865820151345E-3</v>
      </c>
      <c r="D8" s="160">
        <v>6.4210906151575875E-2</v>
      </c>
      <c r="E8" s="160">
        <v>5.8847941044279928E-2</v>
      </c>
      <c r="F8" s="160">
        <v>-1.5546155204895662E-2</v>
      </c>
      <c r="G8" s="160">
        <v>6.8446349421107389E-2</v>
      </c>
    </row>
    <row r="9" spans="1:8" x14ac:dyDescent="0.25">
      <c r="A9" s="214" t="s">
        <v>196</v>
      </c>
      <c r="B9" s="215">
        <v>-4.4309291718731207E-2</v>
      </c>
      <c r="C9" s="215">
        <v>-1.6400472713050229E-2</v>
      </c>
      <c r="D9" s="215">
        <v>5.5640702504877737E-2</v>
      </c>
      <c r="E9" s="215">
        <v>5.0635773479766222E-2</v>
      </c>
      <c r="F9" s="215">
        <v>-2.3275448919751418E-2</v>
      </c>
      <c r="G9" s="215">
        <v>6.2553749091529331E-2</v>
      </c>
    </row>
    <row r="10" spans="1:8" x14ac:dyDescent="0.25">
      <c r="A10" s="159" t="s">
        <v>417</v>
      </c>
      <c r="B10" s="160">
        <v>-6.0731219096819E-3</v>
      </c>
      <c r="C10" s="160">
        <v>-0.10162067338994063</v>
      </c>
      <c r="D10" s="160">
        <v>-5.9176979331014845E-3</v>
      </c>
      <c r="E10" s="160">
        <v>8.4170149330918154E-2</v>
      </c>
      <c r="F10" s="160">
        <v>-1.72690562274741E-2</v>
      </c>
      <c r="G10" s="160">
        <v>5.5157392629322732E-2</v>
      </c>
    </row>
    <row r="11" spans="1:8" ht="3" customHeight="1" x14ac:dyDescent="0.25">
      <c r="A11" s="218"/>
      <c r="B11" s="219"/>
      <c r="C11" s="219"/>
      <c r="D11" s="219"/>
      <c r="E11" s="219"/>
      <c r="F11" s="219"/>
      <c r="G11" s="219"/>
    </row>
    <row r="13" spans="1:8" x14ac:dyDescent="0.25">
      <c r="A13" s="216" t="s">
        <v>187</v>
      </c>
      <c r="B13" s="217" t="s">
        <v>416</v>
      </c>
      <c r="C13" s="217" t="s">
        <v>7</v>
      </c>
      <c r="D13" s="217" t="s">
        <v>188</v>
      </c>
      <c r="E13" s="217" t="s">
        <v>189</v>
      </c>
      <c r="F13" s="217" t="s">
        <v>190</v>
      </c>
      <c r="G13" s="158" t="s">
        <v>409</v>
      </c>
      <c r="H13" s="216" t="s">
        <v>53</v>
      </c>
    </row>
    <row r="14" spans="1:8" x14ac:dyDescent="0.25">
      <c r="A14" s="159" t="s">
        <v>338</v>
      </c>
      <c r="B14" s="160">
        <v>-3.1001139612910844E-2</v>
      </c>
      <c r="C14" s="160">
        <v>5.3557261303831538E-2</v>
      </c>
      <c r="D14" s="160">
        <v>0.13690055450531236</v>
      </c>
      <c r="E14" s="160">
        <v>5.2261218931149989E-2</v>
      </c>
      <c r="F14" s="160">
        <v>5.3404702017803451E-2</v>
      </c>
      <c r="G14" s="160">
        <v>8.6186079572602173E-2</v>
      </c>
      <c r="H14" s="160">
        <v>9.2667128454436476E-2</v>
      </c>
    </row>
    <row r="15" spans="1:8" x14ac:dyDescent="0.25">
      <c r="A15" s="214" t="s">
        <v>339</v>
      </c>
      <c r="B15" s="215">
        <v>-3.3052425372294025E-2</v>
      </c>
      <c r="C15" s="215">
        <v>4.7004149426636888E-2</v>
      </c>
      <c r="D15" s="215">
        <v>0.127515411876439</v>
      </c>
      <c r="E15" s="215">
        <v>4.3557131581904107E-2</v>
      </c>
      <c r="F15" s="215">
        <v>4.4964267006217806E-2</v>
      </c>
      <c r="G15" s="215">
        <v>8.0602208342485535E-2</v>
      </c>
      <c r="H15" s="215">
        <v>8.7816049465726062E-2</v>
      </c>
    </row>
    <row r="16" spans="1:8" x14ac:dyDescent="0.25">
      <c r="A16" s="159" t="s">
        <v>418</v>
      </c>
      <c r="B16" s="160">
        <v>-2.3615905593668218E-2</v>
      </c>
      <c r="C16" s="160">
        <v>1.6329359268598687E-2</v>
      </c>
      <c r="D16" s="160">
        <v>0.10356649776718374</v>
      </c>
      <c r="E16" s="160">
        <v>3.7854493380613308E-2</v>
      </c>
      <c r="F16" s="160">
        <v>4.3180810375263112E-2</v>
      </c>
      <c r="G16" s="160">
        <v>7.2114782340997108E-2</v>
      </c>
      <c r="H16" s="160">
        <v>7.7525592584072989E-2</v>
      </c>
    </row>
    <row r="17" spans="1:8" ht="3" customHeight="1" x14ac:dyDescent="0.25">
      <c r="A17" s="218"/>
      <c r="B17" s="219"/>
      <c r="C17" s="219"/>
      <c r="D17" s="219"/>
      <c r="E17" s="219"/>
      <c r="F17" s="219"/>
      <c r="G17" s="219"/>
      <c r="H17" s="21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B67CC-D71F-4710-9162-F410122F41A4}">
  <sheetPr codeName="Sheet24">
    <tabColor theme="4" tint="-0.499984740745262"/>
  </sheetPr>
  <dimension ref="A1:EZ597"/>
  <sheetViews>
    <sheetView topLeftCell="AB1" zoomScaleNormal="100" workbookViewId="0">
      <pane ySplit="2" topLeftCell="A11" activePane="bottomLeft" state="frozen"/>
      <selection pane="bottomLeft" activeCell="AU14" sqref="AU14"/>
    </sheetView>
  </sheetViews>
  <sheetFormatPr defaultColWidth="8.625" defaultRowHeight="15.75" x14ac:dyDescent="0.25"/>
  <cols>
    <col min="2" max="2" width="11.125" bestFit="1" customWidth="1"/>
    <col min="5" max="5" width="12.5" bestFit="1" customWidth="1"/>
    <col min="6" max="13" width="12.5" customWidth="1"/>
    <col min="27" max="27" width="14.5" bestFit="1" customWidth="1"/>
    <col min="29" max="29" width="11.625" customWidth="1"/>
    <col min="34" max="34" width="27.125" style="169" bestFit="1" customWidth="1"/>
    <col min="35" max="35" width="20" bestFit="1" customWidth="1"/>
    <col min="51" max="51" width="11.125" customWidth="1"/>
    <col min="52" max="52" width="12.5" bestFit="1" customWidth="1"/>
    <col min="69" max="69" width="11.125" bestFit="1" customWidth="1"/>
    <col min="87" max="87" width="11.125" bestFit="1" customWidth="1"/>
    <col min="105" max="105" width="10.625" customWidth="1"/>
    <col min="123" max="123" width="10.625" customWidth="1"/>
    <col min="141" max="141" width="8.625" bestFit="1" customWidth="1"/>
  </cols>
  <sheetData>
    <row r="1" spans="1:156" x14ac:dyDescent="0.25">
      <c r="S1" s="1"/>
      <c r="T1" s="1"/>
      <c r="U1" s="1"/>
      <c r="V1" s="1"/>
      <c r="W1" s="1"/>
      <c r="X1" s="1"/>
      <c r="Y1" s="1"/>
      <c r="AH1" s="169" t="s">
        <v>217</v>
      </c>
      <c r="AY1" s="169" t="s">
        <v>7</v>
      </c>
      <c r="BQ1" s="169" t="s">
        <v>218</v>
      </c>
      <c r="BZ1" s="1" cm="1">
        <f t="array" aca="1" ref="BZ1" ca="1">GEOMEAN(1+BZ3:BZ14)^12-1</f>
        <v>0.12659470144866081</v>
      </c>
      <c r="CI1" s="169" t="s">
        <v>219</v>
      </c>
      <c r="DA1" s="169" t="s">
        <v>220</v>
      </c>
      <c r="DS1" s="169" t="s">
        <v>221</v>
      </c>
      <c r="EK1" t="s">
        <v>410</v>
      </c>
    </row>
    <row r="2" spans="1:156" x14ac:dyDescent="0.25">
      <c r="C2" t="s">
        <v>222</v>
      </c>
      <c r="D2" t="s">
        <v>223</v>
      </c>
      <c r="E2" t="s">
        <v>224</v>
      </c>
      <c r="F2" t="s">
        <v>392</v>
      </c>
      <c r="G2" t="s">
        <v>225</v>
      </c>
      <c r="H2" t="s">
        <v>226</v>
      </c>
      <c r="I2" t="s">
        <v>227</v>
      </c>
      <c r="J2" t="s">
        <v>393</v>
      </c>
      <c r="K2" t="s">
        <v>311</v>
      </c>
      <c r="L2" t="s">
        <v>312</v>
      </c>
      <c r="M2" t="s">
        <v>313</v>
      </c>
      <c r="O2" t="s">
        <v>228</v>
      </c>
      <c r="P2" t="s">
        <v>185</v>
      </c>
      <c r="Q2" t="s">
        <v>175</v>
      </c>
      <c r="S2" t="s">
        <v>229</v>
      </c>
      <c r="T2" t="s">
        <v>230</v>
      </c>
      <c r="U2" t="s">
        <v>231</v>
      </c>
      <c r="V2" t="s">
        <v>396</v>
      </c>
      <c r="W2" t="s">
        <v>318</v>
      </c>
      <c r="X2" t="s">
        <v>319</v>
      </c>
      <c r="Y2" t="s">
        <v>320</v>
      </c>
      <c r="AB2" s="182" t="s">
        <v>232</v>
      </c>
      <c r="AC2" s="234">
        <f ca="1">NOW()</f>
        <v>46049.488687268517</v>
      </c>
      <c r="AI2" t="s">
        <v>233</v>
      </c>
      <c r="AJ2" t="s">
        <v>234</v>
      </c>
      <c r="AK2" t="s">
        <v>311</v>
      </c>
      <c r="AL2" t="s">
        <v>228</v>
      </c>
      <c r="AM2" t="s">
        <v>235</v>
      </c>
      <c r="AN2" t="s">
        <v>236</v>
      </c>
      <c r="AO2" t="s">
        <v>312</v>
      </c>
      <c r="AP2" t="s">
        <v>185</v>
      </c>
      <c r="AQ2" t="s">
        <v>237</v>
      </c>
      <c r="AR2" t="s">
        <v>227</v>
      </c>
      <c r="AS2" t="s">
        <v>313</v>
      </c>
      <c r="AT2" t="s">
        <v>175</v>
      </c>
      <c r="AU2" t="s">
        <v>394</v>
      </c>
      <c r="AV2" t="s">
        <v>393</v>
      </c>
      <c r="AW2" t="s">
        <v>395</v>
      </c>
      <c r="AY2" s="169"/>
      <c r="AZ2" t="s">
        <v>233</v>
      </c>
      <c r="BA2" t="s">
        <v>234</v>
      </c>
      <c r="BB2" t="s">
        <v>311</v>
      </c>
      <c r="BC2" t="s">
        <v>228</v>
      </c>
      <c r="BD2" t="s">
        <v>235</v>
      </c>
      <c r="BE2" t="s">
        <v>236</v>
      </c>
      <c r="BF2" t="s">
        <v>312</v>
      </c>
      <c r="BG2" t="s">
        <v>185</v>
      </c>
      <c r="BH2" t="s">
        <v>237</v>
      </c>
      <c r="BI2" t="s">
        <v>227</v>
      </c>
      <c r="BJ2" t="s">
        <v>313</v>
      </c>
      <c r="BK2" t="s">
        <v>175</v>
      </c>
      <c r="BL2" t="s">
        <v>394</v>
      </c>
      <c r="BM2" t="s">
        <v>393</v>
      </c>
      <c r="BN2" t="s">
        <v>395</v>
      </c>
      <c r="BQ2" s="169"/>
      <c r="BR2" t="s">
        <v>233</v>
      </c>
      <c r="BS2" t="s">
        <v>234</v>
      </c>
      <c r="BT2" t="s">
        <v>311</v>
      </c>
      <c r="BU2" t="s">
        <v>228</v>
      </c>
      <c r="BV2" t="s">
        <v>235</v>
      </c>
      <c r="BW2" t="s">
        <v>236</v>
      </c>
      <c r="BX2" t="s">
        <v>312</v>
      </c>
      <c r="BY2" t="s">
        <v>185</v>
      </c>
      <c r="BZ2" t="s">
        <v>237</v>
      </c>
      <c r="CA2" t="s">
        <v>227</v>
      </c>
      <c r="CB2" t="s">
        <v>313</v>
      </c>
      <c r="CC2" t="s">
        <v>175</v>
      </c>
      <c r="CD2" t="s">
        <v>394</v>
      </c>
      <c r="CE2" t="s">
        <v>393</v>
      </c>
      <c r="CF2" t="s">
        <v>395</v>
      </c>
      <c r="CI2" s="169"/>
      <c r="CJ2" t="s">
        <v>233</v>
      </c>
      <c r="CK2" t="s">
        <v>234</v>
      </c>
      <c r="CL2" t="s">
        <v>311</v>
      </c>
      <c r="CM2" t="s">
        <v>228</v>
      </c>
      <c r="CN2" t="s">
        <v>235</v>
      </c>
      <c r="CO2" t="s">
        <v>236</v>
      </c>
      <c r="CP2" t="s">
        <v>312</v>
      </c>
      <c r="CQ2" t="s">
        <v>185</v>
      </c>
      <c r="CR2" t="s">
        <v>237</v>
      </c>
      <c r="CS2" t="s">
        <v>227</v>
      </c>
      <c r="CT2" t="s">
        <v>313</v>
      </c>
      <c r="CU2" t="s">
        <v>175</v>
      </c>
      <c r="CV2" t="s">
        <v>394</v>
      </c>
      <c r="CW2" t="s">
        <v>393</v>
      </c>
      <c r="CX2" t="s">
        <v>395</v>
      </c>
      <c r="DA2" s="169"/>
      <c r="DB2" t="s">
        <v>233</v>
      </c>
      <c r="DC2" t="s">
        <v>234</v>
      </c>
      <c r="DD2" t="s">
        <v>311</v>
      </c>
      <c r="DE2" t="s">
        <v>228</v>
      </c>
      <c r="DF2" t="s">
        <v>235</v>
      </c>
      <c r="DG2" t="s">
        <v>236</v>
      </c>
      <c r="DH2" t="s">
        <v>312</v>
      </c>
      <c r="DI2" t="s">
        <v>185</v>
      </c>
      <c r="DJ2" t="s">
        <v>237</v>
      </c>
      <c r="DK2" t="s">
        <v>227</v>
      </c>
      <c r="DL2" t="s">
        <v>313</v>
      </c>
      <c r="DM2" t="s">
        <v>175</v>
      </c>
      <c r="DN2" t="s">
        <v>394</v>
      </c>
      <c r="DO2" t="s">
        <v>393</v>
      </c>
      <c r="DP2" t="s">
        <v>395</v>
      </c>
      <c r="DS2" s="169"/>
      <c r="DT2" t="s">
        <v>233</v>
      </c>
      <c r="DU2" t="s">
        <v>234</v>
      </c>
      <c r="DV2" t="s">
        <v>311</v>
      </c>
      <c r="DW2" t="s">
        <v>228</v>
      </c>
      <c r="DX2" t="s">
        <v>235</v>
      </c>
      <c r="DY2" t="s">
        <v>236</v>
      </c>
      <c r="DZ2" t="s">
        <v>312</v>
      </c>
      <c r="EA2" t="s">
        <v>185</v>
      </c>
      <c r="EB2" t="s">
        <v>237</v>
      </c>
      <c r="EC2" t="s">
        <v>227</v>
      </c>
      <c r="ED2" t="s">
        <v>313</v>
      </c>
      <c r="EE2" t="s">
        <v>175</v>
      </c>
      <c r="EF2" t="s">
        <v>394</v>
      </c>
      <c r="EG2" t="s">
        <v>393</v>
      </c>
      <c r="EH2" t="s">
        <v>395</v>
      </c>
      <c r="EL2" t="s">
        <v>233</v>
      </c>
      <c r="EM2" t="s">
        <v>234</v>
      </c>
      <c r="EN2" t="s">
        <v>311</v>
      </c>
      <c r="EO2" t="s">
        <v>228</v>
      </c>
      <c r="EP2" t="s">
        <v>235</v>
      </c>
      <c r="EQ2" t="s">
        <v>236</v>
      </c>
      <c r="ER2" t="s">
        <v>312</v>
      </c>
      <c r="ES2" t="s">
        <v>185</v>
      </c>
      <c r="ET2" t="s">
        <v>237</v>
      </c>
      <c r="EU2" t="s">
        <v>227</v>
      </c>
      <c r="EV2" t="s">
        <v>313</v>
      </c>
      <c r="EW2" t="s">
        <v>175</v>
      </c>
      <c r="EX2" t="s">
        <v>394</v>
      </c>
      <c r="EY2" t="s">
        <v>393</v>
      </c>
      <c r="EZ2" t="s">
        <v>395</v>
      </c>
    </row>
    <row r="3" spans="1:156" x14ac:dyDescent="0.25">
      <c r="A3">
        <v>1</v>
      </c>
      <c r="B3" s="169">
        <f ca="1">IF('LC (Gross)'!A150="","",IF('LC (Gross)'!A150&gt;$AC$9,"",'LC (Gross)'!A150))</f>
        <v>40602</v>
      </c>
      <c r="C3" s="1">
        <f ca="1">IF(B3="","",(VLOOKUP(B3,'LC (Gross)'!A:D,4,FALSE)/100))</f>
        <v>2.3133333333333336E-2</v>
      </c>
      <c r="D3" s="1"/>
      <c r="E3" s="1"/>
      <c r="F3" s="1"/>
      <c r="G3" s="1">
        <f ca="1">IF(B3="","",(VLOOKUP(B3,'LC (Net)'!A:D,4,FALSE)/100))</f>
        <v>2.23E-2</v>
      </c>
      <c r="H3" s="1"/>
      <c r="I3" s="1"/>
      <c r="J3" s="1"/>
      <c r="K3" s="1">
        <f ca="1">IF(B3="","",VLOOKUP(Website!B3,'LC (Gross)'!W:X,2,FALSE)/100)</f>
        <v>2.6601798622337663E-2</v>
      </c>
      <c r="L3" s="1">
        <f ca="1">IF(B3="","",VLOOKUP(Website!B3,'SC (Gross)'!P:Q,2,FALSE)/100)</f>
        <v>4.33023968164623E-2</v>
      </c>
      <c r="M3" s="1"/>
      <c r="O3" s="1">
        <f ca="1">IF(B3="","",VLOOKUP(Website!B3,'LC (Gross)'!J:K,2,FALSE)/100)</f>
        <v>3.4253055042143897E-2</v>
      </c>
      <c r="P3" s="233">
        <f ca="1">IF(B3="","",(VLOOKUP(B3,'SC (Gross)'!J:K,2,FALSE))/100)</f>
        <v>5.4841566989274969E-2</v>
      </c>
      <c r="S3" s="22">
        <f t="shared" ref="S3:S66" ca="1" si="0">IF(C3="","",C3-O3)</f>
        <v>-1.1119721708810561E-2</v>
      </c>
      <c r="T3" s="22" t="str">
        <f t="shared" ref="T3:T66" si="1">IF(D3="","",D3-P3)</f>
        <v/>
      </c>
      <c r="U3" s="22" t="str">
        <f t="shared" ref="U3:U66" si="2">IF(E3="","",E3-Q3)</f>
        <v/>
      </c>
      <c r="V3" s="22"/>
      <c r="W3" s="22">
        <f ca="1">IF(O3="","",K3-O3)</f>
        <v>-7.6512564198062336E-3</v>
      </c>
      <c r="X3" s="22">
        <f t="shared" ref="X3:Y3" ca="1" si="3">IF(P3="","",L3-P3)</f>
        <v>-1.1539170172812668E-2</v>
      </c>
      <c r="Y3" s="22" t="str">
        <f t="shared" si="3"/>
        <v/>
      </c>
      <c r="AC3">
        <f ca="1">MONTH(AC2)</f>
        <v>1</v>
      </c>
      <c r="AG3">
        <f ca="1">MAX($A:$A)-2</f>
        <v>177</v>
      </c>
      <c r="AH3" s="169">
        <f ca="1">VLOOKUP(AG3,$A:$B,2,FALSE)</f>
        <v>45961</v>
      </c>
      <c r="AI3" s="1">
        <f ca="1">VLOOKUP(AG3,$A:$Q,3,FALSE)</f>
        <v>-6.8231271707644111E-4</v>
      </c>
      <c r="AJ3" s="1">
        <f ca="1">VLOOKUP(AG3,$A:$Q,7,FALSE)</f>
        <v>-1.2385999129374185E-3</v>
      </c>
      <c r="AK3" s="1">
        <f ca="1">VLOOKUP(AG3,$A:$Q,11,FALSE)</f>
        <v>-3.7181140000000001E-2</v>
      </c>
      <c r="AL3" s="1">
        <f ca="1">VLOOKUP(AG3,$A:$Q,15,FALSE)</f>
        <v>2.3413639999999999E-2</v>
      </c>
      <c r="AM3" s="1" t="e">
        <f ca="1">VLOOKUP(AG3,$A:$Q,4,FALSE)</f>
        <v>#N/A</v>
      </c>
      <c r="AN3" s="1" t="e">
        <f ca="1">VLOOKUP(AG3,$A:$Q,8,FALSE)</f>
        <v>#N/A</v>
      </c>
      <c r="AO3" s="1" t="e">
        <f ca="1">VLOOKUP(AG3,$A:$Q,12,FALSE)</f>
        <v>#N/A</v>
      </c>
      <c r="AP3" s="1">
        <f ca="1">VLOOKUP(AG3,$A:$Q,16,FALSE)</f>
        <v>1.809146E-2</v>
      </c>
      <c r="AQ3" s="1">
        <f ca="1">VLOOKUP(AG3,$A:$Q,5,FALSE)</f>
        <v>-1.928262E-2</v>
      </c>
      <c r="AR3" s="1">
        <f ca="1">VLOOKUP(AG3,$A:$Q,9,FALSE)</f>
        <v>-1.998262E-2</v>
      </c>
      <c r="AS3" s="1">
        <f ca="1">VLOOKUP(AG3,$A:$Q,13,FALSE)</f>
        <v>-1.4094850000000001E-2</v>
      </c>
      <c r="AT3" s="1">
        <f ca="1">VLOOKUP(AG3,$A:$Q,17,FALSE)</f>
        <v>2.255368E-2</v>
      </c>
      <c r="AU3" s="1">
        <f ca="1">VLOOKUP(AG3,$A:$Q,6,FALSE)</f>
        <v>-1.2156549999999999E-2</v>
      </c>
      <c r="AV3" s="1">
        <f ca="1">VLOOKUP(AG3,$A:$Q,10,FALSE)</f>
        <v>-1.318155E-2</v>
      </c>
      <c r="AW3" s="1">
        <f ca="1">VLOOKUP(AG3,$A:$Q,16,FALSE)</f>
        <v>1.809146E-2</v>
      </c>
      <c r="AX3">
        <f ca="1">MAX($A:$A)-AC6+1</f>
        <v>168</v>
      </c>
      <c r="AY3" s="169">
        <f t="shared" ref="AY3:AY14" ca="1" si="4">IF(AX3="","",VLOOKUP(AX3,$A:$B,2,FALSE))</f>
        <v>45688</v>
      </c>
      <c r="AZ3" s="1">
        <f t="shared" ref="AZ3:AZ14" ca="1" si="5">IF(AX3="",0,VLOOKUP(AX3,$A:$Q,3,FALSE))</f>
        <v>4.4176273945455528E-2</v>
      </c>
      <c r="BA3" s="1">
        <f t="shared" ref="BA3:BA14" ca="1" si="6">IF(AX3="",0,VLOOKUP(AX3,$A:$Q,7,FALSE))</f>
        <v>4.3370980910674733E-2</v>
      </c>
      <c r="BB3" s="1">
        <f t="shared" ref="BB3:BB14" ca="1" si="7">IF(AX3="",0,VLOOKUP(AX3,$A:$Q,11,FALSE))</f>
        <v>2.0867730000000001E-2</v>
      </c>
      <c r="BC3" s="1">
        <f t="shared" ref="BC3:BC14" ca="1" si="8">IF(AX3="",0,VLOOKUP(AX3,$A:$Q,15,FALSE))</f>
        <v>2.7792780000000003E-2</v>
      </c>
      <c r="BD3" s="1" t="e">
        <f t="shared" ref="BD3:BD14" ca="1" si="9">IF(AX3="",0,VLOOKUP(AX3,$A:$Q,4,FALSE))</f>
        <v>#N/A</v>
      </c>
      <c r="BE3" s="1" t="e">
        <f t="shared" ref="BE3:BE14" ca="1" si="10">IF(AX3="",0,VLOOKUP(AX3,$A:$Q,8,FALSE))</f>
        <v>#N/A</v>
      </c>
      <c r="BF3" s="1" t="e">
        <f t="shared" ref="BF3:BF14" ca="1" si="11">IF(AX3="",0,VLOOKUP(AX3,$A:$Q,12,FALSE))</f>
        <v>#N/A</v>
      </c>
      <c r="BG3" s="1">
        <f t="shared" ref="BG3:BG14" ca="1" si="12">IF(AX3="",0,VLOOKUP(AX3,$A:$Q,16,FALSE))</f>
        <v>2.6219139999999998E-2</v>
      </c>
      <c r="BH3" s="1">
        <f t="shared" ref="BH3:BH14" ca="1" si="13">IF(AX3="",0,VLOOKUP(AX3,$A:$Q,5,FALSE))</f>
        <v>2.593962E-2</v>
      </c>
      <c r="BI3" s="1">
        <f t="shared" ref="BI3:BI14" ca="1" si="14">IF(AX3="",0,VLOOKUP(AX3,$A:$Q,9,FALSE))</f>
        <v>2.5239620000000001E-2</v>
      </c>
      <c r="BJ3" s="1">
        <f t="shared" ref="BJ3:BJ14" ca="1" si="15">IF(AX3="",0,VLOOKUP(AX3,$A:$Q,13,FALSE))</f>
        <v>2.6802619999999999E-2</v>
      </c>
      <c r="BK3" s="1">
        <f t="shared" ref="BK3:BK14" ca="1" si="16">IF(AX3="",0,VLOOKUP(AX3,$A:$Q,17,FALSE))</f>
        <v>3.3814129999999998E-2</v>
      </c>
      <c r="BL3" s="1">
        <f t="shared" ref="BL3:BL14" ca="1" si="17">IF(AX3="",0,VLOOKUP(AX3,$A:$Q,6,FALSE))</f>
        <v>4.1609420000000001E-2</v>
      </c>
      <c r="BM3" s="1">
        <f t="shared" ref="BM3:BM14" ca="1" si="18">IF(AX3="",0,VLOOKUP(AX3,$A:$Q,10,FALSE))</f>
        <v>4.0584420000000003E-2</v>
      </c>
      <c r="BN3" s="1">
        <f t="shared" ref="BN3:BN14" ca="1" si="19">IF(AX3="",0,VLOOKUP(AX3,$A:$Q,16,FALSE))</f>
        <v>2.6219139999999998E-2</v>
      </c>
      <c r="BP3">
        <f ca="1">MAX($A:$A)-11</f>
        <v>168</v>
      </c>
      <c r="BQ3" s="169">
        <f t="shared" ref="BQ3:BQ14" ca="1" si="20">VLOOKUP(BP3,$A:$B,2,FALSE)</f>
        <v>45688</v>
      </c>
      <c r="BR3" s="1">
        <f t="shared" ref="BR3:BR14" ca="1" si="21">IF(BP3="",0,VLOOKUP(BP3,$A:$Q,3,FALSE))</f>
        <v>4.4176273945455528E-2</v>
      </c>
      <c r="BS3" s="1">
        <f t="shared" ref="BS3:BS14" ca="1" si="22">IF(BP3="",0,VLOOKUP(BP3,$A:$Q,7,FALSE))</f>
        <v>4.3370980910674733E-2</v>
      </c>
      <c r="BT3" s="1">
        <f t="shared" ref="BT3:BT14" ca="1" si="23">IF(BP3="",0,VLOOKUP(BP3,$A:$Q,11,FALSE))</f>
        <v>2.0867730000000001E-2</v>
      </c>
      <c r="BU3" s="1">
        <f t="shared" ref="BU3:BU14" ca="1" si="24">IF(BP3="",0,VLOOKUP(BP3,$A:$Q,15,FALSE))</f>
        <v>2.7792780000000003E-2</v>
      </c>
      <c r="BV3" s="1" t="e">
        <f t="shared" ref="BV3:BV14" ca="1" si="25">IF(BP3="",0,VLOOKUP(BP3,$A:$Q,4,FALSE))</f>
        <v>#N/A</v>
      </c>
      <c r="BW3" s="1" t="e">
        <f t="shared" ref="BW3:BW14" ca="1" si="26">IF(BP3="",0,VLOOKUP(BP3,$A:$Q,8,FALSE))</f>
        <v>#N/A</v>
      </c>
      <c r="BX3" s="1" t="e">
        <f t="shared" ref="BX3:BX14" ca="1" si="27">IF(BP3="",0,VLOOKUP(BP3,$A:$Q,12,FALSE))</f>
        <v>#N/A</v>
      </c>
      <c r="BY3" s="1">
        <f t="shared" ref="BY3:BY14" ca="1" si="28">IF(BP3="",0,VLOOKUP(BP3,$A:$Q,16,FALSE))</f>
        <v>2.6219139999999998E-2</v>
      </c>
      <c r="BZ3" s="1">
        <f t="shared" ref="BZ3:BZ14" ca="1" si="29">IF(BP3="",0,VLOOKUP(BP3,$A:$Q,5,FALSE))</f>
        <v>2.593962E-2</v>
      </c>
      <c r="CA3" s="1">
        <f t="shared" ref="CA3:CA14" ca="1" si="30">IF(BP3="",0,VLOOKUP(BP3,$A:$Q,9,FALSE))</f>
        <v>2.5239620000000001E-2</v>
      </c>
      <c r="CB3" s="1">
        <f t="shared" ref="CB3:CB14" ca="1" si="31">IF(BP3="",0,VLOOKUP(BP3,$A:$Q,13,FALSE))</f>
        <v>2.6802619999999999E-2</v>
      </c>
      <c r="CC3" s="1">
        <f t="shared" ref="CC3:CC14" ca="1" si="32">IF(BP3="",0,VLOOKUP(BP3,$A:$Q,17,FALSE))</f>
        <v>3.3814129999999998E-2</v>
      </c>
      <c r="CD3" s="1">
        <f t="shared" ref="CD3:CD14" ca="1" si="33">IF(BP3="",0,VLOOKUP(BP3,$A:$Q,6,FALSE))</f>
        <v>4.1609420000000001E-2</v>
      </c>
      <c r="CE3" s="1">
        <f t="shared" ref="CE3:CE14" ca="1" si="34">IF(BP3="",0,VLOOKUP(BP3,$A:$Q,10,FALSE))</f>
        <v>4.0584420000000003E-2</v>
      </c>
      <c r="CF3" s="1">
        <f t="shared" ref="CF3:CF14" ca="1" si="35">IF(BP3="",0,VLOOKUP(BP3,$A:$Q,16,FALSE))</f>
        <v>2.6219139999999998E-2</v>
      </c>
      <c r="CH3">
        <f ca="1">MAX($A:$A)-23</f>
        <v>156</v>
      </c>
      <c r="CI3" s="169">
        <f t="shared" ref="CI3:CI26" ca="1" si="36">VLOOKUP(CH3,$A:$B,2,FALSE)</f>
        <v>45322</v>
      </c>
      <c r="CJ3" s="1">
        <f t="shared" ref="CJ3:CJ26" ca="1" si="37">IF(CH3="",0,VLOOKUP(CH3,$A:$Q,3,FALSE))</f>
        <v>2.631801198476685E-2</v>
      </c>
      <c r="CK3" s="1">
        <f t="shared" ref="CK3:CK26" ca="1" si="38">IF(CH3="",0,VLOOKUP(CH3,$A:$Q,7,FALSE))</f>
        <v>2.5760914411812247E-2</v>
      </c>
      <c r="CL3" s="1">
        <f t="shared" ref="CL3:CL26" ca="1" si="39">IF(CH3="",0,VLOOKUP(CH3,$A:$Q,11,FALSE))</f>
        <v>9.9222289999999994E-3</v>
      </c>
      <c r="CM3" s="1">
        <f t="shared" ref="CM3:CM26" ca="1" si="40">IF(CH3="",0,VLOOKUP(CH3,$A:$Q,15,FALSE))</f>
        <v>1.679361E-2</v>
      </c>
      <c r="CN3" s="1">
        <f t="shared" ref="CN3:CN26" ca="1" si="41">IF(CH3="",0,VLOOKUP(CH3,$A:$Q,4,FALSE))</f>
        <v>0</v>
      </c>
      <c r="CO3" s="1">
        <f t="shared" ref="CO3:CO26" ca="1" si="42">IF(CH3="",0,VLOOKUP(CH3,$A:$Q,8,FALSE))</f>
        <v>0</v>
      </c>
      <c r="CP3" s="1" t="e">
        <f t="shared" ref="CP3:CP26" ca="1" si="43">IF(CH3="",0,VLOOKUP(CH3,$A:$Q,12,FALSE))</f>
        <v>#N/A</v>
      </c>
      <c r="CQ3" s="1">
        <f t="shared" ref="CQ3:CQ26" ca="1" si="44">IF(CH3="",0,VLOOKUP(CH3,$A:$Q,16,FALSE))</f>
        <v>-3.8897680000000004E-2</v>
      </c>
      <c r="CR3" s="1">
        <f t="shared" ref="CR3:CR26" ca="1" si="45">IF(CH3="",0,VLOOKUP(CH3,$A:$Q,5,FALSE))</f>
        <v>9.978642695839526E-3</v>
      </c>
      <c r="CS3" s="1">
        <f t="shared" ref="CS3:CS26" ca="1" si="46">IF(CH3="",0,VLOOKUP(CH3,$A:$Q,9,FALSE))</f>
        <v>9.2289443191436414E-3</v>
      </c>
      <c r="CT3" s="1">
        <f t="shared" ref="CT3:CT26" ca="1" si="47">IF(CH3="",0,VLOOKUP(CH3,$A:$Q,13,FALSE))</f>
        <v>1.3183180000000001E-2</v>
      </c>
      <c r="CU3" s="1">
        <f t="shared" ref="CU3:CU26" ca="1" si="48">IF(CH3="",0,VLOOKUP(CH3,$A:$Q,17,FALSE))</f>
        <v>6.0940530000000003E-3</v>
      </c>
      <c r="CV3" s="1">
        <f t="shared" ref="CV3:CV26" ca="1" si="49">IF(CH3="",0,VLOOKUP(CH3,$A:$Q,6,FALSE))</f>
        <v>-1.5050019999999999E-2</v>
      </c>
      <c r="CW3" s="1">
        <f t="shared" ref="CW3:CW26" ca="1" si="50">IF(CH3="",0,VLOOKUP(CH3,$A:$Q,10,FALSE))</f>
        <v>-1.6075019999999999E-2</v>
      </c>
      <c r="CX3" s="1">
        <f t="shared" ref="CX3:CX26" ca="1" si="51">IF(CH3="",0,VLOOKUP(CH3,$A:$Q,16,FALSE))</f>
        <v>-3.8897680000000004E-2</v>
      </c>
      <c r="CZ3">
        <f ca="1">MAX($A:$A)-35</f>
        <v>144</v>
      </c>
      <c r="DA3" s="169">
        <f t="shared" ref="DA3:DA38" ca="1" si="52">VLOOKUP(CZ3,$A:$B,2,FALSE)</f>
        <v>44957</v>
      </c>
      <c r="DB3" s="1">
        <f t="shared" ref="DB3:DB38" ca="1" si="53">IF(CZ3="",0,VLOOKUP(CZ3,$A:$Q,3,FALSE))</f>
        <v>2.8497283152063436E-2</v>
      </c>
      <c r="DC3" s="1">
        <f t="shared" ref="DC3:DC38" ca="1" si="54">IF(CZ3="",0,VLOOKUP(CZ3,$A:$Q,7,FALSE))</f>
        <v>2.7903141978001429E-2</v>
      </c>
      <c r="DD3" s="1">
        <f t="shared" ref="DD3:DD38" ca="1" si="55">IF(CZ3="",0,VLOOKUP(CZ3,$A:$Q,11,FALSE))</f>
        <v>3.4753330000000002E-4</v>
      </c>
      <c r="DE3" s="1">
        <f t="shared" ref="DE3:DE38" ca="1" si="56">IF(CZ3="",0,VLOOKUP(CZ3,$A:$Q,15,FALSE))</f>
        <v>6.2828720000000005E-2</v>
      </c>
      <c r="DF3" s="1">
        <f t="shared" ref="DF3:DF38" ca="1" si="57">IF(CZ3="",0,VLOOKUP(CZ3,$A:$Q,4,FALSE))</f>
        <v>5.0683174382068347E-2</v>
      </c>
      <c r="DG3" s="1">
        <f t="shared" ref="DG3:DG38" ca="1" si="58">IF(CZ3="",0,VLOOKUP(CZ3,$A:$Q,8,FALSE))</f>
        <v>5.0181820262223037E-2</v>
      </c>
      <c r="DH3" s="1">
        <f t="shared" ref="DH3:DH38" ca="1" si="59">IF(CZ3="",0,VLOOKUP(CZ3,$A:$Q,12,FALSE))</f>
        <v>4.7549720000000004E-2</v>
      </c>
      <c r="DI3" s="1">
        <f t="shared" ref="DI3:DI38" ca="1" si="60">IF(CZ3="",0,VLOOKUP(CZ3,$A:$Q,16,FALSE))</f>
        <v>9.7465889999999999E-2</v>
      </c>
      <c r="DJ3" s="1">
        <f t="shared" ref="DJ3:DJ38" ca="1" si="61">IF(CZ3="",0,VLOOKUP(CZ3,$A:$Q,5,FALSE))</f>
        <v>6.6684536521078724E-2</v>
      </c>
      <c r="DK3" s="1">
        <f t="shared" ref="DK3:DK38" ca="1" si="62">IF(CZ3="",0,VLOOKUP(CZ3,$A:$Q,9,FALSE))</f>
        <v>6.591489653176609E-2</v>
      </c>
      <c r="DL3" s="1">
        <f t="shared" ref="DL3:DL38" ca="1" si="63">IF(CZ3="",0,VLOOKUP(CZ3,$A:$Q,13,FALSE))</f>
        <v>1.7564E-2</v>
      </c>
      <c r="DM3" s="1">
        <f t="shared" ref="DM3:DM38" ca="1" si="64">IF(CZ3="",0,VLOOKUP(CZ3,$A:$Q,17,FALSE))</f>
        <v>7.1952000000000002E-2</v>
      </c>
      <c r="DN3" s="1">
        <f t="shared" ref="DN3:DN38" ca="1" si="65">IF(CZ3="",0,VLOOKUP(CZ3,$A:$Q,6,FALSE))</f>
        <v>9.1491529999999988E-2</v>
      </c>
      <c r="DO3" s="1">
        <f t="shared" ref="DO3:DO38" ca="1" si="66">IF(CZ3="",0,VLOOKUP(CZ3,$A:$Q,10,FALSE))</f>
        <v>9.0466529999999989E-2</v>
      </c>
      <c r="DP3" s="1">
        <f t="shared" ref="DP3:DP38" ca="1" si="67">IF(CZ3="",0,VLOOKUP(CZ3,$A:$Q,16,FALSE))</f>
        <v>9.7465889999999999E-2</v>
      </c>
      <c r="DR3">
        <f ca="1">MAX($A:$A)-59</f>
        <v>120</v>
      </c>
      <c r="DS3" s="169">
        <f t="shared" ref="DS3:DS34" ca="1" si="68">VLOOKUP(DR3,$A:$B,2,FALSE)</f>
        <v>44227</v>
      </c>
      <c r="DT3" s="1">
        <f t="shared" ref="DT3:DT34" ca="1" si="69">IF(DR3="",0,VLOOKUP(DR3,$A:$Q,3,FALSE))</f>
        <v>-3.0198999999999997E-2</v>
      </c>
      <c r="DU3" s="1">
        <f t="shared" ref="DU3:DU34" ca="1" si="70">IF(DR3="",0,VLOOKUP(DR3,$A:$Q,7,FALSE))</f>
        <v>-3.0828000000000001E-2</v>
      </c>
      <c r="DV3" s="1">
        <f t="shared" ref="DV3:DV34" ca="1" si="71">IF(DR3="",0,VLOOKUP(DR3,$A:$Q,11,FALSE))</f>
        <v>-1.7796389521386662E-2</v>
      </c>
      <c r="DW3" s="1">
        <f t="shared" ref="DW3:DW34" ca="1" si="72">IF(DR3="",0,VLOOKUP(DR3,$A:$Q,15,FALSE))</f>
        <v>-1.0177430000000001E-2</v>
      </c>
      <c r="DX3" s="1">
        <f t="shared" ref="DX3:DX34" ca="1" si="73">IF(DR3="",0,VLOOKUP(DR3,$A:$Q,4,FALSE))</f>
        <v>2.3052000000000003E-2</v>
      </c>
      <c r="DY3" s="1">
        <f t="shared" ref="DY3:DY34" ca="1" si="74">IF(DR3="",0,VLOOKUP(DR3,$A:$Q,8,FALSE))</f>
        <v>2.2425999999999998E-2</v>
      </c>
      <c r="DZ3" s="1">
        <f t="shared" ref="DZ3:DZ34" ca="1" si="75">IF(DR3="",0,VLOOKUP(DR3,$A:$Q,12,FALSE))</f>
        <v>8.0199169471176154E-3</v>
      </c>
      <c r="EA3" s="1">
        <f t="shared" ref="EA3:EA34" ca="1" si="76">IF(DR3="",0,VLOOKUP(DR3,$A:$Q,16,FALSE))</f>
        <v>5.0320150000000001E-2</v>
      </c>
      <c r="EB3" s="1">
        <f t="shared" ref="EB3:EB34" ca="1" si="77">IF(DR3="",0,VLOOKUP(DR3,$A:$Q,5,FALSE))</f>
        <v>-1.9450000000000002E-2</v>
      </c>
      <c r="EC3" s="1">
        <f t="shared" ref="EC3:EC34" ca="1" si="78">IF(DR3="",0,VLOOKUP(DR3,$A:$Q,9,FALSE))</f>
        <v>-2.0243000000000001E-2</v>
      </c>
      <c r="ED3" s="1">
        <f t="shared" ref="ED3:ED34" ca="1" si="79">IF(DR3="",0,VLOOKUP(DR3,$A:$Q,13,FALSE))</f>
        <v>-1.5846854121498177E-2</v>
      </c>
      <c r="EE3" s="1">
        <f t="shared" ref="EE3:EE34" ca="1" si="80">IF(DR3="",0,VLOOKUP(DR3,$A:$Q,17,FALSE))</f>
        <v>-4.4216029999999996E-3</v>
      </c>
      <c r="EF3" s="1">
        <f t="shared" ref="EF3:EF34" ca="1" si="81">IF(DR3="",0,VLOOKUP(DR3,$A:$Q,6,FALSE))</f>
        <v>0</v>
      </c>
      <c r="EG3" s="1">
        <f t="shared" ref="EG3:EG34" ca="1" si="82">IF(DR3="",0,VLOOKUP(DR3,$A:$Q,10,FALSE))</f>
        <v>0</v>
      </c>
      <c r="EH3" s="1">
        <f t="shared" ref="EH3:EH34" ca="1" si="83">IF(DR3="",0,VLOOKUP(DR3,$A:$Q,16,FALSE))</f>
        <v>5.0320150000000001E-2</v>
      </c>
      <c r="EJ3">
        <f ca="1">MAX($A:$A)-119</f>
        <v>60</v>
      </c>
      <c r="EK3" s="169">
        <f t="shared" ref="EK3:EK34" ca="1" si="84">VLOOKUP(EJ3,$A:$B,2,FALSE)</f>
        <v>42400</v>
      </c>
      <c r="EL3" s="1">
        <f t="shared" ref="EL3:EL34" ca="1" si="85">IF(EJ3="",0,VLOOKUP(EJ3,$A:$Q,3,FALSE))</f>
        <v>-2.4238602309014975E-2</v>
      </c>
      <c r="EM3" s="1">
        <f t="shared" ref="EM3:EM34" ca="1" si="86">IF(EJ3="",0,VLOOKUP(EJ3,$A:$Q,7,FALSE))</f>
        <v>-2.5055268975681638E-2</v>
      </c>
      <c r="EN3" s="1">
        <f t="shared" ref="EN3:EN34" ca="1" si="87">IF(EJ3="",0,VLOOKUP(EJ3,$A:$Q,11,FALSE))</f>
        <v>-1.7217561553411535E-2</v>
      </c>
      <c r="EO3" s="1">
        <f t="shared" ref="EO3:EO34" ca="1" si="88">IF(EJ3="",0,VLOOKUP(EJ3,$A:$Q,15,FALSE))</f>
        <v>-4.9625526699858299E-2</v>
      </c>
      <c r="EP3" s="1">
        <f t="shared" ref="EP3:EP34" ca="1" si="89">IF(EJ3="",0,VLOOKUP(EJ3,$A:$Q,4,FALSE))</f>
        <v>-1.0500000000000001E-2</v>
      </c>
      <c r="EQ3" s="1">
        <f t="shared" ref="EQ3:EQ34" ca="1" si="90">IF(EJ3="",0,VLOOKUP(EJ3,$A:$Q,8,FALSE))</f>
        <v>-1.0500000000000001E-2</v>
      </c>
      <c r="ER3" s="1">
        <f t="shared" ref="ER3:ER34" ca="1" si="91">IF(EJ3="",0,VLOOKUP(EJ3,$A:$Q,12,FALSE))</f>
        <v>-2.5818704095732625E-2</v>
      </c>
      <c r="ES3" s="1">
        <f t="shared" ref="ES3:ES34" ca="1" si="92">IF(EJ3="",0,VLOOKUP(EJ3,$A:$Q,16,FALSE))</f>
        <v>-8.7951679430077978E-2</v>
      </c>
      <c r="ET3" s="1">
        <f t="shared" ref="ET3:ET34" ca="1" si="93">IF(EJ3="",0,VLOOKUP(EJ3,$A:$Q,5,FALSE))</f>
        <v>-3.7000000000000002E-3</v>
      </c>
      <c r="EU3" s="1">
        <f t="shared" ref="EU3:EU34" ca="1" si="94">IF(EJ3="",0,VLOOKUP(EJ3,$A:$Q,9,FALSE))</f>
        <v>-3.7000000000000002E-3</v>
      </c>
      <c r="EV3" s="1">
        <f t="shared" ref="EV3:EV34" ca="1" si="95">IF(EJ3="",0,VLOOKUP(EJ3,$A:$Q,13,FALSE))</f>
        <v>-1.8487153594228763E-2</v>
      </c>
      <c r="EW3" s="1">
        <f t="shared" ref="EW3:EW34" ca="1" si="96">IF(EJ3="",0,VLOOKUP(EJ3,$A:$Q,17,FALSE))</f>
        <v>-6.0046807125479891E-2</v>
      </c>
      <c r="EX3" s="1">
        <f t="shared" ref="EX3:EX34" ca="1" si="97">IF(EJ3="",0,VLOOKUP(EJ3,$A:$Q,6,FALSE))</f>
        <v>0</v>
      </c>
      <c r="EY3" s="1">
        <f t="shared" ref="EY3:EY34" ca="1" si="98">IF(EJ3="",0,VLOOKUP(EJ3,$A:$Q,10,FALSE))</f>
        <v>0</v>
      </c>
      <c r="EZ3" s="1">
        <f t="shared" ref="EZ3:EZ34" ca="1" si="99">IF(EJ3="",0,VLOOKUP(EJ3,$A:$Q,16,FALSE))</f>
        <v>-8.7951679430077978E-2</v>
      </c>
    </row>
    <row r="4" spans="1:156" x14ac:dyDescent="0.25">
      <c r="A4">
        <f ca="1">IF(B4="","",A3+1)</f>
        <v>2</v>
      </c>
      <c r="B4" s="169">
        <f ca="1">IF('LC (Gross)'!A151="","",IF('LC (Gross)'!A151&gt;$AC$9,"",'LC (Gross)'!A151))</f>
        <v>40633</v>
      </c>
      <c r="C4" s="1">
        <f ca="1">IF(B4="","",(VLOOKUP(B4,'LC (Gross)'!A:D,4,FALSE)/100))</f>
        <v>2.6133333333333331E-2</v>
      </c>
      <c r="D4" s="1"/>
      <c r="E4" s="1"/>
      <c r="F4" s="1"/>
      <c r="G4" s="1">
        <f ca="1">IF(B4="","",(VLOOKUP(B4,'LC (Net)'!A:D,4,FALSE)/100))</f>
        <v>2.53E-2</v>
      </c>
      <c r="H4" s="1"/>
      <c r="I4" s="1"/>
      <c r="J4" s="1"/>
      <c r="K4" s="1">
        <f ca="1">IF(B4="","",VLOOKUP(Website!B4,'LC (Gross)'!W:X,2,FALSE)/100)</f>
        <v>1.2930645454606657E-2</v>
      </c>
      <c r="L4" s="1">
        <f ca="1">IF(B4="","",VLOOKUP(Website!B4,'SC (Gross)'!P:Q,2,FALSE)/100)</f>
        <v>1.9284576103185663E-2</v>
      </c>
      <c r="M4" s="1"/>
      <c r="O4" s="1">
        <f ca="1">IF(B4="","",VLOOKUP(Website!B4,'LC (Gross)'!J:K,2,FALSE)/100)</f>
        <v>3.9808244460732466E-4</v>
      </c>
      <c r="P4" s="233">
        <f ca="1">IF(B4="","",(VLOOKUP(B4,'SC (Gross)'!J:K,2,FALSE))/100)</f>
        <v>2.5916016104468986E-2</v>
      </c>
      <c r="S4" s="22">
        <f t="shared" ca="1" si="0"/>
        <v>2.5735250888726007E-2</v>
      </c>
      <c r="T4" s="22" t="str">
        <f t="shared" si="1"/>
        <v/>
      </c>
      <c r="U4" s="22" t="str">
        <f t="shared" si="2"/>
        <v/>
      </c>
      <c r="V4" s="22"/>
      <c r="W4" s="22">
        <f t="shared" ref="W4:W67" ca="1" si="100">IF(O4="","",K4-O4)</f>
        <v>1.2532563009999333E-2</v>
      </c>
      <c r="X4" s="22">
        <f t="shared" ref="X4:X67" ca="1" si="101">IF(P4="","",L4-P4)</f>
        <v>-6.631440001283323E-3</v>
      </c>
      <c r="Y4" s="22" t="str">
        <f t="shared" ref="Y4:Y67" si="102">IF(Q4="","",M4-Q4)</f>
        <v/>
      </c>
      <c r="AC4">
        <f ca="1">YEAR(AC2)</f>
        <v>2026</v>
      </c>
      <c r="AG4">
        <f ca="1">AG3+1</f>
        <v>178</v>
      </c>
      <c r="AH4" s="169">
        <f ca="1">VLOOKUP(AG4,$A:$B,2,FALSE)</f>
        <v>45991</v>
      </c>
      <c r="AI4" s="1">
        <f ca="1">VLOOKUP(AG4,$A:$Q,3,FALSE)</f>
        <v>3.8182025384643492E-2</v>
      </c>
      <c r="AJ4" s="1">
        <f ca="1">VLOOKUP(AG4,$A:$Q,7,FALSE)</f>
        <v>3.7661618229367512E-2</v>
      </c>
      <c r="AK4" s="1">
        <f ca="1">VLOOKUP(AG4,$A:$Q,11,FALSE)</f>
        <v>3.85893E-2</v>
      </c>
      <c r="AL4" s="1">
        <f ca="1">VLOOKUP(AG4,$A:$Q,15,FALSE)</f>
        <v>2.4512030000000003E-3</v>
      </c>
      <c r="AM4" s="1" t="e">
        <f ca="1">VLOOKUP(AG4,$A:$Q,4,FALSE)</f>
        <v>#N/A</v>
      </c>
      <c r="AN4" s="1" t="e">
        <f ca="1">VLOOKUP(AG4,$A:$Q,8,FALSE)</f>
        <v>#N/A</v>
      </c>
      <c r="AO4" s="1" t="e">
        <f ca="1">VLOOKUP(AG4,$A:$Q,12,FALSE)</f>
        <v>#N/A</v>
      </c>
      <c r="AP4" s="1">
        <f ca="1">VLOOKUP(AG4,$A:$Q,16,FALSE)</f>
        <v>9.5805179999999997E-3</v>
      </c>
      <c r="AQ4" s="1">
        <f ca="1">VLOOKUP(AG4,$A:$Q,5,FALSE)</f>
        <v>3.1137349999999998E-2</v>
      </c>
      <c r="AR4" s="1">
        <f ca="1">VLOOKUP(AG4,$A:$Q,9,FALSE)</f>
        <v>3.0437349999999998E-2</v>
      </c>
      <c r="AS4" s="1">
        <f ca="1">VLOOKUP(AG4,$A:$Q,13,FALSE)</f>
        <v>2.3607E-2</v>
      </c>
      <c r="AT4" s="1">
        <f ca="1">VLOOKUP(AG4,$A:$Q,17,FALSE)</f>
        <v>1.8736109999999999E-4</v>
      </c>
      <c r="AU4" s="1">
        <f ca="1">VLOOKUP(AG4,$A:$Q,6,FALSE)</f>
        <v>1.1953960000000001E-2</v>
      </c>
      <c r="AV4" s="1">
        <f ca="1">VLOOKUP(AG4,$A:$Q,10,FALSE)</f>
        <v>1.0928960000000001E-2</v>
      </c>
      <c r="AW4" s="1">
        <f ca="1">VLOOKUP(AG4,$A:$Q,16,FALSE)</f>
        <v>9.5805179999999997E-3</v>
      </c>
      <c r="AX4">
        <f ca="1">IF(AX3="","",IF(AX3=$AG$5,"",AX3+1))</f>
        <v>169</v>
      </c>
      <c r="AY4" s="169">
        <f t="shared" ca="1" si="4"/>
        <v>45716</v>
      </c>
      <c r="AZ4" s="1">
        <f t="shared" ca="1" si="5"/>
        <v>-9.4939776271251407E-3</v>
      </c>
      <c r="BA4" s="1">
        <f t="shared" ca="1" si="6"/>
        <v>-1.0010633566326886E-2</v>
      </c>
      <c r="BB4" s="1">
        <f t="shared" ca="1" si="7"/>
        <v>4.6701800000000002E-2</v>
      </c>
      <c r="BC4" s="1">
        <f t="shared" ca="1" si="8"/>
        <v>-1.304958E-2</v>
      </c>
      <c r="BD4" s="1" t="e">
        <f t="shared" ca="1" si="9"/>
        <v>#N/A</v>
      </c>
      <c r="BE4" s="1" t="e">
        <f t="shared" ca="1" si="10"/>
        <v>#N/A</v>
      </c>
      <c r="BF4" s="1" t="e">
        <f t="shared" ca="1" si="11"/>
        <v>#N/A</v>
      </c>
      <c r="BG4" s="1">
        <f t="shared" ca="1" si="12"/>
        <v>-5.3509830000000001E-2</v>
      </c>
      <c r="BH4" s="1">
        <f t="shared" ca="1" si="13"/>
        <v>1.347657E-2</v>
      </c>
      <c r="BI4" s="1">
        <f t="shared" ca="1" si="14"/>
        <v>1.2776570000000001E-2</v>
      </c>
      <c r="BJ4" s="1">
        <f t="shared" ca="1" si="15"/>
        <v>2.4719690000000002E-2</v>
      </c>
      <c r="BK4" s="1">
        <f t="shared" ca="1" si="16"/>
        <v>-5.7200150000000002E-3</v>
      </c>
      <c r="BL4" s="1">
        <f t="shared" ca="1" si="17"/>
        <v>-5.6697309999999994E-2</v>
      </c>
      <c r="BM4" s="1">
        <f t="shared" ca="1" si="18"/>
        <v>-5.7722309999999999E-2</v>
      </c>
      <c r="BN4" s="1">
        <f t="shared" ca="1" si="19"/>
        <v>-5.3509830000000001E-2</v>
      </c>
      <c r="BP4">
        <f ca="1">BP3+1</f>
        <v>169</v>
      </c>
      <c r="BQ4" s="169">
        <f t="shared" ca="1" si="20"/>
        <v>45716</v>
      </c>
      <c r="BR4" s="1">
        <f t="shared" ca="1" si="21"/>
        <v>-9.4939776271251407E-3</v>
      </c>
      <c r="BS4" s="1">
        <f t="shared" ca="1" si="22"/>
        <v>-1.0010633566326886E-2</v>
      </c>
      <c r="BT4" s="1">
        <f t="shared" ca="1" si="23"/>
        <v>4.6701800000000002E-2</v>
      </c>
      <c r="BU4" s="1">
        <f t="shared" ca="1" si="24"/>
        <v>-1.304958E-2</v>
      </c>
      <c r="BV4" s="1" t="e">
        <f t="shared" ca="1" si="25"/>
        <v>#N/A</v>
      </c>
      <c r="BW4" s="1" t="e">
        <f t="shared" ca="1" si="26"/>
        <v>#N/A</v>
      </c>
      <c r="BX4" s="1" t="e">
        <f t="shared" ca="1" si="27"/>
        <v>#N/A</v>
      </c>
      <c r="BY4" s="1">
        <f t="shared" ca="1" si="28"/>
        <v>-5.3509830000000001E-2</v>
      </c>
      <c r="BZ4" s="1">
        <f t="shared" ca="1" si="29"/>
        <v>1.347657E-2</v>
      </c>
      <c r="CA4" s="1">
        <f t="shared" ca="1" si="30"/>
        <v>1.2776570000000001E-2</v>
      </c>
      <c r="CB4" s="1">
        <f t="shared" ca="1" si="31"/>
        <v>2.4719690000000002E-2</v>
      </c>
      <c r="CC4" s="1">
        <f t="shared" ca="1" si="32"/>
        <v>-5.7200150000000002E-3</v>
      </c>
      <c r="CD4" s="1">
        <f t="shared" ca="1" si="33"/>
        <v>-5.6697309999999994E-2</v>
      </c>
      <c r="CE4" s="1">
        <f t="shared" ca="1" si="34"/>
        <v>-5.7722309999999999E-2</v>
      </c>
      <c r="CF4" s="1">
        <f t="shared" ca="1" si="35"/>
        <v>-5.3509830000000001E-2</v>
      </c>
      <c r="CH4">
        <f ca="1">CH3+1</f>
        <v>157</v>
      </c>
      <c r="CI4" s="169">
        <f t="shared" ca="1" si="36"/>
        <v>45351</v>
      </c>
      <c r="CJ4" s="1">
        <f t="shared" ca="1" si="37"/>
        <v>3.3854661954757725E-2</v>
      </c>
      <c r="CK4" s="1">
        <f t="shared" ca="1" si="38"/>
        <v>3.3854661954757725E-2</v>
      </c>
      <c r="CL4" s="1">
        <f t="shared" ca="1" si="39"/>
        <v>1.656612E-2</v>
      </c>
      <c r="CM4" s="1">
        <f t="shared" ca="1" si="40"/>
        <v>5.3395100000000001E-2</v>
      </c>
      <c r="CN4" s="1">
        <f t="shared" ca="1" si="41"/>
        <v>0</v>
      </c>
      <c r="CO4" s="1">
        <f t="shared" ca="1" si="42"/>
        <v>0</v>
      </c>
      <c r="CP4" s="1" t="e">
        <f t="shared" ca="1" si="43"/>
        <v>#N/A</v>
      </c>
      <c r="CQ4" s="1">
        <f t="shared" ca="1" si="44"/>
        <v>5.6506040000000007E-2</v>
      </c>
      <c r="CR4" s="1">
        <f t="shared" ca="1" si="45"/>
        <v>2.7640462105890041E-2</v>
      </c>
      <c r="CS4" s="1">
        <f t="shared" ca="1" si="46"/>
        <v>2.6971585671766499E-2</v>
      </c>
      <c r="CT4" s="1">
        <f t="shared" ca="1" si="47"/>
        <v>1.509868E-2</v>
      </c>
      <c r="CU4" s="1">
        <f t="shared" ca="1" si="48"/>
        <v>4.3309620000000007E-2</v>
      </c>
      <c r="CV4" s="1">
        <f t="shared" ca="1" si="49"/>
        <v>3.1658080000000005E-2</v>
      </c>
      <c r="CW4" s="1">
        <f t="shared" ca="1" si="50"/>
        <v>3.063308E-2</v>
      </c>
      <c r="CX4" s="1">
        <f t="shared" ca="1" si="51"/>
        <v>5.6506040000000007E-2</v>
      </c>
      <c r="CZ4">
        <f ca="1">CZ3+1</f>
        <v>145</v>
      </c>
      <c r="DA4" s="169">
        <f t="shared" ca="1" si="52"/>
        <v>44985</v>
      </c>
      <c r="DB4" s="1">
        <f t="shared" ca="1" si="53"/>
        <v>-2.7952823047861813E-2</v>
      </c>
      <c r="DC4" s="1">
        <f t="shared" ca="1" si="54"/>
        <v>-2.8517419938387648E-2</v>
      </c>
      <c r="DD4" s="1">
        <f t="shared" ca="1" si="55"/>
        <v>-3.2838199999999998E-2</v>
      </c>
      <c r="DE4" s="1">
        <f t="shared" ca="1" si="56"/>
        <v>-2.4490709999999999E-2</v>
      </c>
      <c r="DF4" s="1">
        <f t="shared" ca="1" si="57"/>
        <v>-1.7211992568556815E-2</v>
      </c>
      <c r="DG4" s="1">
        <f t="shared" ca="1" si="58"/>
        <v>-1.7713006518090983E-2</v>
      </c>
      <c r="DH4" s="1">
        <f t="shared" ca="1" si="59"/>
        <v>-6.000409E-3</v>
      </c>
      <c r="DI4" s="1">
        <f t="shared" ca="1" si="60"/>
        <v>-1.692691E-2</v>
      </c>
      <c r="DJ4" s="1">
        <f t="shared" ca="1" si="61"/>
        <v>-3.1415559766686876E-2</v>
      </c>
      <c r="DK4" s="1">
        <f t="shared" ca="1" si="62"/>
        <v>-3.2075639342745009E-2</v>
      </c>
      <c r="DL4" s="1">
        <f t="shared" ca="1" si="63"/>
        <v>-3.7379999999999997E-2</v>
      </c>
      <c r="DM4" s="1">
        <f t="shared" ca="1" si="64"/>
        <v>-2.8328000000000002E-2</v>
      </c>
      <c r="DN4" s="1">
        <f t="shared" ca="1" si="65"/>
        <v>1.3301790000000001E-2</v>
      </c>
      <c r="DO4" s="1">
        <f t="shared" ca="1" si="66"/>
        <v>1.2276789999999999E-2</v>
      </c>
      <c r="DP4" s="1">
        <f t="shared" ca="1" si="67"/>
        <v>-1.692691E-2</v>
      </c>
      <c r="DR4">
        <f ca="1">DR3+1</f>
        <v>121</v>
      </c>
      <c r="DS4" s="169">
        <f t="shared" ca="1" si="68"/>
        <v>44255</v>
      </c>
      <c r="DT4" s="1">
        <f t="shared" ca="1" si="69"/>
        <v>2.16E-3</v>
      </c>
      <c r="DU4" s="1">
        <f t="shared" ca="1" si="70"/>
        <v>1.3930000000000001E-3</v>
      </c>
      <c r="DV4" s="1">
        <f t="shared" ca="1" si="71"/>
        <v>-1.102733E-2</v>
      </c>
      <c r="DW4" s="1">
        <f t="shared" ca="1" si="72"/>
        <v>2.757573E-2</v>
      </c>
      <c r="DX4" s="1">
        <f t="shared" ca="1" si="73"/>
        <v>1.6141000000000003E-2</v>
      </c>
      <c r="DY4" s="1">
        <f t="shared" ca="1" si="74"/>
        <v>1.525E-2</v>
      </c>
      <c r="DZ4" s="1">
        <f t="shared" ca="1" si="75"/>
        <v>8.4144400000000008E-2</v>
      </c>
      <c r="EA4" s="1">
        <f t="shared" ca="1" si="76"/>
        <v>6.2316390000000006E-2</v>
      </c>
      <c r="EB4" s="1">
        <f t="shared" ca="1" si="77"/>
        <v>2.1870000000000001E-3</v>
      </c>
      <c r="EC4" s="1">
        <f t="shared" ca="1" si="78"/>
        <v>1.5429999999999999E-3</v>
      </c>
      <c r="ED4" s="1">
        <f t="shared" ca="1" si="79"/>
        <v>-1.1630529999999998E-2</v>
      </c>
      <c r="EE4" s="1">
        <f t="shared" ca="1" si="80"/>
        <v>2.3482360000000001E-2</v>
      </c>
      <c r="EF4" s="1">
        <f t="shared" ca="1" si="81"/>
        <v>0</v>
      </c>
      <c r="EG4" s="1">
        <f t="shared" ca="1" si="82"/>
        <v>0</v>
      </c>
      <c r="EH4" s="1">
        <f t="shared" ca="1" si="83"/>
        <v>6.2316390000000006E-2</v>
      </c>
      <c r="EJ4">
        <f ca="1">EJ3+1</f>
        <v>61</v>
      </c>
      <c r="EK4" s="169">
        <f t="shared" ca="1" si="84"/>
        <v>42429</v>
      </c>
      <c r="EL4" s="1">
        <f t="shared" ca="1" si="85"/>
        <v>2.0731000000000003E-2</v>
      </c>
      <c r="EM4" s="1">
        <f t="shared" ca="1" si="86"/>
        <v>2.0267E-2</v>
      </c>
      <c r="EN4" s="1">
        <f t="shared" ca="1" si="87"/>
        <v>1.0310401745849809E-2</v>
      </c>
      <c r="EO4" s="1">
        <f t="shared" ca="1" si="88"/>
        <v>-1.347500848582405E-3</v>
      </c>
      <c r="EP4" s="1">
        <f t="shared" ca="1" si="89"/>
        <v>1.67E-2</v>
      </c>
      <c r="EQ4" s="1">
        <f t="shared" ca="1" si="90"/>
        <v>1.67E-2</v>
      </c>
      <c r="ER4" s="1">
        <f t="shared" ca="1" si="91"/>
        <v>2.6831381536655007E-3</v>
      </c>
      <c r="ES4" s="1">
        <f t="shared" ca="1" si="92"/>
        <v>-1.125449271752009E-4</v>
      </c>
      <c r="ET4" s="1">
        <f t="shared" ca="1" si="93"/>
        <v>4.7999999999999996E-3</v>
      </c>
      <c r="EU4" s="1">
        <f t="shared" ca="1" si="94"/>
        <v>4.7999999999999996E-3</v>
      </c>
      <c r="EV4" s="1">
        <f t="shared" ca="1" si="95"/>
        <v>1.9544215669783559E-2</v>
      </c>
      <c r="EW4" s="1">
        <f t="shared" ca="1" si="96"/>
        <v>-6.2960539338588169E-3</v>
      </c>
      <c r="EX4" s="1">
        <f t="shared" ca="1" si="97"/>
        <v>0</v>
      </c>
      <c r="EY4" s="1">
        <f t="shared" ca="1" si="98"/>
        <v>0</v>
      </c>
      <c r="EZ4" s="1">
        <f t="shared" ca="1" si="99"/>
        <v>-1.125449271752009E-4</v>
      </c>
    </row>
    <row r="5" spans="1:156" x14ac:dyDescent="0.25">
      <c r="A5">
        <f t="shared" ref="A5:A68" ca="1" si="103">IF(B5="","",A4+1)</f>
        <v>3</v>
      </c>
      <c r="B5" s="169">
        <f ca="1">IF('LC (Gross)'!A152="","",IF('LC (Gross)'!A152&gt;$AC$9,"",'LC (Gross)'!A152))</f>
        <v>40663</v>
      </c>
      <c r="C5" s="1">
        <f ca="1">IF(B5="","",(VLOOKUP(B5,'LC (Gross)'!A:D,4,FALSE)/100))</f>
        <v>4.0833333333333333E-2</v>
      </c>
      <c r="D5" s="1"/>
      <c r="E5" s="1"/>
      <c r="F5" s="1"/>
      <c r="G5" s="1">
        <f ca="1">IF(B5="","",(VLOOKUP(B5,'LC (Net)'!A:D,4,FALSE)/100))</f>
        <v>0.04</v>
      </c>
      <c r="H5" s="1"/>
      <c r="I5" s="1"/>
      <c r="J5" s="1"/>
      <c r="K5" s="1">
        <f ca="1">IF(B5="","",VLOOKUP(Website!B5,'LC (Gross)'!W:X,2,FALSE)/100)</f>
        <v>4.0238368814699055E-2</v>
      </c>
      <c r="L5" s="1">
        <f ca="1">IF(B5="","",VLOOKUP(Website!B5,'SC (Gross)'!P:Q,2,FALSE)/100)</f>
        <v>2.6883970555651334E-2</v>
      </c>
      <c r="M5" s="1"/>
      <c r="O5" s="1">
        <f ca="1">IF(B5="","",VLOOKUP(Website!B5,'LC (Gross)'!J:K,2,FALSE)/100)</f>
        <v>2.9610634584414656E-2</v>
      </c>
      <c r="P5" s="233">
        <f ca="1">IF(B5="","",(VLOOKUP(B5,'SC (Gross)'!J:K,2,FALSE))/100)</f>
        <v>2.6406962247670151E-2</v>
      </c>
      <c r="S5" s="22">
        <f t="shared" ca="1" si="0"/>
        <v>1.1222698748918677E-2</v>
      </c>
      <c r="T5" s="22" t="str">
        <f t="shared" si="1"/>
        <v/>
      </c>
      <c r="U5" s="22" t="str">
        <f t="shared" si="2"/>
        <v/>
      </c>
      <c r="V5" s="22"/>
      <c r="W5" s="22">
        <f t="shared" ca="1" si="100"/>
        <v>1.0627734230284399E-2</v>
      </c>
      <c r="X5" s="22">
        <f t="shared" ca="1" si="101"/>
        <v>4.7700830798118321E-4</v>
      </c>
      <c r="Y5" s="22" t="str">
        <f t="shared" si="102"/>
        <v/>
      </c>
      <c r="AG5">
        <f t="shared" ref="AG5" ca="1" si="104">AG4+1</f>
        <v>179</v>
      </c>
      <c r="AH5" s="169">
        <f ca="1">IF(AC9=VLOOKUP(AG5,$A:$B,2,FALSE),VLOOKUP(AG5,$A:$B,2,FALSE),"BREAK")</f>
        <v>46022</v>
      </c>
      <c r="AI5" s="1">
        <f ca="1">VLOOKUP(AG5,$A:$Q,3,FALSE)</f>
        <v>-5.0948326786837334E-4</v>
      </c>
      <c r="AJ5" s="1">
        <f ca="1">VLOOKUP(AG5,$A:$Q,7,FALSE)</f>
        <v>-1.3073768602683152E-3</v>
      </c>
      <c r="AK5" s="1">
        <f ca="1">VLOOKUP(AG5,$A:$Q,11,FALSE)</f>
        <v>-2.1869409999999999E-2</v>
      </c>
      <c r="AL5" s="1">
        <f ca="1">VLOOKUP(AG5,$A:$Q,15,FALSE)</f>
        <v>5.9176080000000004E-4</v>
      </c>
      <c r="AM5" s="1" t="e">
        <f ca="1">VLOOKUP(AG5,$A:$Q,4,FALSE)</f>
        <v>#N/A</v>
      </c>
      <c r="AN5" s="1" t="e">
        <f ca="1">VLOOKUP(AG5,$A:$Q,8,FALSE)</f>
        <v>#N/A</v>
      </c>
      <c r="AO5" s="1" t="e">
        <f ca="1">VLOOKUP(AG5,$A:$Q,12,FALSE)</f>
        <v>#N/A</v>
      </c>
      <c r="AP5" s="1">
        <f ca="1">VLOOKUP(AG5,$A:$Q,16,FALSE)</f>
        <v>-5.8173470000000005E-3</v>
      </c>
      <c r="AQ5" s="1">
        <f ca="1">VLOOKUP(AG5,$A:$Q,5,FALSE)</f>
        <v>3.5737099999999999E-3</v>
      </c>
      <c r="AR5" s="1">
        <f ca="1">VLOOKUP(AG5,$A:$Q,9,FALSE)</f>
        <v>2.8737099999999998E-3</v>
      </c>
      <c r="AS5" s="1">
        <f ca="1">VLOOKUP(AG5,$A:$Q,13,FALSE)</f>
        <v>-6.8503060000000005E-3</v>
      </c>
      <c r="AT5" s="1">
        <f ca="1">VLOOKUP(AG5,$A:$Q,17,FALSE)</f>
        <v>1.0703000000000001E-2</v>
      </c>
      <c r="AU5" s="1">
        <f ca="1">VLOOKUP(AG5,$A:$Q,6,FALSE)</f>
        <v>9.5060539999999999E-3</v>
      </c>
      <c r="AV5" s="1">
        <f ca="1">VLOOKUP(AG5,$A:$Q,10,FALSE)</f>
        <v>8.481054E-3</v>
      </c>
      <c r="AW5" s="1">
        <f ca="1">VLOOKUP(AG5,$A:$Q,16,FALSE)</f>
        <v>-5.8173470000000005E-3</v>
      </c>
      <c r="AX5">
        <f t="shared" ref="AX5:AX14" ca="1" si="105">IF(AX4="","",IF(AX4=$AG$5,"",AX4+1))</f>
        <v>170</v>
      </c>
      <c r="AY5" s="169">
        <f t="shared" ca="1" si="4"/>
        <v>45747</v>
      </c>
      <c r="AZ5" s="1">
        <f t="shared" ca="1" si="5"/>
        <v>-1.6133805033496641E-2</v>
      </c>
      <c r="BA5" s="1">
        <f t="shared" ca="1" si="6"/>
        <v>-1.6640538144661043E-2</v>
      </c>
      <c r="BB5" s="1">
        <f t="shared" ca="1" si="7"/>
        <v>3.8105159999999999E-3</v>
      </c>
      <c r="BC5" s="1">
        <f t="shared" ca="1" si="8"/>
        <v>-5.6343949999999997E-2</v>
      </c>
      <c r="BD5" s="1" t="e">
        <f t="shared" ca="1" si="9"/>
        <v>#N/A</v>
      </c>
      <c r="BE5" s="1" t="e">
        <f t="shared" ca="1" si="10"/>
        <v>#N/A</v>
      </c>
      <c r="BF5" s="1" t="e">
        <f t="shared" ca="1" si="11"/>
        <v>#N/A</v>
      </c>
      <c r="BG5" s="1">
        <f t="shared" ca="1" si="12"/>
        <v>-6.8090390000000001E-2</v>
      </c>
      <c r="BH5" s="1">
        <f t="shared" ca="1" si="13"/>
        <v>5.0076920000000002E-3</v>
      </c>
      <c r="BI5" s="1">
        <f t="shared" ca="1" si="14"/>
        <v>4.3076920000000001E-3</v>
      </c>
      <c r="BJ5" s="1">
        <f t="shared" ca="1" si="15"/>
        <v>1.072357E-2</v>
      </c>
      <c r="BK5" s="1">
        <f t="shared" ca="1" si="16"/>
        <v>-3.8918849999999998E-2</v>
      </c>
      <c r="BL5" s="1">
        <f t="shared" ca="1" si="17"/>
        <v>-4.9637250000000001E-2</v>
      </c>
      <c r="BM5" s="1">
        <f t="shared" ca="1" si="18"/>
        <v>-5.0662249999999999E-2</v>
      </c>
      <c r="BN5" s="1">
        <f t="shared" ca="1" si="19"/>
        <v>-6.8090390000000001E-2</v>
      </c>
      <c r="BP5">
        <f t="shared" ref="BP5:BP14" ca="1" si="106">BP4+1</f>
        <v>170</v>
      </c>
      <c r="BQ5" s="169">
        <f t="shared" ca="1" si="20"/>
        <v>45747</v>
      </c>
      <c r="BR5" s="1">
        <f t="shared" ca="1" si="21"/>
        <v>-1.6133805033496641E-2</v>
      </c>
      <c r="BS5" s="1">
        <f t="shared" ca="1" si="22"/>
        <v>-1.6640538144661043E-2</v>
      </c>
      <c r="BT5" s="1">
        <f t="shared" ca="1" si="23"/>
        <v>3.8105159999999999E-3</v>
      </c>
      <c r="BU5" s="1">
        <f t="shared" ca="1" si="24"/>
        <v>-5.6343949999999997E-2</v>
      </c>
      <c r="BV5" s="1" t="e">
        <f t="shared" ca="1" si="25"/>
        <v>#N/A</v>
      </c>
      <c r="BW5" s="1" t="e">
        <f t="shared" ca="1" si="26"/>
        <v>#N/A</v>
      </c>
      <c r="BX5" s="1" t="e">
        <f t="shared" ca="1" si="27"/>
        <v>#N/A</v>
      </c>
      <c r="BY5" s="1">
        <f t="shared" ca="1" si="28"/>
        <v>-6.8090390000000001E-2</v>
      </c>
      <c r="BZ5" s="1">
        <f t="shared" ca="1" si="29"/>
        <v>5.0076920000000002E-3</v>
      </c>
      <c r="CA5" s="1">
        <f t="shared" ca="1" si="30"/>
        <v>4.3076920000000001E-3</v>
      </c>
      <c r="CB5" s="1">
        <f t="shared" ca="1" si="31"/>
        <v>1.072357E-2</v>
      </c>
      <c r="CC5" s="1">
        <f t="shared" ca="1" si="32"/>
        <v>-3.8918849999999998E-2</v>
      </c>
      <c r="CD5" s="1">
        <f t="shared" ca="1" si="33"/>
        <v>-4.9637250000000001E-2</v>
      </c>
      <c r="CE5" s="1">
        <f t="shared" ca="1" si="34"/>
        <v>-5.0662249999999999E-2</v>
      </c>
      <c r="CF5" s="1">
        <f t="shared" ca="1" si="35"/>
        <v>-6.8090390000000001E-2</v>
      </c>
      <c r="CH5">
        <f t="shared" ref="CH5:CH26" ca="1" si="107">CH4+1</f>
        <v>158</v>
      </c>
      <c r="CI5" s="169">
        <f t="shared" ca="1" si="36"/>
        <v>45382</v>
      </c>
      <c r="CJ5" s="1">
        <f t="shared" ca="1" si="37"/>
        <v>3.4650632662020259E-2</v>
      </c>
      <c r="CK5" s="1">
        <f t="shared" ca="1" si="38"/>
        <v>3.4274537616093212E-2</v>
      </c>
      <c r="CL5" s="1">
        <f t="shared" ca="1" si="39"/>
        <v>3.0912850000000002E-2</v>
      </c>
      <c r="CM5" s="1">
        <f t="shared" ca="1" si="40"/>
        <v>3.2173630000000002E-2</v>
      </c>
      <c r="CN5" s="1">
        <f t="shared" ca="1" si="41"/>
        <v>0</v>
      </c>
      <c r="CO5" s="1">
        <f t="shared" ca="1" si="42"/>
        <v>0</v>
      </c>
      <c r="CP5" s="1" t="e">
        <f t="shared" ca="1" si="43"/>
        <v>#N/A</v>
      </c>
      <c r="CQ5" s="1">
        <f t="shared" ca="1" si="44"/>
        <v>3.5787600000000003E-2</v>
      </c>
      <c r="CR5" s="1">
        <f t="shared" ca="1" si="45"/>
        <v>3.1532220903994573E-2</v>
      </c>
      <c r="CS5" s="1">
        <f t="shared" ca="1" si="46"/>
        <v>3.0864815180447321E-2</v>
      </c>
      <c r="CT5" s="1">
        <f t="shared" ca="1" si="47"/>
        <v>1.9413100000000003E-2</v>
      </c>
      <c r="CU5" s="1">
        <f t="shared" ca="1" si="48"/>
        <v>3.2044410000000002E-2</v>
      </c>
      <c r="CV5" s="1">
        <f t="shared" ca="1" si="49"/>
        <v>4.1645870000000001E-2</v>
      </c>
      <c r="CW5" s="1">
        <f t="shared" ca="1" si="50"/>
        <v>4.0620870000000003E-2</v>
      </c>
      <c r="CX5" s="1">
        <f t="shared" ca="1" si="51"/>
        <v>3.5787600000000003E-2</v>
      </c>
      <c r="CZ5">
        <f t="shared" ref="CZ5:CZ38" ca="1" si="108">CZ4+1</f>
        <v>146</v>
      </c>
      <c r="DA5" s="169">
        <f t="shared" ca="1" si="52"/>
        <v>45016</v>
      </c>
      <c r="DB5" s="1">
        <f t="shared" ca="1" si="53"/>
        <v>1.2561934295472017E-2</v>
      </c>
      <c r="DC5" s="1">
        <f t="shared" ca="1" si="54"/>
        <v>1.1997793736767013E-2</v>
      </c>
      <c r="DD5" s="1">
        <f t="shared" ca="1" si="55"/>
        <v>1.559139E-2</v>
      </c>
      <c r="DE5" s="1">
        <f t="shared" ca="1" si="56"/>
        <v>3.669584E-2</v>
      </c>
      <c r="DF5" s="1">
        <f t="shared" ca="1" si="57"/>
        <v>-2.1568557176685134E-2</v>
      </c>
      <c r="DG5" s="1">
        <f t="shared" ca="1" si="58"/>
        <v>-2.2071729154978473E-2</v>
      </c>
      <c r="DH5" s="1">
        <f t="shared" ca="1" si="59"/>
        <v>-8.1971530000000001E-2</v>
      </c>
      <c r="DI5" s="1">
        <f t="shared" ca="1" si="60"/>
        <v>-4.782989E-2</v>
      </c>
      <c r="DJ5" s="1">
        <f t="shared" ca="1" si="61"/>
        <v>1.9567662266374103E-2</v>
      </c>
      <c r="DK5" s="1">
        <f t="shared" ca="1" si="62"/>
        <v>1.8907131180832367E-2</v>
      </c>
      <c r="DL5" s="1">
        <f t="shared" ca="1" si="63"/>
        <v>3.8073999999999997E-2</v>
      </c>
      <c r="DM5" s="1">
        <f t="shared" ca="1" si="64"/>
        <v>3.1548E-2</v>
      </c>
      <c r="DN5" s="1">
        <f t="shared" ca="1" si="65"/>
        <v>-4.8221600000000003E-2</v>
      </c>
      <c r="DO5" s="1">
        <f t="shared" ca="1" si="66"/>
        <v>-4.9246600000000001E-2</v>
      </c>
      <c r="DP5" s="1">
        <f t="shared" ca="1" si="67"/>
        <v>-4.782989E-2</v>
      </c>
      <c r="DR5">
        <f t="shared" ref="DR5:DR62" ca="1" si="109">DR4+1</f>
        <v>122</v>
      </c>
      <c r="DS5" s="169">
        <f t="shared" ca="1" si="68"/>
        <v>44286</v>
      </c>
      <c r="DT5" s="1">
        <f t="shared" ca="1" si="69"/>
        <v>2.4340999999999998E-2</v>
      </c>
      <c r="DU5" s="1">
        <f t="shared" ca="1" si="70"/>
        <v>2.3746999999999997E-2</v>
      </c>
      <c r="DV5" s="1">
        <f t="shared" ca="1" si="71"/>
        <v>6.8093779999999993E-2</v>
      </c>
      <c r="DW5" s="1">
        <f t="shared" ca="1" si="72"/>
        <v>4.3791500000000004E-2</v>
      </c>
      <c r="DX5" s="1">
        <f t="shared" ca="1" si="73"/>
        <v>1.0835999999999998E-2</v>
      </c>
      <c r="DY5" s="1">
        <f t="shared" ca="1" si="74"/>
        <v>1.0323000000000001E-2</v>
      </c>
      <c r="DZ5" s="1">
        <f t="shared" ca="1" si="75"/>
        <v>3.3645040000000001E-2</v>
      </c>
      <c r="EA5" s="1">
        <f t="shared" ca="1" si="76"/>
        <v>1.0008870000000001E-2</v>
      </c>
      <c r="EB5" s="1">
        <f t="shared" ca="1" si="77"/>
        <v>2.6608E-2</v>
      </c>
      <c r="EC5" s="1">
        <f t="shared" ca="1" si="78"/>
        <v>2.596E-2</v>
      </c>
      <c r="ED5" s="1">
        <f t="shared" ca="1" si="79"/>
        <v>4.7067930000000001E-2</v>
      </c>
      <c r="EE5" s="1">
        <f t="shared" ca="1" si="80"/>
        <v>2.7345459999999999E-2</v>
      </c>
      <c r="EF5" s="1">
        <f t="shared" ca="1" si="81"/>
        <v>2.2485746666666664E-2</v>
      </c>
      <c r="EG5" s="1">
        <f t="shared" ca="1" si="82"/>
        <v>2.1444079999999997E-2</v>
      </c>
      <c r="EH5" s="1">
        <f t="shared" ca="1" si="83"/>
        <v>1.0008870000000001E-2</v>
      </c>
      <c r="EJ5">
        <f t="shared" ref="EJ5:EJ68" ca="1" si="110">EJ4+1</f>
        <v>62</v>
      </c>
      <c r="EK5" s="169">
        <f t="shared" ca="1" si="84"/>
        <v>42460</v>
      </c>
      <c r="EL5" s="1">
        <f t="shared" ca="1" si="85"/>
        <v>6.2297999999999999E-2</v>
      </c>
      <c r="EM5" s="1">
        <f t="shared" ca="1" si="86"/>
        <v>6.1807999999999995E-2</v>
      </c>
      <c r="EN5" s="1">
        <f t="shared" ca="1" si="87"/>
        <v>5.9656666340923231E-2</v>
      </c>
      <c r="EO5" s="1">
        <f t="shared" ca="1" si="88"/>
        <v>6.783559084936909E-2</v>
      </c>
      <c r="EP5" s="1">
        <f t="shared" ca="1" si="89"/>
        <v>5.6100000000000004E-2</v>
      </c>
      <c r="EQ5" s="1">
        <f t="shared" ca="1" si="90"/>
        <v>5.6100000000000004E-2</v>
      </c>
      <c r="ER5" s="1">
        <f t="shared" ca="1" si="91"/>
        <v>6.6620209059233382E-2</v>
      </c>
      <c r="ES5" s="1">
        <f t="shared" ca="1" si="92"/>
        <v>7.9811016800056062E-2</v>
      </c>
      <c r="ET5" s="1">
        <f t="shared" ca="1" si="93"/>
        <v>6.6353999999999996E-2</v>
      </c>
      <c r="EU5" s="1">
        <f t="shared" ca="1" si="94"/>
        <v>6.6353999999999996E-2</v>
      </c>
      <c r="EV5" s="1">
        <f t="shared" ca="1" si="95"/>
        <v>5.9798204895968821E-2</v>
      </c>
      <c r="EW5" s="1">
        <f t="shared" ca="1" si="96"/>
        <v>7.4820108129513271E-2</v>
      </c>
      <c r="EX5" s="1">
        <f t="shared" ca="1" si="97"/>
        <v>0</v>
      </c>
      <c r="EY5" s="1">
        <f t="shared" ca="1" si="98"/>
        <v>0</v>
      </c>
      <c r="EZ5" s="1">
        <f t="shared" ca="1" si="99"/>
        <v>7.9811016800056062E-2</v>
      </c>
    </row>
    <row r="6" spans="1:156" x14ac:dyDescent="0.25">
      <c r="A6">
        <f t="shared" ca="1" si="103"/>
        <v>4</v>
      </c>
      <c r="B6" s="169">
        <f ca="1">IF('LC (Gross)'!A153="","",IF('LC (Gross)'!A153&gt;$AC$9,"",'LC (Gross)'!A153))</f>
        <v>40694</v>
      </c>
      <c r="C6" s="1">
        <f ca="1">IF(B6="","",(VLOOKUP(B6,'LC (Gross)'!A:D,4,FALSE)/100))</f>
        <v>2.1633333333333334E-2</v>
      </c>
      <c r="D6" s="1"/>
      <c r="E6" s="1"/>
      <c r="F6" s="1"/>
      <c r="G6" s="1">
        <f ca="1">IF(B6="","",(VLOOKUP(B6,'LC (Net)'!A:D,4,FALSE)/100))</f>
        <v>2.0799999999999999E-2</v>
      </c>
      <c r="H6" s="1"/>
      <c r="I6" s="1"/>
      <c r="J6" s="1"/>
      <c r="K6" s="1">
        <f ca="1">IF(B6="","",VLOOKUP(Website!B6,'LC (Gross)'!W:X,2,FALSE)/100)</f>
        <v>1.9190719520941507E-2</v>
      </c>
      <c r="L6" s="1">
        <f ca="1">IF(B6="","",VLOOKUP(Website!B6,'SC (Gross)'!P:Q,2,FALSE)/100)</f>
        <v>-1.0548776102227175E-3</v>
      </c>
      <c r="M6" s="1"/>
      <c r="O6" s="1">
        <f ca="1">IF(B6="","",VLOOKUP(Website!B6,'LC (Gross)'!J:K,2,FALSE)/100)</f>
        <v>-1.1326170306001106E-2</v>
      </c>
      <c r="P6" s="233">
        <f ca="1">IF(B6="","",(VLOOKUP(B6,'SC (Gross)'!J:K,2,FALSE))/100)</f>
        <v>-1.8748918370617419E-2</v>
      </c>
      <c r="S6" s="22">
        <f t="shared" ca="1" si="0"/>
        <v>3.2959503639334441E-2</v>
      </c>
      <c r="T6" s="22" t="str">
        <f t="shared" si="1"/>
        <v/>
      </c>
      <c r="U6" s="22" t="str">
        <f t="shared" si="2"/>
        <v/>
      </c>
      <c r="V6" s="22"/>
      <c r="W6" s="22">
        <f t="shared" ca="1" si="100"/>
        <v>3.0516889826942614E-2</v>
      </c>
      <c r="X6" s="22">
        <f t="shared" ca="1" si="101"/>
        <v>1.76940407603947E-2</v>
      </c>
      <c r="Y6" s="22" t="str">
        <f t="shared" si="102"/>
        <v/>
      </c>
      <c r="AC6">
        <f ca="1">IF(OR(AC3=1,AC3=2,AC3=3),12,IF(OR(AC3=4,AC3=5,AC3=6),3,IF(OR(AC3=7,AC3=8,AC3=9),6,9)))</f>
        <v>12</v>
      </c>
      <c r="AI6" s="1"/>
      <c r="AJ6" s="1"/>
      <c r="AK6" s="1"/>
      <c r="AL6" s="1"/>
      <c r="AX6">
        <f t="shared" ca="1" si="105"/>
        <v>171</v>
      </c>
      <c r="AY6" s="169">
        <f t="shared" ca="1" si="4"/>
        <v>45777</v>
      </c>
      <c r="AZ6" s="1">
        <f t="shared" ca="1" si="5"/>
        <v>-1.7007119457187261E-2</v>
      </c>
      <c r="BA6" s="1">
        <f t="shared" ca="1" si="6"/>
        <v>-1.782123317791387E-2</v>
      </c>
      <c r="BB6" s="1">
        <f t="shared" ca="1" si="7"/>
        <v>-2.311651E-2</v>
      </c>
      <c r="BC6" s="1">
        <f t="shared" ca="1" si="8"/>
        <v>-6.781306E-3</v>
      </c>
      <c r="BD6" s="1" t="e">
        <f t="shared" ca="1" si="9"/>
        <v>#N/A</v>
      </c>
      <c r="BE6" s="1" t="e">
        <f t="shared" ca="1" si="10"/>
        <v>#N/A</v>
      </c>
      <c r="BF6" s="1" t="e">
        <f t="shared" ca="1" si="11"/>
        <v>#N/A</v>
      </c>
      <c r="BG6" s="1">
        <f t="shared" ca="1" si="12"/>
        <v>-2.3113199999999997E-2</v>
      </c>
      <c r="BH6" s="1">
        <f t="shared" ca="1" si="13"/>
        <v>-2.1911760000000002E-4</v>
      </c>
      <c r="BI6" s="1">
        <f t="shared" ca="1" si="14"/>
        <v>-9.1911759999999999E-4</v>
      </c>
      <c r="BJ6" s="1">
        <f t="shared" ca="1" si="15"/>
        <v>7.6429169999999999E-3</v>
      </c>
      <c r="BK6" s="1">
        <f t="shared" ca="1" si="16"/>
        <v>9.7781580000000003E-3</v>
      </c>
      <c r="BL6" s="1">
        <f t="shared" ca="1" si="17"/>
        <v>-2.0600390000000003E-2</v>
      </c>
      <c r="BM6" s="1">
        <f t="shared" ca="1" si="18"/>
        <v>-2.1625390000000001E-2</v>
      </c>
      <c r="BN6" s="1">
        <f t="shared" ca="1" si="19"/>
        <v>-2.3113199999999997E-2</v>
      </c>
      <c r="BP6">
        <f t="shared" ca="1" si="106"/>
        <v>171</v>
      </c>
      <c r="BQ6" s="169">
        <f t="shared" ca="1" si="20"/>
        <v>45777</v>
      </c>
      <c r="BR6" s="1">
        <f t="shared" ca="1" si="21"/>
        <v>-1.7007119457187261E-2</v>
      </c>
      <c r="BS6" s="1">
        <f t="shared" ca="1" si="22"/>
        <v>-1.782123317791387E-2</v>
      </c>
      <c r="BT6" s="1">
        <f t="shared" ca="1" si="23"/>
        <v>-2.311651E-2</v>
      </c>
      <c r="BU6" s="1">
        <f t="shared" ca="1" si="24"/>
        <v>-6.781306E-3</v>
      </c>
      <c r="BV6" s="1" t="e">
        <f t="shared" ca="1" si="25"/>
        <v>#N/A</v>
      </c>
      <c r="BW6" s="1" t="e">
        <f t="shared" ca="1" si="26"/>
        <v>#N/A</v>
      </c>
      <c r="BX6" s="1" t="e">
        <f t="shared" ca="1" si="27"/>
        <v>#N/A</v>
      </c>
      <c r="BY6" s="1">
        <f t="shared" ca="1" si="28"/>
        <v>-2.3113199999999997E-2</v>
      </c>
      <c r="BZ6" s="1">
        <f t="shared" ca="1" si="29"/>
        <v>-2.1911760000000002E-4</v>
      </c>
      <c r="CA6" s="1">
        <f t="shared" ca="1" si="30"/>
        <v>-9.1911759999999999E-4</v>
      </c>
      <c r="CB6" s="1">
        <f t="shared" ca="1" si="31"/>
        <v>7.6429169999999999E-3</v>
      </c>
      <c r="CC6" s="1">
        <f t="shared" ca="1" si="32"/>
        <v>9.7781580000000003E-3</v>
      </c>
      <c r="CD6" s="1">
        <f t="shared" ca="1" si="33"/>
        <v>-2.0600390000000003E-2</v>
      </c>
      <c r="CE6" s="1">
        <f t="shared" ca="1" si="34"/>
        <v>-2.1625390000000001E-2</v>
      </c>
      <c r="CF6" s="1">
        <f t="shared" ca="1" si="35"/>
        <v>-2.3113199999999997E-2</v>
      </c>
      <c r="CH6">
        <f t="shared" ca="1" si="107"/>
        <v>159</v>
      </c>
      <c r="CI6" s="169">
        <f t="shared" ca="1" si="36"/>
        <v>45412</v>
      </c>
      <c r="CJ6" s="1">
        <f t="shared" ca="1" si="37"/>
        <v>-3.9984913813974933E-2</v>
      </c>
      <c r="CK6" s="1">
        <f t="shared" ca="1" si="38"/>
        <v>-4.0443709388205719E-2</v>
      </c>
      <c r="CL6" s="1">
        <f t="shared" ca="1" si="39"/>
        <v>-3.0440480000000002E-2</v>
      </c>
      <c r="CM6" s="1">
        <f t="shared" ca="1" si="40"/>
        <v>-4.0844069999999996E-2</v>
      </c>
      <c r="CN6" s="1">
        <f t="shared" ca="1" si="41"/>
        <v>0</v>
      </c>
      <c r="CO6" s="1">
        <f t="shared" ca="1" si="42"/>
        <v>0</v>
      </c>
      <c r="CP6" s="1" t="e">
        <f t="shared" ca="1" si="43"/>
        <v>#N/A</v>
      </c>
      <c r="CQ6" s="1">
        <f t="shared" ca="1" si="44"/>
        <v>-7.038266E-2</v>
      </c>
      <c r="CR6" s="1">
        <f t="shared" ca="1" si="45"/>
        <v>-2.5710239003672513E-2</v>
      </c>
      <c r="CS6" s="1">
        <f t="shared" ca="1" si="46"/>
        <v>-2.6488353266014744E-2</v>
      </c>
      <c r="CT6" s="1">
        <f t="shared" ca="1" si="47"/>
        <v>-2.5968499999999999E-2</v>
      </c>
      <c r="CU6" s="1">
        <f t="shared" ca="1" si="48"/>
        <v>-3.2620160000000002E-2</v>
      </c>
      <c r="CV6" s="1">
        <f t="shared" ca="1" si="49"/>
        <v>-6.8794110000000006E-2</v>
      </c>
      <c r="CW6" s="1">
        <f t="shared" ca="1" si="50"/>
        <v>-6.9819110000000004E-2</v>
      </c>
      <c r="CX6" s="1">
        <f t="shared" ca="1" si="51"/>
        <v>-7.038266E-2</v>
      </c>
      <c r="CZ6">
        <f t="shared" ca="1" si="108"/>
        <v>147</v>
      </c>
      <c r="DA6" s="169">
        <f t="shared" ca="1" si="52"/>
        <v>45046</v>
      </c>
      <c r="DB6" s="1">
        <f t="shared" ca="1" si="53"/>
        <v>1.1585569287576312E-2</v>
      </c>
      <c r="DC6" s="1">
        <f t="shared" ca="1" si="54"/>
        <v>1.099480071381295E-2</v>
      </c>
      <c r="DD6" s="1">
        <f t="shared" ca="1" si="55"/>
        <v>2.6588349999999997E-2</v>
      </c>
      <c r="DE6" s="1">
        <f t="shared" ca="1" si="56"/>
        <v>1.560872E-2</v>
      </c>
      <c r="DF6" s="1">
        <f t="shared" ca="1" si="57"/>
        <v>-1.0251083133536065E-2</v>
      </c>
      <c r="DG6" s="1">
        <f t="shared" ca="1" si="58"/>
        <v>-1.0752694708132025E-2</v>
      </c>
      <c r="DH6" s="1">
        <f t="shared" ca="1" si="59"/>
        <v>-4.1581559999999997E-2</v>
      </c>
      <c r="DI6" s="1">
        <f t="shared" ca="1" si="60"/>
        <v>-1.7983370000000002E-2</v>
      </c>
      <c r="DJ6" s="1">
        <f t="shared" ca="1" si="61"/>
        <v>1.5725506870097283E-2</v>
      </c>
      <c r="DK6" s="1">
        <f t="shared" ca="1" si="62"/>
        <v>1.4958007552858209E-2</v>
      </c>
      <c r="DL6" s="1">
        <f t="shared" ca="1" si="63"/>
        <v>2.8603E-2</v>
      </c>
      <c r="DM6" s="1">
        <f t="shared" ca="1" si="64"/>
        <v>1.4809000000000001E-2</v>
      </c>
      <c r="DN6" s="1">
        <f t="shared" ca="1" si="65"/>
        <v>-1.4823469999999998E-2</v>
      </c>
      <c r="DO6" s="1">
        <f t="shared" ca="1" si="66"/>
        <v>-1.584847E-2</v>
      </c>
      <c r="DP6" s="1">
        <f t="shared" ca="1" si="67"/>
        <v>-1.7983370000000002E-2</v>
      </c>
      <c r="DR6">
        <f t="shared" ca="1" si="109"/>
        <v>123</v>
      </c>
      <c r="DS6" s="169">
        <f t="shared" ca="1" si="68"/>
        <v>44316</v>
      </c>
      <c r="DT6" s="1">
        <f t="shared" ca="1" si="69"/>
        <v>4.8381E-2</v>
      </c>
      <c r="DU6" s="1">
        <f t="shared" ca="1" si="70"/>
        <v>4.7775999999999999E-2</v>
      </c>
      <c r="DV6" s="1">
        <f t="shared" ca="1" si="71"/>
        <v>4.1895179999999997E-2</v>
      </c>
      <c r="DW6" s="1">
        <f t="shared" ca="1" si="72"/>
        <v>5.3368119999999998E-2</v>
      </c>
      <c r="DX6" s="1">
        <f t="shared" ca="1" si="73"/>
        <v>2.4963000000000003E-2</v>
      </c>
      <c r="DY6" s="1">
        <f t="shared" ca="1" si="74"/>
        <v>2.4445999999999999E-2</v>
      </c>
      <c r="DZ6" s="1">
        <f t="shared" ca="1" si="75"/>
        <v>7.9752250000000007E-3</v>
      </c>
      <c r="EA6" s="1">
        <f t="shared" ca="1" si="76"/>
        <v>2.0999029999999998E-2</v>
      </c>
      <c r="EB6" s="1">
        <f t="shared" ca="1" si="77"/>
        <v>4.1872999999999994E-2</v>
      </c>
      <c r="EC6" s="1">
        <f t="shared" ca="1" si="78"/>
        <v>4.1095E-2</v>
      </c>
      <c r="ED6" s="1">
        <f t="shared" ca="1" si="79"/>
        <v>2.767054E-2</v>
      </c>
      <c r="EE6" s="1">
        <f t="shared" ca="1" si="80"/>
        <v>4.40901E-2</v>
      </c>
      <c r="EF6" s="1">
        <f t="shared" ca="1" si="81"/>
        <v>2.5473579999999999E-2</v>
      </c>
      <c r="EG6" s="1">
        <f t="shared" ca="1" si="82"/>
        <v>2.4448580000000001E-2</v>
      </c>
      <c r="EH6" s="1">
        <f t="shared" ca="1" si="83"/>
        <v>2.0999029999999998E-2</v>
      </c>
      <c r="EJ6">
        <f t="shared" ca="1" si="110"/>
        <v>63</v>
      </c>
      <c r="EK6" s="169">
        <f t="shared" ca="1" si="84"/>
        <v>42490</v>
      </c>
      <c r="EL6" s="1">
        <f t="shared" ca="1" si="85"/>
        <v>-1.3212999999999999E-2</v>
      </c>
      <c r="EM6" s="1">
        <f t="shared" ca="1" si="86"/>
        <v>-1.3619000000000001E-2</v>
      </c>
      <c r="EN6" s="1">
        <f t="shared" ca="1" si="87"/>
        <v>-7.03615353296882E-3</v>
      </c>
      <c r="EO6" s="1">
        <f t="shared" ca="1" si="88"/>
        <v>3.8791035526038221E-3</v>
      </c>
      <c r="EP6" s="1">
        <f t="shared" ca="1" si="89"/>
        <v>1.0139E-2</v>
      </c>
      <c r="EQ6" s="1">
        <f t="shared" ca="1" si="90"/>
        <v>1.0126999999999999E-2</v>
      </c>
      <c r="ER6" s="1">
        <f t="shared" ca="1" si="91"/>
        <v>6.2916503332027373E-3</v>
      </c>
      <c r="ES6" s="1">
        <f t="shared" ca="1" si="92"/>
        <v>1.5694968610604175E-2</v>
      </c>
      <c r="ET6" s="1">
        <f t="shared" ca="1" si="93"/>
        <v>2.2070000000000002E-3</v>
      </c>
      <c r="EU6" s="1">
        <f t="shared" ca="1" si="94"/>
        <v>2.2070000000000002E-3</v>
      </c>
      <c r="EV6" s="1">
        <f t="shared" ca="1" si="95"/>
        <v>6.8696619835551366E-3</v>
      </c>
      <c r="EW6" s="1">
        <f t="shared" ca="1" si="96"/>
        <v>1.5259663378262284E-2</v>
      </c>
      <c r="EX6" s="1">
        <f t="shared" ca="1" si="97"/>
        <v>0</v>
      </c>
      <c r="EY6" s="1">
        <f t="shared" ca="1" si="98"/>
        <v>0</v>
      </c>
      <c r="EZ6" s="1">
        <f t="shared" ca="1" si="99"/>
        <v>1.5694968610604175E-2</v>
      </c>
    </row>
    <row r="7" spans="1:156" x14ac:dyDescent="0.25">
      <c r="A7">
        <f t="shared" ca="1" si="103"/>
        <v>5</v>
      </c>
      <c r="B7" s="169">
        <f ca="1">IF('LC (Gross)'!A154="","",IF('LC (Gross)'!A154&gt;$AC$9,"",'LC (Gross)'!A154))</f>
        <v>40724</v>
      </c>
      <c r="C7" s="1">
        <f ca="1">IF(B7="","",(VLOOKUP(B7,'LC (Gross)'!A:D,4,FALSE)/100))</f>
        <v>-8.6666666666666684E-4</v>
      </c>
      <c r="D7" s="1"/>
      <c r="E7" s="1"/>
      <c r="F7" s="1"/>
      <c r="G7" s="1">
        <f ca="1">IF(B7="","",(VLOOKUP(B7,'LC (Net)'!A:D,4,FALSE)/100))</f>
        <v>-1.7000000000000001E-3</v>
      </c>
      <c r="H7" s="1"/>
      <c r="I7" s="1"/>
      <c r="J7" s="1"/>
      <c r="K7" s="1">
        <f ca="1">IF(B7="","",VLOOKUP(Website!B7,'LC (Gross)'!W:X,2,FALSE)/100)</f>
        <v>-1.2216323888752344E-2</v>
      </c>
      <c r="L7" s="1">
        <f ca="1">IF(B7="","",VLOOKUP(Website!B7,'SC (Gross)'!P:Q,2,FALSE)/100)</f>
        <v>-1.5983872129023028E-2</v>
      </c>
      <c r="M7" s="1"/>
      <c r="O7" s="1">
        <f ca="1">IF(B7="","",VLOOKUP(Website!B7,'LC (Gross)'!J:K,2,FALSE)/100)</f>
        <v>-1.6668968785382234E-2</v>
      </c>
      <c r="P7" s="233">
        <f ca="1">IF(B7="","",(VLOOKUP(B7,'SC (Gross)'!J:K,2,FALSE))/100)</f>
        <v>-2.3055633693393269E-2</v>
      </c>
      <c r="S7" s="22">
        <f t="shared" ca="1" si="0"/>
        <v>1.5802302118715566E-2</v>
      </c>
      <c r="T7" s="22" t="str">
        <f t="shared" si="1"/>
        <v/>
      </c>
      <c r="U7" s="22" t="str">
        <f t="shared" si="2"/>
        <v/>
      </c>
      <c r="V7" s="22"/>
      <c r="W7" s="22">
        <f t="shared" ca="1" si="100"/>
        <v>4.4526448966298905E-3</v>
      </c>
      <c r="X7" s="22">
        <f t="shared" ca="1" si="101"/>
        <v>7.0717615643702408E-3</v>
      </c>
      <c r="Y7" s="22" t="str">
        <f t="shared" si="102"/>
        <v/>
      </c>
      <c r="AC7">
        <f ca="1">IF(OR(AC6=3,AC6=12),31,30)</f>
        <v>31</v>
      </c>
      <c r="AI7" s="1"/>
      <c r="AJ7" s="1"/>
      <c r="AK7" s="1"/>
      <c r="AL7" s="1"/>
      <c r="AX7">
        <f t="shared" ca="1" si="105"/>
        <v>172</v>
      </c>
      <c r="AY7" s="169">
        <f t="shared" ca="1" si="4"/>
        <v>45808</v>
      </c>
      <c r="AZ7" s="1">
        <f t="shared" ca="1" si="5"/>
        <v>1.698246054546064E-2</v>
      </c>
      <c r="BA7" s="1">
        <f t="shared" ca="1" si="6"/>
        <v>1.6469021635570558E-2</v>
      </c>
      <c r="BB7" s="1">
        <f t="shared" ca="1" si="7"/>
        <v>1.1138459999999999E-2</v>
      </c>
      <c r="BC7" s="1">
        <f t="shared" ca="1" si="8"/>
        <v>6.2946189999999999E-2</v>
      </c>
      <c r="BD7" s="1" t="e">
        <f t="shared" ca="1" si="9"/>
        <v>#N/A</v>
      </c>
      <c r="BE7" s="1" t="e">
        <f t="shared" ca="1" si="10"/>
        <v>#N/A</v>
      </c>
      <c r="BF7" s="1" t="e">
        <f t="shared" ca="1" si="11"/>
        <v>#N/A</v>
      </c>
      <c r="BG7" s="1">
        <f t="shared" ca="1" si="12"/>
        <v>5.3393110000000001E-2</v>
      </c>
      <c r="BH7" s="1">
        <f t="shared" ca="1" si="13"/>
        <v>2.0019230000000002E-2</v>
      </c>
      <c r="BI7" s="1">
        <f t="shared" ca="1" si="14"/>
        <v>1.931923E-2</v>
      </c>
      <c r="BJ7" s="1">
        <f t="shared" ca="1" si="15"/>
        <v>1.2818030000000001E-2</v>
      </c>
      <c r="BK7" s="1">
        <f t="shared" ca="1" si="16"/>
        <v>5.8145300000000004E-2</v>
      </c>
      <c r="BL7" s="1">
        <f t="shared" ca="1" si="17"/>
        <v>5.271841E-2</v>
      </c>
      <c r="BM7" s="1">
        <f t="shared" ca="1" si="18"/>
        <v>5.1693410000000002E-2</v>
      </c>
      <c r="BN7" s="1">
        <f t="shared" ca="1" si="19"/>
        <v>5.3393110000000001E-2</v>
      </c>
      <c r="BP7">
        <f t="shared" ca="1" si="106"/>
        <v>172</v>
      </c>
      <c r="BQ7" s="169">
        <f t="shared" ca="1" si="20"/>
        <v>45808</v>
      </c>
      <c r="BR7" s="1">
        <f t="shared" ca="1" si="21"/>
        <v>1.698246054546064E-2</v>
      </c>
      <c r="BS7" s="1">
        <f t="shared" ca="1" si="22"/>
        <v>1.6469021635570558E-2</v>
      </c>
      <c r="BT7" s="1">
        <f t="shared" ca="1" si="23"/>
        <v>1.1138459999999999E-2</v>
      </c>
      <c r="BU7" s="1">
        <f t="shared" ca="1" si="24"/>
        <v>6.2946189999999999E-2</v>
      </c>
      <c r="BV7" s="1" t="e">
        <f t="shared" ca="1" si="25"/>
        <v>#N/A</v>
      </c>
      <c r="BW7" s="1" t="e">
        <f t="shared" ca="1" si="26"/>
        <v>#N/A</v>
      </c>
      <c r="BX7" s="1" t="e">
        <f t="shared" ca="1" si="27"/>
        <v>#N/A</v>
      </c>
      <c r="BY7" s="1">
        <f t="shared" ca="1" si="28"/>
        <v>5.3393110000000001E-2</v>
      </c>
      <c r="BZ7" s="1">
        <f t="shared" ca="1" si="29"/>
        <v>2.0019230000000002E-2</v>
      </c>
      <c r="CA7" s="1">
        <f t="shared" ca="1" si="30"/>
        <v>1.931923E-2</v>
      </c>
      <c r="CB7" s="1">
        <f t="shared" ca="1" si="31"/>
        <v>1.2818030000000001E-2</v>
      </c>
      <c r="CC7" s="1">
        <f t="shared" ca="1" si="32"/>
        <v>5.8145300000000004E-2</v>
      </c>
      <c r="CD7" s="1">
        <f t="shared" ca="1" si="33"/>
        <v>5.271841E-2</v>
      </c>
      <c r="CE7" s="1">
        <f t="shared" ca="1" si="34"/>
        <v>5.1693410000000002E-2</v>
      </c>
      <c r="CF7" s="1">
        <f t="shared" ca="1" si="35"/>
        <v>5.3393110000000001E-2</v>
      </c>
      <c r="CH7">
        <f t="shared" ca="1" si="107"/>
        <v>160</v>
      </c>
      <c r="CI7" s="169">
        <f t="shared" ca="1" si="36"/>
        <v>45443</v>
      </c>
      <c r="CJ7" s="1">
        <f t="shared" ca="1" si="37"/>
        <v>3.6816566581423862E-2</v>
      </c>
      <c r="CK7" s="1">
        <f t="shared" ca="1" si="38"/>
        <v>3.6378928867356414E-2</v>
      </c>
      <c r="CL7" s="1">
        <f t="shared" ca="1" si="39"/>
        <v>2.4779700000000002E-2</v>
      </c>
      <c r="CM7" s="1">
        <f t="shared" ca="1" si="40"/>
        <v>4.9585549999999999E-2</v>
      </c>
      <c r="CN7" s="1">
        <f t="shared" ca="1" si="41"/>
        <v>0</v>
      </c>
      <c r="CO7" s="1">
        <f t="shared" ca="1" si="42"/>
        <v>0</v>
      </c>
      <c r="CP7" s="1" t="e">
        <f t="shared" ca="1" si="43"/>
        <v>#N/A</v>
      </c>
      <c r="CQ7" s="1">
        <f t="shared" ca="1" si="44"/>
        <v>5.0208769999999993E-2</v>
      </c>
      <c r="CR7" s="1">
        <f t="shared" ca="1" si="45"/>
        <v>2.3062300727677544E-2</v>
      </c>
      <c r="CS7" s="1">
        <f t="shared" ca="1" si="46"/>
        <v>2.241124428223196E-2</v>
      </c>
      <c r="CT7" s="1">
        <f t="shared" ca="1" si="47"/>
        <v>1.8897520000000001E-2</v>
      </c>
      <c r="CU7" s="1">
        <f t="shared" ca="1" si="48"/>
        <v>4.1195639999999999E-2</v>
      </c>
      <c r="CV7" s="1">
        <f t="shared" ca="1" si="49"/>
        <v>4.8790269999999997E-2</v>
      </c>
      <c r="CW7" s="1">
        <f t="shared" ca="1" si="50"/>
        <v>4.7765269999999999E-2</v>
      </c>
      <c r="CX7" s="1">
        <f t="shared" ca="1" si="51"/>
        <v>5.0208769999999993E-2</v>
      </c>
      <c r="CZ7">
        <f t="shared" ca="1" si="108"/>
        <v>148</v>
      </c>
      <c r="DA7" s="169">
        <f t="shared" ca="1" si="52"/>
        <v>45077</v>
      </c>
      <c r="DB7" s="1">
        <f t="shared" ca="1" si="53"/>
        <v>-2.7888501293758621E-2</v>
      </c>
      <c r="DC7" s="1">
        <f t="shared" ca="1" si="54"/>
        <v>-2.845058157139423E-2</v>
      </c>
      <c r="DD7" s="1">
        <f t="shared" ca="1" si="55"/>
        <v>-5.2391259999999995E-2</v>
      </c>
      <c r="DE7" s="1">
        <f t="shared" ca="1" si="56"/>
        <v>4.3486430000000001E-3</v>
      </c>
      <c r="DF7" s="1">
        <f t="shared" ca="1" si="57"/>
        <v>-2.7328037455045976E-2</v>
      </c>
      <c r="DG7" s="1">
        <f t="shared" ca="1" si="58"/>
        <v>-2.7833622509883173E-2</v>
      </c>
      <c r="DH7" s="1">
        <f t="shared" ca="1" si="59"/>
        <v>-4.1118870000000002E-2</v>
      </c>
      <c r="DI7" s="1">
        <f t="shared" ca="1" si="60"/>
        <v>-9.3249360000000007E-3</v>
      </c>
      <c r="DJ7" s="1">
        <f t="shared" ca="1" si="61"/>
        <v>-2.6831842464369489E-2</v>
      </c>
      <c r="DK7" s="1">
        <f t="shared" ca="1" si="62"/>
        <v>-2.7492766843027362E-2</v>
      </c>
      <c r="DL7" s="1">
        <f t="shared" ca="1" si="63"/>
        <v>-3.1490999999999998E-2</v>
      </c>
      <c r="DM7" s="1">
        <f t="shared" ca="1" si="64"/>
        <v>-1.0115000000000001E-2</v>
      </c>
      <c r="DN7" s="1">
        <f t="shared" ca="1" si="65"/>
        <v>-2.2148609999999999E-2</v>
      </c>
      <c r="DO7" s="1">
        <f t="shared" ca="1" si="66"/>
        <v>-2.3173610000000001E-2</v>
      </c>
      <c r="DP7" s="1">
        <f t="shared" ca="1" si="67"/>
        <v>-9.3249360000000007E-3</v>
      </c>
      <c r="DR7">
        <f t="shared" ca="1" si="109"/>
        <v>124</v>
      </c>
      <c r="DS7" s="169">
        <f t="shared" ca="1" si="68"/>
        <v>44347</v>
      </c>
      <c r="DT7" s="1">
        <f t="shared" ca="1" si="69"/>
        <v>1.2439999999999999E-3</v>
      </c>
      <c r="DU7" s="1">
        <f t="shared" ca="1" si="70"/>
        <v>4.8300000000000003E-4</v>
      </c>
      <c r="DV7" s="1">
        <f t="shared" ca="1" si="71"/>
        <v>1.1587460000000001E-2</v>
      </c>
      <c r="DW7" s="1">
        <f t="shared" ca="1" si="72"/>
        <v>6.9815649999999995E-3</v>
      </c>
      <c r="DX7" s="1">
        <f t="shared" ca="1" si="73"/>
        <v>-3.9110000000000004E-3</v>
      </c>
      <c r="DY7" s="1">
        <f t="shared" ca="1" si="74"/>
        <v>-4.7780000000000001E-3</v>
      </c>
      <c r="DZ7" s="1">
        <f t="shared" ca="1" si="75"/>
        <v>2.4864210000000001E-2</v>
      </c>
      <c r="EA7" s="1">
        <f t="shared" ca="1" si="76"/>
        <v>2.0599759999999998E-3</v>
      </c>
      <c r="EB7" s="1">
        <f t="shared" ca="1" si="77"/>
        <v>1.1787000000000001E-2</v>
      </c>
      <c r="EC7" s="1">
        <f t="shared" ca="1" si="78"/>
        <v>1.1136E-2</v>
      </c>
      <c r="ED7" s="1">
        <f t="shared" ca="1" si="79"/>
        <v>1.8857821167551705E-2</v>
      </c>
      <c r="EE7" s="1">
        <f t="shared" ca="1" si="80"/>
        <v>1.6038460000000001E-2</v>
      </c>
      <c r="EF7" s="1">
        <f t="shared" ca="1" si="81"/>
        <v>1.6329800000000002E-2</v>
      </c>
      <c r="EG7" s="1">
        <f t="shared" ca="1" si="82"/>
        <v>1.53048E-2</v>
      </c>
      <c r="EH7" s="1">
        <f t="shared" ca="1" si="83"/>
        <v>2.0599759999999998E-3</v>
      </c>
      <c r="EJ7">
        <f t="shared" ca="1" si="110"/>
        <v>64</v>
      </c>
      <c r="EK7" s="169">
        <f t="shared" ca="1" si="84"/>
        <v>42521</v>
      </c>
      <c r="EL7" s="1">
        <f t="shared" ca="1" si="85"/>
        <v>1.9955000000000001E-2</v>
      </c>
      <c r="EM7" s="1">
        <f t="shared" ca="1" si="86"/>
        <v>1.9543999999999999E-2</v>
      </c>
      <c r="EN7" s="1">
        <f t="shared" ca="1" si="87"/>
        <v>1.6645936069038334E-2</v>
      </c>
      <c r="EO7" s="1">
        <f t="shared" ca="1" si="88"/>
        <v>1.7954286499449398E-2</v>
      </c>
      <c r="EP7" s="1">
        <f t="shared" ca="1" si="89"/>
        <v>2.5308999999999998E-2</v>
      </c>
      <c r="EQ7" s="1">
        <f t="shared" ca="1" si="90"/>
        <v>2.5299000000000002E-2</v>
      </c>
      <c r="ER7" s="1">
        <f t="shared" ca="1" si="91"/>
        <v>3.1514773767554176E-2</v>
      </c>
      <c r="ES7" s="1">
        <f t="shared" ca="1" si="92"/>
        <v>2.2518361605255558E-2</v>
      </c>
      <c r="ET7" s="1">
        <f t="shared" ca="1" si="93"/>
        <v>1.6200000000000003E-2</v>
      </c>
      <c r="EU7" s="1">
        <f t="shared" ca="1" si="94"/>
        <v>1.6200000000000003E-2</v>
      </c>
      <c r="EV7" s="1">
        <f t="shared" ca="1" si="95"/>
        <v>-2.6524910088377139E-3</v>
      </c>
      <c r="EW7" s="1">
        <f t="shared" ca="1" si="96"/>
        <v>2.0647800641014065E-3</v>
      </c>
      <c r="EX7" s="1">
        <f t="shared" ca="1" si="97"/>
        <v>0</v>
      </c>
      <c r="EY7" s="1">
        <f t="shared" ca="1" si="98"/>
        <v>0</v>
      </c>
      <c r="EZ7" s="1">
        <f t="shared" ca="1" si="99"/>
        <v>2.2518361605255558E-2</v>
      </c>
    </row>
    <row r="8" spans="1:156" x14ac:dyDescent="0.25">
      <c r="A8">
        <f t="shared" ca="1" si="103"/>
        <v>6</v>
      </c>
      <c r="B8" s="169">
        <f ca="1">IF('LC (Gross)'!A155="","",IF('LC (Gross)'!A155&gt;$AC$9,"",'LC (Gross)'!A155))</f>
        <v>40755</v>
      </c>
      <c r="C8" s="1">
        <f ca="1">IF(B8="","",(VLOOKUP(B8,'LC (Gross)'!A:D,4,FALSE)/100))</f>
        <v>-1.8766666666666668E-2</v>
      </c>
      <c r="D8" s="1"/>
      <c r="E8" s="1"/>
      <c r="F8" s="1"/>
      <c r="G8" s="1">
        <f ca="1">IF(B8="","",(VLOOKUP(B8,'LC (Net)'!A:D,4,FALSE)/100))</f>
        <v>-1.9599999999999999E-2</v>
      </c>
      <c r="H8" s="1"/>
      <c r="I8" s="1"/>
      <c r="J8" s="1"/>
      <c r="K8" s="1">
        <f ca="1">IF(B8="","",VLOOKUP(Website!B8,'LC (Gross)'!W:X,2,FALSE)/100)</f>
        <v>-2.3596999516173854E-2</v>
      </c>
      <c r="L8" s="1">
        <f ca="1">IF(B8="","",VLOOKUP(Website!B8,'SC (Gross)'!P:Q,2,FALSE)/100)</f>
        <v>-2.4535986927148125E-2</v>
      </c>
      <c r="M8" s="1"/>
      <c r="O8" s="1">
        <f ca="1">IF(B8="","",VLOOKUP(Website!B8,'LC (Gross)'!J:K,2,FALSE)/100)</f>
        <v>-2.0337691643892444E-2</v>
      </c>
      <c r="P8" s="233">
        <f ca="1">IF(B8="","",(VLOOKUP(B8,'SC (Gross)'!J:K,2,FALSE))/100)</f>
        <v>-3.6145213933725981E-2</v>
      </c>
      <c r="S8" s="22">
        <f t="shared" ca="1" si="0"/>
        <v>1.5710249772257767E-3</v>
      </c>
      <c r="T8" s="22" t="str">
        <f t="shared" si="1"/>
        <v/>
      </c>
      <c r="U8" s="22" t="str">
        <f t="shared" si="2"/>
        <v/>
      </c>
      <c r="V8" s="22"/>
      <c r="W8" s="22">
        <f t="shared" ca="1" si="100"/>
        <v>-3.2593078722814098E-3</v>
      </c>
      <c r="X8" s="22">
        <f t="shared" ca="1" si="101"/>
        <v>1.1609227006577856E-2</v>
      </c>
      <c r="Y8" s="22" t="str">
        <f t="shared" si="102"/>
        <v/>
      </c>
      <c r="AC8">
        <f ca="1">IF(AC6=12,AC4-1,AC4)</f>
        <v>2025</v>
      </c>
      <c r="AI8" s="1"/>
      <c r="AJ8" s="1"/>
      <c r="AK8" s="1"/>
      <c r="AL8" s="1"/>
      <c r="AX8">
        <f t="shared" ca="1" si="105"/>
        <v>173</v>
      </c>
      <c r="AY8" s="169">
        <f t="shared" ca="1" si="4"/>
        <v>45838</v>
      </c>
      <c r="AZ8" s="1">
        <f t="shared" ca="1" si="5"/>
        <v>4.8357748879533612E-3</v>
      </c>
      <c r="BA8" s="1">
        <f t="shared" ca="1" si="6"/>
        <v>4.329401489169782E-3</v>
      </c>
      <c r="BB8" s="1">
        <f t="shared" ca="1" si="7"/>
        <v>-7.5421139999999999E-3</v>
      </c>
      <c r="BC8" s="1">
        <f t="shared" ca="1" si="8"/>
        <v>5.0848299999999999E-2</v>
      </c>
      <c r="BD8" s="1" t="e">
        <f t="shared" ca="1" si="9"/>
        <v>#N/A</v>
      </c>
      <c r="BE8" s="1" t="e">
        <f t="shared" ca="1" si="10"/>
        <v>#N/A</v>
      </c>
      <c r="BF8" s="1" t="e">
        <f t="shared" ca="1" si="11"/>
        <v>#N/A</v>
      </c>
      <c r="BG8" s="1">
        <f t="shared" ca="1" si="12"/>
        <v>5.4339259999999993E-2</v>
      </c>
      <c r="BH8" s="1">
        <f t="shared" ca="1" si="13"/>
        <v>1.122948E-2</v>
      </c>
      <c r="BI8" s="1">
        <f t="shared" ca="1" si="14"/>
        <v>1.0529480000000001E-2</v>
      </c>
      <c r="BJ8" s="1">
        <f t="shared" ca="1" si="15"/>
        <v>1.007893E-2</v>
      </c>
      <c r="BK8" s="1">
        <f t="shared" ca="1" si="16"/>
        <v>4.5320140000000002E-2</v>
      </c>
      <c r="BL8" s="1">
        <f t="shared" ca="1" si="17"/>
        <v>4.1024999999999999E-2</v>
      </c>
      <c r="BM8" s="1">
        <f t="shared" ca="1" si="18"/>
        <v>0.04</v>
      </c>
      <c r="BN8" s="1">
        <f t="shared" ca="1" si="19"/>
        <v>5.4339259999999993E-2</v>
      </c>
      <c r="BP8">
        <f t="shared" ca="1" si="106"/>
        <v>173</v>
      </c>
      <c r="BQ8" s="169">
        <f t="shared" ca="1" si="20"/>
        <v>45838</v>
      </c>
      <c r="BR8" s="1">
        <f t="shared" ca="1" si="21"/>
        <v>4.8357748879533612E-3</v>
      </c>
      <c r="BS8" s="1">
        <f t="shared" ca="1" si="22"/>
        <v>4.329401489169782E-3</v>
      </c>
      <c r="BT8" s="1">
        <f t="shared" ca="1" si="23"/>
        <v>-7.5421139999999999E-3</v>
      </c>
      <c r="BU8" s="1">
        <f t="shared" ca="1" si="24"/>
        <v>5.0848299999999999E-2</v>
      </c>
      <c r="BV8" s="1" t="e">
        <f t="shared" ca="1" si="25"/>
        <v>#N/A</v>
      </c>
      <c r="BW8" s="1" t="e">
        <f t="shared" ca="1" si="26"/>
        <v>#N/A</v>
      </c>
      <c r="BX8" s="1" t="e">
        <f t="shared" ca="1" si="27"/>
        <v>#N/A</v>
      </c>
      <c r="BY8" s="1">
        <f t="shared" ca="1" si="28"/>
        <v>5.4339259999999993E-2</v>
      </c>
      <c r="BZ8" s="1">
        <f t="shared" ca="1" si="29"/>
        <v>1.122948E-2</v>
      </c>
      <c r="CA8" s="1">
        <f t="shared" ca="1" si="30"/>
        <v>1.0529480000000001E-2</v>
      </c>
      <c r="CB8" s="1">
        <f t="shared" ca="1" si="31"/>
        <v>1.007893E-2</v>
      </c>
      <c r="CC8" s="1">
        <f t="shared" ca="1" si="32"/>
        <v>4.5320140000000002E-2</v>
      </c>
      <c r="CD8" s="1">
        <f t="shared" ca="1" si="33"/>
        <v>4.1024999999999999E-2</v>
      </c>
      <c r="CE8" s="1">
        <f t="shared" ca="1" si="34"/>
        <v>0.04</v>
      </c>
      <c r="CF8" s="1">
        <f t="shared" ca="1" si="35"/>
        <v>5.4339259999999993E-2</v>
      </c>
      <c r="CH8">
        <f t="shared" ca="1" si="107"/>
        <v>161</v>
      </c>
      <c r="CI8" s="169">
        <f t="shared" ca="1" si="36"/>
        <v>45473</v>
      </c>
      <c r="CJ8" s="1">
        <f t="shared" ca="1" si="37"/>
        <v>1.9618040202060379E-2</v>
      </c>
      <c r="CK8" s="1">
        <f t="shared" ca="1" si="38"/>
        <v>1.9181031885381162E-2</v>
      </c>
      <c r="CL8" s="1">
        <f t="shared" ca="1" si="39"/>
        <v>-1.6201969999999999E-3</v>
      </c>
      <c r="CM8" s="1">
        <f t="shared" ca="1" si="40"/>
        <v>3.5878790000000001E-2</v>
      </c>
      <c r="CN8" s="1">
        <f t="shared" ca="1" si="41"/>
        <v>0</v>
      </c>
      <c r="CO8" s="1">
        <f t="shared" ca="1" si="42"/>
        <v>0</v>
      </c>
      <c r="CP8" s="1" t="e">
        <f t="shared" ca="1" si="43"/>
        <v>#N/A</v>
      </c>
      <c r="CQ8" s="1">
        <f t="shared" ca="1" si="44"/>
        <v>-9.264521999999999E-3</v>
      </c>
      <c r="CR8" s="1">
        <f t="shared" ca="1" si="45"/>
        <v>2.9304903650030998E-3</v>
      </c>
      <c r="CS8" s="1">
        <f t="shared" ca="1" si="46"/>
        <v>2.2657466972229178E-3</v>
      </c>
      <c r="CT8" s="1">
        <f t="shared" ca="1" si="47"/>
        <v>1.229474E-2</v>
      </c>
      <c r="CU8" s="1">
        <f t="shared" ca="1" si="48"/>
        <v>2.2624209999999999E-2</v>
      </c>
      <c r="CV8" s="1">
        <f t="shared" ca="1" si="49"/>
        <v>-2.372264E-2</v>
      </c>
      <c r="CW8" s="1">
        <f t="shared" ca="1" si="50"/>
        <v>-2.4747640000000001E-2</v>
      </c>
      <c r="CX8" s="1">
        <f t="shared" ca="1" si="51"/>
        <v>-9.264521999999999E-3</v>
      </c>
      <c r="CZ8">
        <f t="shared" ca="1" si="108"/>
        <v>149</v>
      </c>
      <c r="DA8" s="169">
        <f t="shared" ca="1" si="52"/>
        <v>45107</v>
      </c>
      <c r="DB8" s="1">
        <f t="shared" ca="1" si="53"/>
        <v>4.9628988125141299E-2</v>
      </c>
      <c r="DC8" s="1">
        <f t="shared" ca="1" si="54"/>
        <v>4.9069800185492826E-2</v>
      </c>
      <c r="DD8" s="1">
        <f t="shared" ca="1" si="55"/>
        <v>4.1423719999999997E-2</v>
      </c>
      <c r="DE8" s="1">
        <f t="shared" ca="1" si="56"/>
        <v>6.6073800000000002E-2</v>
      </c>
      <c r="DF8" s="1">
        <f t="shared" ca="1" si="57"/>
        <v>6.1854490000000005E-2</v>
      </c>
      <c r="DG8" s="1">
        <f t="shared" ca="1" si="58"/>
        <v>6.082949E-2</v>
      </c>
      <c r="DH8" s="1">
        <f t="shared" ca="1" si="59"/>
        <v>2.888866E-2</v>
      </c>
      <c r="DI8" s="1">
        <f t="shared" ca="1" si="60"/>
        <v>8.125694E-2</v>
      </c>
      <c r="DJ8" s="1">
        <f t="shared" ca="1" si="61"/>
        <v>4.4193750973587818E-2</v>
      </c>
      <c r="DK8" s="1">
        <f t="shared" ca="1" si="62"/>
        <v>4.3532564540588764E-2</v>
      </c>
      <c r="DL8" s="1">
        <f t="shared" ca="1" si="63"/>
        <v>2.7199000000000001E-2</v>
      </c>
      <c r="DM8" s="1">
        <f t="shared" ca="1" si="64"/>
        <v>5.8438999999999998E-2</v>
      </c>
      <c r="DN8" s="1">
        <f t="shared" ca="1" si="65"/>
        <v>0.10958949999999999</v>
      </c>
      <c r="DO8" s="1">
        <f t="shared" ca="1" si="66"/>
        <v>0.10856450000000001</v>
      </c>
      <c r="DP8" s="1">
        <f t="shared" ca="1" si="67"/>
        <v>8.125694E-2</v>
      </c>
      <c r="DR8">
        <f t="shared" ca="1" si="109"/>
        <v>125</v>
      </c>
      <c r="DS8" s="169">
        <f t="shared" ca="1" si="68"/>
        <v>44377</v>
      </c>
      <c r="DT8" s="1">
        <f t="shared" ca="1" si="69"/>
        <v>3.3105999999999997E-2</v>
      </c>
      <c r="DU8" s="1">
        <f t="shared" ca="1" si="70"/>
        <v>3.2516999999999997E-2</v>
      </c>
      <c r="DV8" s="1">
        <f t="shared" ca="1" si="71"/>
        <v>2.8556060000000001E-4</v>
      </c>
      <c r="DW8" s="1">
        <f t="shared" ca="1" si="72"/>
        <v>2.3341850000000001E-2</v>
      </c>
      <c r="DX8" s="1">
        <f t="shared" ca="1" si="73"/>
        <v>2.8210000000000002E-3</v>
      </c>
      <c r="DY8" s="1">
        <f t="shared" ca="1" si="74"/>
        <v>2.287E-3</v>
      </c>
      <c r="DZ8" s="1">
        <f t="shared" ca="1" si="75"/>
        <v>-6.8136490000000006E-3</v>
      </c>
      <c r="EA8" s="1">
        <f t="shared" ca="1" si="76"/>
        <v>1.9373029999999999E-2</v>
      </c>
      <c r="EB8" s="1">
        <f t="shared" ca="1" si="77"/>
        <v>1.7763999999999999E-2</v>
      </c>
      <c r="EC8" s="1">
        <f t="shared" ca="1" si="78"/>
        <v>1.7113E-2</v>
      </c>
      <c r="ED8" s="1">
        <f t="shared" ca="1" si="79"/>
        <v>6.9622417643923351E-3</v>
      </c>
      <c r="EE8" s="1">
        <f t="shared" ca="1" si="80"/>
        <v>1.35379E-2</v>
      </c>
      <c r="EF8" s="1">
        <f t="shared" ca="1" si="81"/>
        <v>1.1755710000000001E-2</v>
      </c>
      <c r="EG8" s="1">
        <f t="shared" ca="1" si="82"/>
        <v>1.0730710000000001E-2</v>
      </c>
      <c r="EH8" s="1">
        <f t="shared" ca="1" si="83"/>
        <v>1.9373029999999999E-2</v>
      </c>
      <c r="EJ8">
        <f t="shared" ca="1" si="110"/>
        <v>65</v>
      </c>
      <c r="EK8" s="169">
        <f t="shared" ca="1" si="84"/>
        <v>42551</v>
      </c>
      <c r="EL8" s="1">
        <f t="shared" ca="1" si="85"/>
        <v>2.9489999999999999E-2</v>
      </c>
      <c r="EM8" s="1">
        <f t="shared" ca="1" si="86"/>
        <v>2.8815E-2</v>
      </c>
      <c r="EN8" s="1">
        <f t="shared" ca="1" si="87"/>
        <v>5.7451663459117966E-2</v>
      </c>
      <c r="EO8" s="1">
        <f t="shared" ca="1" si="88"/>
        <v>2.5953603335601978E-3</v>
      </c>
      <c r="EP8" s="1">
        <f t="shared" ca="1" si="89"/>
        <v>2.5323000000000002E-2</v>
      </c>
      <c r="EQ8" s="1">
        <f t="shared" ca="1" si="90"/>
        <v>2.5017000000000001E-2</v>
      </c>
      <c r="ER8" s="1">
        <f t="shared" ca="1" si="91"/>
        <v>2.3200337367901037E-2</v>
      </c>
      <c r="ES8" s="1">
        <f t="shared" ca="1" si="92"/>
        <v>-6.3906032296119186E-4</v>
      </c>
      <c r="ET8" s="1">
        <f t="shared" ca="1" si="93"/>
        <v>4.2500000000000003E-2</v>
      </c>
      <c r="EU8" s="1">
        <f t="shared" ca="1" si="94"/>
        <v>4.2500000000000003E-2</v>
      </c>
      <c r="EV8" s="1">
        <f t="shared" ca="1" si="95"/>
        <v>4.5319740433686952E-2</v>
      </c>
      <c r="EW8" s="1">
        <f t="shared" ca="1" si="96"/>
        <v>-5.5098852259972938E-3</v>
      </c>
      <c r="EX8" s="1">
        <f t="shared" ca="1" si="97"/>
        <v>0</v>
      </c>
      <c r="EY8" s="1">
        <f t="shared" ca="1" si="98"/>
        <v>0</v>
      </c>
      <c r="EZ8" s="1">
        <f t="shared" ca="1" si="99"/>
        <v>-6.3906032296119186E-4</v>
      </c>
    </row>
    <row r="9" spans="1:156" x14ac:dyDescent="0.25">
      <c r="A9">
        <f t="shared" ca="1" si="103"/>
        <v>7</v>
      </c>
      <c r="B9" s="169">
        <f ca="1">IF('LC (Gross)'!A156="","",IF('LC (Gross)'!A156&gt;$AC$9,"",'LC (Gross)'!A156))</f>
        <v>40786</v>
      </c>
      <c r="C9" s="1">
        <f ca="1">IF(B9="","",(VLOOKUP(B9,'LC (Gross)'!A:D,4,FALSE)/100))</f>
        <v>4.2333333333333337E-3</v>
      </c>
      <c r="D9" s="1"/>
      <c r="E9" s="1"/>
      <c r="F9" s="1"/>
      <c r="G9" s="1">
        <f ca="1">IF(B9="","",(VLOOKUP(B9,'LC (Net)'!A:D,4,FALSE)/100))</f>
        <v>3.4000000000000002E-3</v>
      </c>
      <c r="H9" s="1"/>
      <c r="I9" s="1"/>
      <c r="J9" s="1"/>
      <c r="K9" s="1">
        <f ca="1">IF(B9="","",VLOOKUP(Website!B9,'LC (Gross)'!W:X,2,FALSE)/100)</f>
        <v>1.3343893997979192E-3</v>
      </c>
      <c r="L9" s="1">
        <f ca="1">IF(B9="","",VLOOKUP(Website!B9,'SC (Gross)'!P:Q,2,FALSE)/100)</f>
        <v>-2.5128141017627233E-2</v>
      </c>
      <c r="M9" s="1"/>
      <c r="O9" s="1">
        <f ca="1">IF(B9="","",VLOOKUP(Website!B9,'LC (Gross)'!J:K,2,FALSE)/100)</f>
        <v>-5.4329272165715432E-2</v>
      </c>
      <c r="P9" s="233">
        <f ca="1">IF(B9="","",(VLOOKUP(B9,'SC (Gross)'!J:K,2,FALSE))/100)</f>
        <v>-8.7002746676009324E-2</v>
      </c>
      <c r="S9" s="22">
        <f t="shared" ca="1" si="0"/>
        <v>5.8562605499048764E-2</v>
      </c>
      <c r="T9" s="22" t="str">
        <f t="shared" si="1"/>
        <v/>
      </c>
      <c r="U9" s="22" t="str">
        <f t="shared" si="2"/>
        <v/>
      </c>
      <c r="V9" s="22"/>
      <c r="W9" s="22">
        <f t="shared" ca="1" si="100"/>
        <v>5.5663661565513355E-2</v>
      </c>
      <c r="X9" s="22">
        <f t="shared" ca="1" si="101"/>
        <v>6.1874605658382091E-2</v>
      </c>
      <c r="Y9" s="22" t="str">
        <f t="shared" si="102"/>
        <v/>
      </c>
      <c r="AC9" s="169">
        <f ca="1">DATE(AC8,AC6,AC7)</f>
        <v>46022</v>
      </c>
      <c r="AI9" s="1"/>
      <c r="AJ9" s="1"/>
      <c r="AK9" s="1"/>
      <c r="AL9" s="1"/>
      <c r="AX9">
        <f t="shared" ca="1" si="105"/>
        <v>174</v>
      </c>
      <c r="AY9" s="169">
        <f t="shared" ca="1" si="4"/>
        <v>45869</v>
      </c>
      <c r="AZ9" s="1">
        <f t="shared" ca="1" si="5"/>
        <v>-3.5865398435556781E-3</v>
      </c>
      <c r="BA9" s="1">
        <f t="shared" ca="1" si="6"/>
        <v>-4.3939681521318963E-3</v>
      </c>
      <c r="BB9" s="1">
        <f t="shared" ca="1" si="7"/>
        <v>-2.9140759999999998E-3</v>
      </c>
      <c r="BC9" s="1">
        <f t="shared" ca="1" si="8"/>
        <v>2.2442899999999998E-2</v>
      </c>
      <c r="BD9" s="1" t="e">
        <f t="shared" ca="1" si="9"/>
        <v>#N/A</v>
      </c>
      <c r="BE9" s="1" t="e">
        <f t="shared" ca="1" si="10"/>
        <v>#N/A</v>
      </c>
      <c r="BF9" s="1" t="e">
        <f t="shared" ca="1" si="11"/>
        <v>#N/A</v>
      </c>
      <c r="BG9" s="1">
        <f t="shared" ca="1" si="12"/>
        <v>1.7346760000000003E-2</v>
      </c>
      <c r="BH9" s="1">
        <f t="shared" ca="1" si="13"/>
        <v>-2.5795980000000003E-2</v>
      </c>
      <c r="BI9" s="1">
        <f t="shared" ca="1" si="14"/>
        <v>-2.6495980000000002E-2</v>
      </c>
      <c r="BJ9" s="1">
        <f t="shared" ca="1" si="15"/>
        <v>-1.6278600000000001E-2</v>
      </c>
      <c r="BK9" s="1">
        <f t="shared" ca="1" si="16"/>
        <v>1.3846879999999999E-2</v>
      </c>
      <c r="BL9" s="1">
        <f t="shared" ca="1" si="17"/>
        <v>8.8476860000000004E-3</v>
      </c>
      <c r="BM9" s="1">
        <f t="shared" ca="1" si="18"/>
        <v>7.8226860000000006E-3</v>
      </c>
      <c r="BN9" s="1">
        <f t="shared" ca="1" si="19"/>
        <v>1.7346760000000003E-2</v>
      </c>
      <c r="BP9">
        <f t="shared" ca="1" si="106"/>
        <v>174</v>
      </c>
      <c r="BQ9" s="169">
        <f t="shared" ca="1" si="20"/>
        <v>45869</v>
      </c>
      <c r="BR9" s="1">
        <f t="shared" ca="1" si="21"/>
        <v>-3.5865398435556781E-3</v>
      </c>
      <c r="BS9" s="1">
        <f t="shared" ca="1" si="22"/>
        <v>-4.3939681521318963E-3</v>
      </c>
      <c r="BT9" s="1">
        <f t="shared" ca="1" si="23"/>
        <v>-2.9140759999999998E-3</v>
      </c>
      <c r="BU9" s="1">
        <f t="shared" ca="1" si="24"/>
        <v>2.2442899999999998E-2</v>
      </c>
      <c r="BV9" s="1" t="e">
        <f t="shared" ca="1" si="25"/>
        <v>#N/A</v>
      </c>
      <c r="BW9" s="1" t="e">
        <f t="shared" ca="1" si="26"/>
        <v>#N/A</v>
      </c>
      <c r="BX9" s="1" t="e">
        <f t="shared" ca="1" si="27"/>
        <v>#N/A</v>
      </c>
      <c r="BY9" s="1">
        <f t="shared" ca="1" si="28"/>
        <v>1.7346760000000003E-2</v>
      </c>
      <c r="BZ9" s="1">
        <f t="shared" ca="1" si="29"/>
        <v>-2.5795980000000003E-2</v>
      </c>
      <c r="CA9" s="1">
        <f t="shared" ca="1" si="30"/>
        <v>-2.6495980000000002E-2</v>
      </c>
      <c r="CB9" s="1">
        <f t="shared" ca="1" si="31"/>
        <v>-1.6278600000000001E-2</v>
      </c>
      <c r="CC9" s="1">
        <f t="shared" ca="1" si="32"/>
        <v>1.3846879999999999E-2</v>
      </c>
      <c r="CD9" s="1">
        <f t="shared" ca="1" si="33"/>
        <v>8.8476860000000004E-3</v>
      </c>
      <c r="CE9" s="1">
        <f t="shared" ca="1" si="34"/>
        <v>7.8226860000000006E-3</v>
      </c>
      <c r="CF9" s="1">
        <f t="shared" ca="1" si="35"/>
        <v>1.7346760000000003E-2</v>
      </c>
      <c r="CH9">
        <f t="shared" ca="1" si="107"/>
        <v>162</v>
      </c>
      <c r="CI9" s="169">
        <f t="shared" ca="1" si="36"/>
        <v>45504</v>
      </c>
      <c r="CJ9" s="1">
        <f t="shared" ca="1" si="37"/>
        <v>2.831799119855178E-2</v>
      </c>
      <c r="CK9" s="1">
        <f t="shared" ca="1" si="38"/>
        <v>2.7279068047180388E-2</v>
      </c>
      <c r="CL9" s="1">
        <f t="shared" ca="1" si="39"/>
        <v>4.4021290000000005E-2</v>
      </c>
      <c r="CM9" s="1">
        <f t="shared" ca="1" si="40"/>
        <v>1.2172529999999999E-2</v>
      </c>
      <c r="CN9" s="1">
        <f t="shared" ca="1" si="41"/>
        <v>0</v>
      </c>
      <c r="CO9" s="1" t="e">
        <f t="shared" ca="1" si="42"/>
        <v>#N/A</v>
      </c>
      <c r="CP9" s="1" t="e">
        <f t="shared" ca="1" si="43"/>
        <v>#N/A</v>
      </c>
      <c r="CQ9" s="1">
        <f t="shared" ca="1" si="44"/>
        <v>0.1015991</v>
      </c>
      <c r="CR9" s="1">
        <f t="shared" ca="1" si="45"/>
        <v>2.6325542624837085E-2</v>
      </c>
      <c r="CS9" s="1">
        <f t="shared" ca="1" si="46"/>
        <v>2.5553737156955223E-2</v>
      </c>
      <c r="CT9" s="1">
        <f t="shared" ca="1" si="47"/>
        <v>4.0605929999999998E-2</v>
      </c>
      <c r="CU9" s="1">
        <f t="shared" ca="1" si="48"/>
        <v>1.6436079999999999E-2</v>
      </c>
      <c r="CV9" s="1">
        <f t="shared" ca="1" si="49"/>
        <v>9.95225E-2</v>
      </c>
      <c r="CW9" s="1">
        <f t="shared" ca="1" si="50"/>
        <v>9.8497500000000002E-2</v>
      </c>
      <c r="CX9" s="1">
        <f t="shared" ca="1" si="51"/>
        <v>0.1015991</v>
      </c>
      <c r="CZ9">
        <f t="shared" ca="1" si="108"/>
        <v>150</v>
      </c>
      <c r="DA9" s="169">
        <f t="shared" ca="1" si="52"/>
        <v>45138</v>
      </c>
      <c r="DB9" s="1">
        <f t="shared" ca="1" si="53"/>
        <v>1.6975906447378512E-2</v>
      </c>
      <c r="DC9" s="1">
        <f t="shared" ca="1" si="54"/>
        <v>1.6373723154375863E-2</v>
      </c>
      <c r="DD9" s="1">
        <f t="shared" ca="1" si="55"/>
        <v>9.4963560000000009E-3</v>
      </c>
      <c r="DE9" s="1">
        <f t="shared" ca="1" si="56"/>
        <v>3.2125000000000001E-2</v>
      </c>
      <c r="DF9" s="1">
        <f t="shared" ca="1" si="57"/>
        <v>3.4908580000000002E-2</v>
      </c>
      <c r="DG9" s="1">
        <f t="shared" ca="1" si="58"/>
        <v>3.3883580000000003E-2</v>
      </c>
      <c r="DH9" s="1">
        <f t="shared" ca="1" si="59"/>
        <v>7.1115239999999996E-2</v>
      </c>
      <c r="DI9" s="1">
        <f t="shared" ca="1" si="60"/>
        <v>6.114903E-2</v>
      </c>
      <c r="DJ9" s="1">
        <f t="shared" ca="1" si="61"/>
        <v>1.1483673688421965E-2</v>
      </c>
      <c r="DK9" s="1">
        <f t="shared" ca="1" si="62"/>
        <v>1.0720313867897895E-2</v>
      </c>
      <c r="DL9" s="1">
        <f t="shared" ca="1" si="63"/>
        <v>1.6834999999999999E-2</v>
      </c>
      <c r="DM9" s="1">
        <f t="shared" ca="1" si="64"/>
        <v>3.6906000000000001E-2</v>
      </c>
      <c r="DN9" s="1">
        <f t="shared" ca="1" si="65"/>
        <v>4.5275999999999997E-2</v>
      </c>
      <c r="DO9" s="1">
        <f t="shared" ca="1" si="66"/>
        <v>4.4250999999999999E-2</v>
      </c>
      <c r="DP9" s="1">
        <f t="shared" ca="1" si="67"/>
        <v>6.114903E-2</v>
      </c>
      <c r="DR9">
        <f t="shared" ca="1" si="109"/>
        <v>126</v>
      </c>
      <c r="DS9" s="169">
        <f t="shared" ca="1" si="68"/>
        <v>44408</v>
      </c>
      <c r="DT9" s="1">
        <f t="shared" ca="1" si="69"/>
        <v>2.8786999999999997E-2</v>
      </c>
      <c r="DU9" s="1">
        <f t="shared" ca="1" si="70"/>
        <v>2.8003999999999998E-2</v>
      </c>
      <c r="DV9" s="1">
        <f t="shared" ca="1" si="71"/>
        <v>3.7171284999999998E-2</v>
      </c>
      <c r="DW9" s="1">
        <f t="shared" ca="1" si="72"/>
        <v>2.3753170000000001E-2</v>
      </c>
      <c r="DX9" s="1">
        <f t="shared" ca="1" si="73"/>
        <v>1.8425E-2</v>
      </c>
      <c r="DY9" s="1">
        <f t="shared" ca="1" si="74"/>
        <v>1.7547E-2</v>
      </c>
      <c r="DZ9" s="1">
        <f t="shared" ca="1" si="75"/>
        <v>1.004436E-2</v>
      </c>
      <c r="EA9" s="1">
        <f t="shared" ca="1" si="76"/>
        <v>-3.6109000000000002E-2</v>
      </c>
      <c r="EB9" s="1">
        <f t="shared" ca="1" si="77"/>
        <v>1.4047E-2</v>
      </c>
      <c r="EC9" s="1">
        <f t="shared" ca="1" si="78"/>
        <v>1.3266E-2</v>
      </c>
      <c r="ED9" s="1">
        <f t="shared" ca="1" si="79"/>
        <v>1.6058762145677741E-2</v>
      </c>
      <c r="EE9" s="1">
        <f t="shared" ca="1" si="80"/>
        <v>7.1776589999999994E-3</v>
      </c>
      <c r="EF9" s="1">
        <f t="shared" ca="1" si="81"/>
        <v>-1.869188574317495E-2</v>
      </c>
      <c r="EG9" s="1">
        <f t="shared" ca="1" si="82"/>
        <v>-1.9716885743174952E-2</v>
      </c>
      <c r="EH9" s="1">
        <f t="shared" ca="1" si="83"/>
        <v>-3.6109000000000002E-2</v>
      </c>
      <c r="EJ9">
        <f t="shared" ca="1" si="110"/>
        <v>66</v>
      </c>
      <c r="EK9" s="169">
        <f t="shared" ca="1" si="84"/>
        <v>42582</v>
      </c>
      <c r="EL9" s="1">
        <f t="shared" ca="1" si="85"/>
        <v>1.6184E-2</v>
      </c>
      <c r="EM9" s="1">
        <f t="shared" ca="1" si="86"/>
        <v>1.5397000000000001E-2</v>
      </c>
      <c r="EN9" s="1">
        <f t="shared" ca="1" si="87"/>
        <v>3.3481285804241802E-3</v>
      </c>
      <c r="EO9" s="1">
        <f t="shared" ca="1" si="88"/>
        <v>3.6864546457923149E-2</v>
      </c>
      <c r="EP9" s="1">
        <f t="shared" ca="1" si="89"/>
        <v>2.963E-2</v>
      </c>
      <c r="EQ9" s="1">
        <f t="shared" ca="1" si="90"/>
        <v>2.8793000000000003E-2</v>
      </c>
      <c r="ER9" s="1">
        <f t="shared" ca="1" si="91"/>
        <v>3.4202124714725925E-2</v>
      </c>
      <c r="ES9" s="1">
        <f t="shared" ca="1" si="92"/>
        <v>5.9706867954982139E-2</v>
      </c>
      <c r="ET9" s="1">
        <f t="shared" ca="1" si="93"/>
        <v>1.3450999999999999E-2</v>
      </c>
      <c r="EU9" s="1">
        <f t="shared" ca="1" si="94"/>
        <v>1.3450999999999999E-2</v>
      </c>
      <c r="EV9" s="1">
        <f t="shared" ca="1" si="95"/>
        <v>2.0357905288696923E-2</v>
      </c>
      <c r="EW9" s="1">
        <f t="shared" ca="1" si="96"/>
        <v>4.3578224690770717E-2</v>
      </c>
      <c r="EX9" s="1">
        <f t="shared" ca="1" si="97"/>
        <v>0</v>
      </c>
      <c r="EY9" s="1">
        <f t="shared" ca="1" si="98"/>
        <v>0</v>
      </c>
      <c r="EZ9" s="1">
        <f t="shared" ca="1" si="99"/>
        <v>5.9706867954982139E-2</v>
      </c>
    </row>
    <row r="10" spans="1:156" x14ac:dyDescent="0.25">
      <c r="A10">
        <f t="shared" ca="1" si="103"/>
        <v>8</v>
      </c>
      <c r="B10" s="169">
        <f ca="1">IF('LC (Gross)'!A157="","",IF('LC (Gross)'!A157&gt;$AC$9,"",'LC (Gross)'!A157))</f>
        <v>40816</v>
      </c>
      <c r="C10" s="1">
        <f ca="1">IF(B10="","",(VLOOKUP(B10,'LC (Gross)'!A:D,4,FALSE)/100))</f>
        <v>-1.1166666666666667E-2</v>
      </c>
      <c r="D10" s="1"/>
      <c r="E10" s="1"/>
      <c r="F10" s="1"/>
      <c r="G10" s="1">
        <f ca="1">IF(B10="","",(VLOOKUP(B10,'LC (Net)'!A:D,4,FALSE)/100))</f>
        <v>-1.2E-2</v>
      </c>
      <c r="H10" s="1"/>
      <c r="I10" s="1"/>
      <c r="J10" s="1"/>
      <c r="K10" s="1">
        <f ca="1">IF(B10="","",VLOOKUP(Website!B10,'LC (Gross)'!W:X,2,FALSE)/100)</f>
        <v>-2.1512708512735804E-2</v>
      </c>
      <c r="L10" s="1">
        <f ca="1">IF(B10="","",VLOOKUP(Website!B10,'SC (Gross)'!P:Q,2,FALSE)/100)</f>
        <v>-7.3070017953321256E-2</v>
      </c>
      <c r="M10" s="1"/>
      <c r="O10" s="1">
        <f ca="1">IF(B10="","",VLOOKUP(Website!B10,'LC (Gross)'!J:K,2,FALSE)/100)</f>
        <v>-7.0299391305309669E-2</v>
      </c>
      <c r="P10" s="233">
        <f ca="1">IF(B10="","",(VLOOKUP(B10,'SC (Gross)'!J:K,2,FALSE))/100)</f>
        <v>-0.11210228059624475</v>
      </c>
      <c r="S10" s="22">
        <f t="shared" ca="1" si="0"/>
        <v>5.9132724638643004E-2</v>
      </c>
      <c r="T10" s="22" t="str">
        <f t="shared" si="1"/>
        <v/>
      </c>
      <c r="U10" s="22" t="str">
        <f t="shared" si="2"/>
        <v/>
      </c>
      <c r="V10" s="22"/>
      <c r="W10" s="22">
        <f t="shared" ca="1" si="100"/>
        <v>4.8786682792573866E-2</v>
      </c>
      <c r="X10" s="22">
        <f t="shared" ca="1" si="101"/>
        <v>3.903226264292349E-2</v>
      </c>
      <c r="Y10" s="22" t="str">
        <f t="shared" si="102"/>
        <v/>
      </c>
      <c r="AC10">
        <f ca="1">IF(AC6=3,1,IF(AC6=6,2,IF(AC6=9,3,4)))</f>
        <v>4</v>
      </c>
      <c r="AX10">
        <f t="shared" ca="1" si="105"/>
        <v>175</v>
      </c>
      <c r="AY10" s="169">
        <f t="shared" ca="1" si="4"/>
        <v>45900</v>
      </c>
      <c r="AZ10" s="1">
        <f t="shared" ca="1" si="5"/>
        <v>2.7301060489229353E-2</v>
      </c>
      <c r="BA10" s="1">
        <f t="shared" ca="1" si="6"/>
        <v>2.6797035488596386E-2</v>
      </c>
      <c r="BB10" s="1">
        <f t="shared" ca="1" si="7"/>
        <v>1.5505150000000001E-2</v>
      </c>
      <c r="BC10" s="1">
        <f t="shared" ca="1" si="8"/>
        <v>2.0271819999999999E-2</v>
      </c>
      <c r="BD10" s="1" t="e">
        <f t="shared" ca="1" si="9"/>
        <v>#N/A</v>
      </c>
      <c r="BE10" s="1" t="e">
        <f t="shared" ca="1" si="10"/>
        <v>#N/A</v>
      </c>
      <c r="BF10" s="1" t="e">
        <f t="shared" ca="1" si="11"/>
        <v>#N/A</v>
      </c>
      <c r="BG10" s="1">
        <f t="shared" ca="1" si="12"/>
        <v>7.1434139999999993E-2</v>
      </c>
      <c r="BH10" s="1">
        <f t="shared" ca="1" si="13"/>
        <v>2.3329969999999998E-2</v>
      </c>
      <c r="BI10" s="1">
        <f t="shared" ca="1" si="14"/>
        <v>2.2629969999999999E-2</v>
      </c>
      <c r="BJ10" s="1">
        <f t="shared" ca="1" si="15"/>
        <v>2.3530319999999997E-2</v>
      </c>
      <c r="BK10" s="1">
        <f t="shared" ca="1" si="16"/>
        <v>2.5172910000000003E-2</v>
      </c>
      <c r="BL10" s="1">
        <f t="shared" ca="1" si="17"/>
        <v>8.2849059999999988E-2</v>
      </c>
      <c r="BM10" s="1">
        <f t="shared" ca="1" si="18"/>
        <v>8.1824060000000004E-2</v>
      </c>
      <c r="BN10" s="1">
        <f t="shared" ca="1" si="19"/>
        <v>7.1434139999999993E-2</v>
      </c>
      <c r="BP10">
        <f t="shared" ca="1" si="106"/>
        <v>175</v>
      </c>
      <c r="BQ10" s="169">
        <f t="shared" ca="1" si="20"/>
        <v>45900</v>
      </c>
      <c r="BR10" s="1">
        <f t="shared" ca="1" si="21"/>
        <v>2.7301060489229353E-2</v>
      </c>
      <c r="BS10" s="1">
        <f t="shared" ca="1" si="22"/>
        <v>2.6797035488596386E-2</v>
      </c>
      <c r="BT10" s="1">
        <f t="shared" ca="1" si="23"/>
        <v>1.5505150000000001E-2</v>
      </c>
      <c r="BU10" s="1">
        <f t="shared" ca="1" si="24"/>
        <v>2.0271819999999999E-2</v>
      </c>
      <c r="BV10" s="1" t="e">
        <f t="shared" ca="1" si="25"/>
        <v>#N/A</v>
      </c>
      <c r="BW10" s="1" t="e">
        <f t="shared" ca="1" si="26"/>
        <v>#N/A</v>
      </c>
      <c r="BX10" s="1" t="e">
        <f t="shared" ca="1" si="27"/>
        <v>#N/A</v>
      </c>
      <c r="BY10" s="1">
        <f t="shared" ca="1" si="28"/>
        <v>7.1434139999999993E-2</v>
      </c>
      <c r="BZ10" s="1">
        <f t="shared" ca="1" si="29"/>
        <v>2.3329969999999998E-2</v>
      </c>
      <c r="CA10" s="1">
        <f t="shared" ca="1" si="30"/>
        <v>2.2629969999999999E-2</v>
      </c>
      <c r="CB10" s="1">
        <f t="shared" ca="1" si="31"/>
        <v>2.3530319999999997E-2</v>
      </c>
      <c r="CC10" s="1">
        <f t="shared" ca="1" si="32"/>
        <v>2.5172910000000003E-2</v>
      </c>
      <c r="CD10" s="1">
        <f t="shared" ca="1" si="33"/>
        <v>8.2849059999999988E-2</v>
      </c>
      <c r="CE10" s="1">
        <f t="shared" ca="1" si="34"/>
        <v>8.1824060000000004E-2</v>
      </c>
      <c r="CF10" s="1">
        <f t="shared" ca="1" si="35"/>
        <v>7.1434139999999993E-2</v>
      </c>
      <c r="CH10">
        <f t="shared" ca="1" si="107"/>
        <v>163</v>
      </c>
      <c r="CI10" s="169">
        <f t="shared" ca="1" si="36"/>
        <v>45535</v>
      </c>
      <c r="CJ10" s="1">
        <f t="shared" ca="1" si="37"/>
        <v>5.0407000699022798E-2</v>
      </c>
      <c r="CK10" s="1">
        <f t="shared" ca="1" si="38"/>
        <v>4.9884144927988247E-2</v>
      </c>
      <c r="CL10" s="1">
        <f t="shared" ca="1" si="39"/>
        <v>5.2126460000000006E-2</v>
      </c>
      <c r="CM10" s="1">
        <f t="shared" ca="1" si="40"/>
        <v>2.4257540000000001E-2</v>
      </c>
      <c r="CN10" s="1">
        <f t="shared" ca="1" si="41"/>
        <v>0</v>
      </c>
      <c r="CO10" s="1" t="e">
        <f t="shared" ca="1" si="42"/>
        <v>#N/A</v>
      </c>
      <c r="CP10" s="1" t="e">
        <f t="shared" ca="1" si="43"/>
        <v>#N/A</v>
      </c>
      <c r="CQ10" s="1">
        <f t="shared" ca="1" si="44"/>
        <v>-1.4953719999999998E-2</v>
      </c>
      <c r="CR10" s="1">
        <f t="shared" ca="1" si="45"/>
        <v>3.7140227881264122E-2</v>
      </c>
      <c r="CS10" s="1">
        <f t="shared" ca="1" si="46"/>
        <v>3.6476639369329274E-2</v>
      </c>
      <c r="CT10" s="1">
        <f t="shared" ca="1" si="47"/>
        <v>4.6167090000000001E-2</v>
      </c>
      <c r="CU10" s="1">
        <f t="shared" ca="1" si="48"/>
        <v>2.5737969999999999E-2</v>
      </c>
      <c r="CV10" s="1">
        <f t="shared" ca="1" si="49"/>
        <v>-1.7819979999999999E-2</v>
      </c>
      <c r="CW10" s="1">
        <f t="shared" ca="1" si="50"/>
        <v>-1.8844980000000001E-2</v>
      </c>
      <c r="CX10" s="1">
        <f t="shared" ca="1" si="51"/>
        <v>-1.4953719999999998E-2</v>
      </c>
      <c r="CZ10">
        <f t="shared" ca="1" si="108"/>
        <v>151</v>
      </c>
      <c r="DA10" s="169">
        <f t="shared" ca="1" si="52"/>
        <v>45169</v>
      </c>
      <c r="DB10" s="1">
        <f t="shared" ca="1" si="53"/>
        <v>-2.1062522896691166E-2</v>
      </c>
      <c r="DC10" s="1">
        <f t="shared" ca="1" si="54"/>
        <v>-2.1652389652342074E-2</v>
      </c>
      <c r="DD10" s="1">
        <f t="shared" ca="1" si="55"/>
        <v>-2.9815350000000001E-2</v>
      </c>
      <c r="DE10" s="1">
        <f t="shared" ca="1" si="56"/>
        <v>-1.5921680000000001E-2</v>
      </c>
      <c r="DF10" s="1">
        <f t="shared" ca="1" si="57"/>
        <v>-3.510945E-2</v>
      </c>
      <c r="DG10" s="1">
        <f t="shared" ca="1" si="58"/>
        <v>-3.6134449999999999E-2</v>
      </c>
      <c r="DH10" s="1">
        <f t="shared" ca="1" si="59"/>
        <v>-3.0401669999999999E-2</v>
      </c>
      <c r="DI10" s="1">
        <f t="shared" ca="1" si="60"/>
        <v>-5.0064710000000005E-2</v>
      </c>
      <c r="DJ10" s="1">
        <f t="shared" ca="1" si="61"/>
        <v>-2.0007244223140173E-2</v>
      </c>
      <c r="DK10" s="1">
        <f t="shared" ca="1" si="62"/>
        <v>-2.0673644510230765E-2</v>
      </c>
      <c r="DL10" s="1">
        <f t="shared" ca="1" si="63"/>
        <v>-1.8962E-2</v>
      </c>
      <c r="DM10" s="1">
        <f t="shared" ca="1" si="64"/>
        <v>-2.7650000000000001E-2</v>
      </c>
      <c r="DN10" s="1">
        <f t="shared" ca="1" si="65"/>
        <v>-4.3782220000000004E-2</v>
      </c>
      <c r="DO10" s="1">
        <f t="shared" ca="1" si="66"/>
        <v>-4.4807220000000002E-2</v>
      </c>
      <c r="DP10" s="1">
        <f t="shared" ca="1" si="67"/>
        <v>-5.0064710000000005E-2</v>
      </c>
      <c r="DR10">
        <f t="shared" ca="1" si="109"/>
        <v>127</v>
      </c>
      <c r="DS10" s="169">
        <f t="shared" ca="1" si="68"/>
        <v>44439</v>
      </c>
      <c r="DT10" s="1">
        <f t="shared" ca="1" si="69"/>
        <v>2.2487E-2</v>
      </c>
      <c r="DU10" s="1">
        <f t="shared" ca="1" si="70"/>
        <v>2.1901E-2</v>
      </c>
      <c r="DV10" s="1">
        <f t="shared" ca="1" si="71"/>
        <v>1.7447090000000002E-2</v>
      </c>
      <c r="DW10" s="1">
        <f t="shared" ca="1" si="72"/>
        <v>3.0406559999999999E-2</v>
      </c>
      <c r="DX10" s="1">
        <f t="shared" ca="1" si="73"/>
        <v>7.5290000000000001E-3</v>
      </c>
      <c r="DY10" s="1">
        <f t="shared" ca="1" si="74"/>
        <v>7.0550000000000005E-3</v>
      </c>
      <c r="DZ10" s="1">
        <f t="shared" ca="1" si="75"/>
        <v>3.0405049999999999E-2</v>
      </c>
      <c r="EA10" s="1">
        <f t="shared" ca="1" si="76"/>
        <v>2.2345830000000001E-2</v>
      </c>
      <c r="EB10" s="1">
        <f t="shared" ca="1" si="77"/>
        <v>2.5014999999999999E-2</v>
      </c>
      <c r="EC10" s="1">
        <f t="shared" ca="1" si="78"/>
        <v>2.4364E-2</v>
      </c>
      <c r="ED10" s="1">
        <f t="shared" ca="1" si="79"/>
        <v>2.2169819999999996E-2</v>
      </c>
      <c r="EE10" s="1">
        <f t="shared" ca="1" si="80"/>
        <v>2.535803E-2</v>
      </c>
      <c r="EF10" s="1">
        <f t="shared" ca="1" si="81"/>
        <v>-2.5851080000000005E-3</v>
      </c>
      <c r="EG10" s="1">
        <f t="shared" ca="1" si="82"/>
        <v>-3.6101080000000003E-3</v>
      </c>
      <c r="EH10" s="1">
        <f t="shared" ca="1" si="83"/>
        <v>2.2345830000000001E-2</v>
      </c>
      <c r="EJ10">
        <f t="shared" ca="1" si="110"/>
        <v>67</v>
      </c>
      <c r="EK10" s="169">
        <f t="shared" ca="1" si="84"/>
        <v>42613</v>
      </c>
      <c r="EL10" s="1">
        <f t="shared" ca="1" si="85"/>
        <v>-1.6608999999999999E-2</v>
      </c>
      <c r="EM10" s="1">
        <f t="shared" ca="1" si="86"/>
        <v>-1.7051E-2</v>
      </c>
      <c r="EN10" s="1">
        <f t="shared" ca="1" si="87"/>
        <v>-1.8827779393531134E-2</v>
      </c>
      <c r="EO10" s="1">
        <f t="shared" ca="1" si="88"/>
        <v>1.4072129967986941E-3</v>
      </c>
      <c r="EP10" s="1">
        <f t="shared" ca="1" si="89"/>
        <v>1.8649999999999999E-3</v>
      </c>
      <c r="EQ10" s="1">
        <f t="shared" ca="1" si="90"/>
        <v>1.5640000000000001E-3</v>
      </c>
      <c r="ER10" s="1">
        <f t="shared" ca="1" si="91"/>
        <v>2.0068640221742422E-2</v>
      </c>
      <c r="ES10" s="1">
        <f t="shared" ca="1" si="92"/>
        <v>1.7677409666168632E-2</v>
      </c>
      <c r="ET10" s="1">
        <f t="shared" ca="1" si="93"/>
        <v>-1.55E-2</v>
      </c>
      <c r="EU10" s="1">
        <f t="shared" ca="1" si="94"/>
        <v>-1.55E-2</v>
      </c>
      <c r="EV10" s="1">
        <f t="shared" ca="1" si="95"/>
        <v>-2.4016955553767955E-2</v>
      </c>
      <c r="EW10" s="1">
        <f t="shared" ca="1" si="96"/>
        <v>3.9014406351650334E-3</v>
      </c>
      <c r="EX10" s="1">
        <f t="shared" ca="1" si="97"/>
        <v>0</v>
      </c>
      <c r="EY10" s="1">
        <f t="shared" ca="1" si="98"/>
        <v>0</v>
      </c>
      <c r="EZ10" s="1">
        <f t="shared" ca="1" si="99"/>
        <v>1.7677409666168632E-2</v>
      </c>
    </row>
    <row r="11" spans="1:156" x14ac:dyDescent="0.25">
      <c r="A11">
        <f t="shared" ca="1" si="103"/>
        <v>9</v>
      </c>
      <c r="B11" s="169">
        <f ca="1">IF('LC (Gross)'!A158="","",IF('LC (Gross)'!A158&gt;$AC$9,"",'LC (Gross)'!A158))</f>
        <v>40847</v>
      </c>
      <c r="C11" s="1">
        <f ca="1">IF(B11="","",(VLOOKUP(B11,'LC (Gross)'!A:D,4,FALSE)/100))</f>
        <v>3.4733333333333338E-2</v>
      </c>
      <c r="D11" s="1"/>
      <c r="E11" s="1"/>
      <c r="F11" s="1"/>
      <c r="G11" s="1">
        <f ca="1">IF(B11="","",(VLOOKUP(B11,'LC (Net)'!A:D,4,FALSE)/100))</f>
        <v>3.39E-2</v>
      </c>
      <c r="H11" s="1"/>
      <c r="I11" s="1"/>
      <c r="J11" s="1"/>
      <c r="K11" s="1">
        <f ca="1">IF(B11="","",VLOOKUP(Website!B11,'LC (Gross)'!W:X,2,FALSE)/100)</f>
        <v>5.9136873236220987E-2</v>
      </c>
      <c r="L11" s="1">
        <f ca="1">IF(B11="","",VLOOKUP(Website!B11,'SC (Gross)'!P:Q,2,FALSE)/100)</f>
        <v>0.10728812152403082</v>
      </c>
      <c r="M11" s="1"/>
      <c r="O11" s="1">
        <f ca="1">IF(B11="","",VLOOKUP(Website!B11,'LC (Gross)'!J:K,2,FALSE)/100)</f>
        <v>0.10928827311434473</v>
      </c>
      <c r="P11" s="233">
        <f ca="1">IF(B11="","",(VLOOKUP(B11,'SC (Gross)'!J:K,2,FALSE))/100)</f>
        <v>0.1513580194155395</v>
      </c>
      <c r="S11" s="22">
        <f t="shared" ca="1" si="0"/>
        <v>-7.4554939781011395E-2</v>
      </c>
      <c r="T11" s="22" t="str">
        <f t="shared" si="1"/>
        <v/>
      </c>
      <c r="U11" s="22" t="str">
        <f t="shared" si="2"/>
        <v/>
      </c>
      <c r="V11" s="22"/>
      <c r="W11" s="22">
        <f t="shared" ca="1" si="100"/>
        <v>-5.0151399878123747E-2</v>
      </c>
      <c r="X11" s="22">
        <f t="shared" ca="1" si="101"/>
        <v>-4.4069897891508683E-2</v>
      </c>
      <c r="Y11" s="22" t="str">
        <f t="shared" si="102"/>
        <v/>
      </c>
      <c r="AX11">
        <f t="shared" ca="1" si="105"/>
        <v>176</v>
      </c>
      <c r="AY11" s="169">
        <f t="shared" ca="1" si="4"/>
        <v>45930</v>
      </c>
      <c r="AZ11" s="1">
        <f t="shared" ca="1" si="5"/>
        <v>1.273984284453792E-2</v>
      </c>
      <c r="BA11" s="1">
        <f t="shared" ca="1" si="6"/>
        <v>1.2208076362087074E-2</v>
      </c>
      <c r="BB11" s="1">
        <f t="shared" ca="1" si="7"/>
        <v>2.1070530000000002E-3</v>
      </c>
      <c r="BC11" s="1">
        <f t="shared" ca="1" si="8"/>
        <v>3.640438E-2</v>
      </c>
      <c r="BD11" s="1" t="e">
        <f t="shared" ca="1" si="9"/>
        <v>#N/A</v>
      </c>
      <c r="BE11" s="1" t="e">
        <f t="shared" ca="1" si="10"/>
        <v>#N/A</v>
      </c>
      <c r="BF11" s="1" t="e">
        <f t="shared" ca="1" si="11"/>
        <v>#N/A</v>
      </c>
      <c r="BG11" s="1">
        <f t="shared" ca="1" si="12"/>
        <v>3.1113100000000001E-2</v>
      </c>
      <c r="BH11" s="1">
        <f t="shared" ca="1" si="13"/>
        <v>3.3295689999999996E-2</v>
      </c>
      <c r="BI11" s="1">
        <f t="shared" ca="1" si="14"/>
        <v>3.2595689999999997E-2</v>
      </c>
      <c r="BJ11" s="1">
        <f t="shared" ca="1" si="15"/>
        <v>5.321465E-3</v>
      </c>
      <c r="BK11" s="1">
        <f t="shared" ca="1" si="16"/>
        <v>3.665293E-2</v>
      </c>
      <c r="BL11" s="1">
        <f t="shared" ca="1" si="17"/>
        <v>-1.067676E-3</v>
      </c>
      <c r="BM11" s="1">
        <f t="shared" ca="1" si="18"/>
        <v>-2.0926759999999999E-3</v>
      </c>
      <c r="BN11" s="1">
        <f t="shared" ca="1" si="19"/>
        <v>3.1113100000000001E-2</v>
      </c>
      <c r="BP11">
        <f t="shared" ca="1" si="106"/>
        <v>176</v>
      </c>
      <c r="BQ11" s="169">
        <f t="shared" ca="1" si="20"/>
        <v>45930</v>
      </c>
      <c r="BR11" s="1">
        <f t="shared" ca="1" si="21"/>
        <v>1.273984284453792E-2</v>
      </c>
      <c r="BS11" s="1">
        <f t="shared" ca="1" si="22"/>
        <v>1.2208076362087074E-2</v>
      </c>
      <c r="BT11" s="1">
        <f t="shared" ca="1" si="23"/>
        <v>2.1070530000000002E-3</v>
      </c>
      <c r="BU11" s="1">
        <f t="shared" ca="1" si="24"/>
        <v>3.640438E-2</v>
      </c>
      <c r="BV11" s="1" t="e">
        <f t="shared" ca="1" si="25"/>
        <v>#N/A</v>
      </c>
      <c r="BW11" s="1" t="e">
        <f t="shared" ca="1" si="26"/>
        <v>#N/A</v>
      </c>
      <c r="BX11" s="1" t="e">
        <f t="shared" ca="1" si="27"/>
        <v>#N/A</v>
      </c>
      <c r="BY11" s="1">
        <f t="shared" ca="1" si="28"/>
        <v>3.1113100000000001E-2</v>
      </c>
      <c r="BZ11" s="1">
        <f t="shared" ca="1" si="29"/>
        <v>3.3295689999999996E-2</v>
      </c>
      <c r="CA11" s="1">
        <f t="shared" ca="1" si="30"/>
        <v>3.2595689999999997E-2</v>
      </c>
      <c r="CB11" s="1">
        <f t="shared" ca="1" si="31"/>
        <v>5.321465E-3</v>
      </c>
      <c r="CC11" s="1">
        <f t="shared" ca="1" si="32"/>
        <v>3.665293E-2</v>
      </c>
      <c r="CD11" s="1">
        <f t="shared" ca="1" si="33"/>
        <v>-1.067676E-3</v>
      </c>
      <c r="CE11" s="1">
        <f t="shared" ca="1" si="34"/>
        <v>-2.0926759999999999E-3</v>
      </c>
      <c r="CF11" s="1">
        <f t="shared" ca="1" si="35"/>
        <v>3.1113100000000001E-2</v>
      </c>
      <c r="CH11">
        <f t="shared" ca="1" si="107"/>
        <v>164</v>
      </c>
      <c r="CI11" s="169">
        <f t="shared" ca="1" si="36"/>
        <v>45565</v>
      </c>
      <c r="CJ11" s="1">
        <f t="shared" ca="1" si="37"/>
        <v>4.1410713689470063E-3</v>
      </c>
      <c r="CK11" s="1">
        <f t="shared" ca="1" si="38"/>
        <v>3.6247302426418125E-3</v>
      </c>
      <c r="CL11" s="1">
        <f t="shared" ca="1" si="39"/>
        <v>1.059823E-2</v>
      </c>
      <c r="CM11" s="1">
        <f t="shared" ca="1" si="40"/>
        <v>2.1354150000000002E-2</v>
      </c>
      <c r="CN11" s="1">
        <f t="shared" ca="1" si="41"/>
        <v>0</v>
      </c>
      <c r="CO11" s="1" t="e">
        <f t="shared" ca="1" si="42"/>
        <v>#N/A</v>
      </c>
      <c r="CP11" s="1" t="e">
        <f t="shared" ca="1" si="43"/>
        <v>#N/A</v>
      </c>
      <c r="CQ11" s="1">
        <f t="shared" ca="1" si="44"/>
        <v>6.9889100000000001E-3</v>
      </c>
      <c r="CR11" s="1">
        <f t="shared" ca="1" si="45"/>
        <v>2.0445989999999992E-4</v>
      </c>
      <c r="CS11" s="1">
        <f t="shared" ca="1" si="46"/>
        <v>-4.9554010000000008E-4</v>
      </c>
      <c r="CT11" s="1">
        <f t="shared" ca="1" si="47"/>
        <v>1.028713E-2</v>
      </c>
      <c r="CU11" s="1">
        <f t="shared" ca="1" si="48"/>
        <v>2.3676279999999997E-2</v>
      </c>
      <c r="CV11" s="1">
        <f t="shared" ca="1" si="49"/>
        <v>1.3416570000000001E-2</v>
      </c>
      <c r="CW11" s="1">
        <f t="shared" ca="1" si="50"/>
        <v>1.2391570000000001E-2</v>
      </c>
      <c r="CX11" s="1">
        <f t="shared" ca="1" si="51"/>
        <v>6.9889100000000001E-3</v>
      </c>
      <c r="CZ11">
        <f t="shared" ca="1" si="108"/>
        <v>152</v>
      </c>
      <c r="DA11" s="169">
        <f t="shared" ca="1" si="52"/>
        <v>45199</v>
      </c>
      <c r="DB11" s="1">
        <f t="shared" ca="1" si="53"/>
        <v>-2.2848957873521945E-2</v>
      </c>
      <c r="DC11" s="1">
        <f t="shared" ca="1" si="54"/>
        <v>-2.342679022940369E-2</v>
      </c>
      <c r="DD11" s="1">
        <f t="shared" ca="1" si="55"/>
        <v>-3.7838289999999997E-2</v>
      </c>
      <c r="DE11" s="1">
        <f t="shared" ca="1" si="56"/>
        <v>-4.7678450000000004E-2</v>
      </c>
      <c r="DF11" s="1">
        <f t="shared" ca="1" si="57"/>
        <v>-3.9951460000000001E-2</v>
      </c>
      <c r="DG11" s="1">
        <f t="shared" ca="1" si="58"/>
        <v>-4.0976459999999999E-2</v>
      </c>
      <c r="DH11" s="1">
        <f t="shared" ca="1" si="59"/>
        <v>-4.2968180000000002E-2</v>
      </c>
      <c r="DI11" s="1">
        <f t="shared" ca="1" si="60"/>
        <v>-5.8905890000000002E-2</v>
      </c>
      <c r="DJ11" s="1">
        <f t="shared" ca="1" si="61"/>
        <v>-2.2444274492501616E-2</v>
      </c>
      <c r="DK11" s="1">
        <f t="shared" ca="1" si="62"/>
        <v>-2.3112636895573732E-2</v>
      </c>
      <c r="DL11" s="1">
        <f t="shared" ca="1" si="63"/>
        <v>-2.1179999999999997E-2</v>
      </c>
      <c r="DM11" s="1">
        <f t="shared" ca="1" si="64"/>
        <v>-4.0971E-2</v>
      </c>
      <c r="DN11" s="1">
        <f t="shared" ca="1" si="65"/>
        <v>-4.8793179999999998E-2</v>
      </c>
      <c r="DO11" s="1">
        <f t="shared" ca="1" si="66"/>
        <v>-4.9818179999999997E-2</v>
      </c>
      <c r="DP11" s="1">
        <f t="shared" ca="1" si="67"/>
        <v>-5.8905890000000002E-2</v>
      </c>
      <c r="DR11">
        <f t="shared" ca="1" si="109"/>
        <v>128</v>
      </c>
      <c r="DS11" s="169">
        <f t="shared" ca="1" si="68"/>
        <v>44469</v>
      </c>
      <c r="DT11" s="1">
        <f t="shared" ca="1" si="69"/>
        <v>-5.7928E-2</v>
      </c>
      <c r="DU11" s="1">
        <f t="shared" ca="1" si="70"/>
        <v>-5.8513000000000003E-2</v>
      </c>
      <c r="DV11" s="1">
        <f t="shared" ca="1" si="71"/>
        <v>-4.8769060000000003E-2</v>
      </c>
      <c r="DW11" s="1">
        <f t="shared" ca="1" si="72"/>
        <v>-4.6523870000000002E-2</v>
      </c>
      <c r="DX11" s="1">
        <f t="shared" ca="1" si="73"/>
        <v>-3.1543000000000002E-2</v>
      </c>
      <c r="DY11" s="1">
        <f t="shared" ca="1" si="74"/>
        <v>-3.2017999999999998E-2</v>
      </c>
      <c r="DZ11" s="1">
        <f t="shared" ca="1" si="75"/>
        <v>-3.1253700000000002E-2</v>
      </c>
      <c r="EA11" s="1">
        <f t="shared" ca="1" si="76"/>
        <v>-2.948974E-2</v>
      </c>
      <c r="EB11" s="1">
        <f t="shared" ca="1" si="77"/>
        <v>-3.7179000000000004E-2</v>
      </c>
      <c r="EC11" s="1">
        <f t="shared" ca="1" si="78"/>
        <v>-3.7831000000000004E-2</v>
      </c>
      <c r="ED11" s="1">
        <f t="shared" ca="1" si="79"/>
        <v>-3.5062980000000001E-2</v>
      </c>
      <c r="EE11" s="1">
        <f t="shared" ca="1" si="80"/>
        <v>-4.080425E-2</v>
      </c>
      <c r="EF11" s="1">
        <f t="shared" ca="1" si="81"/>
        <v>-2.5372510000000001E-2</v>
      </c>
      <c r="EG11" s="1">
        <f t="shared" ca="1" si="82"/>
        <v>-2.6397509999999999E-2</v>
      </c>
      <c r="EH11" s="1">
        <f t="shared" ca="1" si="83"/>
        <v>-2.948974E-2</v>
      </c>
      <c r="EJ11">
        <f t="shared" ca="1" si="110"/>
        <v>68</v>
      </c>
      <c r="EK11" s="169">
        <f t="shared" ca="1" si="84"/>
        <v>42643</v>
      </c>
      <c r="EL11" s="1">
        <f t="shared" ca="1" si="85"/>
        <v>-1.2156999999999999E-2</v>
      </c>
      <c r="EM11" s="1">
        <f t="shared" ca="1" si="86"/>
        <v>-1.2599000000000001E-2</v>
      </c>
      <c r="EN11" s="1">
        <f t="shared" ca="1" si="87"/>
        <v>-9.7297409735981506E-3</v>
      </c>
      <c r="EO11" s="1">
        <f t="shared" ca="1" si="88"/>
        <v>1.867100831628743E-4</v>
      </c>
      <c r="EP11" s="1">
        <f t="shared" ca="1" si="89"/>
        <v>5.202E-3</v>
      </c>
      <c r="EQ11" s="1">
        <f t="shared" ca="1" si="90"/>
        <v>4.8980000000000004E-3</v>
      </c>
      <c r="ER11" s="1">
        <f t="shared" ca="1" si="91"/>
        <v>-3.3353353119879806E-3</v>
      </c>
      <c r="ES11" s="1">
        <f t="shared" ca="1" si="92"/>
        <v>1.1138247744474569E-2</v>
      </c>
      <c r="ET11" s="1">
        <f t="shared" ca="1" si="93"/>
        <v>-4.4000000000000003E-3</v>
      </c>
      <c r="EU11" s="1">
        <f t="shared" ca="1" si="94"/>
        <v>-4.4000000000000003E-3</v>
      </c>
      <c r="EV11" s="1">
        <f t="shared" ca="1" si="95"/>
        <v>2.96863876489457E-3</v>
      </c>
      <c r="EW11" s="1">
        <f t="shared" ca="1" si="96"/>
        <v>6.5793906038007308E-3</v>
      </c>
      <c r="EX11" s="1">
        <f t="shared" ca="1" si="97"/>
        <v>0</v>
      </c>
      <c r="EY11" s="1">
        <f t="shared" ca="1" si="98"/>
        <v>0</v>
      </c>
      <c r="EZ11" s="1">
        <f t="shared" ca="1" si="99"/>
        <v>1.1138247744474569E-2</v>
      </c>
    </row>
    <row r="12" spans="1:156" x14ac:dyDescent="0.25">
      <c r="A12">
        <f t="shared" ca="1" si="103"/>
        <v>10</v>
      </c>
      <c r="B12" s="169">
        <f ca="1">IF('LC (Gross)'!A159="","",IF('LC (Gross)'!A159&gt;$AC$9,"",'LC (Gross)'!A159))</f>
        <v>40877</v>
      </c>
      <c r="C12" s="1">
        <f ca="1">IF(B12="","",(VLOOKUP(B12,'LC (Gross)'!A:D,4,FALSE)/100))</f>
        <v>5.1333333333333335E-3</v>
      </c>
      <c r="D12" s="1"/>
      <c r="E12" s="1"/>
      <c r="F12" s="1"/>
      <c r="G12" s="1">
        <f ca="1">IF(B12="","",(VLOOKUP(B12,'LC (Net)'!A:D,4,FALSE)/100))</f>
        <v>4.3E-3</v>
      </c>
      <c r="H12" s="1"/>
      <c r="I12" s="1"/>
      <c r="J12" s="1"/>
      <c r="K12" s="1">
        <f ca="1">IF(B12="","",VLOOKUP(Website!B12,'LC (Gross)'!W:X,2,FALSE)/100)</f>
        <v>1.1541474235654638E-2</v>
      </c>
      <c r="L12" s="1">
        <f ca="1">IF(B12="","",VLOOKUP(Website!B12,'SC (Gross)'!P:Q,2,FALSE)/100)</f>
        <v>4.4229543835975407E-3</v>
      </c>
      <c r="M12" s="1"/>
      <c r="O12" s="1">
        <f ca="1">IF(B12="","",VLOOKUP(Website!B12,'LC (Gross)'!J:K,2,FALSE)/100)</f>
        <v>-2.2168556951224464E-3</v>
      </c>
      <c r="P12" s="233">
        <f ca="1">IF(B12="","",(VLOOKUP(B12,'SC (Gross)'!J:K,2,FALSE))/100)</f>
        <v>-3.6476645321503764E-3</v>
      </c>
      <c r="S12" s="22">
        <f t="shared" ca="1" si="0"/>
        <v>7.3501890284557794E-3</v>
      </c>
      <c r="T12" s="22" t="str">
        <f t="shared" si="1"/>
        <v/>
      </c>
      <c r="U12" s="22" t="str">
        <f t="shared" si="2"/>
        <v/>
      </c>
      <c r="V12" s="22"/>
      <c r="W12" s="22">
        <f t="shared" ca="1" si="100"/>
        <v>1.3758329930777084E-2</v>
      </c>
      <c r="X12" s="22">
        <f t="shared" ca="1" si="101"/>
        <v>8.0706189157479166E-3</v>
      </c>
      <c r="Y12" s="22" t="str">
        <f t="shared" si="102"/>
        <v/>
      </c>
      <c r="AX12">
        <f t="shared" ca="1" si="105"/>
        <v>177</v>
      </c>
      <c r="AY12" s="169">
        <f t="shared" ca="1" si="4"/>
        <v>45961</v>
      </c>
      <c r="AZ12" s="1">
        <f t="shared" ca="1" si="5"/>
        <v>-6.8231271707644111E-4</v>
      </c>
      <c r="BA12" s="1">
        <f t="shared" ca="1" si="6"/>
        <v>-1.2385999129374185E-3</v>
      </c>
      <c r="BB12" s="1">
        <f t="shared" ca="1" si="7"/>
        <v>-3.7181140000000001E-2</v>
      </c>
      <c r="BC12" s="1">
        <f t="shared" ca="1" si="8"/>
        <v>2.3413639999999999E-2</v>
      </c>
      <c r="BD12" s="1" t="e">
        <f t="shared" ca="1" si="9"/>
        <v>#N/A</v>
      </c>
      <c r="BE12" s="1" t="e">
        <f t="shared" ca="1" si="10"/>
        <v>#N/A</v>
      </c>
      <c r="BF12" s="1" t="e">
        <f t="shared" ca="1" si="11"/>
        <v>#N/A</v>
      </c>
      <c r="BG12" s="1">
        <f t="shared" ca="1" si="12"/>
        <v>1.809146E-2</v>
      </c>
      <c r="BH12" s="1">
        <f t="shared" ca="1" si="13"/>
        <v>-1.928262E-2</v>
      </c>
      <c r="BI12" s="1">
        <f t="shared" ca="1" si="14"/>
        <v>-1.998262E-2</v>
      </c>
      <c r="BJ12" s="1">
        <f t="shared" ca="1" si="15"/>
        <v>-1.4094850000000001E-2</v>
      </c>
      <c r="BK12" s="1">
        <f t="shared" ca="1" si="16"/>
        <v>2.255368E-2</v>
      </c>
      <c r="BL12" s="1">
        <f t="shared" ca="1" si="17"/>
        <v>-1.2156549999999999E-2</v>
      </c>
      <c r="BM12" s="1">
        <f t="shared" ca="1" si="18"/>
        <v>-1.318155E-2</v>
      </c>
      <c r="BN12" s="1">
        <f t="shared" ca="1" si="19"/>
        <v>1.809146E-2</v>
      </c>
      <c r="BP12">
        <f t="shared" ca="1" si="106"/>
        <v>177</v>
      </c>
      <c r="BQ12" s="169">
        <f t="shared" ca="1" si="20"/>
        <v>45961</v>
      </c>
      <c r="BR12" s="1">
        <f t="shared" ca="1" si="21"/>
        <v>-6.8231271707644111E-4</v>
      </c>
      <c r="BS12" s="1">
        <f t="shared" ca="1" si="22"/>
        <v>-1.2385999129374185E-3</v>
      </c>
      <c r="BT12" s="1">
        <f t="shared" ca="1" si="23"/>
        <v>-3.7181140000000001E-2</v>
      </c>
      <c r="BU12" s="1">
        <f t="shared" ca="1" si="24"/>
        <v>2.3413639999999999E-2</v>
      </c>
      <c r="BV12" s="1" t="e">
        <f t="shared" ca="1" si="25"/>
        <v>#N/A</v>
      </c>
      <c r="BW12" s="1" t="e">
        <f t="shared" ca="1" si="26"/>
        <v>#N/A</v>
      </c>
      <c r="BX12" s="1" t="e">
        <f t="shared" ca="1" si="27"/>
        <v>#N/A</v>
      </c>
      <c r="BY12" s="1">
        <f t="shared" ca="1" si="28"/>
        <v>1.809146E-2</v>
      </c>
      <c r="BZ12" s="1">
        <f t="shared" ca="1" si="29"/>
        <v>-1.928262E-2</v>
      </c>
      <c r="CA12" s="1">
        <f t="shared" ca="1" si="30"/>
        <v>-1.998262E-2</v>
      </c>
      <c r="CB12" s="1">
        <f t="shared" ca="1" si="31"/>
        <v>-1.4094850000000001E-2</v>
      </c>
      <c r="CC12" s="1">
        <f t="shared" ca="1" si="32"/>
        <v>2.255368E-2</v>
      </c>
      <c r="CD12" s="1">
        <f t="shared" ca="1" si="33"/>
        <v>-1.2156549999999999E-2</v>
      </c>
      <c r="CE12" s="1">
        <f t="shared" ca="1" si="34"/>
        <v>-1.318155E-2</v>
      </c>
      <c r="CF12" s="1">
        <f t="shared" ca="1" si="35"/>
        <v>1.809146E-2</v>
      </c>
      <c r="CH12">
        <f t="shared" ca="1" si="107"/>
        <v>165</v>
      </c>
      <c r="CI12" s="169">
        <f t="shared" ca="1" si="36"/>
        <v>45596</v>
      </c>
      <c r="CJ12" s="1">
        <f t="shared" ca="1" si="37"/>
        <v>-2.837943522339902E-2</v>
      </c>
      <c r="CK12" s="1">
        <f t="shared" ca="1" si="38"/>
        <v>-2.8920142538052706E-2</v>
      </c>
      <c r="CL12" s="1">
        <f t="shared" ca="1" si="39"/>
        <v>-8.7954690000000002E-3</v>
      </c>
      <c r="CM12" s="1">
        <f t="shared" ca="1" si="40"/>
        <v>-9.1531749999999995E-3</v>
      </c>
      <c r="CN12" s="1">
        <f t="shared" ca="1" si="41"/>
        <v>0</v>
      </c>
      <c r="CO12" s="1" t="e">
        <f t="shared" ca="1" si="42"/>
        <v>#N/A</v>
      </c>
      <c r="CP12" s="1" t="e">
        <f t="shared" ca="1" si="43"/>
        <v>#N/A</v>
      </c>
      <c r="CQ12" s="1">
        <f t="shared" ca="1" si="44"/>
        <v>-1.444409E-2</v>
      </c>
      <c r="CR12" s="1">
        <f t="shared" ca="1" si="45"/>
        <v>-3.4005010000000002E-2</v>
      </c>
      <c r="CS12" s="1">
        <f t="shared" ca="1" si="46"/>
        <v>-3.4705010000000001E-2</v>
      </c>
      <c r="CT12" s="1">
        <f t="shared" ca="1" si="47"/>
        <v>-2.4867189999999997E-2</v>
      </c>
      <c r="CU12" s="1">
        <f t="shared" ca="1" si="48"/>
        <v>-2.211631E-2</v>
      </c>
      <c r="CV12" s="1">
        <f t="shared" ca="1" si="49"/>
        <v>-2.8962759999999997E-2</v>
      </c>
      <c r="CW12" s="1">
        <f t="shared" ca="1" si="50"/>
        <v>-2.9987759999999999E-2</v>
      </c>
      <c r="CX12" s="1">
        <f t="shared" ca="1" si="51"/>
        <v>-1.444409E-2</v>
      </c>
      <c r="CZ12">
        <f t="shared" ca="1" si="108"/>
        <v>153</v>
      </c>
      <c r="DA12" s="169">
        <f t="shared" ca="1" si="52"/>
        <v>45230</v>
      </c>
      <c r="DB12" s="1">
        <f t="shared" ca="1" si="53"/>
        <v>-9.4426173619984125E-3</v>
      </c>
      <c r="DC12" s="1">
        <f t="shared" ca="1" si="54"/>
        <v>-1.0039554517785295E-2</v>
      </c>
      <c r="DD12" s="1">
        <f t="shared" ca="1" si="55"/>
        <v>-4.116817E-3</v>
      </c>
      <c r="DE12" s="1">
        <f t="shared" ca="1" si="56"/>
        <v>-2.1025820000000001E-2</v>
      </c>
      <c r="DF12" s="1">
        <f t="shared" ca="1" si="57"/>
        <v>-1.8065910000000001E-2</v>
      </c>
      <c r="DG12" s="1">
        <f t="shared" ca="1" si="58"/>
        <v>-1.9090910000000003E-2</v>
      </c>
      <c r="DH12" s="1">
        <f t="shared" ca="1" si="59"/>
        <v>-2.5646769999999999E-2</v>
      </c>
      <c r="DI12" s="1">
        <f t="shared" ca="1" si="60"/>
        <v>-6.8217509999999995E-2</v>
      </c>
      <c r="DJ12" s="1">
        <f t="shared" ca="1" si="61"/>
        <v>-1.2443623587775126E-2</v>
      </c>
      <c r="DK12" s="1">
        <f t="shared" ca="1" si="62"/>
        <v>-1.3198598656500818E-2</v>
      </c>
      <c r="DL12" s="1">
        <f t="shared" ca="1" si="63"/>
        <v>-1.6892000000000001E-2</v>
      </c>
      <c r="DM12" s="1">
        <f t="shared" ca="1" si="64"/>
        <v>-2.9870000000000001E-2</v>
      </c>
      <c r="DN12" s="1">
        <f t="shared" ca="1" si="65"/>
        <v>-6.2120810000000005E-2</v>
      </c>
      <c r="DO12" s="1">
        <f t="shared" ca="1" si="66"/>
        <v>-6.3145810000000011E-2</v>
      </c>
      <c r="DP12" s="1">
        <f t="shared" ca="1" si="67"/>
        <v>-6.8217509999999995E-2</v>
      </c>
      <c r="DR12">
        <f t="shared" ca="1" si="109"/>
        <v>129</v>
      </c>
      <c r="DS12" s="169">
        <f t="shared" ca="1" si="68"/>
        <v>44500</v>
      </c>
      <c r="DT12" s="1">
        <f t="shared" ca="1" si="69"/>
        <v>8.2568000000000003E-2</v>
      </c>
      <c r="DU12" s="1">
        <f t="shared" ca="1" si="70"/>
        <v>8.1766000000000005E-2</v>
      </c>
      <c r="DV12" s="1">
        <f t="shared" ca="1" si="71"/>
        <v>4.7223910000000001E-2</v>
      </c>
      <c r="DW12" s="1">
        <f t="shared" ca="1" si="72"/>
        <v>7.0051260000000004E-2</v>
      </c>
      <c r="DX12" s="1">
        <f t="shared" ca="1" si="73"/>
        <v>4.7294000000000003E-2</v>
      </c>
      <c r="DY12" s="1">
        <f t="shared" ca="1" si="74"/>
        <v>4.6417E-2</v>
      </c>
      <c r="DZ12" s="1">
        <f t="shared" ca="1" si="75"/>
        <v>4.4607630000000002E-2</v>
      </c>
      <c r="EA12" s="1">
        <f t="shared" ca="1" si="76"/>
        <v>4.2539100000000003E-2</v>
      </c>
      <c r="EB12" s="1">
        <f t="shared" ca="1" si="77"/>
        <v>5.9665999999999997E-2</v>
      </c>
      <c r="EC12" s="1">
        <f t="shared" ca="1" si="78"/>
        <v>5.8882000000000004E-2</v>
      </c>
      <c r="ED12" s="1">
        <f t="shared" ca="1" si="79"/>
        <v>2.5486770000000002E-2</v>
      </c>
      <c r="EE12" s="1">
        <f t="shared" ca="1" si="80"/>
        <v>5.1259629999999994E-2</v>
      </c>
      <c r="EF12" s="1">
        <f t="shared" ca="1" si="81"/>
        <v>3.132803E-2</v>
      </c>
      <c r="EG12" s="1">
        <f t="shared" ca="1" si="82"/>
        <v>3.0303029999999998E-2</v>
      </c>
      <c r="EH12" s="1">
        <f t="shared" ca="1" si="83"/>
        <v>4.2539100000000003E-2</v>
      </c>
      <c r="EJ12">
        <f t="shared" ca="1" si="110"/>
        <v>69</v>
      </c>
      <c r="EK12" s="169">
        <f t="shared" ca="1" si="84"/>
        <v>42674</v>
      </c>
      <c r="EL12" s="1">
        <f t="shared" ca="1" si="85"/>
        <v>-2.4225E-2</v>
      </c>
      <c r="EM12" s="1">
        <f t="shared" ca="1" si="86"/>
        <v>-2.4656999999999998E-2</v>
      </c>
      <c r="EN12" s="1">
        <f t="shared" ca="1" si="87"/>
        <v>-2.2460824677302472E-2</v>
      </c>
      <c r="EO12" s="1">
        <f t="shared" ca="1" si="88"/>
        <v>-1.8241743085794966E-2</v>
      </c>
      <c r="EP12" s="1">
        <f t="shared" ca="1" si="89"/>
        <v>-1.2204999999999999E-2</v>
      </c>
      <c r="EQ12" s="1">
        <f t="shared" ca="1" si="90"/>
        <v>-1.2514000000000001E-2</v>
      </c>
      <c r="ER12" s="1">
        <f t="shared" ca="1" si="91"/>
        <v>-2.0254497586660754E-2</v>
      </c>
      <c r="ES12" s="1">
        <f t="shared" ca="1" si="92"/>
        <v>-4.7540048686390585E-2</v>
      </c>
      <c r="ET12" s="1">
        <f t="shared" ca="1" si="93"/>
        <v>-2.8500000000000001E-2</v>
      </c>
      <c r="EU12" s="1">
        <f t="shared" ca="1" si="94"/>
        <v>-2.8500000000000001E-2</v>
      </c>
      <c r="EV12" s="1">
        <f t="shared" ca="1" si="95"/>
        <v>-2.9743388892292218E-2</v>
      </c>
      <c r="EW12" s="1">
        <f t="shared" ca="1" si="96"/>
        <v>-1.6692833411041334E-2</v>
      </c>
      <c r="EX12" s="1">
        <f t="shared" ca="1" si="97"/>
        <v>0</v>
      </c>
      <c r="EY12" s="1">
        <f t="shared" ca="1" si="98"/>
        <v>0</v>
      </c>
      <c r="EZ12" s="1">
        <f t="shared" ca="1" si="99"/>
        <v>-4.7540048686390585E-2</v>
      </c>
    </row>
    <row r="13" spans="1:156" x14ac:dyDescent="0.25">
      <c r="A13">
        <f t="shared" ca="1" si="103"/>
        <v>11</v>
      </c>
      <c r="B13" s="169">
        <f ca="1">IF('LC (Gross)'!A160="","",IF('LC (Gross)'!A160&gt;$AC$9,"",'LC (Gross)'!A160))</f>
        <v>40908</v>
      </c>
      <c r="C13" s="1">
        <f ca="1">IF(B13="","",(VLOOKUP(B13,'LC (Gross)'!A:D,4,FALSE)/100))</f>
        <v>3.2233333333333336E-2</v>
      </c>
      <c r="D13" s="1"/>
      <c r="E13" s="1"/>
      <c r="F13" s="1"/>
      <c r="G13" s="1">
        <f ca="1">IF(B13="","",(VLOOKUP(B13,'LC (Net)'!A:D,4,FALSE)/100))</f>
        <v>3.1400000000000004E-2</v>
      </c>
      <c r="H13" s="1"/>
      <c r="I13" s="1"/>
      <c r="J13" s="1"/>
      <c r="K13" s="1">
        <f ca="1">IF(B13="","",VLOOKUP(Website!B13,'LC (Gross)'!W:X,2,FALSE)/100)</f>
        <v>3.1585377034718684E-2</v>
      </c>
      <c r="L13" s="1">
        <f ca="1">IF(B13="","",VLOOKUP(Website!B13,'SC (Gross)'!P:Q,2,FALSE)/100)</f>
        <v>1.7937331293304069E-2</v>
      </c>
      <c r="M13" s="1"/>
      <c r="O13" s="1">
        <f ca="1">IF(B13="","",VLOOKUP(Website!B13,'LC (Gross)'!J:K,2,FALSE)/100)</f>
        <v>1.0206481768649647E-2</v>
      </c>
      <c r="P13" s="233">
        <f ca="1">IF(B13="","",(VLOOKUP(B13,'SC (Gross)'!J:K,2,FALSE))/100)</f>
        <v>6.6069199871902065E-3</v>
      </c>
      <c r="S13" s="22">
        <f t="shared" ca="1" si="0"/>
        <v>2.2026851564683689E-2</v>
      </c>
      <c r="T13" s="22" t="str">
        <f t="shared" si="1"/>
        <v/>
      </c>
      <c r="U13" s="22" t="str">
        <f t="shared" si="2"/>
        <v/>
      </c>
      <c r="V13" s="22"/>
      <c r="W13" s="22">
        <f t="shared" ca="1" si="100"/>
        <v>2.1378895266069037E-2</v>
      </c>
      <c r="X13" s="22">
        <f t="shared" ca="1" si="101"/>
        <v>1.1330411306113862E-2</v>
      </c>
      <c r="Y13" s="22" t="str">
        <f t="shared" si="102"/>
        <v/>
      </c>
      <c r="AX13">
        <f t="shared" ca="1" si="105"/>
        <v>178</v>
      </c>
      <c r="AY13" s="169">
        <f t="shared" ca="1" si="4"/>
        <v>45991</v>
      </c>
      <c r="AZ13" s="1">
        <f t="shared" ca="1" si="5"/>
        <v>3.8182025384643492E-2</v>
      </c>
      <c r="BA13" s="1">
        <f t="shared" ca="1" si="6"/>
        <v>3.7661618229367512E-2</v>
      </c>
      <c r="BB13" s="1">
        <f t="shared" ca="1" si="7"/>
        <v>3.85893E-2</v>
      </c>
      <c r="BC13" s="1">
        <f t="shared" ca="1" si="8"/>
        <v>2.4512030000000003E-3</v>
      </c>
      <c r="BD13" s="1" t="e">
        <f t="shared" ca="1" si="9"/>
        <v>#N/A</v>
      </c>
      <c r="BE13" s="1" t="e">
        <f t="shared" ca="1" si="10"/>
        <v>#N/A</v>
      </c>
      <c r="BF13" s="1" t="e">
        <f t="shared" ca="1" si="11"/>
        <v>#N/A</v>
      </c>
      <c r="BG13" s="1">
        <f t="shared" ca="1" si="12"/>
        <v>9.5805179999999997E-3</v>
      </c>
      <c r="BH13" s="1">
        <f t="shared" ca="1" si="13"/>
        <v>3.1137349999999998E-2</v>
      </c>
      <c r="BI13" s="1">
        <f t="shared" ca="1" si="14"/>
        <v>3.0437349999999998E-2</v>
      </c>
      <c r="BJ13" s="1">
        <f t="shared" ca="1" si="15"/>
        <v>2.3607E-2</v>
      </c>
      <c r="BK13" s="1">
        <f t="shared" ca="1" si="16"/>
        <v>1.8736109999999999E-4</v>
      </c>
      <c r="BL13" s="1">
        <f t="shared" ca="1" si="17"/>
        <v>1.1953960000000001E-2</v>
      </c>
      <c r="BM13" s="1">
        <f t="shared" ca="1" si="18"/>
        <v>1.0928960000000001E-2</v>
      </c>
      <c r="BN13" s="1">
        <f t="shared" ca="1" si="19"/>
        <v>9.5805179999999997E-3</v>
      </c>
      <c r="BP13">
        <f t="shared" ca="1" si="106"/>
        <v>178</v>
      </c>
      <c r="BQ13" s="169">
        <f t="shared" ca="1" si="20"/>
        <v>45991</v>
      </c>
      <c r="BR13" s="1">
        <f t="shared" ca="1" si="21"/>
        <v>3.8182025384643492E-2</v>
      </c>
      <c r="BS13" s="1">
        <f t="shared" ca="1" si="22"/>
        <v>3.7661618229367512E-2</v>
      </c>
      <c r="BT13" s="1">
        <f t="shared" ca="1" si="23"/>
        <v>3.85893E-2</v>
      </c>
      <c r="BU13" s="1">
        <f t="shared" ca="1" si="24"/>
        <v>2.4512030000000003E-3</v>
      </c>
      <c r="BV13" s="1" t="e">
        <f t="shared" ca="1" si="25"/>
        <v>#N/A</v>
      </c>
      <c r="BW13" s="1" t="e">
        <f t="shared" ca="1" si="26"/>
        <v>#N/A</v>
      </c>
      <c r="BX13" s="1" t="e">
        <f t="shared" ca="1" si="27"/>
        <v>#N/A</v>
      </c>
      <c r="BY13" s="1">
        <f t="shared" ca="1" si="28"/>
        <v>9.5805179999999997E-3</v>
      </c>
      <c r="BZ13" s="1">
        <f t="shared" ca="1" si="29"/>
        <v>3.1137349999999998E-2</v>
      </c>
      <c r="CA13" s="1">
        <f t="shared" ca="1" si="30"/>
        <v>3.0437349999999998E-2</v>
      </c>
      <c r="CB13" s="1">
        <f t="shared" ca="1" si="31"/>
        <v>2.3607E-2</v>
      </c>
      <c r="CC13" s="1">
        <f t="shared" ca="1" si="32"/>
        <v>1.8736109999999999E-4</v>
      </c>
      <c r="CD13" s="1">
        <f t="shared" ca="1" si="33"/>
        <v>1.1953960000000001E-2</v>
      </c>
      <c r="CE13" s="1">
        <f t="shared" ca="1" si="34"/>
        <v>1.0928960000000001E-2</v>
      </c>
      <c r="CF13" s="1">
        <f t="shared" ca="1" si="35"/>
        <v>9.5805179999999997E-3</v>
      </c>
      <c r="CH13">
        <f t="shared" ca="1" si="107"/>
        <v>166</v>
      </c>
      <c r="CI13" s="169">
        <f t="shared" ca="1" si="36"/>
        <v>45626</v>
      </c>
      <c r="CJ13" s="1">
        <f t="shared" ca="1" si="37"/>
        <v>7.127046480052722E-2</v>
      </c>
      <c r="CK13" s="1">
        <f t="shared" ca="1" si="38"/>
        <v>7.0755668790189269E-2</v>
      </c>
      <c r="CL13" s="1">
        <f t="shared" ca="1" si="39"/>
        <v>5.5308940000000001E-2</v>
      </c>
      <c r="CM13" s="1">
        <f t="shared" ca="1" si="40"/>
        <v>5.8699979999999999E-2</v>
      </c>
      <c r="CN13" s="1">
        <f t="shared" ca="1" si="41"/>
        <v>0</v>
      </c>
      <c r="CO13" s="1" t="e">
        <f t="shared" ca="1" si="42"/>
        <v>#N/A</v>
      </c>
      <c r="CP13" s="1" t="e">
        <f t="shared" ca="1" si="43"/>
        <v>#N/A</v>
      </c>
      <c r="CQ13" s="1">
        <f t="shared" ca="1" si="44"/>
        <v>0.10966110000000001</v>
      </c>
      <c r="CR13" s="1">
        <f t="shared" ca="1" si="45"/>
        <v>4.0504829999999999E-2</v>
      </c>
      <c r="CS13" s="1">
        <f t="shared" ca="1" si="46"/>
        <v>3.9804829999999999E-2</v>
      </c>
      <c r="CT13" s="1">
        <f t="shared" ca="1" si="47"/>
        <v>2.9571960000000001E-2</v>
      </c>
      <c r="CU13" s="1">
        <f t="shared" ca="1" si="48"/>
        <v>3.7734209999999997E-2</v>
      </c>
      <c r="CV13" s="1">
        <f t="shared" ca="1" si="49"/>
        <v>8.9668529999999982E-2</v>
      </c>
      <c r="CW13" s="1">
        <f t="shared" ca="1" si="50"/>
        <v>8.8643529999999998E-2</v>
      </c>
      <c r="CX13" s="1">
        <f t="shared" ca="1" si="51"/>
        <v>0.10966110000000001</v>
      </c>
      <c r="CZ13">
        <f t="shared" ca="1" si="108"/>
        <v>154</v>
      </c>
      <c r="DA13" s="169">
        <f t="shared" ca="1" si="52"/>
        <v>45260</v>
      </c>
      <c r="DB13" s="1">
        <f t="shared" ca="1" si="53"/>
        <v>6.8032830611097633E-2</v>
      </c>
      <c r="DC13" s="1">
        <f t="shared" ca="1" si="54"/>
        <v>6.7473040628722156E-2</v>
      </c>
      <c r="DD13" s="1">
        <f t="shared" ca="1" si="55"/>
        <v>5.3373739999999996E-2</v>
      </c>
      <c r="DE13" s="1">
        <f t="shared" ca="1" si="56"/>
        <v>9.1325980000000001E-2</v>
      </c>
      <c r="DF13" s="1">
        <f t="shared" ca="1" si="57"/>
        <v>6.779694E-2</v>
      </c>
      <c r="DG13" s="1">
        <f t="shared" ca="1" si="58"/>
        <v>6.6771940000000002E-2</v>
      </c>
      <c r="DH13" s="1">
        <f t="shared" ca="1" si="59"/>
        <v>6.0607249999999994E-2</v>
      </c>
      <c r="DI13" s="1">
        <f t="shared" ca="1" si="60"/>
        <v>9.0285180000000007E-2</v>
      </c>
      <c r="DJ13" s="1">
        <f t="shared" ca="1" si="61"/>
        <v>5.9887544830788321E-2</v>
      </c>
      <c r="DK13" s="1">
        <f t="shared" ca="1" si="62"/>
        <v>5.9218905451178604E-2</v>
      </c>
      <c r="DL13" s="1">
        <f t="shared" ca="1" si="63"/>
        <v>5.0140749999999998E-2</v>
      </c>
      <c r="DM13" s="1">
        <f t="shared" ca="1" si="64"/>
        <v>9.2788260000000011E-2</v>
      </c>
      <c r="DN13" s="1">
        <f t="shared" ca="1" si="65"/>
        <v>8.5992319999999983E-2</v>
      </c>
      <c r="DO13" s="1">
        <f t="shared" ca="1" si="66"/>
        <v>8.4967319999999999E-2</v>
      </c>
      <c r="DP13" s="1">
        <f t="shared" ca="1" si="67"/>
        <v>9.0285180000000007E-2</v>
      </c>
      <c r="DR13">
        <f t="shared" ca="1" si="109"/>
        <v>130</v>
      </c>
      <c r="DS13" s="169">
        <f t="shared" ca="1" si="68"/>
        <v>44530</v>
      </c>
      <c r="DT13" s="1">
        <f t="shared" ca="1" si="69"/>
        <v>-1.6644000000000003E-2</v>
      </c>
      <c r="DU13" s="1">
        <f t="shared" ca="1" si="70"/>
        <v>-1.7231E-2</v>
      </c>
      <c r="DV13" s="1">
        <f t="shared" ca="1" si="71"/>
        <v>-1.3369279999999999E-2</v>
      </c>
      <c r="DW13" s="1">
        <f t="shared" ca="1" si="72"/>
        <v>-6.9502620000000005E-3</v>
      </c>
      <c r="DX13" s="1">
        <f t="shared" ca="1" si="73"/>
        <v>-5.195E-3</v>
      </c>
      <c r="DY13" s="1">
        <f t="shared" ca="1" si="74"/>
        <v>-5.6649999999999999E-3</v>
      </c>
      <c r="DZ13" s="1">
        <f t="shared" ca="1" si="75"/>
        <v>-1.0367329999999999E-2</v>
      </c>
      <c r="EA13" s="1">
        <f t="shared" ca="1" si="76"/>
        <v>-4.1879010000000001E-2</v>
      </c>
      <c r="EB13" s="1">
        <f t="shared" ca="1" si="77"/>
        <v>-1.9826E-2</v>
      </c>
      <c r="EC13" s="1">
        <f t="shared" ca="1" si="78"/>
        <v>-2.0478E-2</v>
      </c>
      <c r="ED13" s="1">
        <f t="shared" ca="1" si="79"/>
        <v>-1.904134E-2</v>
      </c>
      <c r="EE13" s="1">
        <f t="shared" ca="1" si="80"/>
        <v>-2.3772950000000001E-2</v>
      </c>
      <c r="EF13" s="1">
        <f t="shared" ca="1" si="81"/>
        <v>-4.3092649999999996E-2</v>
      </c>
      <c r="EG13" s="1">
        <f t="shared" ca="1" si="82"/>
        <v>-4.4117650000000001E-2</v>
      </c>
      <c r="EH13" s="1">
        <f t="shared" ca="1" si="83"/>
        <v>-4.1879010000000001E-2</v>
      </c>
      <c r="EJ13">
        <f t="shared" ca="1" si="110"/>
        <v>70</v>
      </c>
      <c r="EK13" s="169">
        <f t="shared" ca="1" si="84"/>
        <v>42704</v>
      </c>
      <c r="EL13" s="1">
        <f t="shared" ca="1" si="85"/>
        <v>2.4836E-2</v>
      </c>
      <c r="EM13" s="1">
        <f t="shared" ca="1" si="86"/>
        <v>2.4029999999999999E-2</v>
      </c>
      <c r="EN13" s="1">
        <f t="shared" ca="1" si="87"/>
        <v>5.3532421294514498E-3</v>
      </c>
      <c r="EO13" s="1">
        <f t="shared" ca="1" si="88"/>
        <v>3.7036267290456192E-2</v>
      </c>
      <c r="EP13" s="1">
        <f t="shared" ca="1" si="89"/>
        <v>8.7833000000000008E-2</v>
      </c>
      <c r="EQ13" s="1">
        <f t="shared" ca="1" si="90"/>
        <v>8.698800000000001E-2</v>
      </c>
      <c r="ER13" s="1">
        <f t="shared" ca="1" si="91"/>
        <v>0.10598759128882188</v>
      </c>
      <c r="ES13" s="1">
        <f t="shared" ca="1" si="92"/>
        <v>0.11137505370213507</v>
      </c>
      <c r="ET13" s="1">
        <f t="shared" ca="1" si="93"/>
        <v>-5.3E-3</v>
      </c>
      <c r="EU13" s="1">
        <f t="shared" ca="1" si="94"/>
        <v>-5.3E-3</v>
      </c>
      <c r="EV13" s="1">
        <f t="shared" ca="1" si="95"/>
        <v>-1.6182767557452012E-2</v>
      </c>
      <c r="EW13" s="1">
        <f t="shared" ca="1" si="96"/>
        <v>8.2294324170858399E-3</v>
      </c>
      <c r="EX13" s="1">
        <f t="shared" ca="1" si="97"/>
        <v>0</v>
      </c>
      <c r="EY13" s="1">
        <f t="shared" ca="1" si="98"/>
        <v>0</v>
      </c>
      <c r="EZ13" s="1">
        <f t="shared" ca="1" si="99"/>
        <v>0.11137505370213507</v>
      </c>
    </row>
    <row r="14" spans="1:156" x14ac:dyDescent="0.25">
      <c r="A14">
        <f t="shared" ca="1" si="103"/>
        <v>12</v>
      </c>
      <c r="B14" s="169">
        <f ca="1">IF('LC (Gross)'!A161="","",IF('LC (Gross)'!A161&gt;$AC$9,"",'LC (Gross)'!A161))</f>
        <v>40939</v>
      </c>
      <c r="C14" s="1">
        <f ca="1">IF(B14="","",(VLOOKUP(B14,'LC (Gross)'!A:D,4,FALSE)/100))</f>
        <v>1.3333333333333323E-4</v>
      </c>
      <c r="D14" s="1"/>
      <c r="E14" s="1"/>
      <c r="F14" s="1"/>
      <c r="G14" s="1">
        <f ca="1">IF(B14="","",(VLOOKUP(B14,'LC (Net)'!A:D,4,FALSE)/100))</f>
        <v>-7.000000000000001E-4</v>
      </c>
      <c r="H14" s="1"/>
      <c r="I14" s="1"/>
      <c r="J14" s="1"/>
      <c r="K14" s="1">
        <f ca="1">IF(B14="","",VLOOKUP(Website!B14,'LC (Gross)'!W:X,2,FALSE)/100)</f>
        <v>-5.0203757595119036E-3</v>
      </c>
      <c r="L14" s="1">
        <f ca="1">IF(B14="","",VLOOKUP(Website!B14,'SC (Gross)'!P:Q,2,FALSE)/100)</f>
        <v>3.7527647770459256E-2</v>
      </c>
      <c r="M14" s="1"/>
      <c r="O14" s="1">
        <f ca="1">IF(B14="","",VLOOKUP(Website!B14,'LC (Gross)'!J:K,2,FALSE)/100)</f>
        <v>4.4816384477796116E-2</v>
      </c>
      <c r="P14" s="233">
        <f ca="1">IF(B14="","",(VLOOKUP(B14,'SC (Gross)'!J:K,2,FALSE))/100)</f>
        <v>7.065169254530039E-2</v>
      </c>
      <c r="S14" s="22">
        <f t="shared" ca="1" si="0"/>
        <v>-4.4683051144462783E-2</v>
      </c>
      <c r="T14" s="22" t="str">
        <f t="shared" si="1"/>
        <v/>
      </c>
      <c r="U14" s="22" t="str">
        <f t="shared" si="2"/>
        <v/>
      </c>
      <c r="V14" s="22"/>
      <c r="W14" s="22">
        <f t="shared" ca="1" si="100"/>
        <v>-4.9836760237308021E-2</v>
      </c>
      <c r="X14" s="22">
        <f t="shared" ca="1" si="101"/>
        <v>-3.3124044774841134E-2</v>
      </c>
      <c r="Y14" s="22" t="str">
        <f t="shared" si="102"/>
        <v/>
      </c>
      <c r="AH14" t="str">
        <f ca="1">AC10&amp;"Q"&amp;AC8</f>
        <v>4Q2025</v>
      </c>
      <c r="AI14" s="1" cm="1">
        <f t="array" aca="1" ref="AI14" ca="1">IF($AH$5="BREAK","BREAK",PRODUCT(AI3:AI5+1)-1)</f>
        <v>3.6945085115160481E-2</v>
      </c>
      <c r="AJ14" s="1" cm="1">
        <f t="array" aca="1" ref="AJ14" ca="1">IF($AH$5="BREAK","BREAK",PRODUCT(AJ3:AJ5+1)-1)</f>
        <v>3.5021436153867214E-2</v>
      </c>
      <c r="AK14" s="1" cm="1">
        <f t="array" aca="1" ref="AK14" ca="1">IF($AH$5="BREAK","BREAK",PRODUCT(AK3:AK5+1)-1)</f>
        <v>-2.1895461692310048E-2</v>
      </c>
      <c r="AL14" s="1">
        <f t="array" aca="1" ref="AL14" ca="1">IF($AH$5="BREAK","BREAK",PRODUCT(AL3:AL5+1)-1)</f>
        <v>2.652933514688427E-2</v>
      </c>
      <c r="AM14" s="1" t="e">
        <f t="array" aca="1" ref="AM14" ca="1">IF($AH$5="BREAK","BREAK",PRODUCT(AM3:AM5+1)-1)</f>
        <v>#N/A</v>
      </c>
      <c r="AN14" s="1" t="e">
        <f t="array" aca="1" ref="AN14" ca="1">IF($AH$5="BREAK","BREAK",PRODUCT(AN3:AN5+1)-1)</f>
        <v>#N/A</v>
      </c>
      <c r="AO14" s="1" t="e">
        <f t="array" aca="1" ref="AO14" ca="1">IF($AH$5="BREAK","BREAK",PRODUCT(AO3:AO5+1)-1)</f>
        <v>#N/A</v>
      </c>
      <c r="AP14" s="1">
        <f t="array" aca="1" ref="AP14" ca="1">IF($AH$5="BREAK","BREAK",PRODUCT(AP3:AP5+1)-1)</f>
        <v>2.1865970765057696E-2</v>
      </c>
      <c r="AQ14" s="1">
        <f t="array" aca="1" ref="AQ14" ca="1">IF($AH$5="BREAK","BREAK",PRODUCT(AQ3:AQ5+1)-1)</f>
        <v>1.48682499891859E-2</v>
      </c>
      <c r="AR14" s="1">
        <f t="array" aca="1" ref="AR14" ca="1">IF($AH$5="BREAK","BREAK",PRODUCT(AR3:AR5+1)-1)</f>
        <v>1.274851802114596E-2</v>
      </c>
      <c r="AS14" s="1">
        <f t="array" aca="1" ref="AS14" ca="1">IF($AH$5="BREAK","BREAK",PRODUCT(AS3:AS5+1)-1)</f>
        <v>2.2662250889484703E-3</v>
      </c>
      <c r="AT14" s="1" cm="1">
        <f t="array" aca="1" ref="AT14" ca="1">IF($AH$5="BREAK","BREAK",PRODUCT(AT3:AT5+1)-1)</f>
        <v>3.3691709372664524E-2</v>
      </c>
      <c r="AU14" s="1" cm="1">
        <f t="array" aca="1" ref="AU14" ca="1">IF($AH$5="BREAK","BREAK",PRODUCT(AU3:AU5+1)-1)</f>
        <v>9.1548378466532743E-3</v>
      </c>
      <c r="AV14" s="1" cm="1">
        <f t="array" aca="1" ref="AV14" ca="1">IF($AH$5="BREAK","BREAK",PRODUCT(AV3:AV5+1)-1)</f>
        <v>6.0640772438769197E-3</v>
      </c>
      <c r="AW14" s="1" cm="1">
        <f t="array" aca="1" ref="AW14" ca="1">IF($AH$5="BREAK","BREAK",PRODUCT(AW3:AW5+1)-1)</f>
        <v>2.1865970765057696E-2</v>
      </c>
      <c r="AX14">
        <f t="shared" ca="1" si="105"/>
        <v>179</v>
      </c>
      <c r="AY14" s="169">
        <f t="shared" ca="1" si="4"/>
        <v>46022</v>
      </c>
      <c r="AZ14" s="1">
        <f t="shared" ca="1" si="5"/>
        <v>-5.0948326786837334E-4</v>
      </c>
      <c r="BA14" s="1">
        <f t="shared" ca="1" si="6"/>
        <v>-1.3073768602683152E-3</v>
      </c>
      <c r="BB14" s="1">
        <f t="shared" ca="1" si="7"/>
        <v>-2.1869409999999999E-2</v>
      </c>
      <c r="BC14" s="1">
        <f t="shared" ca="1" si="8"/>
        <v>5.9176080000000004E-4</v>
      </c>
      <c r="BD14" s="1" t="e">
        <f t="shared" ca="1" si="9"/>
        <v>#N/A</v>
      </c>
      <c r="BE14" s="1" t="e">
        <f t="shared" ca="1" si="10"/>
        <v>#N/A</v>
      </c>
      <c r="BF14" s="1" t="e">
        <f t="shared" ca="1" si="11"/>
        <v>#N/A</v>
      </c>
      <c r="BG14" s="1">
        <f t="shared" ca="1" si="12"/>
        <v>-5.8173470000000005E-3</v>
      </c>
      <c r="BH14" s="1">
        <f t="shared" ca="1" si="13"/>
        <v>3.5737099999999999E-3</v>
      </c>
      <c r="BI14" s="1">
        <f t="shared" ca="1" si="14"/>
        <v>2.8737099999999998E-3</v>
      </c>
      <c r="BJ14" s="1">
        <f t="shared" ca="1" si="15"/>
        <v>-6.8503060000000005E-3</v>
      </c>
      <c r="BK14" s="1">
        <f t="shared" ca="1" si="16"/>
        <v>1.0703000000000001E-2</v>
      </c>
      <c r="BL14" s="1">
        <f t="shared" ca="1" si="17"/>
        <v>9.5060539999999999E-3</v>
      </c>
      <c r="BM14" s="1">
        <f t="shared" ca="1" si="18"/>
        <v>8.481054E-3</v>
      </c>
      <c r="BN14" s="1">
        <f t="shared" ca="1" si="19"/>
        <v>-5.8173470000000005E-3</v>
      </c>
      <c r="BP14">
        <f t="shared" ca="1" si="106"/>
        <v>179</v>
      </c>
      <c r="BQ14" s="169">
        <f t="shared" ca="1" si="20"/>
        <v>46022</v>
      </c>
      <c r="BR14" s="1">
        <f t="shared" ca="1" si="21"/>
        <v>-5.0948326786837334E-4</v>
      </c>
      <c r="BS14" s="1">
        <f t="shared" ca="1" si="22"/>
        <v>-1.3073768602683152E-3</v>
      </c>
      <c r="BT14" s="1">
        <f t="shared" ca="1" si="23"/>
        <v>-2.1869409999999999E-2</v>
      </c>
      <c r="BU14" s="1">
        <f t="shared" ca="1" si="24"/>
        <v>5.9176080000000004E-4</v>
      </c>
      <c r="BV14" s="1" t="e">
        <f t="shared" ca="1" si="25"/>
        <v>#N/A</v>
      </c>
      <c r="BW14" s="1" t="e">
        <f t="shared" ca="1" si="26"/>
        <v>#N/A</v>
      </c>
      <c r="BX14" s="1" t="e">
        <f t="shared" ca="1" si="27"/>
        <v>#N/A</v>
      </c>
      <c r="BY14" s="1">
        <f t="shared" ca="1" si="28"/>
        <v>-5.8173470000000005E-3</v>
      </c>
      <c r="BZ14" s="1">
        <f t="shared" ca="1" si="29"/>
        <v>3.5737099999999999E-3</v>
      </c>
      <c r="CA14" s="1">
        <f t="shared" ca="1" si="30"/>
        <v>2.8737099999999998E-3</v>
      </c>
      <c r="CB14" s="1">
        <f t="shared" ca="1" si="31"/>
        <v>-6.8503060000000005E-3</v>
      </c>
      <c r="CC14" s="1">
        <f t="shared" ca="1" si="32"/>
        <v>1.0703000000000001E-2</v>
      </c>
      <c r="CD14" s="1">
        <f t="shared" ca="1" si="33"/>
        <v>9.5060539999999999E-3</v>
      </c>
      <c r="CE14" s="1">
        <f t="shared" ca="1" si="34"/>
        <v>8.481054E-3</v>
      </c>
      <c r="CF14" s="1">
        <f t="shared" ca="1" si="35"/>
        <v>-5.8173470000000005E-3</v>
      </c>
      <c r="CH14">
        <f t="shared" ca="1" si="107"/>
        <v>167</v>
      </c>
      <c r="CI14" s="169">
        <f t="shared" ca="1" si="36"/>
        <v>45657</v>
      </c>
      <c r="CJ14" s="1">
        <f t="shared" ca="1" si="37"/>
        <v>-4.7396585490156309E-2</v>
      </c>
      <c r="CK14" s="1">
        <f t="shared" ca="1" si="38"/>
        <v>-4.7917593802191495E-2</v>
      </c>
      <c r="CL14" s="1">
        <f t="shared" ca="1" si="39"/>
        <v>-6.2797260000000008E-2</v>
      </c>
      <c r="CM14" s="1">
        <f t="shared" ca="1" si="40"/>
        <v>-2.3912279999999998E-2</v>
      </c>
      <c r="CN14" s="1">
        <f t="shared" ca="1" si="41"/>
        <v>0</v>
      </c>
      <c r="CO14" s="1" t="e">
        <f t="shared" ca="1" si="42"/>
        <v>#N/A</v>
      </c>
      <c r="CP14" s="1" t="e">
        <f t="shared" ca="1" si="43"/>
        <v>#N/A</v>
      </c>
      <c r="CQ14" s="1">
        <f t="shared" ca="1" si="44"/>
        <v>-8.2611580000000004E-2</v>
      </c>
      <c r="CR14" s="1">
        <f t="shared" ca="1" si="45"/>
        <v>-3.837873E-2</v>
      </c>
      <c r="CS14" s="1">
        <f t="shared" ca="1" si="46"/>
        <v>-3.9078729999999999E-2</v>
      </c>
      <c r="CT14" s="1">
        <f t="shared" ca="1" si="47"/>
        <v>-3.7643549999999998E-2</v>
      </c>
      <c r="CU14" s="1">
        <f t="shared" ca="1" si="48"/>
        <v>-2.3337799999999999E-2</v>
      </c>
      <c r="CV14" s="1">
        <f t="shared" ca="1" si="49"/>
        <v>-8.7122210000000019E-2</v>
      </c>
      <c r="CW14" s="1">
        <f t="shared" ca="1" si="50"/>
        <v>-8.8147210000000004E-2</v>
      </c>
      <c r="CX14" s="1">
        <f t="shared" ca="1" si="51"/>
        <v>-8.2611580000000004E-2</v>
      </c>
      <c r="CZ14">
        <f t="shared" ca="1" si="108"/>
        <v>155</v>
      </c>
      <c r="DA14" s="169">
        <f t="shared" ca="1" si="52"/>
        <v>45291</v>
      </c>
      <c r="DB14" s="1">
        <f t="shared" ca="1" si="53"/>
        <v>3.6510591214129487E-2</v>
      </c>
      <c r="DC14" s="1">
        <f t="shared" ca="1" si="54"/>
        <v>3.5955201526564111E-2</v>
      </c>
      <c r="DD14" s="1">
        <f t="shared" ca="1" si="55"/>
        <v>2.3474210000000002E-2</v>
      </c>
      <c r="DE14" s="1">
        <f t="shared" ca="1" si="56"/>
        <v>4.5311299999999999E-2</v>
      </c>
      <c r="DF14" s="1">
        <f t="shared" ca="1" si="57"/>
        <v>9.408496999999999E-2</v>
      </c>
      <c r="DG14" s="1">
        <f t="shared" ca="1" si="58"/>
        <v>9.3059969999999992E-2</v>
      </c>
      <c r="DH14" s="1">
        <f t="shared" ca="1" si="59"/>
        <v>9.2551000000000008E-2</v>
      </c>
      <c r="DI14" s="1">
        <f t="shared" ca="1" si="60"/>
        <v>0.1223072</v>
      </c>
      <c r="DJ14" s="1">
        <f t="shared" ca="1" si="61"/>
        <v>3.7169089155897908E-2</v>
      </c>
      <c r="DK14" s="1">
        <f t="shared" ca="1" si="62"/>
        <v>3.6500408411167203E-2</v>
      </c>
      <c r="DL14" s="1">
        <f t="shared" ca="1" si="63"/>
        <v>3.2473839999999997E-2</v>
      </c>
      <c r="DM14" s="1">
        <f t="shared" ca="1" si="64"/>
        <v>4.8394820000000005E-2</v>
      </c>
      <c r="DN14" s="1">
        <f t="shared" ca="1" si="65"/>
        <v>0.12527199999999999</v>
      </c>
      <c r="DO14" s="1">
        <f t="shared" ca="1" si="66"/>
        <v>0.124247</v>
      </c>
      <c r="DP14" s="1">
        <f t="shared" ca="1" si="67"/>
        <v>0.1223072</v>
      </c>
      <c r="DR14">
        <f t="shared" ca="1" si="109"/>
        <v>131</v>
      </c>
      <c r="DS14" s="169">
        <f t="shared" ca="1" si="68"/>
        <v>44561</v>
      </c>
      <c r="DT14" s="1">
        <f t="shared" ca="1" si="69"/>
        <v>4.0716999999999996E-2</v>
      </c>
      <c r="DU14" s="1">
        <f t="shared" ca="1" si="70"/>
        <v>4.0131E-2</v>
      </c>
      <c r="DV14" s="1">
        <f t="shared" ca="1" si="71"/>
        <v>9.6724069999999995E-2</v>
      </c>
      <c r="DW14" s="1">
        <f t="shared" ca="1" si="72"/>
        <v>4.474181E-2</v>
      </c>
      <c r="DX14" s="1">
        <f t="shared" ca="1" si="73"/>
        <v>6.8807000000000007E-2</v>
      </c>
      <c r="DY14" s="1">
        <f t="shared" ca="1" si="74"/>
        <v>6.8329000000000001E-2</v>
      </c>
      <c r="DZ14" s="1">
        <f t="shared" ca="1" si="75"/>
        <v>7.4826389999999993E-2</v>
      </c>
      <c r="EA14" s="1">
        <f t="shared" ca="1" si="76"/>
        <v>2.2329729999999999E-2</v>
      </c>
      <c r="EB14" s="1">
        <f t="shared" ca="1" si="77"/>
        <v>3.9641999999999997E-2</v>
      </c>
      <c r="EC14" s="1">
        <f t="shared" ca="1" si="78"/>
        <v>3.8989999999999997E-2</v>
      </c>
      <c r="ED14" s="1">
        <f t="shared" ca="1" si="79"/>
        <v>5.7531400000000003E-2</v>
      </c>
      <c r="EE14" s="1">
        <f t="shared" ca="1" si="80"/>
        <v>4.0393689999999996E-2</v>
      </c>
      <c r="EF14" s="1">
        <f t="shared" ca="1" si="81"/>
        <v>5.262327E-2</v>
      </c>
      <c r="EG14" s="1">
        <f t="shared" ca="1" si="82"/>
        <v>5.1598270000000002E-2</v>
      </c>
      <c r="EH14" s="1">
        <f t="shared" ca="1" si="83"/>
        <v>2.2329729999999999E-2</v>
      </c>
      <c r="EJ14">
        <f t="shared" ca="1" si="110"/>
        <v>71</v>
      </c>
      <c r="EK14" s="169">
        <f t="shared" ca="1" si="84"/>
        <v>42735</v>
      </c>
      <c r="EL14" s="1">
        <f t="shared" ca="1" si="85"/>
        <v>1.6786000000000002E-2</v>
      </c>
      <c r="EM14" s="1">
        <f t="shared" ca="1" si="86"/>
        <v>1.6361000000000001E-2</v>
      </c>
      <c r="EN14" s="1">
        <f t="shared" ca="1" si="87"/>
        <v>2.5687917748434885E-2</v>
      </c>
      <c r="EO14" s="1">
        <f t="shared" ca="1" si="88"/>
        <v>1.9699106132464748E-2</v>
      </c>
      <c r="EP14" s="1">
        <f t="shared" ca="1" si="89"/>
        <v>5.0953999999999999E-2</v>
      </c>
      <c r="EQ14" s="1">
        <f t="shared" ca="1" si="90"/>
        <v>5.0644000000000002E-2</v>
      </c>
      <c r="ER14" s="1">
        <f t="shared" ca="1" si="91"/>
        <v>4.4813511003606685E-2</v>
      </c>
      <c r="ES14" s="1">
        <f t="shared" ca="1" si="92"/>
        <v>2.800542828420069E-2</v>
      </c>
      <c r="ET14" s="1">
        <f t="shared" ca="1" si="93"/>
        <v>1.7399999999999999E-2</v>
      </c>
      <c r="EU14" s="1">
        <f t="shared" ca="1" si="94"/>
        <v>1.7399999999999999E-2</v>
      </c>
      <c r="EV14" s="1">
        <f t="shared" ca="1" si="95"/>
        <v>1.8563886692055137E-2</v>
      </c>
      <c r="EW14" s="1">
        <f t="shared" ca="1" si="96"/>
        <v>2.2033787761807404E-2</v>
      </c>
      <c r="EX14" s="1">
        <f t="shared" ca="1" si="97"/>
        <v>0</v>
      </c>
      <c r="EY14" s="1">
        <f t="shared" ca="1" si="98"/>
        <v>0</v>
      </c>
      <c r="EZ14" s="1">
        <f t="shared" ca="1" si="99"/>
        <v>2.800542828420069E-2</v>
      </c>
    </row>
    <row r="15" spans="1:156" x14ac:dyDescent="0.25">
      <c r="A15">
        <f t="shared" ca="1" si="103"/>
        <v>13</v>
      </c>
      <c r="B15" s="169">
        <f ca="1">IF('LC (Gross)'!A162="","",IF('LC (Gross)'!A162&gt;$AC$9,"",'LC (Gross)'!A162))</f>
        <v>40968</v>
      </c>
      <c r="C15" s="1">
        <f ca="1">IF(B15="","",(VLOOKUP(B15,'LC (Gross)'!A:D,4,FALSE)/100))</f>
        <v>5.0333333333333332E-3</v>
      </c>
      <c r="D15" s="1"/>
      <c r="E15" s="1"/>
      <c r="F15" s="1"/>
      <c r="G15" s="1">
        <f ca="1">IF(B15="","",(VLOOKUP(B15,'LC (Net)'!A:D,4,FALSE)/100))</f>
        <v>4.1999999999999997E-3</v>
      </c>
      <c r="H15" s="1"/>
      <c r="I15" s="1"/>
      <c r="J15" s="1"/>
      <c r="K15" s="1">
        <f ca="1">IF(B15="","",VLOOKUP(Website!B15,'LC (Gross)'!W:X,2,FALSE)/100)</f>
        <v>1.8952786425357963E-2</v>
      </c>
      <c r="L15" s="1">
        <f ca="1">IF(B15="","",VLOOKUP(Website!B15,'SC (Gross)'!P:Q,2,FALSE)/100)</f>
        <v>1.1177329690002838E-2</v>
      </c>
      <c r="M15" s="1"/>
      <c r="O15" s="1">
        <f ca="1">IF(B15="","",VLOOKUP(Website!B15,'LC (Gross)'!J:K,2,FALSE)/100)</f>
        <v>4.3244770246911021E-2</v>
      </c>
      <c r="P15" s="233">
        <f ca="1">IF(B15="","",(VLOOKUP(B15,'SC (Gross)'!J:K,2,FALSE))/100)</f>
        <v>2.3932261670854695E-2</v>
      </c>
      <c r="S15" s="22">
        <f t="shared" ca="1" si="0"/>
        <v>-3.8211436913577687E-2</v>
      </c>
      <c r="T15" s="22" t="str">
        <f t="shared" si="1"/>
        <v/>
      </c>
      <c r="U15" s="22" t="str">
        <f t="shared" si="2"/>
        <v/>
      </c>
      <c r="V15" s="22"/>
      <c r="W15" s="22">
        <f t="shared" ca="1" si="100"/>
        <v>-2.4291983821553058E-2</v>
      </c>
      <c r="X15" s="22">
        <f t="shared" ca="1" si="101"/>
        <v>-1.2754931980851857E-2</v>
      </c>
      <c r="Y15" s="22" t="str">
        <f t="shared" si="102"/>
        <v/>
      </c>
      <c r="AH15" t="s">
        <v>7</v>
      </c>
      <c r="AI15" s="1">
        <f t="array" aca="1" ref="AI15" ca="1">PRODUCT(AZ3:AZ14+1)-1</f>
        <v>9.8795519258839004E-2</v>
      </c>
      <c r="AJ15" s="1">
        <f t="array" aca="1" ref="AJ15" ca="1">PRODUCT(BA3:BA14+1)-1</f>
        <v>9.0771338005630309E-2</v>
      </c>
      <c r="AK15" s="1">
        <f t="array" aca="1" ref="AK15" ca="1">PRODUCT(BB3:BB14+1)-1</f>
        <v>4.3575278943009499E-2</v>
      </c>
      <c r="AL15" s="1">
        <f t="array" aca="1" ref="AL15" ca="1">PRODUCT(BC3:BC14+1)-1</f>
        <v>0.17859983918730138</v>
      </c>
      <c r="AM15" s="1" t="e">
        <f t="array" aca="1" ref="AM15" ca="1">PRODUCT(BD3:BD14+1)-1</f>
        <v>#N/A</v>
      </c>
      <c r="AN15" s="1" t="e">
        <f t="array" aca="1" ref="AN15" ca="1">PRODUCT(BE3:BE14+1)-1</f>
        <v>#N/A</v>
      </c>
      <c r="AO15" s="1" t="e">
        <f t="array" aca="1" ref="AO15" ca="1">PRODUCT(BF3:BF14+1)-1</f>
        <v>#N/A</v>
      </c>
      <c r="AP15" s="1">
        <f t="array" aca="1" ref="AP15" ca="1">PRODUCT(BG3:BG14+1)-1</f>
        <v>0.12792397999509575</v>
      </c>
      <c r="AQ15" s="1">
        <f t="array" aca="1" ref="AQ15" ca="1">PRODUCT(BH3:BH14+1)-1</f>
        <v>0.12659470144866036</v>
      </c>
      <c r="AR15" s="1">
        <f t="array" aca="1" ref="AR15" ca="1">PRODUCT(BI3:BI14+1)-1</f>
        <v>0.11725899385235183</v>
      </c>
      <c r="AS15" s="1">
        <f t="array" aca="1" ref="AS15" ca="1">PRODUCT(BJ3:BJ14+1)-1</f>
        <v>0.11218931323398329</v>
      </c>
      <c r="AT15" s="1">
        <f t="array" aca="1" ref="AT15" ca="1">PRODUCT(BK3:BK14+1)-1</f>
        <v>0.22892596725979675</v>
      </c>
      <c r="AU15" s="1">
        <f t="array" aca="1" ref="AU15" ca="1">PRODUCT(BL3:BL14+1)-1</f>
        <v>0.10373821695814112</v>
      </c>
      <c r="AV15" s="1">
        <f t="array" aca="1" ref="AV15" ca="1">PRODUCT(BM3:BM14+1)-1</f>
        <v>9.0338287119451133E-2</v>
      </c>
      <c r="AW15" s="1">
        <f t="array" aca="1" ref="AW15" ca="1">PRODUCT(BN3:BN14+1)-1</f>
        <v>0.12792397999509575</v>
      </c>
      <c r="AX15" s="182"/>
      <c r="AY15" s="234"/>
      <c r="AZ15" s="182"/>
      <c r="BA15" s="182"/>
      <c r="BB15" s="182"/>
      <c r="BC15" s="182"/>
      <c r="BD15" s="182"/>
      <c r="BE15" s="182"/>
      <c r="BF15" s="182"/>
      <c r="BG15" s="182"/>
      <c r="BH15" s="182"/>
      <c r="BI15" s="182"/>
      <c r="BJ15" s="182"/>
      <c r="BK15" s="182"/>
      <c r="BL15" s="182"/>
      <c r="BM15" s="182"/>
      <c r="BN15" s="182"/>
      <c r="BQ15" s="169"/>
      <c r="CH15">
        <f t="shared" ca="1" si="107"/>
        <v>168</v>
      </c>
      <c r="CI15" s="169">
        <f t="shared" ca="1" si="36"/>
        <v>45688</v>
      </c>
      <c r="CJ15" s="1">
        <f t="shared" ca="1" si="37"/>
        <v>4.4176273945455528E-2</v>
      </c>
      <c r="CK15" s="1">
        <f t="shared" ca="1" si="38"/>
        <v>4.3370980910674733E-2</v>
      </c>
      <c r="CL15" s="1">
        <f t="shared" ca="1" si="39"/>
        <v>2.0867730000000001E-2</v>
      </c>
      <c r="CM15" s="1">
        <f t="shared" ca="1" si="40"/>
        <v>2.7792780000000003E-2</v>
      </c>
      <c r="CN15" s="1" t="e">
        <f t="shared" ca="1" si="41"/>
        <v>#N/A</v>
      </c>
      <c r="CO15" s="1" t="e">
        <f t="shared" ca="1" si="42"/>
        <v>#N/A</v>
      </c>
      <c r="CP15" s="1" t="e">
        <f t="shared" ca="1" si="43"/>
        <v>#N/A</v>
      </c>
      <c r="CQ15" s="1">
        <f t="shared" ca="1" si="44"/>
        <v>2.6219139999999998E-2</v>
      </c>
      <c r="CR15" s="1">
        <f t="shared" ca="1" si="45"/>
        <v>2.593962E-2</v>
      </c>
      <c r="CS15" s="1">
        <f t="shared" ca="1" si="46"/>
        <v>2.5239620000000001E-2</v>
      </c>
      <c r="CT15" s="1">
        <f t="shared" ca="1" si="47"/>
        <v>2.6802619999999999E-2</v>
      </c>
      <c r="CU15" s="1">
        <f t="shared" ca="1" si="48"/>
        <v>3.3814129999999998E-2</v>
      </c>
      <c r="CV15" s="1">
        <f t="shared" ca="1" si="49"/>
        <v>4.1609420000000001E-2</v>
      </c>
      <c r="CW15" s="1">
        <f t="shared" ca="1" si="50"/>
        <v>4.0584420000000003E-2</v>
      </c>
      <c r="CX15" s="1">
        <f t="shared" ca="1" si="51"/>
        <v>2.6219139999999998E-2</v>
      </c>
      <c r="CZ15">
        <f t="shared" ca="1" si="108"/>
        <v>156</v>
      </c>
      <c r="DA15" s="169">
        <f t="shared" ca="1" si="52"/>
        <v>45322</v>
      </c>
      <c r="DB15" s="1">
        <f t="shared" ca="1" si="53"/>
        <v>2.631801198476685E-2</v>
      </c>
      <c r="DC15" s="1">
        <f t="shared" ca="1" si="54"/>
        <v>2.5760914411812247E-2</v>
      </c>
      <c r="DD15" s="1">
        <f t="shared" ca="1" si="55"/>
        <v>9.9222289999999994E-3</v>
      </c>
      <c r="DE15" s="1">
        <f t="shared" ca="1" si="56"/>
        <v>1.679361E-2</v>
      </c>
      <c r="DF15" s="1">
        <f t="shared" ca="1" si="57"/>
        <v>0</v>
      </c>
      <c r="DG15" s="1">
        <f t="shared" ca="1" si="58"/>
        <v>0</v>
      </c>
      <c r="DH15" s="1" t="e">
        <f t="shared" ca="1" si="59"/>
        <v>#N/A</v>
      </c>
      <c r="DI15" s="1">
        <f t="shared" ca="1" si="60"/>
        <v>-3.8897680000000004E-2</v>
      </c>
      <c r="DJ15" s="1">
        <f t="shared" ca="1" si="61"/>
        <v>9.978642695839526E-3</v>
      </c>
      <c r="DK15" s="1">
        <f t="shared" ca="1" si="62"/>
        <v>9.2289443191436414E-3</v>
      </c>
      <c r="DL15" s="1">
        <f t="shared" ca="1" si="63"/>
        <v>1.3183180000000001E-2</v>
      </c>
      <c r="DM15" s="1">
        <f t="shared" ca="1" si="64"/>
        <v>6.0940530000000003E-3</v>
      </c>
      <c r="DN15" s="1">
        <f t="shared" ca="1" si="65"/>
        <v>-1.5050019999999999E-2</v>
      </c>
      <c r="DO15" s="1">
        <f t="shared" ca="1" si="66"/>
        <v>-1.6075019999999999E-2</v>
      </c>
      <c r="DP15" s="1">
        <f t="shared" ca="1" si="67"/>
        <v>-3.8897680000000004E-2</v>
      </c>
      <c r="DR15">
        <f t="shared" ca="1" si="109"/>
        <v>132</v>
      </c>
      <c r="DS15" s="169">
        <f t="shared" ca="1" si="68"/>
        <v>44592</v>
      </c>
      <c r="DT15" s="1">
        <f t="shared" ca="1" si="69"/>
        <v>-7.0940000000000003E-2</v>
      </c>
      <c r="DU15" s="1">
        <f t="shared" ca="1" si="70"/>
        <v>-7.1719000000000005E-2</v>
      </c>
      <c r="DV15" s="1">
        <f t="shared" ca="1" si="71"/>
        <v>-4.5388330000000005E-2</v>
      </c>
      <c r="DW15" s="1">
        <f t="shared" ca="1" si="72"/>
        <v>-5.1748589999999997E-2</v>
      </c>
      <c r="DX15" s="1">
        <f t="shared" ca="1" si="73"/>
        <v>-6.7496E-2</v>
      </c>
      <c r="DY15" s="1">
        <f t="shared" ca="1" si="74"/>
        <v>-6.8339999999999998E-2</v>
      </c>
      <c r="DZ15" s="1">
        <f t="shared" ca="1" si="75"/>
        <v>-6.7802009999999996E-2</v>
      </c>
      <c r="EA15" s="1">
        <f t="shared" ca="1" si="76"/>
        <v>-9.6280569999999996E-2</v>
      </c>
      <c r="EB15" s="1">
        <f t="shared" ca="1" si="77"/>
        <v>-2.2762999999999999E-2</v>
      </c>
      <c r="EC15" s="1">
        <f t="shared" ca="1" si="78"/>
        <v>-2.3536000000000001E-2</v>
      </c>
      <c r="ED15" s="1">
        <f t="shared" ca="1" si="79"/>
        <v>-4.8988990000000003E-2</v>
      </c>
      <c r="EE15" s="1">
        <f t="shared" ca="1" si="80"/>
        <v>-4.8918509999999998E-2</v>
      </c>
      <c r="EF15" s="1">
        <f t="shared" ca="1" si="81"/>
        <v>-6.9303900000000002E-2</v>
      </c>
      <c r="EG15" s="1">
        <f t="shared" ca="1" si="82"/>
        <v>-7.03289E-2</v>
      </c>
      <c r="EH15" s="1">
        <f t="shared" ca="1" si="83"/>
        <v>-9.6280569999999996E-2</v>
      </c>
      <c r="EJ15">
        <f t="shared" ca="1" si="110"/>
        <v>72</v>
      </c>
      <c r="EK15" s="169">
        <f t="shared" ca="1" si="84"/>
        <v>42766</v>
      </c>
      <c r="EL15" s="1">
        <f t="shared" ca="1" si="85"/>
        <v>1.5690000000000001E-3</v>
      </c>
      <c r="EM15" s="1">
        <f t="shared" ca="1" si="86"/>
        <v>1.1440000000000001E-3</v>
      </c>
      <c r="EN15" s="1">
        <f t="shared" ca="1" si="87"/>
        <v>7.3983050516338387E-3</v>
      </c>
      <c r="EO15" s="1">
        <f t="shared" ca="1" si="88"/>
        <v>1.8966324399677482E-2</v>
      </c>
      <c r="EP15" s="1">
        <f t="shared" ca="1" si="89"/>
        <v>-1.9387000000000001E-2</v>
      </c>
      <c r="EQ15" s="1">
        <f t="shared" ca="1" si="90"/>
        <v>-1.9701E-2</v>
      </c>
      <c r="ER15" s="1">
        <f t="shared" ca="1" si="91"/>
        <v>-1.8593162181156617E-2</v>
      </c>
      <c r="ES15" s="1">
        <f t="shared" ca="1" si="92"/>
        <v>3.9328651542358019E-3</v>
      </c>
      <c r="ET15" s="1">
        <f t="shared" ca="1" si="93"/>
        <v>1.6621999999999998E-2</v>
      </c>
      <c r="EU15" s="1">
        <f t="shared" ca="1" si="94"/>
        <v>1.6621999999999998E-2</v>
      </c>
      <c r="EV15" s="1">
        <f t="shared" ca="1" si="95"/>
        <v>1.7552513044008611E-2</v>
      </c>
      <c r="EW15" s="1">
        <f t="shared" ca="1" si="96"/>
        <v>2.7574400329489566E-2</v>
      </c>
      <c r="EX15" s="1">
        <f t="shared" ca="1" si="97"/>
        <v>0</v>
      </c>
      <c r="EY15" s="1">
        <f t="shared" ca="1" si="98"/>
        <v>0</v>
      </c>
      <c r="EZ15" s="1">
        <f t="shared" ca="1" si="99"/>
        <v>3.9328651542358019E-3</v>
      </c>
    </row>
    <row r="16" spans="1:156" x14ac:dyDescent="0.25">
      <c r="A16">
        <f t="shared" ca="1" si="103"/>
        <v>14</v>
      </c>
      <c r="B16" s="169">
        <f ca="1">IF('LC (Gross)'!A163="","",IF('LC (Gross)'!A163&gt;$AC$9,"",'LC (Gross)'!A163))</f>
        <v>40999</v>
      </c>
      <c r="C16" s="1">
        <f ca="1">IF(B16="","",(VLOOKUP(B16,'LC (Gross)'!A:D,4,FALSE)/100))</f>
        <v>2.8633333333333334E-2</v>
      </c>
      <c r="D16" s="1"/>
      <c r="E16" s="1">
        <f ca="1">IF(B16="","",(VLOOKUP(B16,'Global (Gross)'!A:D,4,FALSE)/100))</f>
        <v>2.1400000000000002E-2</v>
      </c>
      <c r="F16" s="1"/>
      <c r="G16" s="1">
        <f ca="1">IF(B16="","",(VLOOKUP(B16,'LC (Net)'!A:D,4,FALSE)/100))</f>
        <v>2.7799999999999998E-2</v>
      </c>
      <c r="H16" s="1"/>
      <c r="I16" s="1">
        <f ca="1">IF(B16="","",(VLOOKUP(B16,'Global (Net)'!A:D,4,FALSE)/100))</f>
        <v>2.1400000000000002E-2</v>
      </c>
      <c r="J16" s="1"/>
      <c r="K16" s="1">
        <f ca="1">IF(B16="","",VLOOKUP(Website!B16,'LC (Gross)'!W:X,2,FALSE)/100)</f>
        <v>2.8290733158952131E-2</v>
      </c>
      <c r="L16" s="1">
        <f ca="1">IF(B16="","",VLOOKUP(Website!B16,'SC (Gross)'!P:Q,2,FALSE)/100)</f>
        <v>2.4448767078611128E-2</v>
      </c>
      <c r="M16" s="1">
        <f ca="1">IF(B16="","",VLOOKUP(Website!B16,'Global (Gross)'!P:Q,2,FALSE)/100)</f>
        <v>7.417307049782728E-3</v>
      </c>
      <c r="O16" s="1">
        <f ca="1">IF(B16="","",VLOOKUP(Website!B16,'LC (Gross)'!J:K,2,FALSE)/100)</f>
        <v>3.2849592444847489E-2</v>
      </c>
      <c r="P16" s="233">
        <f ca="1">IF(B16="","",(VLOOKUP(B16,'SC (Gross)'!J:K,2,FALSE))/100)</f>
        <v>2.5621042267388684E-2</v>
      </c>
      <c r="Q16" s="233">
        <f ca="1">IF(B16="","",(VLOOKUP(B16,'Global (Gross)'!J:K,2,FALSE)/100))</f>
        <v>7.1833180980352736E-3</v>
      </c>
      <c r="S16" s="22">
        <f t="shared" ca="1" si="0"/>
        <v>-4.2162591115141555E-3</v>
      </c>
      <c r="T16" s="22" t="str">
        <f t="shared" si="1"/>
        <v/>
      </c>
      <c r="U16" s="22">
        <f t="shared" ca="1" si="2"/>
        <v>1.4216681901964729E-2</v>
      </c>
      <c r="V16" s="22"/>
      <c r="W16" s="22">
        <f t="shared" ca="1" si="100"/>
        <v>-4.5588592858953579E-3</v>
      </c>
      <c r="X16" s="22">
        <f t="shared" ca="1" si="101"/>
        <v>-1.1722751887775565E-3</v>
      </c>
      <c r="Y16" s="22">
        <f t="shared" ca="1" si="102"/>
        <v>2.3398895174745436E-4</v>
      </c>
      <c r="AB16" t="s">
        <v>222</v>
      </c>
      <c r="AC16" t="s">
        <v>223</v>
      </c>
      <c r="AD16" t="s">
        <v>224</v>
      </c>
      <c r="AE16" t="s">
        <v>392</v>
      </c>
      <c r="AG16">
        <v>12</v>
      </c>
      <c r="AH16" t="s">
        <v>46</v>
      </c>
      <c r="AI16" s="1" cm="1">
        <f t="array" aca="1" ref="AI16" ca="1">IF(AI26&lt;$AG16,"-",PRODUCT(BR3:BR14+1)-1)</f>
        <v>9.8795519258839004E-2</v>
      </c>
      <c r="AJ16" s="1">
        <f t="array" aca="1" ref="AJ16" ca="1">IF(AJ26&lt;$AG16,"-",PRODUCT(BS3:BS14+1)-1)</f>
        <v>9.0771338005630309E-2</v>
      </c>
      <c r="AK16" s="1">
        <f t="array" aca="1" ref="AK16" ca="1">IF(AK26&lt;$AG16,"-",PRODUCT(BT3:BT14+1)-1)</f>
        <v>4.3575278943009499E-2</v>
      </c>
      <c r="AL16" s="1">
        <f t="array" aca="1" ref="AL16" ca="1">IF(AL26&lt;$AG16,"-",PRODUCT(BU3:BU14+1)-1)</f>
        <v>0.17859983918730138</v>
      </c>
      <c r="AM16" s="1" t="e">
        <f t="array" aca="1" ref="AM16" ca="1">IF(AM26&lt;$AG16,"-",PRODUCT(BV3:BV14+1)-1)</f>
        <v>#N/A</v>
      </c>
      <c r="AN16" s="1" t="e">
        <f t="array" aca="1" ref="AN16" ca="1">IF(AN26&lt;$AG16,"-",PRODUCT(BW3:BW14+1)-1)</f>
        <v>#N/A</v>
      </c>
      <c r="AO16" s="1" t="e">
        <f t="array" aca="1" ref="AO16" ca="1">IF(AO26&lt;$AG16,"-",PRODUCT(BX3:BX14+1)-1)</f>
        <v>#N/A</v>
      </c>
      <c r="AP16" s="1">
        <f t="array" aca="1" ref="AP16" ca="1">IF(AP26&lt;$AG16,"-",PRODUCT(BY3:BY14+1)-1)</f>
        <v>0.12792397999509575</v>
      </c>
      <c r="AQ16" s="1">
        <f t="array" aca="1" ref="AQ16" ca="1">IF(AQ26&lt;$AG16,"-",PRODUCT(BZ3:BZ14+1)-1)</f>
        <v>0.12659470144866036</v>
      </c>
      <c r="AR16" s="1">
        <f t="array" aca="1" ref="AR16" ca="1">IF(AR26&lt;$AG16,"-",PRODUCT(CA3:CA14+1)-1)</f>
        <v>0.11725899385235183</v>
      </c>
      <c r="AS16" s="1">
        <f t="array" aca="1" ref="AS16" ca="1">IF(AS26&lt;$AG16,"-",PRODUCT(CB3:CB14+1)-1)</f>
        <v>0.11218931323398329</v>
      </c>
      <c r="AT16" s="1">
        <f t="array" aca="1" ref="AT16" ca="1">IF(AT26&lt;$AG16,"-",PRODUCT(CC3:CC14+1)-1)</f>
        <v>0.22892596725979675</v>
      </c>
      <c r="AU16" s="1">
        <f t="array" aca="1" ref="AU16" ca="1">IF(AU26&lt;$AG16,"-",PRODUCT(CD3:CD14+1)-1)</f>
        <v>0.10373821695814112</v>
      </c>
      <c r="AV16" s="1">
        <f t="array" aca="1" ref="AV16" ca="1">IF(AV26&lt;$AG16,"-",PRODUCT(CE3:CE14+1)-1)</f>
        <v>9.0338287119451133E-2</v>
      </c>
      <c r="AW16" s="1">
        <f t="array" aca="1" ref="AW16" ca="1">IF(AW26&lt;$AG16,"-",PRODUCT(CF3:CF14+1)-1)</f>
        <v>0.12792397999509575</v>
      </c>
      <c r="AY16" s="169"/>
      <c r="CH16">
        <f t="shared" ca="1" si="107"/>
        <v>169</v>
      </c>
      <c r="CI16" s="169">
        <f t="shared" ca="1" si="36"/>
        <v>45716</v>
      </c>
      <c r="CJ16" s="1">
        <f t="shared" ca="1" si="37"/>
        <v>-9.4939776271251407E-3</v>
      </c>
      <c r="CK16" s="1">
        <f t="shared" ca="1" si="38"/>
        <v>-1.0010633566326886E-2</v>
      </c>
      <c r="CL16" s="1">
        <f t="shared" ca="1" si="39"/>
        <v>4.6701800000000002E-2</v>
      </c>
      <c r="CM16" s="1">
        <f t="shared" ca="1" si="40"/>
        <v>-1.304958E-2</v>
      </c>
      <c r="CN16" s="1" t="e">
        <f t="shared" ca="1" si="41"/>
        <v>#N/A</v>
      </c>
      <c r="CO16" s="1" t="e">
        <f t="shared" ca="1" si="42"/>
        <v>#N/A</v>
      </c>
      <c r="CP16" s="1" t="e">
        <f t="shared" ca="1" si="43"/>
        <v>#N/A</v>
      </c>
      <c r="CQ16" s="1">
        <f t="shared" ca="1" si="44"/>
        <v>-5.3509830000000001E-2</v>
      </c>
      <c r="CR16" s="1">
        <f t="shared" ca="1" si="45"/>
        <v>1.347657E-2</v>
      </c>
      <c r="CS16" s="1">
        <f t="shared" ca="1" si="46"/>
        <v>1.2776570000000001E-2</v>
      </c>
      <c r="CT16" s="1">
        <f t="shared" ca="1" si="47"/>
        <v>2.4719690000000002E-2</v>
      </c>
      <c r="CU16" s="1">
        <f t="shared" ca="1" si="48"/>
        <v>-5.7200150000000002E-3</v>
      </c>
      <c r="CV16" s="1">
        <f t="shared" ca="1" si="49"/>
        <v>-5.6697309999999994E-2</v>
      </c>
      <c r="CW16" s="1">
        <f t="shared" ca="1" si="50"/>
        <v>-5.7722309999999999E-2</v>
      </c>
      <c r="CX16" s="1">
        <f t="shared" ca="1" si="51"/>
        <v>-5.3509830000000001E-2</v>
      </c>
      <c r="CZ16">
        <f t="shared" ca="1" si="108"/>
        <v>157</v>
      </c>
      <c r="DA16" s="169">
        <f t="shared" ca="1" si="52"/>
        <v>45351</v>
      </c>
      <c r="DB16" s="1">
        <f t="shared" ca="1" si="53"/>
        <v>3.3854661954757725E-2</v>
      </c>
      <c r="DC16" s="1">
        <f t="shared" ca="1" si="54"/>
        <v>3.3854661954757725E-2</v>
      </c>
      <c r="DD16" s="1">
        <f t="shared" ca="1" si="55"/>
        <v>1.656612E-2</v>
      </c>
      <c r="DE16" s="1">
        <f t="shared" ca="1" si="56"/>
        <v>5.3395100000000001E-2</v>
      </c>
      <c r="DF16" s="1">
        <f t="shared" ca="1" si="57"/>
        <v>0</v>
      </c>
      <c r="DG16" s="1">
        <f t="shared" ca="1" si="58"/>
        <v>0</v>
      </c>
      <c r="DH16" s="1" t="e">
        <f t="shared" ca="1" si="59"/>
        <v>#N/A</v>
      </c>
      <c r="DI16" s="1">
        <f t="shared" ca="1" si="60"/>
        <v>5.6506040000000007E-2</v>
      </c>
      <c r="DJ16" s="1">
        <f t="shared" ca="1" si="61"/>
        <v>2.7640462105890041E-2</v>
      </c>
      <c r="DK16" s="1">
        <f t="shared" ca="1" si="62"/>
        <v>2.6971585671766499E-2</v>
      </c>
      <c r="DL16" s="1">
        <f t="shared" ca="1" si="63"/>
        <v>1.509868E-2</v>
      </c>
      <c r="DM16" s="1">
        <f t="shared" ca="1" si="64"/>
        <v>4.3309620000000007E-2</v>
      </c>
      <c r="DN16" s="1">
        <f t="shared" ca="1" si="65"/>
        <v>3.1658080000000005E-2</v>
      </c>
      <c r="DO16" s="1">
        <f t="shared" ca="1" si="66"/>
        <v>3.063308E-2</v>
      </c>
      <c r="DP16" s="1">
        <f t="shared" ca="1" si="67"/>
        <v>5.6506040000000007E-2</v>
      </c>
      <c r="DR16">
        <f t="shared" ca="1" si="109"/>
        <v>133</v>
      </c>
      <c r="DS16" s="169">
        <f t="shared" ca="1" si="68"/>
        <v>44620</v>
      </c>
      <c r="DT16" s="1">
        <f t="shared" ca="1" si="69"/>
        <v>-4.1609E-2</v>
      </c>
      <c r="DU16" s="1">
        <f t="shared" ca="1" si="70"/>
        <v>-4.2194000000000002E-2</v>
      </c>
      <c r="DV16" s="1">
        <f t="shared" ca="1" si="71"/>
        <v>-2.3047249999999998E-2</v>
      </c>
      <c r="DW16" s="1">
        <f t="shared" ca="1" si="72"/>
        <v>-2.9970180000000003E-2</v>
      </c>
      <c r="DX16" s="1">
        <f t="shared" ca="1" si="73"/>
        <v>-1.4066E-2</v>
      </c>
      <c r="DY16" s="1">
        <f t="shared" ca="1" si="74"/>
        <v>-1.4561999999999999E-2</v>
      </c>
      <c r="DZ16" s="1">
        <f t="shared" ca="1" si="75"/>
        <v>-5.5163949999999995E-3</v>
      </c>
      <c r="EA16" s="1">
        <f t="shared" ca="1" si="76"/>
        <v>1.0656110000000002E-2</v>
      </c>
      <c r="EB16" s="1">
        <f t="shared" ca="1" si="77"/>
        <v>-2.9018000000000002E-2</v>
      </c>
      <c r="EC16" s="1">
        <f t="shared" ca="1" si="78"/>
        <v>-2.9672999999999998E-2</v>
      </c>
      <c r="ED16" s="1">
        <f t="shared" ca="1" si="79"/>
        <v>-1.5370600000000002E-2</v>
      </c>
      <c r="EE16" s="1">
        <f t="shared" ca="1" si="80"/>
        <v>-2.5484659999999999E-2</v>
      </c>
      <c r="EF16" s="1">
        <f t="shared" ca="1" si="81"/>
        <v>8.928651000000001E-3</v>
      </c>
      <c r="EG16" s="1">
        <f t="shared" ca="1" si="82"/>
        <v>7.9036510000000011E-3</v>
      </c>
      <c r="EH16" s="1">
        <f t="shared" ca="1" si="83"/>
        <v>1.0656110000000002E-2</v>
      </c>
      <c r="EJ16">
        <f t="shared" ca="1" si="110"/>
        <v>73</v>
      </c>
      <c r="EK16" s="169">
        <f t="shared" ca="1" si="84"/>
        <v>42794</v>
      </c>
      <c r="EL16" s="1">
        <f t="shared" ca="1" si="85"/>
        <v>4.0064000000000002E-2</v>
      </c>
      <c r="EM16" s="1">
        <f t="shared" ca="1" si="86"/>
        <v>3.9276999999999999E-2</v>
      </c>
      <c r="EN16" s="1">
        <f t="shared" ca="1" si="87"/>
        <v>4.4950073788787653E-2</v>
      </c>
      <c r="EO16" s="1">
        <f t="shared" ca="1" si="88"/>
        <v>3.9705270262314359E-2</v>
      </c>
      <c r="EP16" s="1">
        <f t="shared" ca="1" si="89"/>
        <v>4.993E-3</v>
      </c>
      <c r="EQ16" s="1">
        <f t="shared" ca="1" si="90"/>
        <v>4.1700000000000001E-3</v>
      </c>
      <c r="ER16" s="1">
        <f t="shared" ca="1" si="91"/>
        <v>1.3658813989489888E-2</v>
      </c>
      <c r="ES16" s="1">
        <f t="shared" ca="1" si="92"/>
        <v>1.925907515637346E-2</v>
      </c>
      <c r="ET16" s="1">
        <f t="shared" ca="1" si="93"/>
        <v>3.7386000000000003E-2</v>
      </c>
      <c r="EU16" s="1">
        <f t="shared" ca="1" si="94"/>
        <v>3.6686000000000003E-2</v>
      </c>
      <c r="EV16" s="1">
        <f t="shared" ca="1" si="95"/>
        <v>3.4158431247981069E-2</v>
      </c>
      <c r="EW16" s="1">
        <f t="shared" ca="1" si="96"/>
        <v>2.8537898269149212E-2</v>
      </c>
      <c r="EX16" s="1">
        <f t="shared" ca="1" si="97"/>
        <v>0</v>
      </c>
      <c r="EY16" s="1">
        <f t="shared" ca="1" si="98"/>
        <v>0</v>
      </c>
      <c r="EZ16" s="1">
        <f t="shared" ca="1" si="99"/>
        <v>1.925907515637346E-2</v>
      </c>
    </row>
    <row r="17" spans="1:156" x14ac:dyDescent="0.25">
      <c r="A17">
        <f t="shared" ca="1" si="103"/>
        <v>15</v>
      </c>
      <c r="B17" s="169">
        <f ca="1">IF('LC (Gross)'!A164="","",IF('LC (Gross)'!A164&gt;$AC$9,"",'LC (Gross)'!A164))</f>
        <v>41029</v>
      </c>
      <c r="C17" s="1">
        <f ca="1">IF(B17="","",(VLOOKUP(B17,'LC (Gross)'!A:D,4,FALSE)/100))</f>
        <v>1.3033333333333333E-2</v>
      </c>
      <c r="D17" s="1"/>
      <c r="E17" s="1">
        <f ca="1">IF(B17="","",(VLOOKUP(B17,'Global (Gross)'!A:D,4,FALSE)/100))</f>
        <v>-3.5999999999999999E-3</v>
      </c>
      <c r="F17" s="1"/>
      <c r="G17" s="1">
        <f ca="1">IF(B17="","",(VLOOKUP(B17,'LC (Net)'!A:D,4,FALSE)/100))</f>
        <v>1.2199999999999999E-2</v>
      </c>
      <c r="H17" s="1"/>
      <c r="I17" s="1">
        <f ca="1">IF(B17="","",(VLOOKUP(B17,'Global (Net)'!A:D,4,FALSE)/100))</f>
        <v>-3.5999999999999999E-3</v>
      </c>
      <c r="J17" s="1"/>
      <c r="K17" s="1">
        <f ca="1">IF(B17="","",VLOOKUP(Website!B17,'LC (Gross)'!W:X,2,FALSE)/100)</f>
        <v>1.096186790689954E-2</v>
      </c>
      <c r="L17" s="1">
        <f ca="1">IF(B17="","",VLOOKUP(Website!B17,'SC (Gross)'!P:Q,2,FALSE)/100)</f>
        <v>9.3232672366751191E-4</v>
      </c>
      <c r="M17" s="1">
        <f ca="1">IF(B17="","",VLOOKUP(Website!B17,'Global (Gross)'!P:Q,2,FALSE)/100)</f>
        <v>9.4355266648979419E-3</v>
      </c>
      <c r="O17" s="1">
        <f ca="1">IF(B17="","",VLOOKUP(Website!B17,'LC (Gross)'!J:K,2,FALSE)/100)</f>
        <v>-6.2799908148773584E-3</v>
      </c>
      <c r="P17" s="233">
        <f ca="1">IF(B17="","",(VLOOKUP(B17,'SC (Gross)'!J:K,2,FALSE))/100)</f>
        <v>-1.5447142518908705E-2</v>
      </c>
      <c r="Q17" s="233">
        <f ca="1">IF(B17="","",(VLOOKUP(B17,'Global (Gross)'!J:K,2,FALSE)/100))</f>
        <v>-1.1055092953193475E-2</v>
      </c>
      <c r="S17" s="22">
        <f t="shared" ca="1" si="0"/>
        <v>1.931332414821069E-2</v>
      </c>
      <c r="T17" s="22" t="str">
        <f t="shared" si="1"/>
        <v/>
      </c>
      <c r="U17" s="22">
        <f t="shared" ca="1" si="2"/>
        <v>7.4550929531934746E-3</v>
      </c>
      <c r="V17" s="22"/>
      <c r="W17" s="22">
        <f t="shared" ca="1" si="100"/>
        <v>1.7241858721776897E-2</v>
      </c>
      <c r="X17" s="22">
        <f t="shared" ca="1" si="101"/>
        <v>1.6379469242576217E-2</v>
      </c>
      <c r="Y17" s="22">
        <f t="shared" ca="1" si="102"/>
        <v>2.0490619618091416E-2</v>
      </c>
      <c r="AA17" t="s">
        <v>238</v>
      </c>
      <c r="AB17" s="1">
        <f ca="1">STDEV(S3:S400)*SQRT(12)</f>
        <v>6.8791311174106848E-2</v>
      </c>
      <c r="AC17" s="1" t="e">
        <f ca="1">STDEV(T3:T400)*SQRT(12)</f>
        <v>#N/A</v>
      </c>
      <c r="AD17" s="1">
        <f ca="1">STDEV(U3:U400)*SQRT(12)</f>
        <v>6.3195350680137333E-2</v>
      </c>
      <c r="AE17" s="1">
        <f ca="1">STDEV(V3:V400)*SQRT(12)</f>
        <v>5.2585834338010735E-2</v>
      </c>
      <c r="AG17">
        <v>24</v>
      </c>
      <c r="AH17" t="s">
        <v>47</v>
      </c>
      <c r="AI17" s="238">
        <f t="array" aca="1" ref="AI17" ca="1">IF(AI26&lt;$AG17,"-",((PRODUCT(CJ3:CJ26+1))^(12/24))-1)</f>
        <v>0.14743644745204465</v>
      </c>
      <c r="AJ17" s="238">
        <f t="array" aca="1" ref="AJ17" ca="1">IF(AJ26&lt;$AG17,"-",((PRODUCT(CK3:CK26+1))^(12/24))-1)</f>
        <v>0.13990404549323676</v>
      </c>
      <c r="AK17" s="238">
        <f t="array" aca="1" ref="AK17" ca="1">IF(AK26&lt;$AG17,"-",((PRODUCT(CL3:CL26+1))^(12/24))-1)</f>
        <v>9.1946034257896603E-2</v>
      </c>
      <c r="AL17" s="238">
        <f t="array" aca="1" ref="AL17" ca="1">IF(AL26&lt;$AG17,"-",((PRODUCT(CM3:CM26+1))^(12/24))-1)</f>
        <v>0.21376272089348269</v>
      </c>
      <c r="AM17" s="238" t="e">
        <f t="array" aca="1" ref="AM17" ca="1">IF(AM26&lt;$AG17,"-",((PRODUCT(CN3:CN26+1))^(12/24))-1)</f>
        <v>#N/A</v>
      </c>
      <c r="AN17" s="238" t="e">
        <f t="array" aca="1" ref="AN17" ca="1">IF(AN26&lt;$AG17,"-",((PRODUCT(CO3:CO26+1))^(12/24))-1)</f>
        <v>#N/A</v>
      </c>
      <c r="AO17" s="238" t="e">
        <f t="array" aca="1" ref="AO17" ca="1">IF(AO26&lt;$AG17,"-",((PRODUCT(CP3:CP26+1))^(12/24))-1)</f>
        <v>#N/A</v>
      </c>
      <c r="AP17" s="238">
        <f t="array" aca="1" ref="AP17" ca="1">IF(AP26&lt;$AG17,"-",((PRODUCT(CQ3:CQ26+1))^(12/24))-1)</f>
        <v>0.12157868808836803</v>
      </c>
      <c r="AQ17" s="238">
        <f t="array" aca="1" ref="AQ17" ca="1">IF(AQ26&lt;$AG17,"-",((PRODUCT(CR3:CR26+1))^(12/24))-1)</f>
        <v>0.11390894423485109</v>
      </c>
      <c r="AR17" s="238">
        <f t="array" aca="1" ref="AR17" ca="1">IF(AR26&lt;$AG17,"-",((PRODUCT(CS3:CS26+1))^(12/24))-1)</f>
        <v>0.10465805005878415</v>
      </c>
      <c r="AS17" s="238">
        <f t="array" aca="1" ref="AS17" ca="1">IF(AS26&lt;$AG17,"-",((PRODUCT(CT3:CT26+1))^(12/24))-1)</f>
        <v>0.11573775406583109</v>
      </c>
      <c r="AT17" s="238">
        <f t="array" aca="1" ref="AT17" ca="1">IF(AT26&lt;$AG17,"-",((PRODUCT(CU3:CU26+1))^(12/24))-1)</f>
        <v>0.20436770825111639</v>
      </c>
      <c r="AU17" s="238">
        <f t="array" aca="1" ref="AU17" ca="1">IF(AU26&lt;$AG17,"-",((PRODUCT(CV3:CV26+1))^(12/24))-1)</f>
        <v>8.5137907947997249E-2</v>
      </c>
      <c r="AV17" s="238">
        <f t="array" aca="1" ref="AV17" ca="1">IF(AV26&lt;$AG17,"-",((PRODUCT(CW3:CW26+1))^(12/24))-1)</f>
        <v>7.194023551971096E-2</v>
      </c>
      <c r="AW17" s="238">
        <f t="array" aca="1" ref="AW17" ca="1">IF(AW26&lt;$AG17,"-",((PRODUCT(CX3:CX26+1))^(12/24))-1)</f>
        <v>0.12157868808836803</v>
      </c>
      <c r="AY17" s="169"/>
      <c r="CH17">
        <f t="shared" ca="1" si="107"/>
        <v>170</v>
      </c>
      <c r="CI17" s="169">
        <f t="shared" ca="1" si="36"/>
        <v>45747</v>
      </c>
      <c r="CJ17" s="1">
        <f t="shared" ca="1" si="37"/>
        <v>-1.6133805033496641E-2</v>
      </c>
      <c r="CK17" s="1">
        <f t="shared" ca="1" si="38"/>
        <v>-1.6640538144661043E-2</v>
      </c>
      <c r="CL17" s="1">
        <f t="shared" ca="1" si="39"/>
        <v>3.8105159999999999E-3</v>
      </c>
      <c r="CM17" s="1">
        <f t="shared" ca="1" si="40"/>
        <v>-5.6343949999999997E-2</v>
      </c>
      <c r="CN17" s="1" t="e">
        <f t="shared" ca="1" si="41"/>
        <v>#N/A</v>
      </c>
      <c r="CO17" s="1" t="e">
        <f t="shared" ca="1" si="42"/>
        <v>#N/A</v>
      </c>
      <c r="CP17" s="1" t="e">
        <f t="shared" ca="1" si="43"/>
        <v>#N/A</v>
      </c>
      <c r="CQ17" s="1">
        <f t="shared" ca="1" si="44"/>
        <v>-6.8090390000000001E-2</v>
      </c>
      <c r="CR17" s="1">
        <f t="shared" ca="1" si="45"/>
        <v>5.0076920000000002E-3</v>
      </c>
      <c r="CS17" s="1">
        <f t="shared" ca="1" si="46"/>
        <v>4.3076920000000001E-3</v>
      </c>
      <c r="CT17" s="1">
        <f t="shared" ca="1" si="47"/>
        <v>1.072357E-2</v>
      </c>
      <c r="CU17" s="1">
        <f t="shared" ca="1" si="48"/>
        <v>-3.8918849999999998E-2</v>
      </c>
      <c r="CV17" s="1">
        <f t="shared" ca="1" si="49"/>
        <v>-4.9637250000000001E-2</v>
      </c>
      <c r="CW17" s="1">
        <f t="shared" ca="1" si="50"/>
        <v>-5.0662249999999999E-2</v>
      </c>
      <c r="CX17" s="1">
        <f t="shared" ca="1" si="51"/>
        <v>-6.8090390000000001E-2</v>
      </c>
      <c r="CZ17">
        <f t="shared" ca="1" si="108"/>
        <v>158</v>
      </c>
      <c r="DA17" s="169">
        <f t="shared" ca="1" si="52"/>
        <v>45382</v>
      </c>
      <c r="DB17" s="1">
        <f t="shared" ca="1" si="53"/>
        <v>3.4650632662020259E-2</v>
      </c>
      <c r="DC17" s="1">
        <f t="shared" ca="1" si="54"/>
        <v>3.4274537616093212E-2</v>
      </c>
      <c r="DD17" s="1">
        <f t="shared" ca="1" si="55"/>
        <v>3.0912850000000002E-2</v>
      </c>
      <c r="DE17" s="1">
        <f t="shared" ca="1" si="56"/>
        <v>3.2173630000000002E-2</v>
      </c>
      <c r="DF17" s="1">
        <f t="shared" ca="1" si="57"/>
        <v>0</v>
      </c>
      <c r="DG17" s="1">
        <f t="shared" ca="1" si="58"/>
        <v>0</v>
      </c>
      <c r="DH17" s="1" t="e">
        <f t="shared" ca="1" si="59"/>
        <v>#N/A</v>
      </c>
      <c r="DI17" s="1">
        <f t="shared" ca="1" si="60"/>
        <v>3.5787600000000003E-2</v>
      </c>
      <c r="DJ17" s="1">
        <f t="shared" ca="1" si="61"/>
        <v>3.1532220903994573E-2</v>
      </c>
      <c r="DK17" s="1">
        <f t="shared" ca="1" si="62"/>
        <v>3.0864815180447321E-2</v>
      </c>
      <c r="DL17" s="1">
        <f t="shared" ca="1" si="63"/>
        <v>1.9413100000000003E-2</v>
      </c>
      <c r="DM17" s="1">
        <f t="shared" ca="1" si="64"/>
        <v>3.2044410000000002E-2</v>
      </c>
      <c r="DN17" s="1">
        <f t="shared" ca="1" si="65"/>
        <v>4.1645870000000001E-2</v>
      </c>
      <c r="DO17" s="1">
        <f t="shared" ca="1" si="66"/>
        <v>4.0620870000000003E-2</v>
      </c>
      <c r="DP17" s="1">
        <f t="shared" ca="1" si="67"/>
        <v>3.5787600000000003E-2</v>
      </c>
      <c r="DR17">
        <f t="shared" ca="1" si="109"/>
        <v>134</v>
      </c>
      <c r="DS17" s="169">
        <f t="shared" ca="1" si="68"/>
        <v>44651</v>
      </c>
      <c r="DT17" s="1">
        <f t="shared" ca="1" si="69"/>
        <v>4.9621000000000005E-2</v>
      </c>
      <c r="DU17" s="1">
        <f t="shared" ca="1" si="70"/>
        <v>4.904E-2</v>
      </c>
      <c r="DV17" s="1">
        <f t="shared" ca="1" si="71"/>
        <v>5.3825909999999998E-2</v>
      </c>
      <c r="DW17" s="1">
        <f t="shared" ca="1" si="72"/>
        <v>3.7118120000000004E-2</v>
      </c>
      <c r="DX17" s="1">
        <f t="shared" ca="1" si="73"/>
        <v>1.3996999999999999E-2</v>
      </c>
      <c r="DY17" s="1">
        <f t="shared" ca="1" si="74"/>
        <v>1.3502E-2</v>
      </c>
      <c r="DZ17" s="1">
        <f t="shared" ca="1" si="75"/>
        <v>2.0299459999999998E-2</v>
      </c>
      <c r="EA17" s="1">
        <f t="shared" ca="1" si="76"/>
        <v>1.2401329999999999E-2</v>
      </c>
      <c r="EB17" s="1">
        <f t="shared" ca="1" si="77"/>
        <v>2.6631999999999999E-2</v>
      </c>
      <c r="EC17" s="1">
        <f t="shared" ca="1" si="78"/>
        <v>2.5977E-2</v>
      </c>
      <c r="ED17" s="1">
        <f t="shared" ca="1" si="79"/>
        <v>3.7015510000000001E-2</v>
      </c>
      <c r="EE17" s="1">
        <f t="shared" ca="1" si="80"/>
        <v>2.23217E-2</v>
      </c>
      <c r="EF17" s="1">
        <f t="shared" ca="1" si="81"/>
        <v>1.771826E-3</v>
      </c>
      <c r="EG17" s="1">
        <f t="shared" ca="1" si="82"/>
        <v>7.4682600000000002E-4</v>
      </c>
      <c r="EH17" s="1">
        <f t="shared" ca="1" si="83"/>
        <v>1.2401329999999999E-2</v>
      </c>
      <c r="EJ17">
        <f t="shared" ca="1" si="110"/>
        <v>74</v>
      </c>
      <c r="EK17" s="169">
        <f t="shared" ca="1" si="84"/>
        <v>42825</v>
      </c>
      <c r="EL17" s="1">
        <f t="shared" ca="1" si="85"/>
        <v>-3.3079999999999997E-3</v>
      </c>
      <c r="EM17" s="1">
        <f t="shared" ca="1" si="86"/>
        <v>-3.7209999999999999E-3</v>
      </c>
      <c r="EN17" s="1">
        <f t="shared" ca="1" si="87"/>
        <v>-5.0849974018268645E-4</v>
      </c>
      <c r="EO17" s="1">
        <f t="shared" ca="1" si="88"/>
        <v>1.1664881162675512E-3</v>
      </c>
      <c r="EP17" s="1">
        <f t="shared" ca="1" si="89"/>
        <v>4.3300000000000001E-4</v>
      </c>
      <c r="EQ17" s="1">
        <f t="shared" ca="1" si="90"/>
        <v>1.1900000000000001E-4</v>
      </c>
      <c r="ER17" s="1">
        <f t="shared" ca="1" si="91"/>
        <v>-5.2257568516632788E-3</v>
      </c>
      <c r="ES17" s="1">
        <f t="shared" ca="1" si="92"/>
        <v>1.3084916475280836E-3</v>
      </c>
      <c r="ET17" s="1">
        <f t="shared" ca="1" si="93"/>
        <v>1.5809E-2</v>
      </c>
      <c r="EU17" s="1">
        <f t="shared" ca="1" si="94"/>
        <v>1.5108999999999999E-2</v>
      </c>
      <c r="EV17" s="1">
        <f t="shared" ca="1" si="95"/>
        <v>6.9398072699482054E-3</v>
      </c>
      <c r="EW17" s="1">
        <f t="shared" ca="1" si="96"/>
        <v>1.2979841265386129E-2</v>
      </c>
      <c r="EX17" s="1">
        <f t="shared" ca="1" si="97"/>
        <v>0</v>
      </c>
      <c r="EY17" s="1">
        <f t="shared" ca="1" si="98"/>
        <v>0</v>
      </c>
      <c r="EZ17" s="1">
        <f t="shared" ca="1" si="99"/>
        <v>1.3084916475280836E-3</v>
      </c>
    </row>
    <row r="18" spans="1:156" x14ac:dyDescent="0.25">
      <c r="A18">
        <f t="shared" ca="1" si="103"/>
        <v>16</v>
      </c>
      <c r="B18" s="169">
        <f ca="1">IF('LC (Gross)'!A165="","",IF('LC (Gross)'!A165&gt;$AC$9,"",'LC (Gross)'!A165))</f>
        <v>41060</v>
      </c>
      <c r="C18" s="1">
        <f ca="1">IF(B18="","",(VLOOKUP(B18,'LC (Gross)'!A:D,4,FALSE)/100))</f>
        <v>-3.0666666666666672E-3</v>
      </c>
      <c r="D18" s="1"/>
      <c r="E18" s="1">
        <f ca="1">IF(B18="","",(VLOOKUP(B18,'Global (Gross)'!A:D,4,FALSE)/100))</f>
        <v>-2.5399999999999999E-2</v>
      </c>
      <c r="F18" s="1"/>
      <c r="G18" s="1">
        <f ca="1">IF(B18="","",(VLOOKUP(B18,'LC (Net)'!A:D,4,FALSE)/100))</f>
        <v>-3.9000000000000003E-3</v>
      </c>
      <c r="H18" s="1"/>
      <c r="I18" s="1">
        <f ca="1">IF(B18="","",(VLOOKUP(B18,'Global (Net)'!A:D,4,FALSE)/100))</f>
        <v>-2.5399999999999999E-2</v>
      </c>
      <c r="J18" s="1"/>
      <c r="K18" s="1">
        <f ca="1">IF(B18="","",VLOOKUP(Website!B18,'LC (Gross)'!W:X,2,FALSE)/100)</f>
        <v>-1.55391761364932E-2</v>
      </c>
      <c r="L18" s="1">
        <f ca="1">IF(B18="","",VLOOKUP(Website!B18,'SC (Gross)'!P:Q,2,FALSE)/100)</f>
        <v>-2.7614330826726104E-2</v>
      </c>
      <c r="M18" s="1">
        <f ca="1">IF(B18="","",VLOOKUP(Website!B18,'Global (Gross)'!P:Q,2,FALSE)/100)</f>
        <v>-4.7673024165064942E-2</v>
      </c>
      <c r="O18" s="1">
        <f ca="1">IF(B18="","",VLOOKUP(Website!B18,'LC (Gross)'!J:K,2,FALSE)/100)</f>
        <v>-6.010150626983999E-2</v>
      </c>
      <c r="P18" s="233">
        <f ca="1">IF(B18="","",(VLOOKUP(B18,'SC (Gross)'!J:K,2,FALSE))/100)</f>
        <v>-6.6147434991662354E-2</v>
      </c>
      <c r="Q18" s="233">
        <f ca="1">IF(B18="","",(VLOOKUP(B18,'Global (Gross)'!J:K,2,FALSE)/100))</f>
        <v>-8.8749862087642059E-2</v>
      </c>
      <c r="S18" s="22">
        <f t="shared" ca="1" si="0"/>
        <v>5.7034839603173321E-2</v>
      </c>
      <c r="T18" s="22" t="str">
        <f t="shared" si="1"/>
        <v/>
      </c>
      <c r="U18" s="22">
        <f t="shared" ca="1" si="2"/>
        <v>6.3349862087642067E-2</v>
      </c>
      <c r="V18" s="22"/>
      <c r="W18" s="22">
        <f t="shared" ca="1" si="100"/>
        <v>4.4562330133346789E-2</v>
      </c>
      <c r="X18" s="22">
        <f t="shared" ca="1" si="101"/>
        <v>3.8533104164936251E-2</v>
      </c>
      <c r="Y18" s="22">
        <f t="shared" ca="1" si="102"/>
        <v>4.1076837922577117E-2</v>
      </c>
      <c r="AA18" t="s">
        <v>239</v>
      </c>
      <c r="AG18">
        <v>36</v>
      </c>
      <c r="AH18" t="s">
        <v>48</v>
      </c>
      <c r="AI18" s="239">
        <f t="array" aca="1" ref="AI18" ca="1">IF(AI26&lt;$AG18,"-",((PRODUCT(DB3:DB38+1))^(12/36))-1)</f>
        <v>0.13639609415732101</v>
      </c>
      <c r="AJ18" s="239">
        <f t="array" aca="1" ref="AJ18" ca="1">IF(AJ26&lt;$AG18,"-",((PRODUCT(DC3:DC38+1))^(12/36))-1)</f>
        <v>0.12883268435796325</v>
      </c>
      <c r="AK18" s="239">
        <f t="array" aca="1" ref="AK18" ca="1">IF(AK26&lt;$AG18,"-",((PRODUCT(DD3:DD38+1))^(12/36))-1)</f>
        <v>6.2917987717670432E-2</v>
      </c>
      <c r="AL18" s="239">
        <f t="array" aca="1" ref="AL18" ca="1">IF(AL26&lt;$AG18,"-",((PRODUCT(DE3:DE38+1))^(12/36))-1)</f>
        <v>0.22982388961227085</v>
      </c>
      <c r="AM18" s="239" t="e">
        <f t="array" aca="1" ref="AM18" ca="1">IF(AM26&lt;$AG18,"-",((PRODUCT(DF3:DF38+1))^(12/36))-1)</f>
        <v>#N/A</v>
      </c>
      <c r="AN18" s="239" t="e">
        <f t="array" aca="1" ref="AN18" ca="1">IF(AN26&lt;$AG18,"-",((PRODUCT(DG3:DG38+1))^(12/36))-1)</f>
        <v>#N/A</v>
      </c>
      <c r="AO18" s="239" t="e">
        <f t="array" aca="1" ref="AO18" ca="1">IF(AO26&lt;$AG18,"-",((PRODUCT(DH3:DH38+1))^(12/36))-1)</f>
        <v>#N/A</v>
      </c>
      <c r="AP18" s="239">
        <f t="array" aca="1" ref="AP18" ca="1">IF(AP26&lt;$AG18,"-",((PRODUCT(DI3:DI38+1))^(12/36))-1)</f>
        <v>0.13710326856788368</v>
      </c>
      <c r="AQ18" s="239">
        <f t="array" aca="1" ref="AQ18" ca="1">IF(AQ26&lt;$AG18,"-",((PRODUCT(DJ3:DJ38+1))^(12/36))-1)</f>
        <v>0.12376696040335911</v>
      </c>
      <c r="AR18" s="239">
        <f t="array" aca="1" ref="AR18" ca="1">IF(AR26&lt;$AG18,"-",((PRODUCT(DK3:DK38+1))^(12/36))-1)</f>
        <v>0.11445626091994421</v>
      </c>
      <c r="AS18" s="239">
        <f t="array" aca="1" ref="AS18" ca="1">IF(AS26&lt;$AG18,"-",((PRODUCT(DL3:DL38+1))^(12/36))-1)</f>
        <v>0.10470772286509722</v>
      </c>
      <c r="AT18" s="239">
        <f t="array" aca="1" ref="AT18" ca="1">IF(AT26&lt;$AG18,"-",((PRODUCT(DM3:DM38+1))^(12/36))-1)</f>
        <v>0.21210630310269685</v>
      </c>
      <c r="AU18" s="239">
        <f t="array" aca="1" ref="AU18" ca="1">IF(AU26&lt;$AG18,"-",((PRODUCT(DN3:DN38+1))^(12/36))-1)</f>
        <v>0.13023656762473701</v>
      </c>
      <c r="AV18" s="239">
        <f t="array" aca="1" ref="AV18" ca="1">IF(AV26&lt;$AG18,"-",((PRODUCT(DO3:DO38+1))^(12/36))-1)</f>
        <v>0.11653242558910293</v>
      </c>
      <c r="AW18" s="239">
        <f t="array" aca="1" ref="AW18" ca="1">IF(AW26&lt;$AG18,"-",((PRODUCT(DP3:DP38+1))^(12/36))-1)</f>
        <v>0.13710326856788368</v>
      </c>
      <c r="AY18" s="169"/>
      <c r="CH18">
        <f t="shared" ca="1" si="107"/>
        <v>171</v>
      </c>
      <c r="CI18" s="169">
        <f t="shared" ca="1" si="36"/>
        <v>45777</v>
      </c>
      <c r="CJ18" s="1">
        <f t="shared" ca="1" si="37"/>
        <v>-1.7007119457187261E-2</v>
      </c>
      <c r="CK18" s="1">
        <f t="shared" ca="1" si="38"/>
        <v>-1.782123317791387E-2</v>
      </c>
      <c r="CL18" s="1">
        <f t="shared" ca="1" si="39"/>
        <v>-2.311651E-2</v>
      </c>
      <c r="CM18" s="1">
        <f t="shared" ca="1" si="40"/>
        <v>-6.781306E-3</v>
      </c>
      <c r="CN18" s="1" t="e">
        <f t="shared" ca="1" si="41"/>
        <v>#N/A</v>
      </c>
      <c r="CO18" s="1" t="e">
        <f t="shared" ca="1" si="42"/>
        <v>#N/A</v>
      </c>
      <c r="CP18" s="1" t="e">
        <f t="shared" ca="1" si="43"/>
        <v>#N/A</v>
      </c>
      <c r="CQ18" s="1">
        <f t="shared" ca="1" si="44"/>
        <v>-2.3113199999999997E-2</v>
      </c>
      <c r="CR18" s="1">
        <f t="shared" ca="1" si="45"/>
        <v>-2.1911760000000002E-4</v>
      </c>
      <c r="CS18" s="1">
        <f t="shared" ca="1" si="46"/>
        <v>-9.1911759999999999E-4</v>
      </c>
      <c r="CT18" s="1">
        <f t="shared" ca="1" si="47"/>
        <v>7.6429169999999999E-3</v>
      </c>
      <c r="CU18" s="1">
        <f t="shared" ca="1" si="48"/>
        <v>9.7781580000000003E-3</v>
      </c>
      <c r="CV18" s="1">
        <f t="shared" ca="1" si="49"/>
        <v>-2.0600390000000003E-2</v>
      </c>
      <c r="CW18" s="1">
        <f t="shared" ca="1" si="50"/>
        <v>-2.1625390000000001E-2</v>
      </c>
      <c r="CX18" s="1">
        <f t="shared" ca="1" si="51"/>
        <v>-2.3113199999999997E-2</v>
      </c>
      <c r="CZ18">
        <f t="shared" ca="1" si="108"/>
        <v>159</v>
      </c>
      <c r="DA18" s="169">
        <f t="shared" ca="1" si="52"/>
        <v>45412</v>
      </c>
      <c r="DB18" s="1">
        <f t="shared" ca="1" si="53"/>
        <v>-3.9984913813974933E-2</v>
      </c>
      <c r="DC18" s="1">
        <f t="shared" ca="1" si="54"/>
        <v>-4.0443709388205719E-2</v>
      </c>
      <c r="DD18" s="1">
        <f t="shared" ca="1" si="55"/>
        <v>-3.0440480000000002E-2</v>
      </c>
      <c r="DE18" s="1">
        <f t="shared" ca="1" si="56"/>
        <v>-4.0844069999999996E-2</v>
      </c>
      <c r="DF18" s="1">
        <f t="shared" ca="1" si="57"/>
        <v>0</v>
      </c>
      <c r="DG18" s="1">
        <f t="shared" ca="1" si="58"/>
        <v>0</v>
      </c>
      <c r="DH18" s="1" t="e">
        <f t="shared" ca="1" si="59"/>
        <v>#N/A</v>
      </c>
      <c r="DI18" s="1">
        <f t="shared" ca="1" si="60"/>
        <v>-7.038266E-2</v>
      </c>
      <c r="DJ18" s="1">
        <f t="shared" ca="1" si="61"/>
        <v>-2.5710239003672513E-2</v>
      </c>
      <c r="DK18" s="1">
        <f t="shared" ca="1" si="62"/>
        <v>-2.6488353266014744E-2</v>
      </c>
      <c r="DL18" s="1">
        <f t="shared" ca="1" si="63"/>
        <v>-2.5968499999999999E-2</v>
      </c>
      <c r="DM18" s="1">
        <f t="shared" ca="1" si="64"/>
        <v>-3.2620160000000002E-2</v>
      </c>
      <c r="DN18" s="1">
        <f t="shared" ca="1" si="65"/>
        <v>-6.8794110000000006E-2</v>
      </c>
      <c r="DO18" s="1">
        <f t="shared" ca="1" si="66"/>
        <v>-6.9819110000000004E-2</v>
      </c>
      <c r="DP18" s="1">
        <f t="shared" ca="1" si="67"/>
        <v>-7.038266E-2</v>
      </c>
      <c r="DR18">
        <f t="shared" ca="1" si="109"/>
        <v>135</v>
      </c>
      <c r="DS18" s="169">
        <f t="shared" ca="1" si="68"/>
        <v>44681</v>
      </c>
      <c r="DT18" s="1">
        <f t="shared" ca="1" si="69"/>
        <v>-3.5798999999999997E-2</v>
      </c>
      <c r="DU18" s="1">
        <f t="shared" ca="1" si="70"/>
        <v>-3.6573000000000001E-2</v>
      </c>
      <c r="DV18" s="1">
        <f t="shared" ca="1" si="71"/>
        <v>-2.303798E-2</v>
      </c>
      <c r="DW18" s="1">
        <f t="shared" ca="1" si="72"/>
        <v>-8.7200340000000001E-2</v>
      </c>
      <c r="DX18" s="1">
        <f t="shared" ca="1" si="73"/>
        <v>-5.4001E-2</v>
      </c>
      <c r="DY18" s="1">
        <f t="shared" ca="1" si="74"/>
        <v>-5.4848000000000001E-2</v>
      </c>
      <c r="DZ18" s="1">
        <f t="shared" ca="1" si="75"/>
        <v>-6.9286029999999998E-2</v>
      </c>
      <c r="EA18" s="1">
        <f t="shared" ca="1" si="76"/>
        <v>-9.910925000000001E-2</v>
      </c>
      <c r="EB18" s="1">
        <f t="shared" ca="1" si="77"/>
        <v>-5.9966999999999999E-2</v>
      </c>
      <c r="EC18" s="1">
        <f t="shared" ca="1" si="78"/>
        <v>-6.0736999999999999E-2</v>
      </c>
      <c r="ED18" s="1">
        <f t="shared" ca="1" si="79"/>
        <v>-4.2598269999999994E-2</v>
      </c>
      <c r="EE18" s="1">
        <f t="shared" ca="1" si="80"/>
        <v>-7.9712140000000001E-2</v>
      </c>
      <c r="EF18" s="1">
        <f t="shared" ca="1" si="81"/>
        <v>-6.1288429999999998E-2</v>
      </c>
      <c r="EG18" s="1">
        <f t="shared" ca="1" si="82"/>
        <v>-6.2313429999999996E-2</v>
      </c>
      <c r="EH18" s="1">
        <f t="shared" ca="1" si="83"/>
        <v>-9.910925000000001E-2</v>
      </c>
      <c r="EJ18">
        <f t="shared" ca="1" si="110"/>
        <v>75</v>
      </c>
      <c r="EK18" s="169">
        <f t="shared" ca="1" si="84"/>
        <v>42855</v>
      </c>
      <c r="EL18" s="1">
        <f t="shared" ca="1" si="85"/>
        <v>8.7760000000000008E-3</v>
      </c>
      <c r="EM18" s="1">
        <f t="shared" ca="1" si="86"/>
        <v>8.3990000000000002E-3</v>
      </c>
      <c r="EN18" s="1">
        <f t="shared" ca="1" si="87"/>
        <v>1.0873319147513971E-2</v>
      </c>
      <c r="EO18" s="1">
        <f t="shared" ca="1" si="88"/>
        <v>1.0271052392714737E-2</v>
      </c>
      <c r="EP18" s="1">
        <f t="shared" ca="1" si="89"/>
        <v>3.2566999999999999E-2</v>
      </c>
      <c r="EQ18" s="1">
        <f t="shared" ca="1" si="90"/>
        <v>3.2252999999999997E-2</v>
      </c>
      <c r="ER18" s="1">
        <f t="shared" ca="1" si="91"/>
        <v>1.3858863092813634E-2</v>
      </c>
      <c r="ES18" s="1">
        <f t="shared" ca="1" si="92"/>
        <v>1.0966058849237991E-2</v>
      </c>
      <c r="ET18" s="1">
        <f t="shared" ca="1" si="93"/>
        <v>1.0492E-2</v>
      </c>
      <c r="EU18" s="1">
        <f t="shared" ca="1" si="94"/>
        <v>9.7920000000000004E-3</v>
      </c>
      <c r="EV18" s="1">
        <f t="shared" ca="1" si="95"/>
        <v>1.1772501596689244E-2</v>
      </c>
      <c r="EW18" s="1">
        <f t="shared" ca="1" si="96"/>
        <v>1.6037847096030913E-2</v>
      </c>
      <c r="EX18" s="1">
        <f t="shared" ca="1" si="97"/>
        <v>0</v>
      </c>
      <c r="EY18" s="1">
        <f t="shared" ca="1" si="98"/>
        <v>0</v>
      </c>
      <c r="EZ18" s="1">
        <f t="shared" ca="1" si="99"/>
        <v>1.0966058849237991E-2</v>
      </c>
    </row>
    <row r="19" spans="1:156" x14ac:dyDescent="0.25">
      <c r="A19">
        <f t="shared" ca="1" si="103"/>
        <v>17</v>
      </c>
      <c r="B19" s="169">
        <f ca="1">IF('LC (Gross)'!A166="","",IF('LC (Gross)'!A166&gt;$AC$9,"",'LC (Gross)'!A166))</f>
        <v>41090</v>
      </c>
      <c r="C19" s="1">
        <f ca="1">IF(B19="","",(VLOOKUP(B19,'LC (Gross)'!A:D,4,FALSE)/100))</f>
        <v>3.804520854877623E-2</v>
      </c>
      <c r="D19" s="1"/>
      <c r="E19" s="1">
        <f ca="1">IF(B19="","",(VLOOKUP(B19,'Global (Gross)'!A:D,4,FALSE)/100))</f>
        <v>4.8499999999999995E-2</v>
      </c>
      <c r="F19" s="1"/>
      <c r="G19" s="1">
        <f ca="1">IF(B19="","",(VLOOKUP(B19,'LC (Net)'!A:D,4,FALSE)/100))</f>
        <v>3.7228541882109563E-2</v>
      </c>
      <c r="H19" s="1"/>
      <c r="I19" s="1">
        <f ca="1">IF(B19="","",(VLOOKUP(B19,'Global (Net)'!A:D,4,FALSE)/100))</f>
        <v>4.8499999999999995E-2</v>
      </c>
      <c r="J19" s="1"/>
      <c r="K19" s="1">
        <f ca="1">IF(B19="","",VLOOKUP(Website!B19,'LC (Gross)'!W:X,2,FALSE)/100)</f>
        <v>4.1571361102365242E-2</v>
      </c>
      <c r="L19" s="1">
        <f ca="1">IF(B19="","",VLOOKUP(Website!B19,'SC (Gross)'!P:Q,2,FALSE)/100)</f>
        <v>4.2428419564734948E-2</v>
      </c>
      <c r="M19" s="1">
        <f ca="1">IF(B19="","",VLOOKUP(Website!B19,'Global (Gross)'!P:Q,2,FALSE)/100)</f>
        <v>3.8053509513377284E-2</v>
      </c>
      <c r="O19" s="1">
        <f ca="1">IF(B19="","",VLOOKUP(Website!B19,'LC (Gross)'!J:K,2,FALSE)/100)</f>
        <v>4.1204404843881132E-2</v>
      </c>
      <c r="P19" s="233">
        <f ca="1">IF(B19="","",(VLOOKUP(B19,'SC (Gross)'!J:K,2,FALSE))/100)</f>
        <v>4.9899882818746147E-2</v>
      </c>
      <c r="Q19" s="233">
        <f ca="1">IF(B19="","",(VLOOKUP(B19,'Global (Gross)'!J:K,2,FALSE)/100))</f>
        <v>4.9913018401795101E-2</v>
      </c>
      <c r="S19" s="22">
        <f t="shared" ca="1" si="0"/>
        <v>-3.1591962951049019E-3</v>
      </c>
      <c r="T19" s="22" t="str">
        <f t="shared" si="1"/>
        <v/>
      </c>
      <c r="U19" s="22">
        <f t="shared" ca="1" si="2"/>
        <v>-1.4130184017951061E-3</v>
      </c>
      <c r="V19" s="22"/>
      <c r="W19" s="22">
        <f t="shared" ca="1" si="100"/>
        <v>3.6695625848411073E-4</v>
      </c>
      <c r="X19" s="22">
        <f t="shared" ca="1" si="101"/>
        <v>-7.4714632540111986E-3</v>
      </c>
      <c r="Y19" s="22">
        <f t="shared" ca="1" si="102"/>
        <v>-1.1859508888417816E-2</v>
      </c>
      <c r="AG19">
        <v>60</v>
      </c>
      <c r="AH19" t="s">
        <v>50</v>
      </c>
      <c r="AI19" s="239" cm="1">
        <f t="array" aca="1" ref="AI19" ca="1">IF(AI26&lt;$AG19,"-",((PRODUCT(DT3:DT62+1))^(12/60))-1)</f>
        <v>9.0847440231867083E-2</v>
      </c>
      <c r="AJ19" s="239" cm="1">
        <f t="array" aca="1" ref="AJ19" ca="1">IF(AJ26&lt;$AG19,"-",((PRODUCT(DU3:DU62+1))^(12/60))-1)</f>
        <v>8.3141642632519996E-2</v>
      </c>
      <c r="AK19" s="239" cm="1">
        <f t="array" aca="1" ref="AK19" ca="1">IF(AK26&lt;$AG19,"-",((PRODUCT(DV3:DV62+1))^(12/60))-1)</f>
        <v>7.3495830452093402E-2</v>
      </c>
      <c r="AL19" s="239" cm="1">
        <f t="array" aca="1" ref="AL19" ca="1">IF(AL26&lt;$AG19,"-",((PRODUCT(DW3:DW62+1))^(12/60))-1)</f>
        <v>0.1440023564398647</v>
      </c>
      <c r="AM19" s="239" t="e" cm="1">
        <f t="array" aca="1" ref="AM19" ca="1">IF(AM26&lt;$AG19,"-",((PRODUCT(DX3:DX62+1))^(12/60))-1)</f>
        <v>#N/A</v>
      </c>
      <c r="AN19" s="239" t="e">
        <f t="array" aca="1" ref="AN19" ca="1">IF(AN26&lt;$AG19,"-",((PRODUCT(DY3:DY62+1))^(12/60))-1)</f>
        <v>#N/A</v>
      </c>
      <c r="AO19" s="239" t="e">
        <f t="array" aca="1" ref="AO19" ca="1">IF(AO26&lt;$AG19,"-",((PRODUCT(DZ3:DZ62+1))^(12/60))-1)</f>
        <v>#N/A</v>
      </c>
      <c r="AP19" s="239">
        <f t="array" aca="1" ref="AP19" ca="1">IF(AP26&lt;$AG19,"-",((PRODUCT(EA3:EA62+1))^(12/60))-1)</f>
        <v>6.065220780682834E-2</v>
      </c>
      <c r="AQ19" s="239">
        <f t="array" aca="1" ref="AQ19" ca="1">IF(AQ26&lt;$AG19,"-",((PRODUCT(EB3:EB62+1))^(12/60))-1)</f>
        <v>7.7968754742905544E-2</v>
      </c>
      <c r="AR19" s="239">
        <f t="array" aca="1" ref="AR19" ca="1">IF(AR26&lt;$AG19,"-",((PRODUCT(EC3:EC62+1))^(12/60))-1)</f>
        <v>6.9026703164352776E-2</v>
      </c>
      <c r="AS19" s="239">
        <f t="array" aca="1" ref="AS19" ca="1">IF(AS26&lt;$AG19,"-",((PRODUCT(ED3:ED62+1))^(12/60))-1)</f>
        <v>6.8376475718262553E-2</v>
      </c>
      <c r="AT19" s="239">
        <f t="array" aca="1" ref="AT19" ca="1">IF(AT26&lt;$AG19,"-",((PRODUCT(EE3:EE62+1))^(12/60))-1)</f>
        <v>0.11708135953882448</v>
      </c>
      <c r="AU19" s="239" t="str">
        <f t="array" aca="1" ref="AU19" ca="1">IF(AU26&lt;$AG19,"-",((PRODUCT(EF3:EF62+1))^(12/60))-1)</f>
        <v>-</v>
      </c>
      <c r="AV19" s="239" t="str">
        <f t="array" aca="1" ref="AV19" ca="1">IF(AV26&lt;$AG19,"-",((PRODUCT(EG3:EG62+1))^(12/60))-1)</f>
        <v>-</v>
      </c>
      <c r="AW19" s="239" t="str">
        <f t="array" aca="1" ref="AW19" ca="1">IF(AW26&lt;$AG19,"-",((PRODUCT(EH3:EH62+1))^(12/60))-1)</f>
        <v>-</v>
      </c>
      <c r="CH19">
        <f t="shared" ca="1" si="107"/>
        <v>172</v>
      </c>
      <c r="CI19" s="169">
        <f t="shared" ca="1" si="36"/>
        <v>45808</v>
      </c>
      <c r="CJ19" s="1">
        <f t="shared" ca="1" si="37"/>
        <v>1.698246054546064E-2</v>
      </c>
      <c r="CK19" s="1">
        <f t="shared" ca="1" si="38"/>
        <v>1.6469021635570558E-2</v>
      </c>
      <c r="CL19" s="1">
        <f t="shared" ca="1" si="39"/>
        <v>1.1138459999999999E-2</v>
      </c>
      <c r="CM19" s="1">
        <f t="shared" ca="1" si="40"/>
        <v>6.2946189999999999E-2</v>
      </c>
      <c r="CN19" s="1" t="e">
        <f t="shared" ca="1" si="41"/>
        <v>#N/A</v>
      </c>
      <c r="CO19" s="1" t="e">
        <f t="shared" ca="1" si="42"/>
        <v>#N/A</v>
      </c>
      <c r="CP19" s="1" t="e">
        <f t="shared" ca="1" si="43"/>
        <v>#N/A</v>
      </c>
      <c r="CQ19" s="1">
        <f t="shared" ca="1" si="44"/>
        <v>5.3393110000000001E-2</v>
      </c>
      <c r="CR19" s="1">
        <f t="shared" ca="1" si="45"/>
        <v>2.0019230000000002E-2</v>
      </c>
      <c r="CS19" s="1">
        <f t="shared" ca="1" si="46"/>
        <v>1.931923E-2</v>
      </c>
      <c r="CT19" s="1">
        <f t="shared" ca="1" si="47"/>
        <v>1.2818030000000001E-2</v>
      </c>
      <c r="CU19" s="1">
        <f t="shared" ca="1" si="48"/>
        <v>5.8145300000000004E-2</v>
      </c>
      <c r="CV19" s="1">
        <f t="shared" ca="1" si="49"/>
        <v>5.271841E-2</v>
      </c>
      <c r="CW19" s="1">
        <f t="shared" ca="1" si="50"/>
        <v>5.1693410000000002E-2</v>
      </c>
      <c r="CX19" s="1">
        <f t="shared" ca="1" si="51"/>
        <v>5.3393110000000001E-2</v>
      </c>
      <c r="CZ19">
        <f t="shared" ca="1" si="108"/>
        <v>160</v>
      </c>
      <c r="DA19" s="169">
        <f t="shared" ca="1" si="52"/>
        <v>45443</v>
      </c>
      <c r="DB19" s="1">
        <f t="shared" ca="1" si="53"/>
        <v>3.6816566581423862E-2</v>
      </c>
      <c r="DC19" s="1">
        <f t="shared" ca="1" si="54"/>
        <v>3.6378928867356414E-2</v>
      </c>
      <c r="DD19" s="1">
        <f t="shared" ca="1" si="55"/>
        <v>2.4779700000000002E-2</v>
      </c>
      <c r="DE19" s="1">
        <f t="shared" ca="1" si="56"/>
        <v>4.9585549999999999E-2</v>
      </c>
      <c r="DF19" s="1">
        <f t="shared" ca="1" si="57"/>
        <v>0</v>
      </c>
      <c r="DG19" s="1">
        <f t="shared" ca="1" si="58"/>
        <v>0</v>
      </c>
      <c r="DH19" s="1" t="e">
        <f t="shared" ca="1" si="59"/>
        <v>#N/A</v>
      </c>
      <c r="DI19" s="1">
        <f t="shared" ca="1" si="60"/>
        <v>5.0208769999999993E-2</v>
      </c>
      <c r="DJ19" s="1">
        <f t="shared" ca="1" si="61"/>
        <v>2.3062300727677544E-2</v>
      </c>
      <c r="DK19" s="1">
        <f t="shared" ca="1" si="62"/>
        <v>2.241124428223196E-2</v>
      </c>
      <c r="DL19" s="1">
        <f t="shared" ca="1" si="63"/>
        <v>1.8897520000000001E-2</v>
      </c>
      <c r="DM19" s="1">
        <f t="shared" ca="1" si="64"/>
        <v>4.1195639999999999E-2</v>
      </c>
      <c r="DN19" s="1">
        <f t="shared" ca="1" si="65"/>
        <v>4.8790269999999997E-2</v>
      </c>
      <c r="DO19" s="1">
        <f t="shared" ca="1" si="66"/>
        <v>4.7765269999999999E-2</v>
      </c>
      <c r="DP19" s="1">
        <f t="shared" ca="1" si="67"/>
        <v>5.0208769999999993E-2</v>
      </c>
      <c r="DR19">
        <f t="shared" ca="1" si="109"/>
        <v>136</v>
      </c>
      <c r="DS19" s="169">
        <f t="shared" ca="1" si="68"/>
        <v>44712</v>
      </c>
      <c r="DT19" s="1">
        <f t="shared" ca="1" si="69"/>
        <v>4.9849999999999998E-3</v>
      </c>
      <c r="DU19" s="1">
        <f t="shared" ca="1" si="70"/>
        <v>4.4080000000000005E-3</v>
      </c>
      <c r="DV19" s="1">
        <f t="shared" ca="1" si="71"/>
        <v>-5.4373320000000004E-3</v>
      </c>
      <c r="DW19" s="1">
        <f t="shared" ca="1" si="72"/>
        <v>1.8353E-3</v>
      </c>
      <c r="DX19" s="1">
        <f t="shared" ca="1" si="73"/>
        <v>1.7857999999999999E-2</v>
      </c>
      <c r="DY19" s="1">
        <f t="shared" ca="1" si="74"/>
        <v>1.7351000000000002E-2</v>
      </c>
      <c r="DZ19" s="1">
        <f t="shared" ca="1" si="75"/>
        <v>2.3163109999999997E-2</v>
      </c>
      <c r="EA19" s="1">
        <f t="shared" ca="1" si="76"/>
        <v>1.4378990000000001E-3</v>
      </c>
      <c r="EB19" s="1">
        <f t="shared" ca="1" si="77"/>
        <v>1.0449999999999999E-2</v>
      </c>
      <c r="EC19" s="1">
        <f t="shared" ca="1" si="78"/>
        <v>9.7940000000000006E-3</v>
      </c>
      <c r="ED19" s="1">
        <f t="shared" ca="1" si="79"/>
        <v>-1.0626459999999999E-2</v>
      </c>
      <c r="EE19" s="1">
        <f t="shared" ca="1" si="80"/>
        <v>1.8357740000000001E-3</v>
      </c>
      <c r="EF19" s="1">
        <f t="shared" ca="1" si="81"/>
        <v>3.0471880000000003E-2</v>
      </c>
      <c r="EG19" s="1">
        <f t="shared" ca="1" si="82"/>
        <v>2.9446880000000002E-2</v>
      </c>
      <c r="EH19" s="1">
        <f t="shared" ca="1" si="83"/>
        <v>1.4378990000000001E-3</v>
      </c>
      <c r="EJ19">
        <f t="shared" ca="1" si="110"/>
        <v>76</v>
      </c>
      <c r="EK19" s="169">
        <f t="shared" ca="1" si="84"/>
        <v>42886</v>
      </c>
      <c r="EL19" s="1">
        <f t="shared" ca="1" si="85"/>
        <v>1.2832E-2</v>
      </c>
      <c r="EM19" s="1">
        <f t="shared" ca="1" si="86"/>
        <v>1.2131000000000001E-2</v>
      </c>
      <c r="EN19" s="1">
        <f t="shared" ca="1" si="87"/>
        <v>2.6960703277971877E-2</v>
      </c>
      <c r="EO19" s="1">
        <f t="shared" ca="1" si="88"/>
        <v>1.4072016778941637E-2</v>
      </c>
      <c r="EP19" s="1">
        <f t="shared" ca="1" si="89"/>
        <v>-7.3499999999999998E-4</v>
      </c>
      <c r="EQ19" s="1">
        <f t="shared" ca="1" si="90"/>
        <v>-1.555E-3</v>
      </c>
      <c r="ER19" s="1">
        <f t="shared" ca="1" si="91"/>
        <v>-1.2299388120892419E-2</v>
      </c>
      <c r="ES19" s="1">
        <f t="shared" ca="1" si="92"/>
        <v>-2.0343905575018348E-2</v>
      </c>
      <c r="ET19" s="1">
        <f t="shared" ca="1" si="93"/>
        <v>2.8241000000000002E-2</v>
      </c>
      <c r="EU19" s="1">
        <f t="shared" ca="1" si="94"/>
        <v>2.7541000000000003E-2</v>
      </c>
      <c r="EV19" s="1">
        <f t="shared" ca="1" si="95"/>
        <v>2.9279350623437277E-2</v>
      </c>
      <c r="EW19" s="1">
        <f t="shared" ca="1" si="96"/>
        <v>2.2794300798517918E-2</v>
      </c>
      <c r="EX19" s="1">
        <f t="shared" ca="1" si="97"/>
        <v>0</v>
      </c>
      <c r="EY19" s="1">
        <f t="shared" ca="1" si="98"/>
        <v>0</v>
      </c>
      <c r="EZ19" s="1">
        <f t="shared" ca="1" si="99"/>
        <v>-2.0343905575018348E-2</v>
      </c>
    </row>
    <row r="20" spans="1:156" x14ac:dyDescent="0.25">
      <c r="A20">
        <f ca="1">IF(B20="","",A19+1)</f>
        <v>18</v>
      </c>
      <c r="B20" s="169">
        <f ca="1">IF('LC (Gross)'!A167="","",IF('LC (Gross)'!A167&gt;$AC$9,"",'LC (Gross)'!A167))</f>
        <v>41121</v>
      </c>
      <c r="C20" s="1">
        <f ca="1">IF(B20="","",(VLOOKUP(B20,'LC (Gross)'!A:D,4,FALSE)/100))</f>
        <v>9.8166666666666662E-3</v>
      </c>
      <c r="D20" s="1"/>
      <c r="E20" s="1">
        <f ca="1">IF(B20="","",(VLOOKUP(B20,'Global (Gross)'!A:D,4,FALSE)/100))</f>
        <v>1.2800000000000001E-2</v>
      </c>
      <c r="F20" s="1"/>
      <c r="G20" s="1">
        <f ca="1">IF(B20="","",(VLOOKUP(B20,'LC (Net)'!A:D,4,FALSE)/100))</f>
        <v>8.9999999999999993E-3</v>
      </c>
      <c r="H20" s="1"/>
      <c r="I20" s="1">
        <f ca="1">IF(B20="","",(VLOOKUP(B20,'Global (Net)'!A:D,4,FALSE)/100))</f>
        <v>1.2800000000000001E-2</v>
      </c>
      <c r="J20" s="1"/>
      <c r="K20" s="1">
        <f ca="1">IF(B20="","",VLOOKUP(Website!B20,'LC (Gross)'!W:X,2,FALSE)/100)</f>
        <v>2.1035762351897878E-2</v>
      </c>
      <c r="L20" s="1">
        <f ca="1">IF(B20="","",VLOOKUP(Website!B20,'SC (Gross)'!P:Q,2,FALSE)/100)</f>
        <v>7.1720737378829641E-4</v>
      </c>
      <c r="M20" s="1">
        <f ca="1">IF(B20="","",VLOOKUP(Website!B20,'Global (Gross)'!P:Q,2,FALSE)/100)</f>
        <v>2.145844757964006E-2</v>
      </c>
      <c r="O20" s="1">
        <f ca="1">IF(B20="","",VLOOKUP(Website!B20,'LC (Gross)'!J:K,2,FALSE)/100)</f>
        <v>1.3889533962638289E-2</v>
      </c>
      <c r="P20" s="233">
        <f ca="1">IF(B20="","",(VLOOKUP(B20,'SC (Gross)'!J:K,2,FALSE))/100)</f>
        <v>-1.3819068348042534E-2</v>
      </c>
      <c r="Q20" s="233">
        <f ca="1">IF(B20="","",(VLOOKUP(B20,'Global (Gross)'!J:K,2,FALSE)/100))</f>
        <v>1.40084198861955E-2</v>
      </c>
      <c r="S20" s="22">
        <f t="shared" ca="1" si="0"/>
        <v>-4.0728672959716231E-3</v>
      </c>
      <c r="T20" s="22" t="str">
        <f t="shared" si="1"/>
        <v/>
      </c>
      <c r="U20" s="22">
        <f t="shared" ca="1" si="2"/>
        <v>-1.2084198861954994E-3</v>
      </c>
      <c r="V20" s="22"/>
      <c r="W20" s="22">
        <f t="shared" ca="1" si="100"/>
        <v>7.1462283892595891E-3</v>
      </c>
      <c r="X20" s="22">
        <f t="shared" ca="1" si="101"/>
        <v>1.4536275721830831E-2</v>
      </c>
      <c r="Y20" s="22">
        <f t="shared" ca="1" si="102"/>
        <v>7.4500276934445601E-3</v>
      </c>
      <c r="AB20" s="1"/>
      <c r="AG20">
        <v>120</v>
      </c>
      <c r="AH20" s="169" t="s">
        <v>51</v>
      </c>
      <c r="AI20" s="1" cm="1">
        <f t="array" aca="1" ref="AI20" ca="1">IF(AI26&lt;$AG20,"-",((PRODUCT(EL3:EL122+1))^(12/120))-1)</f>
        <v>0.11300723526565548</v>
      </c>
      <c r="AJ20" s="1" cm="1">
        <f t="array" aca="1" ref="AJ20" ca="1">IF(AJ26&lt;$AG20,"-",((PRODUCT(EM3:EM122+1))^(12/120))-1)</f>
        <v>0.10503036796555554</v>
      </c>
      <c r="AK20" s="1" cm="1">
        <f t="array" aca="1" ref="AK20" ca="1">IF(AK26&lt;$AG20,"-",((PRODUCT(EN3:EN122+1))^(12/120))-1)</f>
        <v>8.9173183664750688E-2</v>
      </c>
      <c r="AL20" s="1" cm="1">
        <f t="array" aca="1" ref="AL20" ca="1">IF(AL26&lt;$AG20,"-",((PRODUCT(EO3:EO122+1))^(12/120))-1)</f>
        <v>0.14803297301428375</v>
      </c>
      <c r="AM20" s="239" t="e" cm="1">
        <f t="array" aca="1" ref="AM20" ca="1">IF(AM26&lt;$AG20,"-",((PRODUCT(EP3:EP122+1))^(12/120))-1)</f>
        <v>#N/A</v>
      </c>
      <c r="AN20" s="239" t="e" cm="1">
        <f t="array" aca="1" ref="AN20" ca="1">IF(AN26&lt;$AG20,"-",((PRODUCT(EQ3:EQ122+1))^(12/120))-1)</f>
        <v>#N/A</v>
      </c>
      <c r="AO20" s="239" t="str" cm="1">
        <f t="array" aca="1" ref="AO20" ca="1">IF(AO26&lt;$AG20,"-",((PRODUCT(ER3:ER122+1))^(12/120))-1)</f>
        <v>-</v>
      </c>
      <c r="AP20" s="239" cm="1">
        <f t="array" aca="1" ref="AP20" ca="1">IF(AP26&lt;$AG20,"-",((PRODUCT(ES3:ES122+1))^(12/120))-1)</f>
        <v>9.5905441107250855E-2</v>
      </c>
      <c r="AQ20" s="1" cm="1">
        <f t="array" aca="1" ref="AQ20" ca="1">IF(AQ26&lt;$AG20,"-",((PRODUCT(ET3:ET122+1))^(12/120))-1)</f>
        <v>9.6898793114928994E-2</v>
      </c>
      <c r="AR20" s="1" cm="1">
        <f t="array" aca="1" ref="AR20" ca="1">IF(AR26&lt;$AG20,"-",((PRODUCT(EU3:EU122+1))^(12/120))-1)</f>
        <v>8.9218932811961915E-2</v>
      </c>
      <c r="AS20" s="1" cm="1">
        <f t="array" aca="1" ref="AS20" ca="1">IF(AS26&lt;$AG20,"-",((PRODUCT(EV3:EV122+1))^(12/120))-1)</f>
        <v>8.3313348915827978E-2</v>
      </c>
      <c r="AT20" s="1" cm="1">
        <f t="array" aca="1" ref="AT20" ca="1">IF(AT26&lt;$AG20,"-",((PRODUCT(EW3:EW122+1))^(12/120))-1)</f>
        <v>0.1229297642901559</v>
      </c>
      <c r="AU20" s="239" t="str" cm="1">
        <f t="array" aca="1" ref="AU20" ca="1">IF(AU26&lt;$AG20,"-",((PRODUCT(EX3:EX122+1))^(12/120))-1)</f>
        <v>-</v>
      </c>
      <c r="AV20" s="239" t="str" cm="1">
        <f t="array" aca="1" ref="AV20" ca="1">IF(AV26&lt;$AG20,"-",((PRODUCT(EY3:EY122+1))^(12/120))-1)</f>
        <v>-</v>
      </c>
      <c r="AW20" s="239" t="str" cm="1">
        <f t="array" aca="1" ref="AW20" ca="1">IF(AW26&lt;$AG20,"-",((PRODUCT(EZ3:EZ122+1))^(12/120))-1)</f>
        <v>-</v>
      </c>
      <c r="CH20">
        <f ca="1">CH19+1</f>
        <v>173</v>
      </c>
      <c r="CI20" s="169">
        <f t="shared" ca="1" si="36"/>
        <v>45838</v>
      </c>
      <c r="CJ20" s="1">
        <f t="shared" ca="1" si="37"/>
        <v>4.8357748879533612E-3</v>
      </c>
      <c r="CK20" s="1">
        <f t="shared" ca="1" si="38"/>
        <v>4.329401489169782E-3</v>
      </c>
      <c r="CL20" s="1">
        <f t="shared" ca="1" si="39"/>
        <v>-7.5421139999999999E-3</v>
      </c>
      <c r="CM20" s="1">
        <f t="shared" ca="1" si="40"/>
        <v>5.0848299999999999E-2</v>
      </c>
      <c r="CN20" s="1" t="e">
        <f t="shared" ca="1" si="41"/>
        <v>#N/A</v>
      </c>
      <c r="CO20" s="1" t="e">
        <f t="shared" ca="1" si="42"/>
        <v>#N/A</v>
      </c>
      <c r="CP20" s="1" t="e">
        <f t="shared" ca="1" si="43"/>
        <v>#N/A</v>
      </c>
      <c r="CQ20" s="1">
        <f t="shared" ca="1" si="44"/>
        <v>5.4339259999999993E-2</v>
      </c>
      <c r="CR20" s="1">
        <f t="shared" ca="1" si="45"/>
        <v>1.122948E-2</v>
      </c>
      <c r="CS20" s="1">
        <f t="shared" ca="1" si="46"/>
        <v>1.0529480000000001E-2</v>
      </c>
      <c r="CT20" s="1">
        <f t="shared" ca="1" si="47"/>
        <v>1.007893E-2</v>
      </c>
      <c r="CU20" s="1">
        <f t="shared" ca="1" si="48"/>
        <v>4.5320140000000002E-2</v>
      </c>
      <c r="CV20" s="1">
        <f t="shared" ca="1" si="49"/>
        <v>4.1024999999999999E-2</v>
      </c>
      <c r="CW20" s="1">
        <f t="shared" ca="1" si="50"/>
        <v>0.04</v>
      </c>
      <c r="CX20" s="1">
        <f t="shared" ca="1" si="51"/>
        <v>5.4339259999999993E-2</v>
      </c>
      <c r="CZ20">
        <f ca="1">CZ19+1</f>
        <v>161</v>
      </c>
      <c r="DA20" s="169">
        <f t="shared" ca="1" si="52"/>
        <v>45473</v>
      </c>
      <c r="DB20" s="1">
        <f t="shared" ca="1" si="53"/>
        <v>1.9618040202060379E-2</v>
      </c>
      <c r="DC20" s="1">
        <f t="shared" ca="1" si="54"/>
        <v>1.9181031885381162E-2</v>
      </c>
      <c r="DD20" s="1">
        <f t="shared" ca="1" si="55"/>
        <v>-1.6201969999999999E-3</v>
      </c>
      <c r="DE20" s="1">
        <f t="shared" ca="1" si="56"/>
        <v>3.5878790000000001E-2</v>
      </c>
      <c r="DF20" s="1">
        <f t="shared" ca="1" si="57"/>
        <v>0</v>
      </c>
      <c r="DG20" s="1">
        <f t="shared" ca="1" si="58"/>
        <v>0</v>
      </c>
      <c r="DH20" s="1" t="e">
        <f t="shared" ca="1" si="59"/>
        <v>#N/A</v>
      </c>
      <c r="DI20" s="1">
        <f t="shared" ca="1" si="60"/>
        <v>-9.264521999999999E-3</v>
      </c>
      <c r="DJ20" s="1">
        <f t="shared" ca="1" si="61"/>
        <v>2.9304903650030998E-3</v>
      </c>
      <c r="DK20" s="1">
        <f t="shared" ca="1" si="62"/>
        <v>2.2657466972229178E-3</v>
      </c>
      <c r="DL20" s="1">
        <f t="shared" ca="1" si="63"/>
        <v>1.229474E-2</v>
      </c>
      <c r="DM20" s="1">
        <f t="shared" ca="1" si="64"/>
        <v>2.2624209999999999E-2</v>
      </c>
      <c r="DN20" s="1">
        <f t="shared" ca="1" si="65"/>
        <v>-2.372264E-2</v>
      </c>
      <c r="DO20" s="1">
        <f t="shared" ca="1" si="66"/>
        <v>-2.4747640000000001E-2</v>
      </c>
      <c r="DP20" s="1">
        <f t="shared" ca="1" si="67"/>
        <v>-9.264521999999999E-3</v>
      </c>
      <c r="DR20">
        <f ca="1">DR19+1</f>
        <v>137</v>
      </c>
      <c r="DS20" s="169">
        <f t="shared" ca="1" si="68"/>
        <v>44742</v>
      </c>
      <c r="DT20" s="1">
        <f t="shared" ca="1" si="69"/>
        <v>-6.5273999999999999E-2</v>
      </c>
      <c r="DU20" s="1">
        <f t="shared" ca="1" si="70"/>
        <v>-6.5845000000000001E-2</v>
      </c>
      <c r="DV20" s="1">
        <f t="shared" ca="1" si="71"/>
        <v>-4.271896E-2</v>
      </c>
      <c r="DW20" s="1">
        <f t="shared" ca="1" si="72"/>
        <v>-8.2601279999999999E-2</v>
      </c>
      <c r="DX20" s="1">
        <f t="shared" ca="1" si="73"/>
        <v>-2.3344E-2</v>
      </c>
      <c r="DY20" s="1">
        <f t="shared" ca="1" si="74"/>
        <v>-2.3847999999999998E-2</v>
      </c>
      <c r="DZ20" s="1">
        <f t="shared" ca="1" si="75"/>
        <v>-3.703563E-2</v>
      </c>
      <c r="EA20" s="1">
        <f t="shared" ca="1" si="76"/>
        <v>-8.2253300000000001E-2</v>
      </c>
      <c r="EB20" s="1">
        <f t="shared" ca="1" si="77"/>
        <v>-5.6927000000000005E-2</v>
      </c>
      <c r="EC20" s="1">
        <f t="shared" ca="1" si="78"/>
        <v>-5.7583999999999996E-2</v>
      </c>
      <c r="ED20" s="1">
        <f t="shared" ca="1" si="79"/>
        <v>-4.070174E-2</v>
      </c>
      <c r="EE20" s="1">
        <f t="shared" ca="1" si="80"/>
        <v>-8.3909459999999991E-2</v>
      </c>
      <c r="EF20" s="1">
        <f t="shared" ca="1" si="81"/>
        <v>-8.3242490000000002E-2</v>
      </c>
      <c r="EG20" s="1">
        <f t="shared" ca="1" si="82"/>
        <v>-8.4267489999999987E-2</v>
      </c>
      <c r="EH20" s="1">
        <f t="shared" ca="1" si="83"/>
        <v>-8.2253300000000001E-2</v>
      </c>
      <c r="EJ20">
        <f ca="1">EJ19+1</f>
        <v>77</v>
      </c>
      <c r="EK20" s="169">
        <f t="shared" ca="1" si="84"/>
        <v>42916</v>
      </c>
      <c r="EL20" s="1">
        <f t="shared" ca="1" si="85"/>
        <v>1.7480000000000002E-3</v>
      </c>
      <c r="EM20" s="1">
        <f t="shared" ca="1" si="86"/>
        <v>1.3800000000000002E-3</v>
      </c>
      <c r="EN20" s="1">
        <f t="shared" ca="1" si="87"/>
        <v>-3.2260180051273224E-3</v>
      </c>
      <c r="EO20" s="1">
        <f t="shared" ca="1" si="88"/>
        <v>6.2408740693053544E-3</v>
      </c>
      <c r="EP20" s="1">
        <f t="shared" ca="1" si="89"/>
        <v>1.4237E-2</v>
      </c>
      <c r="EQ20" s="1">
        <f t="shared" ca="1" si="90"/>
        <v>1.3897999999999999E-2</v>
      </c>
      <c r="ER20" s="1">
        <f t="shared" ca="1" si="91"/>
        <v>2.2652371615702216E-2</v>
      </c>
      <c r="ES20" s="1">
        <f t="shared" ca="1" si="92"/>
        <v>3.4550215532803123E-2</v>
      </c>
      <c r="ET20" s="1">
        <f t="shared" ca="1" si="93"/>
        <v>-2.32E-3</v>
      </c>
      <c r="EU20" s="1">
        <f t="shared" ca="1" si="94"/>
        <v>-3.0200000000000001E-3</v>
      </c>
      <c r="EV20" s="1">
        <f t="shared" ca="1" si="95"/>
        <v>-4.223298679484371E-3</v>
      </c>
      <c r="EW20" s="1">
        <f t="shared" ca="1" si="96"/>
        <v>4.9756434216776E-3</v>
      </c>
      <c r="EX20" s="1">
        <f t="shared" ca="1" si="97"/>
        <v>0</v>
      </c>
      <c r="EY20" s="1">
        <f t="shared" ca="1" si="98"/>
        <v>0</v>
      </c>
      <c r="EZ20" s="1">
        <f t="shared" ca="1" si="99"/>
        <v>3.4550215532803123E-2</v>
      </c>
    </row>
    <row r="21" spans="1:156" x14ac:dyDescent="0.25">
      <c r="A21">
        <f t="shared" ca="1" si="103"/>
        <v>19</v>
      </c>
      <c r="B21" s="169">
        <f ca="1">IF('LC (Gross)'!A168="","",IF('LC (Gross)'!A168&gt;$AC$9,"",'LC (Gross)'!A168))</f>
        <v>41152</v>
      </c>
      <c r="C21" s="1">
        <f ca="1">IF(B21="","",(VLOOKUP(B21,'LC (Gross)'!A:D,4,FALSE)/100))</f>
        <v>6.7166666666666659E-3</v>
      </c>
      <c r="D21" s="1"/>
      <c r="E21" s="1">
        <f ca="1">IF(B21="","",(VLOOKUP(B21,'Global (Gross)'!A:D,4,FALSE)/100))</f>
        <v>-2.5000000000000001E-3</v>
      </c>
      <c r="F21" s="1"/>
      <c r="G21" s="1">
        <f ca="1">IF(B21="","",(VLOOKUP(B21,'LC (Net)'!A:D,4,FALSE)/100))</f>
        <v>5.8999999999999999E-3</v>
      </c>
      <c r="H21" s="1"/>
      <c r="I21" s="1">
        <f ca="1">IF(B21="","",(VLOOKUP(B21,'Global (Net)'!A:D,4,FALSE)/100))</f>
        <v>-2.5000000000000001E-3</v>
      </c>
      <c r="J21" s="1"/>
      <c r="K21" s="1">
        <f ca="1">IF(B21="","",VLOOKUP(Website!B21,'LC (Gross)'!W:X,2,FALSE)/100)</f>
        <v>-8.5738014147806844E-3</v>
      </c>
      <c r="L21" s="1">
        <f ca="1">IF(B21="","",VLOOKUP(Website!B21,'SC (Gross)'!P:Q,2,FALSE)/100)</f>
        <v>1.8365267248233438E-2</v>
      </c>
      <c r="M21" s="1">
        <f ca="1">IF(B21="","",VLOOKUP(Website!B21,'Global (Gross)'!P:Q,2,FALSE)/100)</f>
        <v>6.2291452481078877E-3</v>
      </c>
      <c r="O21" s="1">
        <f ca="1">IF(B21="","",VLOOKUP(Website!B21,'LC (Gross)'!J:K,2,FALSE)/100)</f>
        <v>2.2536384751420703E-2</v>
      </c>
      <c r="P21" s="233">
        <f ca="1">IF(B21="","",(VLOOKUP(B21,'SC (Gross)'!J:K,2,FALSE))/100)</f>
        <v>3.3366006800921694E-2</v>
      </c>
      <c r="Q21" s="233">
        <f ca="1">IF(B21="","",(VLOOKUP(B21,'Global (Gross)'!J:K,2,FALSE)/100))</f>
        <v>2.2357286491907349E-2</v>
      </c>
      <c r="S21" s="22">
        <f t="shared" ca="1" si="0"/>
        <v>-1.5819718084754037E-2</v>
      </c>
      <c r="T21" s="22" t="str">
        <f t="shared" si="1"/>
        <v/>
      </c>
      <c r="U21" s="22">
        <f t="shared" ca="1" si="2"/>
        <v>-2.4857286491907347E-2</v>
      </c>
      <c r="V21" s="22"/>
      <c r="W21" s="22">
        <f t="shared" ca="1" si="100"/>
        <v>-3.1110186166201387E-2</v>
      </c>
      <c r="X21" s="22">
        <f t="shared" ca="1" si="101"/>
        <v>-1.5000739552688255E-2</v>
      </c>
      <c r="Y21" s="22">
        <f t="shared" ca="1" si="102"/>
        <v>-1.6128141243799462E-2</v>
      </c>
      <c r="AH21" t="s">
        <v>240</v>
      </c>
      <c r="AI21" s="1" cm="1">
        <f t="array" aca="1" ref="AI21" ca="1">PRODUCT(INDIRECT($AI$23&amp;$AI$24&amp;":"&amp;$AI$23&amp;$AI$25)+1)^(12/$AI$26)-1</f>
        <v>0.12725922947307389</v>
      </c>
      <c r="AJ21" s="1">
        <f t="array" aca="1" ref="AJ21" ca="1">PRODUCT(INDIRECT(AJ23&amp;AJ24&amp;":"&amp;AJ23&amp;AJ25)+1)^(12/AJ26)-1</f>
        <v>0.11824032482423008</v>
      </c>
      <c r="AK21" s="1">
        <f t="array" aca="1" ref="AK21" ca="1">PRODUCT(INDIRECT(AK23&amp;AK24&amp;":"&amp;AK23&amp;AK25)+1)^(12/AK26)-1</f>
        <v>0.10642852288481164</v>
      </c>
      <c r="AL21" s="1">
        <f t="array" aca="1" ref="AL21" ca="1">PRODUCT(INDIRECT(AL23&amp;AL24&amp;":"&amp;AL23&amp;AL25)+1)^(12/AL26)-1</f>
        <v>0.13954857158133382</v>
      </c>
      <c r="AM21" s="1" t="e">
        <f t="array" aca="1" ref="AM21" ca="1">PRODUCT(INDIRECT(AM23&amp;AM24&amp;":"&amp;AM23&amp;AM25)+1)^(12/AM26)-1</f>
        <v>#N/A</v>
      </c>
      <c r="AN21" s="1" t="e">
        <f t="array" aca="1" ref="AN21" ca="1">PRODUCT(INDIRECT(AN23&amp;AN24&amp;":"&amp;AN23&amp;AN25)+1)^(12/AN26)-1</f>
        <v>#N/A</v>
      </c>
      <c r="AO21" s="1" t="e">
        <f t="array" aca="1" ref="AO21" ca="1">PRODUCT(INDIRECT(AO23&amp;AO24&amp;":"&amp;AO23&amp;AO25)+1)^(12/AO26)-1</f>
        <v>#N/A</v>
      </c>
      <c r="AP21" s="1">
        <f t="array" aca="1" ref="AP21" ca="1">PRODUCT(INDIRECT(AP23&amp;AP24&amp;":"&amp;AP23&amp;AP25)+1)^(12/AP26)-1</f>
        <v>8.2670118692959926E-2</v>
      </c>
      <c r="AQ21" s="1">
        <f t="array" aca="1" ref="AQ21" ca="1">PRODUCT(INDIRECT(AQ23&amp;AQ24&amp;":"&amp;AQ23&amp;AQ25)+1)^(12/AQ26)-1</f>
        <v>0.10047427669982967</v>
      </c>
      <c r="AR21" s="1">
        <f t="array" aca="1" ref="AR21" ca="1">PRODUCT(INDIRECT(AR23&amp;AR24&amp;":"&amp;AR23&amp;AR25)+1)^(12/AR26)-1</f>
        <v>9.4899054641683689E-2</v>
      </c>
      <c r="AS21" s="1">
        <f t="array" aca="1" ref="AS21" ca="1">PRODUCT(INDIRECT(AS23&amp;AS24&amp;":"&amp;AS23&amp;AS25)+1)^(12/AS26)-1</f>
        <v>8.6484818691081378E-2</v>
      </c>
      <c r="AT21" s="1">
        <f t="array" aca="1" ref="AT21" ca="1">PRODUCT(INDIRECT(AT23&amp;AT24&amp;":"&amp;AT23&amp;AT25)+1)^(12/AT26)-1</f>
        <v>0.11033473376756286</v>
      </c>
      <c r="AU21" s="1">
        <f t="array" aca="1" ref="AU21" ca="1">PRODUCT(INDIRECT(AU23&amp;AU24&amp;":"&amp;AU23&amp;AU25)+1)^(12/AU26)-1</f>
        <v>6.4933488205023204E-2</v>
      </c>
      <c r="AV21" s="1">
        <f t="array" aca="1" ref="AV21" ca="1">PRODUCT(INDIRECT(AV23&amp;AV24&amp;":"&amp;AV23&amp;AV25)+1)^(12/AV26)-1</f>
        <v>5.1953700879928455E-2</v>
      </c>
      <c r="AW21" s="1">
        <f t="array" aca="1" ref="AW21" ca="1">PRODUCT(INDIRECT(AW23&amp;AW24&amp;":"&amp;AW23&amp;AW25)+1)^(12/AW26)-1</f>
        <v>3.8990566920969139E-2</v>
      </c>
      <c r="CH21">
        <f t="shared" ca="1" si="107"/>
        <v>174</v>
      </c>
      <c r="CI21" s="169">
        <f t="shared" ca="1" si="36"/>
        <v>45869</v>
      </c>
      <c r="CJ21" s="1">
        <f t="shared" ca="1" si="37"/>
        <v>-3.5865398435556781E-3</v>
      </c>
      <c r="CK21" s="1">
        <f t="shared" ca="1" si="38"/>
        <v>-4.3939681521318963E-3</v>
      </c>
      <c r="CL21" s="1">
        <f t="shared" ca="1" si="39"/>
        <v>-2.9140759999999998E-3</v>
      </c>
      <c r="CM21" s="1">
        <f t="shared" ca="1" si="40"/>
        <v>2.2442899999999998E-2</v>
      </c>
      <c r="CN21" s="1" t="e">
        <f t="shared" ca="1" si="41"/>
        <v>#N/A</v>
      </c>
      <c r="CO21" s="1" t="e">
        <f t="shared" ca="1" si="42"/>
        <v>#N/A</v>
      </c>
      <c r="CP21" s="1" t="e">
        <f t="shared" ca="1" si="43"/>
        <v>#N/A</v>
      </c>
      <c r="CQ21" s="1">
        <f t="shared" ca="1" si="44"/>
        <v>1.7346760000000003E-2</v>
      </c>
      <c r="CR21" s="1">
        <f t="shared" ca="1" si="45"/>
        <v>-2.5795980000000003E-2</v>
      </c>
      <c r="CS21" s="1">
        <f t="shared" ca="1" si="46"/>
        <v>-2.6495980000000002E-2</v>
      </c>
      <c r="CT21" s="1">
        <f t="shared" ca="1" si="47"/>
        <v>-1.6278600000000001E-2</v>
      </c>
      <c r="CU21" s="1">
        <f t="shared" ca="1" si="48"/>
        <v>1.3846879999999999E-2</v>
      </c>
      <c r="CV21" s="1">
        <f t="shared" ca="1" si="49"/>
        <v>8.8476860000000004E-3</v>
      </c>
      <c r="CW21" s="1">
        <f t="shared" ca="1" si="50"/>
        <v>7.8226860000000006E-3</v>
      </c>
      <c r="CX21" s="1">
        <f t="shared" ca="1" si="51"/>
        <v>1.7346760000000003E-2</v>
      </c>
      <c r="CZ21">
        <f t="shared" ca="1" si="108"/>
        <v>162</v>
      </c>
      <c r="DA21" s="169">
        <f t="shared" ca="1" si="52"/>
        <v>45504</v>
      </c>
      <c r="DB21" s="1">
        <f t="shared" ca="1" si="53"/>
        <v>2.831799119855178E-2</v>
      </c>
      <c r="DC21" s="1">
        <f t="shared" ca="1" si="54"/>
        <v>2.7279068047180388E-2</v>
      </c>
      <c r="DD21" s="1">
        <f t="shared" ca="1" si="55"/>
        <v>4.4021290000000005E-2</v>
      </c>
      <c r="DE21" s="1">
        <f t="shared" ca="1" si="56"/>
        <v>1.2172529999999999E-2</v>
      </c>
      <c r="DF21" s="1">
        <f t="shared" ca="1" si="57"/>
        <v>0</v>
      </c>
      <c r="DG21" s="1" t="e">
        <f t="shared" ca="1" si="58"/>
        <v>#N/A</v>
      </c>
      <c r="DH21" s="1" t="e">
        <f t="shared" ca="1" si="59"/>
        <v>#N/A</v>
      </c>
      <c r="DI21" s="1">
        <f t="shared" ca="1" si="60"/>
        <v>0.1015991</v>
      </c>
      <c r="DJ21" s="1">
        <f t="shared" ca="1" si="61"/>
        <v>2.6325542624837085E-2</v>
      </c>
      <c r="DK21" s="1">
        <f t="shared" ca="1" si="62"/>
        <v>2.5553737156955223E-2</v>
      </c>
      <c r="DL21" s="1">
        <f t="shared" ca="1" si="63"/>
        <v>4.0605929999999998E-2</v>
      </c>
      <c r="DM21" s="1">
        <f t="shared" ca="1" si="64"/>
        <v>1.6436079999999999E-2</v>
      </c>
      <c r="DN21" s="1">
        <f t="shared" ca="1" si="65"/>
        <v>9.95225E-2</v>
      </c>
      <c r="DO21" s="1">
        <f t="shared" ca="1" si="66"/>
        <v>9.8497500000000002E-2</v>
      </c>
      <c r="DP21" s="1">
        <f t="shared" ca="1" si="67"/>
        <v>0.1015991</v>
      </c>
      <c r="DR21">
        <f t="shared" ca="1" si="109"/>
        <v>138</v>
      </c>
      <c r="DS21" s="169">
        <f t="shared" ca="1" si="68"/>
        <v>44773</v>
      </c>
      <c r="DT21" s="1">
        <f t="shared" ca="1" si="69"/>
        <v>4.5183000000000001E-2</v>
      </c>
      <c r="DU21" s="1">
        <f t="shared" ca="1" si="70"/>
        <v>4.4377000000000007E-2</v>
      </c>
      <c r="DV21" s="1">
        <f t="shared" ca="1" si="71"/>
        <v>4.2321570000000003E-2</v>
      </c>
      <c r="DW21" s="1">
        <f t="shared" ca="1" si="72"/>
        <v>9.2206969999999999E-2</v>
      </c>
      <c r="DX21" s="1">
        <f t="shared" ca="1" si="73"/>
        <v>5.8745000000000006E-2</v>
      </c>
      <c r="DY21" s="1">
        <f t="shared" ca="1" si="74"/>
        <v>5.7869999999999998E-2</v>
      </c>
      <c r="DZ21" s="1">
        <f t="shared" ca="1" si="75"/>
        <v>7.0628739999999995E-2</v>
      </c>
      <c r="EA21" s="1">
        <f t="shared" ca="1" si="76"/>
        <v>0.10440250000000001</v>
      </c>
      <c r="EB21" s="1">
        <f t="shared" ca="1" si="77"/>
        <v>5.2363999999999994E-2</v>
      </c>
      <c r="EC21" s="1">
        <f t="shared" ca="1" si="78"/>
        <v>5.1584999999999999E-2</v>
      </c>
      <c r="ED21" s="1">
        <f t="shared" ca="1" si="79"/>
        <v>3.0760469999999998E-2</v>
      </c>
      <c r="EE21" s="1">
        <f t="shared" ca="1" si="80"/>
        <v>7.0209170000000001E-2</v>
      </c>
      <c r="EF21" s="1">
        <f t="shared" ca="1" si="81"/>
        <v>0.10824319999999998</v>
      </c>
      <c r="EG21" s="1">
        <f t="shared" ca="1" si="82"/>
        <v>0.10721819999999999</v>
      </c>
      <c r="EH21" s="1">
        <f t="shared" ca="1" si="83"/>
        <v>0.10440250000000001</v>
      </c>
      <c r="EJ21">
        <f t="shared" ca="1" si="110"/>
        <v>78</v>
      </c>
      <c r="EK21" s="169">
        <f t="shared" ca="1" si="84"/>
        <v>42947</v>
      </c>
      <c r="EL21" s="1">
        <f t="shared" ca="1" si="85"/>
        <v>1.5465E-2</v>
      </c>
      <c r="EM21" s="1">
        <f t="shared" ca="1" si="86"/>
        <v>1.5096E-2</v>
      </c>
      <c r="EN21" s="1">
        <f t="shared" ca="1" si="87"/>
        <v>1.37873985653355E-2</v>
      </c>
      <c r="EO21" s="1">
        <f t="shared" ca="1" si="88"/>
        <v>2.0562208301688933E-2</v>
      </c>
      <c r="EP21" s="1">
        <f t="shared" ca="1" si="89"/>
        <v>1.1075999999999999E-2</v>
      </c>
      <c r="EQ21" s="1">
        <f t="shared" ca="1" si="90"/>
        <v>1.0736000000000001E-2</v>
      </c>
      <c r="ER21" s="1">
        <f t="shared" ca="1" si="91"/>
        <v>1.3553479644284978E-2</v>
      </c>
      <c r="ES21" s="1">
        <f t="shared" ca="1" si="92"/>
        <v>7.4206765933175203E-3</v>
      </c>
      <c r="ET21" s="1">
        <f t="shared" ca="1" si="93"/>
        <v>1.1594999999999999E-2</v>
      </c>
      <c r="EU21" s="1">
        <f t="shared" ca="1" si="94"/>
        <v>1.1109000000000001E-2</v>
      </c>
      <c r="EV21" s="1">
        <f t="shared" ca="1" si="95"/>
        <v>1.84907757794061E-2</v>
      </c>
      <c r="EW21" s="1">
        <f t="shared" ca="1" si="96"/>
        <v>2.8323498003446274E-2</v>
      </c>
      <c r="EX21" s="1">
        <f t="shared" ca="1" si="97"/>
        <v>0</v>
      </c>
      <c r="EY21" s="1">
        <f t="shared" ca="1" si="98"/>
        <v>0</v>
      </c>
      <c r="EZ21" s="1">
        <f t="shared" ca="1" si="99"/>
        <v>7.4206765933175203E-3</v>
      </c>
    </row>
    <row r="22" spans="1:156" x14ac:dyDescent="0.25">
      <c r="A22">
        <f t="shared" ca="1" si="103"/>
        <v>20</v>
      </c>
      <c r="B22" s="169">
        <f ca="1">IF('LC (Gross)'!A169="","",IF('LC (Gross)'!A169&gt;$AC$9,"",'LC (Gross)'!A169))</f>
        <v>41182</v>
      </c>
      <c r="C22" s="1">
        <f ca="1">IF(B22="","",(VLOOKUP(B22,'LC (Gross)'!A:D,4,FALSE)/100))</f>
        <v>1.6533759004584168E-2</v>
      </c>
      <c r="D22" s="1"/>
      <c r="E22" s="1">
        <f ca="1">IF(B22="","",(VLOOKUP(B22,'Global (Gross)'!A:D,4,FALSE)/100))</f>
        <v>2.0899999999999998E-2</v>
      </c>
      <c r="F22" s="1"/>
      <c r="G22" s="1">
        <f ca="1">IF(B22="","",(VLOOKUP(B22,'LC (Net)'!A:D,4,FALSE)/100))</f>
        <v>1.5717092337917501E-2</v>
      </c>
      <c r="H22" s="1"/>
      <c r="I22" s="1">
        <f ca="1">IF(B22="","",(VLOOKUP(B22,'Global (Net)'!A:D,4,FALSE)/100))</f>
        <v>2.0899999999999998E-2</v>
      </c>
      <c r="J22" s="1"/>
      <c r="K22" s="1">
        <f ca="1">IF(B22="","",VLOOKUP(Website!B22,'LC (Gross)'!W:X,2,FALSE)/100)</f>
        <v>1.7094983597774296E-2</v>
      </c>
      <c r="L22" s="1">
        <f ca="1">IF(B22="","",VLOOKUP(Website!B22,'SC (Gross)'!P:Q,2,FALSE)/100)</f>
        <v>3.2428331079074994E-2</v>
      </c>
      <c r="M22" s="1">
        <f ca="1">IF(B22="","",VLOOKUP(Website!B22,'Global (Gross)'!P:Q,2,FALSE)/100)</f>
        <v>1.8697939571099803E-2</v>
      </c>
      <c r="O22" s="1">
        <f ca="1">IF(B22="","",VLOOKUP(Website!B22,'LC (Gross)'!J:K,2,FALSE)/100)</f>
        <v>2.5841465720466861E-2</v>
      </c>
      <c r="P22" s="233">
        <f ca="1">IF(B22="","",(VLOOKUP(B22,'SC (Gross)'!J:K,2,FALSE))/100)</f>
        <v>3.2837720551479967E-2</v>
      </c>
      <c r="Q22" s="233">
        <f ca="1">IF(B22="","",(VLOOKUP(B22,'Global (Gross)'!J:K,2,FALSE)/100))</f>
        <v>3.1957261886733618E-2</v>
      </c>
      <c r="S22" s="22">
        <f t="shared" ca="1" si="0"/>
        <v>-9.3077067158826923E-3</v>
      </c>
      <c r="T22" s="22" t="str">
        <f t="shared" si="1"/>
        <v/>
      </c>
      <c r="U22" s="22">
        <f t="shared" ca="1" si="2"/>
        <v>-1.1057261886733619E-2</v>
      </c>
      <c r="V22" s="22"/>
      <c r="W22" s="22">
        <f t="shared" ca="1" si="100"/>
        <v>-8.7464821226925643E-3</v>
      </c>
      <c r="X22" s="22">
        <f t="shared" ca="1" si="101"/>
        <v>-4.0938947240497237E-4</v>
      </c>
      <c r="Y22" s="22">
        <f t="shared" ca="1" si="102"/>
        <v>-1.3259322315633815E-2</v>
      </c>
      <c r="CH22">
        <f t="shared" ca="1" si="107"/>
        <v>175</v>
      </c>
      <c r="CI22" s="169">
        <f t="shared" ca="1" si="36"/>
        <v>45900</v>
      </c>
      <c r="CJ22" s="1">
        <f t="shared" ca="1" si="37"/>
        <v>2.7301060489229353E-2</v>
      </c>
      <c r="CK22" s="1">
        <f t="shared" ca="1" si="38"/>
        <v>2.6797035488596386E-2</v>
      </c>
      <c r="CL22" s="1">
        <f t="shared" ca="1" si="39"/>
        <v>1.5505150000000001E-2</v>
      </c>
      <c r="CM22" s="1">
        <f t="shared" ca="1" si="40"/>
        <v>2.0271819999999999E-2</v>
      </c>
      <c r="CN22" s="1" t="e">
        <f t="shared" ca="1" si="41"/>
        <v>#N/A</v>
      </c>
      <c r="CO22" s="1" t="e">
        <f t="shared" ca="1" si="42"/>
        <v>#N/A</v>
      </c>
      <c r="CP22" s="1" t="e">
        <f t="shared" ca="1" si="43"/>
        <v>#N/A</v>
      </c>
      <c r="CQ22" s="1">
        <f t="shared" ca="1" si="44"/>
        <v>7.1434139999999993E-2</v>
      </c>
      <c r="CR22" s="1">
        <f t="shared" ca="1" si="45"/>
        <v>2.3329969999999998E-2</v>
      </c>
      <c r="CS22" s="1">
        <f t="shared" ca="1" si="46"/>
        <v>2.2629969999999999E-2</v>
      </c>
      <c r="CT22" s="1">
        <f t="shared" ca="1" si="47"/>
        <v>2.3530319999999997E-2</v>
      </c>
      <c r="CU22" s="1">
        <f t="shared" ca="1" si="48"/>
        <v>2.5172910000000003E-2</v>
      </c>
      <c r="CV22" s="1">
        <f t="shared" ca="1" si="49"/>
        <v>8.2849059999999988E-2</v>
      </c>
      <c r="CW22" s="1">
        <f t="shared" ca="1" si="50"/>
        <v>8.1824060000000004E-2</v>
      </c>
      <c r="CX22" s="1">
        <f t="shared" ca="1" si="51"/>
        <v>7.1434139999999993E-2</v>
      </c>
      <c r="CZ22">
        <f t="shared" ca="1" si="108"/>
        <v>163</v>
      </c>
      <c r="DA22" s="169">
        <f t="shared" ca="1" si="52"/>
        <v>45535</v>
      </c>
      <c r="DB22" s="1">
        <f t="shared" ca="1" si="53"/>
        <v>5.0407000699022798E-2</v>
      </c>
      <c r="DC22" s="1">
        <f t="shared" ca="1" si="54"/>
        <v>4.9884144927988247E-2</v>
      </c>
      <c r="DD22" s="1">
        <f t="shared" ca="1" si="55"/>
        <v>5.2126460000000006E-2</v>
      </c>
      <c r="DE22" s="1">
        <f t="shared" ca="1" si="56"/>
        <v>2.4257540000000001E-2</v>
      </c>
      <c r="DF22" s="1">
        <f t="shared" ca="1" si="57"/>
        <v>0</v>
      </c>
      <c r="DG22" s="1" t="e">
        <f t="shared" ca="1" si="58"/>
        <v>#N/A</v>
      </c>
      <c r="DH22" s="1" t="e">
        <f t="shared" ca="1" si="59"/>
        <v>#N/A</v>
      </c>
      <c r="DI22" s="1">
        <f t="shared" ca="1" si="60"/>
        <v>-1.4953719999999998E-2</v>
      </c>
      <c r="DJ22" s="1">
        <f t="shared" ca="1" si="61"/>
        <v>3.7140227881264122E-2</v>
      </c>
      <c r="DK22" s="1">
        <f t="shared" ca="1" si="62"/>
        <v>3.6476639369329274E-2</v>
      </c>
      <c r="DL22" s="1">
        <f t="shared" ca="1" si="63"/>
        <v>4.6167090000000001E-2</v>
      </c>
      <c r="DM22" s="1">
        <f t="shared" ca="1" si="64"/>
        <v>2.5737969999999999E-2</v>
      </c>
      <c r="DN22" s="1">
        <f t="shared" ca="1" si="65"/>
        <v>-1.7819979999999999E-2</v>
      </c>
      <c r="DO22" s="1">
        <f t="shared" ca="1" si="66"/>
        <v>-1.8844980000000001E-2</v>
      </c>
      <c r="DP22" s="1">
        <f t="shared" ca="1" si="67"/>
        <v>-1.4953719999999998E-2</v>
      </c>
      <c r="DR22">
        <f t="shared" ca="1" si="109"/>
        <v>139</v>
      </c>
      <c r="DS22" s="169">
        <f t="shared" ca="1" si="68"/>
        <v>44804</v>
      </c>
      <c r="DT22" s="1">
        <f t="shared" ca="1" si="69"/>
        <v>-2.4843E-2</v>
      </c>
      <c r="DU22" s="1">
        <f t="shared" ca="1" si="70"/>
        <v>-2.5412000000000001E-2</v>
      </c>
      <c r="DV22" s="1">
        <f t="shared" ca="1" si="71"/>
        <v>-1.8139220000000001E-2</v>
      </c>
      <c r="DW22" s="1">
        <f t="shared" ca="1" si="72"/>
        <v>-4.0782619999999999E-2</v>
      </c>
      <c r="DX22" s="1">
        <f t="shared" ca="1" si="73"/>
        <v>-4.0937000000000001E-2</v>
      </c>
      <c r="DY22" s="1">
        <f t="shared" ca="1" si="74"/>
        <v>-4.1440000000000005E-2</v>
      </c>
      <c r="DZ22" s="1">
        <f t="shared" ca="1" si="75"/>
        <v>-5.4935049999999999E-2</v>
      </c>
      <c r="EA22" s="1">
        <f t="shared" ca="1" si="76"/>
        <v>-2.0463059999999998E-2</v>
      </c>
      <c r="EB22" s="1">
        <f t="shared" ca="1" si="77"/>
        <v>-4.0896000000000002E-2</v>
      </c>
      <c r="EC22" s="1">
        <f t="shared" ca="1" si="78"/>
        <v>-4.1554000000000001E-2</v>
      </c>
      <c r="ED22" s="1">
        <f t="shared" ca="1" si="79"/>
        <v>-2.1229930000000001E-2</v>
      </c>
      <c r="EE22" s="1">
        <f t="shared" ca="1" si="80"/>
        <v>-3.639303E-2</v>
      </c>
      <c r="EF22" s="1">
        <f t="shared" ca="1" si="81"/>
        <v>-2.5661999999999997E-2</v>
      </c>
      <c r="EG22" s="1">
        <f t="shared" ca="1" si="82"/>
        <v>-2.6686999999999999E-2</v>
      </c>
      <c r="EH22" s="1">
        <f t="shared" ca="1" si="83"/>
        <v>-2.0463059999999998E-2</v>
      </c>
      <c r="EJ22">
        <f t="shared" ca="1" si="110"/>
        <v>79</v>
      </c>
      <c r="EK22" s="169">
        <f t="shared" ca="1" si="84"/>
        <v>42978</v>
      </c>
      <c r="EL22" s="1">
        <f t="shared" ca="1" si="85"/>
        <v>7.85E-4</v>
      </c>
      <c r="EM22" s="1">
        <f t="shared" ca="1" si="86"/>
        <v>4.1599999999999997E-4</v>
      </c>
      <c r="EN22" s="1">
        <f t="shared" ca="1" si="87"/>
        <v>8.5165256587252953E-3</v>
      </c>
      <c r="EO22" s="1">
        <f t="shared" ca="1" si="88"/>
        <v>3.0611160404652787E-3</v>
      </c>
      <c r="EP22" s="1">
        <f t="shared" ca="1" si="89"/>
        <v>-1.7017999999999998E-2</v>
      </c>
      <c r="EQ22" s="1">
        <f t="shared" ca="1" si="90"/>
        <v>-1.7353E-2</v>
      </c>
      <c r="ER22" s="1">
        <f t="shared" ca="1" si="91"/>
        <v>-1.8921366403380855E-2</v>
      </c>
      <c r="ES22" s="1">
        <f t="shared" ca="1" si="92"/>
        <v>-1.2722891480434002E-2</v>
      </c>
      <c r="ET22" s="1">
        <f t="shared" ca="1" si="93"/>
        <v>1.8672000000000001E-2</v>
      </c>
      <c r="EU22" s="1">
        <f t="shared" ca="1" si="94"/>
        <v>1.8186999999999998E-2</v>
      </c>
      <c r="EV22" s="1">
        <f t="shared" ca="1" si="95"/>
        <v>9.2712679387554967E-3</v>
      </c>
      <c r="EW22" s="1">
        <f t="shared" ca="1" si="96"/>
        <v>4.3875833640838495E-3</v>
      </c>
      <c r="EX22" s="1">
        <f t="shared" ca="1" si="97"/>
        <v>0</v>
      </c>
      <c r="EY22" s="1">
        <f t="shared" ca="1" si="98"/>
        <v>0</v>
      </c>
      <c r="EZ22" s="1">
        <f t="shared" ca="1" si="99"/>
        <v>-1.2722891480434002E-2</v>
      </c>
    </row>
    <row r="23" spans="1:156" x14ac:dyDescent="0.25">
      <c r="A23">
        <f t="shared" ca="1" si="103"/>
        <v>21</v>
      </c>
      <c r="B23" s="169">
        <f ca="1">IF('LC (Gross)'!A170="","",IF('LC (Gross)'!A170&gt;$AC$9,"",'LC (Gross)'!A170))</f>
        <v>41213</v>
      </c>
      <c r="C23" s="1">
        <f ca="1">IF(B23="","",(VLOOKUP(B23,'LC (Gross)'!A:D,4,FALSE)/100))</f>
        <v>-4.0189232753063235E-3</v>
      </c>
      <c r="D23" s="1"/>
      <c r="E23" s="1">
        <f ca="1">IF(B23="","",(VLOOKUP(B23,'Global (Gross)'!A:D,4,FALSE)/100))</f>
        <v>-3.4000000000000002E-3</v>
      </c>
      <c r="F23" s="1"/>
      <c r="G23" s="1">
        <f ca="1">IF(B23="","",(VLOOKUP(B23,'LC (Net)'!A:D,4,FALSE)/100))</f>
        <v>-4.8355899419729896E-3</v>
      </c>
      <c r="H23" s="1"/>
      <c r="I23" s="1">
        <f ca="1">IF(B23="","",(VLOOKUP(B23,'Global (Net)'!A:D,4,FALSE)/100))</f>
        <v>-3.4000000000000002E-3</v>
      </c>
      <c r="J23" s="1"/>
      <c r="K23" s="1">
        <f ca="1">IF(B23="","",VLOOKUP(Website!B23,'LC (Gross)'!W:X,2,FALSE)/100)</f>
        <v>-8.0416829029492033E-4</v>
      </c>
      <c r="L23" s="1">
        <f ca="1">IF(B23="","",VLOOKUP(Website!B23,'SC (Gross)'!P:Q,2,FALSE)/100)</f>
        <v>-9.7243524199045629E-3</v>
      </c>
      <c r="M23" s="1">
        <f ca="1">IF(B23="","",VLOOKUP(Website!B23,'Global (Gross)'!P:Q,2,FALSE)/100)</f>
        <v>-7.437187429026576E-3</v>
      </c>
      <c r="O23" s="1">
        <f ca="1">IF(B23="","",VLOOKUP(Website!B23,'LC (Gross)'!J:K,2,FALSE)/100)</f>
        <v>-1.8463927858727344E-2</v>
      </c>
      <c r="P23" s="233">
        <f ca="1">IF(B23="","",(VLOOKUP(B23,'SC (Gross)'!J:K,2,FALSE))/100)</f>
        <v>-2.1694242318026344E-2</v>
      </c>
      <c r="Q23" s="233">
        <f ca="1">IF(B23="","",(VLOOKUP(B23,'Global (Gross)'!J:K,2,FALSE)/100))</f>
        <v>-6.4073982249198292E-3</v>
      </c>
      <c r="S23" s="22">
        <f t="shared" ca="1" si="0"/>
        <v>1.4445004583421021E-2</v>
      </c>
      <c r="T23" s="22" t="str">
        <f t="shared" si="1"/>
        <v/>
      </c>
      <c r="U23" s="22">
        <f t="shared" ca="1" si="2"/>
        <v>3.007398224919829E-3</v>
      </c>
      <c r="V23" s="22"/>
      <c r="W23" s="22">
        <f t="shared" ca="1" si="100"/>
        <v>1.7659759568432423E-2</v>
      </c>
      <c r="X23" s="22">
        <f t="shared" ca="1" si="101"/>
        <v>1.1969889898121781E-2</v>
      </c>
      <c r="Y23" s="22">
        <f t="shared" ca="1" si="102"/>
        <v>-1.0297892041067468E-3</v>
      </c>
      <c r="AI23" s="236" t="s">
        <v>241</v>
      </c>
      <c r="AJ23" t="s">
        <v>242</v>
      </c>
      <c r="AK23" t="s">
        <v>243</v>
      </c>
      <c r="AL23" t="s">
        <v>250</v>
      </c>
      <c r="AM23" t="s">
        <v>244</v>
      </c>
      <c r="AN23" t="s">
        <v>245</v>
      </c>
      <c r="AO23" t="s">
        <v>246</v>
      </c>
      <c r="AP23" t="s">
        <v>251</v>
      </c>
      <c r="AQ23" t="s">
        <v>247</v>
      </c>
      <c r="AR23" t="s">
        <v>248</v>
      </c>
      <c r="AS23" t="s">
        <v>249</v>
      </c>
      <c r="AT23" t="s">
        <v>252</v>
      </c>
      <c r="AU23" t="s">
        <v>397</v>
      </c>
      <c r="AV23" t="s">
        <v>398</v>
      </c>
      <c r="AW23" t="s">
        <v>251</v>
      </c>
      <c r="CH23">
        <f t="shared" ca="1" si="107"/>
        <v>176</v>
      </c>
      <c r="CI23" s="169">
        <f t="shared" ca="1" si="36"/>
        <v>45930</v>
      </c>
      <c r="CJ23" s="1">
        <f t="shared" ca="1" si="37"/>
        <v>1.273984284453792E-2</v>
      </c>
      <c r="CK23" s="1">
        <f t="shared" ca="1" si="38"/>
        <v>1.2208076362087074E-2</v>
      </c>
      <c r="CL23" s="1">
        <f t="shared" ca="1" si="39"/>
        <v>2.1070530000000002E-3</v>
      </c>
      <c r="CM23" s="1">
        <f t="shared" ca="1" si="40"/>
        <v>3.640438E-2</v>
      </c>
      <c r="CN23" s="1" t="e">
        <f t="shared" ca="1" si="41"/>
        <v>#N/A</v>
      </c>
      <c r="CO23" s="1" t="e">
        <f t="shared" ca="1" si="42"/>
        <v>#N/A</v>
      </c>
      <c r="CP23" s="1" t="e">
        <f t="shared" ca="1" si="43"/>
        <v>#N/A</v>
      </c>
      <c r="CQ23" s="1">
        <f t="shared" ca="1" si="44"/>
        <v>3.1113100000000001E-2</v>
      </c>
      <c r="CR23" s="1">
        <f t="shared" ca="1" si="45"/>
        <v>3.3295689999999996E-2</v>
      </c>
      <c r="CS23" s="1">
        <f t="shared" ca="1" si="46"/>
        <v>3.2595689999999997E-2</v>
      </c>
      <c r="CT23" s="1">
        <f t="shared" ca="1" si="47"/>
        <v>5.321465E-3</v>
      </c>
      <c r="CU23" s="1">
        <f t="shared" ca="1" si="48"/>
        <v>3.665293E-2</v>
      </c>
      <c r="CV23" s="1">
        <f t="shared" ca="1" si="49"/>
        <v>-1.067676E-3</v>
      </c>
      <c r="CW23" s="1">
        <f t="shared" ca="1" si="50"/>
        <v>-2.0926759999999999E-3</v>
      </c>
      <c r="CX23" s="1">
        <f t="shared" ca="1" si="51"/>
        <v>3.1113100000000001E-2</v>
      </c>
      <c r="CZ23">
        <f t="shared" ca="1" si="108"/>
        <v>164</v>
      </c>
      <c r="DA23" s="169">
        <f t="shared" ca="1" si="52"/>
        <v>45565</v>
      </c>
      <c r="DB23" s="1">
        <f t="shared" ca="1" si="53"/>
        <v>4.1410713689470063E-3</v>
      </c>
      <c r="DC23" s="1">
        <f t="shared" ca="1" si="54"/>
        <v>3.6247302426418125E-3</v>
      </c>
      <c r="DD23" s="1">
        <f t="shared" ca="1" si="55"/>
        <v>1.059823E-2</v>
      </c>
      <c r="DE23" s="1">
        <f t="shared" ca="1" si="56"/>
        <v>2.1354150000000002E-2</v>
      </c>
      <c r="DF23" s="1">
        <f t="shared" ca="1" si="57"/>
        <v>0</v>
      </c>
      <c r="DG23" s="1" t="e">
        <f t="shared" ca="1" si="58"/>
        <v>#N/A</v>
      </c>
      <c r="DH23" s="1" t="e">
        <f t="shared" ca="1" si="59"/>
        <v>#N/A</v>
      </c>
      <c r="DI23" s="1">
        <f t="shared" ca="1" si="60"/>
        <v>6.9889100000000001E-3</v>
      </c>
      <c r="DJ23" s="1">
        <f t="shared" ca="1" si="61"/>
        <v>2.0445989999999992E-4</v>
      </c>
      <c r="DK23" s="1">
        <f t="shared" ca="1" si="62"/>
        <v>-4.9554010000000008E-4</v>
      </c>
      <c r="DL23" s="1">
        <f t="shared" ca="1" si="63"/>
        <v>1.028713E-2</v>
      </c>
      <c r="DM23" s="1">
        <f t="shared" ca="1" si="64"/>
        <v>2.3676279999999997E-2</v>
      </c>
      <c r="DN23" s="1">
        <f t="shared" ca="1" si="65"/>
        <v>1.3416570000000001E-2</v>
      </c>
      <c r="DO23" s="1">
        <f t="shared" ca="1" si="66"/>
        <v>1.2391570000000001E-2</v>
      </c>
      <c r="DP23" s="1">
        <f t="shared" ca="1" si="67"/>
        <v>6.9889100000000001E-3</v>
      </c>
      <c r="DR23">
        <f t="shared" ca="1" si="109"/>
        <v>140</v>
      </c>
      <c r="DS23" s="169">
        <f t="shared" ca="1" si="68"/>
        <v>44834</v>
      </c>
      <c r="DT23" s="1">
        <f t="shared" ca="1" si="69"/>
        <v>-7.6560000000000003E-2</v>
      </c>
      <c r="DU23" s="1">
        <f t="shared" ca="1" si="70"/>
        <v>-7.7127000000000001E-2</v>
      </c>
      <c r="DV23" s="1">
        <f t="shared" ca="1" si="71"/>
        <v>-8.3408360000000001E-2</v>
      </c>
      <c r="DW23" s="1">
        <f t="shared" ca="1" si="72"/>
        <v>-9.2175670000000001E-2</v>
      </c>
      <c r="DX23" s="1">
        <f t="shared" ca="1" si="73"/>
        <v>-6.8723000000000006E-2</v>
      </c>
      <c r="DY23" s="1">
        <f t="shared" ca="1" si="74"/>
        <v>-6.9222999999999993E-2</v>
      </c>
      <c r="DZ23" s="1">
        <f t="shared" ca="1" si="75"/>
        <v>-8.8647659999999989E-2</v>
      </c>
      <c r="EA23" s="1">
        <f t="shared" ca="1" si="76"/>
        <v>-9.5742590000000002E-2</v>
      </c>
      <c r="EB23" s="1">
        <f t="shared" ca="1" si="77"/>
        <v>-7.7400999999999998E-2</v>
      </c>
      <c r="EC23" s="1">
        <f t="shared" ca="1" si="78"/>
        <v>-7.8059000000000003E-2</v>
      </c>
      <c r="ED23" s="1">
        <f t="shared" ca="1" si="79"/>
        <v>-6.7019080000000009E-2</v>
      </c>
      <c r="EE23" s="1">
        <f t="shared" ca="1" si="80"/>
        <v>-9.5221459999999994E-2</v>
      </c>
      <c r="EF23" s="1">
        <f t="shared" ca="1" si="81"/>
        <v>-9.3373750000000019E-2</v>
      </c>
      <c r="EG23" s="1">
        <f t="shared" ca="1" si="82"/>
        <v>-9.4398750000000003E-2</v>
      </c>
      <c r="EH23" s="1">
        <f t="shared" ca="1" si="83"/>
        <v>-9.5742590000000002E-2</v>
      </c>
      <c r="EJ23">
        <f t="shared" ca="1" si="110"/>
        <v>80</v>
      </c>
      <c r="EK23" s="169">
        <f t="shared" ca="1" si="84"/>
        <v>43008</v>
      </c>
      <c r="EL23" s="1">
        <f t="shared" ca="1" si="85"/>
        <v>1.3939E-2</v>
      </c>
      <c r="EM23" s="1">
        <f t="shared" ca="1" si="86"/>
        <v>1.3157E-2</v>
      </c>
      <c r="EN23" s="1">
        <f t="shared" ca="1" si="87"/>
        <v>7.8794881170017525E-3</v>
      </c>
      <c r="EO23" s="1">
        <f t="shared" ca="1" si="88"/>
        <v>2.062837167180839E-2</v>
      </c>
      <c r="EP23" s="1">
        <f t="shared" ca="1" si="89"/>
        <v>6.1718000000000002E-2</v>
      </c>
      <c r="EQ23" s="1">
        <f t="shared" ca="1" si="90"/>
        <v>6.0856E-2</v>
      </c>
      <c r="ER23" s="1">
        <f t="shared" ca="1" si="91"/>
        <v>6.4330364239599216E-2</v>
      </c>
      <c r="ES23" s="1">
        <f t="shared" ca="1" si="92"/>
        <v>6.239825368400366E-2</v>
      </c>
      <c r="ET23" s="1">
        <f t="shared" ca="1" si="93"/>
        <v>1.4859000000000001E-2</v>
      </c>
      <c r="EU23" s="1">
        <f t="shared" ca="1" si="94"/>
        <v>1.4439E-2</v>
      </c>
      <c r="EV23" s="1">
        <f t="shared" ca="1" si="95"/>
        <v>1.437095668807288E-3</v>
      </c>
      <c r="EW23" s="1">
        <f t="shared" ca="1" si="96"/>
        <v>1.9743600083037331E-2</v>
      </c>
      <c r="EX23" s="1">
        <f t="shared" ca="1" si="97"/>
        <v>0</v>
      </c>
      <c r="EY23" s="1">
        <f t="shared" ca="1" si="98"/>
        <v>0</v>
      </c>
      <c r="EZ23" s="1">
        <f t="shared" ca="1" si="99"/>
        <v>6.239825368400366E-2</v>
      </c>
    </row>
    <row r="24" spans="1:156" x14ac:dyDescent="0.25">
      <c r="A24">
        <f t="shared" ca="1" si="103"/>
        <v>22</v>
      </c>
      <c r="B24" s="169">
        <f ca="1">IF('LC (Gross)'!A171="","",IF('LC (Gross)'!A171&gt;$AC$9,"",'LC (Gross)'!A171))</f>
        <v>41243</v>
      </c>
      <c r="C24" s="1">
        <f ca="1">IF(B24="","",(VLOOKUP(B24,'LC (Gross)'!A:D,4,FALSE)/100))</f>
        <v>1.1506656948493803E-2</v>
      </c>
      <c r="D24" s="1"/>
      <c r="E24" s="1">
        <f ca="1">IF(B24="","",(VLOOKUP(B24,'Global (Gross)'!A:D,4,FALSE)/100))</f>
        <v>-1.1999999999999999E-3</v>
      </c>
      <c r="F24" s="1"/>
      <c r="G24" s="1">
        <f ca="1">IF(B24="","",(VLOOKUP(B24,'LC (Net)'!A:D,4,FALSE)/100))</f>
        <v>1.0689990281827134E-2</v>
      </c>
      <c r="H24" s="1"/>
      <c r="I24" s="1">
        <f ca="1">IF(B24="","",(VLOOKUP(B24,'Global (Net)'!A:D,4,FALSE)/100))</f>
        <v>-1.1999999999999999E-3</v>
      </c>
      <c r="J24" s="1"/>
      <c r="K24" s="1">
        <f ca="1">IF(B24="","",VLOOKUP(Website!B24,'LC (Gross)'!W:X,2,FALSE)/100)</f>
        <v>-2.4198479384841655E-3</v>
      </c>
      <c r="L24" s="1">
        <f ca="1">IF(B24="","",VLOOKUP(Website!B24,'SC (Gross)'!P:Q,2,FALSE)/100)</f>
        <v>4.3882764183920848E-3</v>
      </c>
      <c r="M24" s="1">
        <f ca="1">IF(B24="","",VLOOKUP(Website!B24,'Global (Gross)'!P:Q,2,FALSE)/100)</f>
        <v>3.3866818337140048E-3</v>
      </c>
      <c r="O24" s="1">
        <f ca="1">IF(B24="","",VLOOKUP(Website!B24,'LC (Gross)'!J:K,2,FALSE)/100)</f>
        <v>5.7985654598500126E-3</v>
      </c>
      <c r="P24" s="233">
        <f ca="1">IF(B24="","",(VLOOKUP(B24,'SC (Gross)'!J:K,2,FALSE))/100)</f>
        <v>5.3249508101832618E-3</v>
      </c>
      <c r="Q24" s="233">
        <f ca="1">IF(B24="","",(VLOOKUP(B24,'Global (Gross)'!J:K,2,FALSE)/100))</f>
        <v>1.3358516060152526E-2</v>
      </c>
      <c r="S24" s="22">
        <f t="shared" ca="1" si="0"/>
        <v>5.7080914886437906E-3</v>
      </c>
      <c r="T24" s="22" t="str">
        <f t="shared" si="1"/>
        <v/>
      </c>
      <c r="U24" s="22">
        <f t="shared" ca="1" si="2"/>
        <v>-1.4558516060152526E-2</v>
      </c>
      <c r="V24" s="22"/>
      <c r="W24" s="22">
        <f t="shared" ca="1" si="100"/>
        <v>-8.2184133983341789E-3</v>
      </c>
      <c r="X24" s="22">
        <f t="shared" ca="1" si="101"/>
        <v>-9.3667439179117695E-4</v>
      </c>
      <c r="Y24" s="22">
        <f t="shared" ca="1" si="102"/>
        <v>-9.9718342264385213E-3</v>
      </c>
      <c r="AI24" s="236">
        <v>3</v>
      </c>
      <c r="AJ24" s="235">
        <f>AI24</f>
        <v>3</v>
      </c>
      <c r="AK24" s="235" t="s">
        <v>314</v>
      </c>
      <c r="AL24" s="235">
        <f>AJ24</f>
        <v>3</v>
      </c>
      <c r="AM24">
        <v>39</v>
      </c>
      <c r="AN24">
        <f>AM24</f>
        <v>39</v>
      </c>
      <c r="AO24">
        <v>39</v>
      </c>
      <c r="AP24">
        <f>AN24</f>
        <v>39</v>
      </c>
      <c r="AQ24">
        <v>16</v>
      </c>
      <c r="AR24">
        <f>AQ24</f>
        <v>16</v>
      </c>
      <c r="AS24">
        <v>16</v>
      </c>
      <c r="AT24">
        <f>AR24</f>
        <v>16</v>
      </c>
      <c r="AU24">
        <v>124</v>
      </c>
      <c r="AV24">
        <v>124</v>
      </c>
      <c r="AW24">
        <v>124</v>
      </c>
      <c r="CH24">
        <f t="shared" ca="1" si="107"/>
        <v>177</v>
      </c>
      <c r="CI24" s="169">
        <f t="shared" ca="1" si="36"/>
        <v>45961</v>
      </c>
      <c r="CJ24" s="1">
        <f t="shared" ca="1" si="37"/>
        <v>-6.8231271707644111E-4</v>
      </c>
      <c r="CK24" s="1">
        <f t="shared" ca="1" si="38"/>
        <v>-1.2385999129374185E-3</v>
      </c>
      <c r="CL24" s="1">
        <f t="shared" ca="1" si="39"/>
        <v>-3.7181140000000001E-2</v>
      </c>
      <c r="CM24" s="1">
        <f t="shared" ca="1" si="40"/>
        <v>2.3413639999999999E-2</v>
      </c>
      <c r="CN24" s="1" t="e">
        <f t="shared" ca="1" si="41"/>
        <v>#N/A</v>
      </c>
      <c r="CO24" s="1" t="e">
        <f t="shared" ca="1" si="42"/>
        <v>#N/A</v>
      </c>
      <c r="CP24" s="1" t="e">
        <f t="shared" ca="1" si="43"/>
        <v>#N/A</v>
      </c>
      <c r="CQ24" s="1">
        <f t="shared" ca="1" si="44"/>
        <v>1.809146E-2</v>
      </c>
      <c r="CR24" s="1">
        <f t="shared" ca="1" si="45"/>
        <v>-1.928262E-2</v>
      </c>
      <c r="CS24" s="1">
        <f t="shared" ca="1" si="46"/>
        <v>-1.998262E-2</v>
      </c>
      <c r="CT24" s="1">
        <f t="shared" ca="1" si="47"/>
        <v>-1.4094850000000001E-2</v>
      </c>
      <c r="CU24" s="1">
        <f t="shared" ca="1" si="48"/>
        <v>2.255368E-2</v>
      </c>
      <c r="CV24" s="1">
        <f t="shared" ca="1" si="49"/>
        <v>-1.2156549999999999E-2</v>
      </c>
      <c r="CW24" s="1">
        <f t="shared" ca="1" si="50"/>
        <v>-1.318155E-2</v>
      </c>
      <c r="CX24" s="1">
        <f t="shared" ca="1" si="51"/>
        <v>1.809146E-2</v>
      </c>
      <c r="CZ24">
        <f t="shared" ca="1" si="108"/>
        <v>165</v>
      </c>
      <c r="DA24" s="169">
        <f t="shared" ca="1" si="52"/>
        <v>45596</v>
      </c>
      <c r="DB24" s="1">
        <f t="shared" ca="1" si="53"/>
        <v>-2.837943522339902E-2</v>
      </c>
      <c r="DC24" s="1">
        <f t="shared" ca="1" si="54"/>
        <v>-2.8920142538052706E-2</v>
      </c>
      <c r="DD24" s="1">
        <f t="shared" ca="1" si="55"/>
        <v>-8.7954690000000002E-3</v>
      </c>
      <c r="DE24" s="1">
        <f t="shared" ca="1" si="56"/>
        <v>-9.1531749999999995E-3</v>
      </c>
      <c r="DF24" s="1">
        <f t="shared" ca="1" si="57"/>
        <v>0</v>
      </c>
      <c r="DG24" s="1" t="e">
        <f t="shared" ca="1" si="58"/>
        <v>#N/A</v>
      </c>
      <c r="DH24" s="1" t="e">
        <f t="shared" ca="1" si="59"/>
        <v>#N/A</v>
      </c>
      <c r="DI24" s="1">
        <f t="shared" ca="1" si="60"/>
        <v>-1.444409E-2</v>
      </c>
      <c r="DJ24" s="1">
        <f t="shared" ca="1" si="61"/>
        <v>-3.4005010000000002E-2</v>
      </c>
      <c r="DK24" s="1">
        <f t="shared" ca="1" si="62"/>
        <v>-3.4705010000000001E-2</v>
      </c>
      <c r="DL24" s="1">
        <f t="shared" ca="1" si="63"/>
        <v>-2.4867189999999997E-2</v>
      </c>
      <c r="DM24" s="1">
        <f t="shared" ca="1" si="64"/>
        <v>-2.211631E-2</v>
      </c>
      <c r="DN24" s="1">
        <f t="shared" ca="1" si="65"/>
        <v>-2.8962759999999997E-2</v>
      </c>
      <c r="DO24" s="1">
        <f t="shared" ca="1" si="66"/>
        <v>-2.9987759999999999E-2</v>
      </c>
      <c r="DP24" s="1">
        <f t="shared" ca="1" si="67"/>
        <v>-1.444409E-2</v>
      </c>
      <c r="DR24">
        <f t="shared" ca="1" si="109"/>
        <v>141</v>
      </c>
      <c r="DS24" s="169">
        <f t="shared" ca="1" si="68"/>
        <v>44865</v>
      </c>
      <c r="DT24" s="1">
        <f t="shared" ca="1" si="69"/>
        <v>0.10510899999999999</v>
      </c>
      <c r="DU24" s="1">
        <f t="shared" ca="1" si="70"/>
        <v>0.104503</v>
      </c>
      <c r="DV24" s="1">
        <f t="shared" ca="1" si="71"/>
        <v>6.9835320000000006E-2</v>
      </c>
      <c r="DW24" s="1">
        <f t="shared" ca="1" si="72"/>
        <v>8.0963370000000007E-2</v>
      </c>
      <c r="DX24" s="1">
        <f t="shared" ca="1" si="73"/>
        <v>0.104299</v>
      </c>
      <c r="DY24" s="1">
        <f t="shared" ca="1" si="74"/>
        <v>0.103797</v>
      </c>
      <c r="DZ24" s="1">
        <f t="shared" ca="1" si="75"/>
        <v>0.1298677</v>
      </c>
      <c r="EA24" s="1">
        <f t="shared" ca="1" si="76"/>
        <v>0.1100892</v>
      </c>
      <c r="EB24" s="1">
        <f t="shared" ca="1" si="77"/>
        <v>6.9131999999999999E-2</v>
      </c>
      <c r="EC24" s="1">
        <f t="shared" ca="1" si="78"/>
        <v>6.8349999999999994E-2</v>
      </c>
      <c r="ED24" s="1">
        <f t="shared" ca="1" si="79"/>
        <v>4.1803640000000003E-2</v>
      </c>
      <c r="EE24" s="1">
        <f t="shared" ca="1" si="80"/>
        <v>6.0588070000000001E-2</v>
      </c>
      <c r="EF24" s="1">
        <f t="shared" ca="1" si="81"/>
        <v>0.11088659999999999</v>
      </c>
      <c r="EG24" s="1">
        <f t="shared" ca="1" si="82"/>
        <v>0.1098616</v>
      </c>
      <c r="EH24" s="1">
        <f t="shared" ca="1" si="83"/>
        <v>0.1100892</v>
      </c>
      <c r="EJ24">
        <f t="shared" ca="1" si="110"/>
        <v>81</v>
      </c>
      <c r="EK24" s="169">
        <f t="shared" ca="1" si="84"/>
        <v>43039</v>
      </c>
      <c r="EL24" s="1">
        <f t="shared" ca="1" si="85"/>
        <v>7.1250000000000003E-3</v>
      </c>
      <c r="EM24" s="1">
        <f t="shared" ca="1" si="86"/>
        <v>6.7159999999999997E-3</v>
      </c>
      <c r="EN24" s="1">
        <f t="shared" ca="1" si="87"/>
        <v>1.9045253081532782E-2</v>
      </c>
      <c r="EO24" s="1">
        <f t="shared" ca="1" si="88"/>
        <v>2.3333760755019292E-2</v>
      </c>
      <c r="EP24" s="1">
        <f t="shared" ca="1" si="89"/>
        <v>1.2041999999999999E-2</v>
      </c>
      <c r="EQ24" s="1">
        <f t="shared" ca="1" si="90"/>
        <v>1.1702999999999998E-2</v>
      </c>
      <c r="ER24" s="1">
        <f t="shared" ca="1" si="91"/>
        <v>1.1052545361689032E-2</v>
      </c>
      <c r="ES24" s="1">
        <f t="shared" ca="1" si="92"/>
        <v>8.5147616539708124E-3</v>
      </c>
      <c r="ET24" s="1">
        <f t="shared" ca="1" si="93"/>
        <v>1.3911E-2</v>
      </c>
      <c r="EU24" s="1">
        <f t="shared" ca="1" si="94"/>
        <v>1.3496999999999999E-2</v>
      </c>
      <c r="EV24" s="1">
        <f t="shared" ca="1" si="95"/>
        <v>1.6313814819777707E-2</v>
      </c>
      <c r="EW24" s="1">
        <f t="shared" ca="1" si="96"/>
        <v>2.1003109407469803E-2</v>
      </c>
      <c r="EX24" s="1">
        <f t="shared" ca="1" si="97"/>
        <v>0</v>
      </c>
      <c r="EY24" s="1">
        <f t="shared" ca="1" si="98"/>
        <v>0</v>
      </c>
      <c r="EZ24" s="1">
        <f t="shared" ca="1" si="99"/>
        <v>8.5147616539708124E-3</v>
      </c>
    </row>
    <row r="25" spans="1:156" x14ac:dyDescent="0.25">
      <c r="A25">
        <f t="shared" ca="1" si="103"/>
        <v>23</v>
      </c>
      <c r="B25" s="169">
        <f ca="1">IF('LC (Gross)'!A172="","",IF('LC (Gross)'!A172&gt;$AC$9,"",'LC (Gross)'!A172))</f>
        <v>41274</v>
      </c>
      <c r="C25" s="1">
        <f ca="1">IF(B25="","",(VLOOKUP(B25,'LC (Gross)'!A:D,4,FALSE)/100))</f>
        <v>-6.839784333333333E-3</v>
      </c>
      <c r="D25" s="1"/>
      <c r="E25" s="1">
        <f ca="1">IF(B25="","",(VLOOKUP(B25,'Global (Gross)'!A:D,4,FALSE)/100))</f>
        <v>-3.4999999999999996E-3</v>
      </c>
      <c r="F25" s="1"/>
      <c r="G25" s="1">
        <f ca="1">IF(B25="","",(VLOOKUP(B25,'LC (Net)'!A:D,4,FALSE)/100))</f>
        <v>-7.6564509999999999E-3</v>
      </c>
      <c r="H25" s="1"/>
      <c r="I25" s="1">
        <f ca="1">IF(B25="","",(VLOOKUP(B25,'Global (Net)'!A:D,4,FALSE)/100))</f>
        <v>-3.4999999999999996E-3</v>
      </c>
      <c r="J25" s="1"/>
      <c r="K25" s="1">
        <f ca="1">IF(B25="","",VLOOKUP(Website!B25,'LC (Gross)'!W:X,2,FALSE)/100)</f>
        <v>-5.4795232598180447E-3</v>
      </c>
      <c r="L25" s="1">
        <f ca="1">IF(B25="","",VLOOKUP(Website!B25,'SC (Gross)'!P:Q,2,FALSE)/100)</f>
        <v>2.2755747834188232E-2</v>
      </c>
      <c r="M25" s="1">
        <f ca="1">IF(B25="","",VLOOKUP(Website!B25,'Global (Gross)'!P:Q,2,FALSE)/100)</f>
        <v>-4.1409771239898883E-3</v>
      </c>
      <c r="O25" s="1">
        <f ca="1">IF(B25="","",VLOOKUP(Website!B25,'LC (Gross)'!J:K,2,FALSE)/100)</f>
        <v>9.0745693207692126E-3</v>
      </c>
      <c r="P25" s="233">
        <f ca="1">IF(B25="","",(VLOOKUP(B25,'SC (Gross)'!J:K,2,FALSE))/100)</f>
        <v>3.5869607583186101E-2</v>
      </c>
      <c r="Q25" s="233">
        <f ca="1">IF(B25="","",(VLOOKUP(B25,'Global (Gross)'!J:K,2,FALSE)/100))</f>
        <v>2.3317780522391494E-2</v>
      </c>
      <c r="S25" s="22">
        <f t="shared" ca="1" si="0"/>
        <v>-1.5914353654102546E-2</v>
      </c>
      <c r="T25" s="22" t="str">
        <f t="shared" si="1"/>
        <v/>
      </c>
      <c r="U25" s="22">
        <f t="shared" ca="1" si="2"/>
        <v>-2.6817780522391494E-2</v>
      </c>
      <c r="V25" s="22"/>
      <c r="W25" s="22">
        <f t="shared" ca="1" si="100"/>
        <v>-1.4554092580587256E-2</v>
      </c>
      <c r="X25" s="22">
        <f t="shared" ca="1" si="101"/>
        <v>-1.3113859748997869E-2</v>
      </c>
      <c r="Y25" s="22">
        <f t="shared" ca="1" si="102"/>
        <v>-2.7458757646381383E-2</v>
      </c>
      <c r="AI25" s="237">
        <f ca="1">INDIRECT("Ai29")</f>
        <v>181</v>
      </c>
      <c r="AJ25" s="235">
        <f ca="1">AI25</f>
        <v>181</v>
      </c>
      <c r="AK25" s="235">
        <f ca="1">AJ25</f>
        <v>181</v>
      </c>
      <c r="AL25" s="235">
        <f ca="1">AK25</f>
        <v>181</v>
      </c>
      <c r="AM25" s="235">
        <f ca="1">AL25</f>
        <v>181</v>
      </c>
      <c r="AN25" s="235">
        <f ca="1">AM25</f>
        <v>181</v>
      </c>
      <c r="AO25" s="235">
        <f ca="1">AN25</f>
        <v>181</v>
      </c>
      <c r="AP25" s="235">
        <f ca="1">AO25</f>
        <v>181</v>
      </c>
      <c r="AQ25" s="235">
        <f ca="1">AP25</f>
        <v>181</v>
      </c>
      <c r="AR25" s="235">
        <f ca="1">AQ25</f>
        <v>181</v>
      </c>
      <c r="AS25" s="235">
        <f ca="1">AR25</f>
        <v>181</v>
      </c>
      <c r="AT25" s="235">
        <f ca="1">AS25</f>
        <v>181</v>
      </c>
      <c r="AU25" s="235">
        <f ca="1">AT25</f>
        <v>181</v>
      </c>
      <c r="AV25" s="235">
        <f ca="1">AU25</f>
        <v>181</v>
      </c>
      <c r="AW25" s="235">
        <f ca="1">AV25</f>
        <v>181</v>
      </c>
      <c r="CH25">
        <f t="shared" ca="1" si="107"/>
        <v>178</v>
      </c>
      <c r="CI25" s="169">
        <f t="shared" ca="1" si="36"/>
        <v>45991</v>
      </c>
      <c r="CJ25" s="1">
        <f t="shared" ca="1" si="37"/>
        <v>3.8182025384643492E-2</v>
      </c>
      <c r="CK25" s="1">
        <f t="shared" ca="1" si="38"/>
        <v>3.7661618229367512E-2</v>
      </c>
      <c r="CL25" s="1">
        <f t="shared" ca="1" si="39"/>
        <v>3.85893E-2</v>
      </c>
      <c r="CM25" s="1">
        <f t="shared" ca="1" si="40"/>
        <v>2.4512030000000003E-3</v>
      </c>
      <c r="CN25" s="1" t="e">
        <f t="shared" ca="1" si="41"/>
        <v>#N/A</v>
      </c>
      <c r="CO25" s="1" t="e">
        <f t="shared" ca="1" si="42"/>
        <v>#N/A</v>
      </c>
      <c r="CP25" s="1" t="e">
        <f t="shared" ca="1" si="43"/>
        <v>#N/A</v>
      </c>
      <c r="CQ25" s="1">
        <f t="shared" ca="1" si="44"/>
        <v>9.5805179999999997E-3</v>
      </c>
      <c r="CR25" s="1">
        <f t="shared" ca="1" si="45"/>
        <v>3.1137349999999998E-2</v>
      </c>
      <c r="CS25" s="1">
        <f t="shared" ca="1" si="46"/>
        <v>3.0437349999999998E-2</v>
      </c>
      <c r="CT25" s="1">
        <f t="shared" ca="1" si="47"/>
        <v>2.3607E-2</v>
      </c>
      <c r="CU25" s="1">
        <f t="shared" ca="1" si="48"/>
        <v>1.8736109999999999E-4</v>
      </c>
      <c r="CV25" s="1">
        <f t="shared" ca="1" si="49"/>
        <v>1.1953960000000001E-2</v>
      </c>
      <c r="CW25" s="1">
        <f t="shared" ca="1" si="50"/>
        <v>1.0928960000000001E-2</v>
      </c>
      <c r="CX25" s="1">
        <f t="shared" ca="1" si="51"/>
        <v>9.5805179999999997E-3</v>
      </c>
      <c r="CZ25">
        <f t="shared" ca="1" si="108"/>
        <v>166</v>
      </c>
      <c r="DA25" s="169">
        <f t="shared" ca="1" si="52"/>
        <v>45626</v>
      </c>
      <c r="DB25" s="1">
        <f t="shared" ca="1" si="53"/>
        <v>7.127046480052722E-2</v>
      </c>
      <c r="DC25" s="1">
        <f t="shared" ca="1" si="54"/>
        <v>7.0755668790189269E-2</v>
      </c>
      <c r="DD25" s="1">
        <f t="shared" ca="1" si="55"/>
        <v>5.5308940000000001E-2</v>
      </c>
      <c r="DE25" s="1">
        <f t="shared" ca="1" si="56"/>
        <v>5.8699979999999999E-2</v>
      </c>
      <c r="DF25" s="1">
        <f t="shared" ca="1" si="57"/>
        <v>0</v>
      </c>
      <c r="DG25" s="1" t="e">
        <f t="shared" ca="1" si="58"/>
        <v>#N/A</v>
      </c>
      <c r="DH25" s="1" t="e">
        <f t="shared" ca="1" si="59"/>
        <v>#N/A</v>
      </c>
      <c r="DI25" s="1">
        <f t="shared" ca="1" si="60"/>
        <v>0.10966110000000001</v>
      </c>
      <c r="DJ25" s="1">
        <f t="shared" ca="1" si="61"/>
        <v>4.0504829999999999E-2</v>
      </c>
      <c r="DK25" s="1">
        <f t="shared" ca="1" si="62"/>
        <v>3.9804829999999999E-2</v>
      </c>
      <c r="DL25" s="1">
        <f t="shared" ca="1" si="63"/>
        <v>2.9571960000000001E-2</v>
      </c>
      <c r="DM25" s="1">
        <f t="shared" ca="1" si="64"/>
        <v>3.7734209999999997E-2</v>
      </c>
      <c r="DN25" s="1">
        <f t="shared" ca="1" si="65"/>
        <v>8.9668529999999982E-2</v>
      </c>
      <c r="DO25" s="1">
        <f t="shared" ca="1" si="66"/>
        <v>8.8643529999999998E-2</v>
      </c>
      <c r="DP25" s="1">
        <f t="shared" ca="1" si="67"/>
        <v>0.10966110000000001</v>
      </c>
      <c r="DR25">
        <f t="shared" ca="1" si="109"/>
        <v>142</v>
      </c>
      <c r="DS25" s="169">
        <f t="shared" ca="1" si="68"/>
        <v>44895</v>
      </c>
      <c r="DT25" s="1">
        <f t="shared" ca="1" si="69"/>
        <v>4.9164000000000006E-2</v>
      </c>
      <c r="DU25" s="1">
        <f t="shared" ca="1" si="70"/>
        <v>4.8590000000000001E-2</v>
      </c>
      <c r="DV25" s="1">
        <f t="shared" ca="1" si="71"/>
        <v>5.8284179999999998E-2</v>
      </c>
      <c r="DW25" s="1">
        <f t="shared" ca="1" si="72"/>
        <v>5.5884159999999995E-2</v>
      </c>
      <c r="DX25" s="1">
        <f t="shared" ca="1" si="73"/>
        <v>3.1566000000000004E-2</v>
      </c>
      <c r="DY25" s="1">
        <f t="shared" ca="1" si="74"/>
        <v>3.1067000000000001E-2</v>
      </c>
      <c r="DZ25" s="1">
        <f t="shared" ca="1" si="75"/>
        <v>3.3580600000000002E-2</v>
      </c>
      <c r="EA25" s="1">
        <f t="shared" ca="1" si="76"/>
        <v>2.3137370000000001E-2</v>
      </c>
      <c r="EB25" s="1">
        <f t="shared" ca="1" si="77"/>
        <v>6.2511999999999998E-2</v>
      </c>
      <c r="EC25" s="1">
        <f t="shared" ca="1" si="78"/>
        <v>6.1849999999999995E-2</v>
      </c>
      <c r="ED25" s="1">
        <f t="shared" ca="1" si="79"/>
        <v>6.2926999999999997E-2</v>
      </c>
      <c r="EE25" s="1">
        <f t="shared" ca="1" si="80"/>
        <v>7.8056330000000007E-2</v>
      </c>
      <c r="EF25" s="1">
        <f t="shared" ca="1" si="81"/>
        <v>3.1812220000000002E-2</v>
      </c>
      <c r="EG25" s="1">
        <f t="shared" ca="1" si="82"/>
        <v>3.0787220000000001E-2</v>
      </c>
      <c r="EH25" s="1">
        <f t="shared" ca="1" si="83"/>
        <v>2.3137370000000001E-2</v>
      </c>
      <c r="EJ25">
        <f t="shared" ca="1" si="110"/>
        <v>82</v>
      </c>
      <c r="EK25" s="169">
        <f t="shared" ca="1" si="84"/>
        <v>43069</v>
      </c>
      <c r="EL25" s="1">
        <f t="shared" ca="1" si="85"/>
        <v>5.0007000000000003E-2</v>
      </c>
      <c r="EM25" s="1">
        <f t="shared" ca="1" si="86"/>
        <v>4.9181999999999997E-2</v>
      </c>
      <c r="EN25" s="1">
        <f t="shared" ca="1" si="87"/>
        <v>3.856791991141767E-2</v>
      </c>
      <c r="EO25" s="1">
        <f t="shared" ca="1" si="88"/>
        <v>3.067134936751429E-2</v>
      </c>
      <c r="EP25" s="1">
        <f t="shared" ca="1" si="89"/>
        <v>1.5989E-2</v>
      </c>
      <c r="EQ25" s="1">
        <f t="shared" ca="1" si="90"/>
        <v>1.5157E-2</v>
      </c>
      <c r="ER25" s="1">
        <f t="shared" ca="1" si="91"/>
        <v>3.1460866913194302E-2</v>
      </c>
      <c r="ES25" s="1">
        <f t="shared" ca="1" si="92"/>
        <v>2.8792520157457955E-2</v>
      </c>
      <c r="ET25" s="1">
        <f t="shared" ca="1" si="93"/>
        <v>2.3616000000000002E-2</v>
      </c>
      <c r="EU25" s="1">
        <f t="shared" ca="1" si="94"/>
        <v>2.3206000000000001E-2</v>
      </c>
      <c r="EV25" s="1">
        <f t="shared" ca="1" si="95"/>
        <v>2.5247935599578653E-2</v>
      </c>
      <c r="EW25" s="1">
        <f t="shared" ca="1" si="96"/>
        <v>1.9861009226556731E-2</v>
      </c>
      <c r="EX25" s="1">
        <f t="shared" ca="1" si="97"/>
        <v>0</v>
      </c>
      <c r="EY25" s="1">
        <f t="shared" ca="1" si="98"/>
        <v>0</v>
      </c>
      <c r="EZ25" s="1">
        <f t="shared" ca="1" si="99"/>
        <v>2.8792520157457955E-2</v>
      </c>
    </row>
    <row r="26" spans="1:156" x14ac:dyDescent="0.25">
      <c r="A26">
        <f t="shared" ca="1" si="103"/>
        <v>24</v>
      </c>
      <c r="B26" s="169">
        <f ca="1">IF('LC (Gross)'!A173="","",IF('LC (Gross)'!A173&gt;$AC$9,"",'LC (Gross)'!A173))</f>
        <v>41305</v>
      </c>
      <c r="C26" s="1">
        <f ca="1">IF(B26="","",(VLOOKUP(B26,'LC (Gross)'!A:D,4,FALSE)/100))</f>
        <v>4.8855882352941207E-2</v>
      </c>
      <c r="D26" s="1"/>
      <c r="E26" s="1">
        <f ca="1">IF(B26="","",(VLOOKUP(B26,'Global (Gross)'!A:D,4,FALSE)/100))</f>
        <v>4.7800000000000002E-2</v>
      </c>
      <c r="F26" s="1"/>
      <c r="G26" s="1">
        <f ca="1">IF(B26="","",(VLOOKUP(B26,'LC (Net)'!A:D,4,FALSE)/100))</f>
        <v>4.8039215686274533E-2</v>
      </c>
      <c r="H26" s="1"/>
      <c r="I26" s="1">
        <f ca="1">IF(B26="","",(VLOOKUP(B26,'Global (Net)'!A:D,4,FALSE)/100))</f>
        <v>4.7800000000000002E-2</v>
      </c>
      <c r="J26" s="1"/>
      <c r="K26" s="1">
        <f ca="1">IF(B26="","",VLOOKUP(Website!B26,'LC (Gross)'!W:X,2,FALSE)/100)</f>
        <v>5.0441103772085105E-2</v>
      </c>
      <c r="L26" s="1">
        <f ca="1">IF(B26="","",VLOOKUP(Website!B26,'SC (Gross)'!P:Q,2,FALSE)/100)</f>
        <v>5.2110817941952485E-2</v>
      </c>
      <c r="M26" s="1">
        <f ca="1">IF(B26="","",VLOOKUP(Website!B26,'Global (Gross)'!P:Q,2,FALSE)/100)</f>
        <v>4.3337172817095107E-2</v>
      </c>
      <c r="O26" s="1">
        <f ca="1">IF(B26="","",VLOOKUP(Website!B26,'LC (Gross)'!J:K,2,FALSE)/100)</f>
        <v>5.179058838962905E-2</v>
      </c>
      <c r="P26" s="233">
        <f ca="1">IF(B26="","",(VLOOKUP(B26,'SC (Gross)'!J:K,2,FALSE))/100)</f>
        <v>6.2592775407756068E-2</v>
      </c>
      <c r="Q26" s="233">
        <f ca="1">IF(B26="","",(VLOOKUP(B26,'Global (Gross)'!J:K,2,FALSE)/100))</f>
        <v>4.6267435559494044E-2</v>
      </c>
      <c r="S26" s="22">
        <f t="shared" ca="1" si="0"/>
        <v>-2.9347060366878425E-3</v>
      </c>
      <c r="T26" s="22" t="str">
        <f t="shared" si="1"/>
        <v/>
      </c>
      <c r="U26" s="22">
        <f t="shared" ca="1" si="2"/>
        <v>1.5325644405059582E-3</v>
      </c>
      <c r="V26" s="22"/>
      <c r="W26" s="22">
        <f t="shared" ca="1" si="100"/>
        <v>-1.3494846175439446E-3</v>
      </c>
      <c r="X26" s="22">
        <f t="shared" ca="1" si="101"/>
        <v>-1.0481957465803583E-2</v>
      </c>
      <c r="Y26" s="22">
        <f t="shared" ca="1" si="102"/>
        <v>-2.9302627423989369E-3</v>
      </c>
      <c r="AI26" s="23">
        <f t="shared" ref="AI26:AW26" ca="1" si="111">COUNT(INDIRECT(AI23&amp;AI24&amp;":"&amp;AI23&amp;AI25))</f>
        <v>179</v>
      </c>
      <c r="AJ26" s="23">
        <f t="shared" ca="1" si="111"/>
        <v>179</v>
      </c>
      <c r="AK26" s="23">
        <f t="shared" ca="1" si="111"/>
        <v>179</v>
      </c>
      <c r="AL26" s="23">
        <f t="shared" ca="1" si="111"/>
        <v>179</v>
      </c>
      <c r="AM26" s="23">
        <f t="shared" ca="1" si="111"/>
        <v>131</v>
      </c>
      <c r="AN26" s="23">
        <f t="shared" ca="1" si="111"/>
        <v>125</v>
      </c>
      <c r="AO26" s="23">
        <f t="shared" ca="1" si="111"/>
        <v>119</v>
      </c>
      <c r="AP26" s="23">
        <f t="shared" ca="1" si="111"/>
        <v>143</v>
      </c>
      <c r="AQ26" s="23">
        <f t="shared" ca="1" si="111"/>
        <v>166</v>
      </c>
      <c r="AR26" s="23">
        <f t="shared" ca="1" si="111"/>
        <v>166</v>
      </c>
      <c r="AS26" s="23">
        <f t="shared" ca="1" si="111"/>
        <v>166</v>
      </c>
      <c r="AT26" s="23">
        <f t="shared" ca="1" si="111"/>
        <v>166</v>
      </c>
      <c r="AU26" s="23">
        <f t="shared" ca="1" si="111"/>
        <v>58</v>
      </c>
      <c r="AV26" s="23">
        <f t="shared" ca="1" si="111"/>
        <v>58</v>
      </c>
      <c r="AW26" s="23">
        <f t="shared" ca="1" si="111"/>
        <v>58</v>
      </c>
      <c r="CH26">
        <f t="shared" ca="1" si="107"/>
        <v>179</v>
      </c>
      <c r="CI26" s="169">
        <f t="shared" ca="1" si="36"/>
        <v>46022</v>
      </c>
      <c r="CJ26" s="1">
        <f t="shared" ca="1" si="37"/>
        <v>-5.0948326786837334E-4</v>
      </c>
      <c r="CK26" s="1">
        <f t="shared" ca="1" si="38"/>
        <v>-1.3073768602683152E-3</v>
      </c>
      <c r="CL26" s="1">
        <f t="shared" ca="1" si="39"/>
        <v>-2.1869409999999999E-2</v>
      </c>
      <c r="CM26" s="1">
        <f t="shared" ca="1" si="40"/>
        <v>5.9176080000000004E-4</v>
      </c>
      <c r="CN26" s="1" t="e">
        <f t="shared" ca="1" si="41"/>
        <v>#N/A</v>
      </c>
      <c r="CO26" s="1" t="e">
        <f t="shared" ca="1" si="42"/>
        <v>#N/A</v>
      </c>
      <c r="CP26" s="1" t="e">
        <f t="shared" ca="1" si="43"/>
        <v>#N/A</v>
      </c>
      <c r="CQ26" s="1">
        <f t="shared" ca="1" si="44"/>
        <v>-5.8173470000000005E-3</v>
      </c>
      <c r="CR26" s="1">
        <f t="shared" ca="1" si="45"/>
        <v>3.5737099999999999E-3</v>
      </c>
      <c r="CS26" s="1">
        <f t="shared" ca="1" si="46"/>
        <v>2.8737099999999998E-3</v>
      </c>
      <c r="CT26" s="1">
        <f t="shared" ca="1" si="47"/>
        <v>-6.8503060000000005E-3</v>
      </c>
      <c r="CU26" s="1">
        <f t="shared" ca="1" si="48"/>
        <v>1.0703000000000001E-2</v>
      </c>
      <c r="CV26" s="1">
        <f t="shared" ca="1" si="49"/>
        <v>9.5060539999999999E-3</v>
      </c>
      <c r="CW26" s="1">
        <f t="shared" ca="1" si="50"/>
        <v>8.481054E-3</v>
      </c>
      <c r="CX26" s="1">
        <f t="shared" ca="1" si="51"/>
        <v>-5.8173470000000005E-3</v>
      </c>
      <c r="CZ26">
        <f t="shared" ca="1" si="108"/>
        <v>167</v>
      </c>
      <c r="DA26" s="169">
        <f t="shared" ca="1" si="52"/>
        <v>45657</v>
      </c>
      <c r="DB26" s="1">
        <f t="shared" ca="1" si="53"/>
        <v>-4.7396585490156309E-2</v>
      </c>
      <c r="DC26" s="1">
        <f t="shared" ca="1" si="54"/>
        <v>-4.7917593802191495E-2</v>
      </c>
      <c r="DD26" s="1">
        <f t="shared" ca="1" si="55"/>
        <v>-6.2797260000000008E-2</v>
      </c>
      <c r="DE26" s="1">
        <f t="shared" ca="1" si="56"/>
        <v>-2.3912279999999998E-2</v>
      </c>
      <c r="DF26" s="1">
        <f t="shared" ca="1" si="57"/>
        <v>0</v>
      </c>
      <c r="DG26" s="1" t="e">
        <f t="shared" ca="1" si="58"/>
        <v>#N/A</v>
      </c>
      <c r="DH26" s="1" t="e">
        <f t="shared" ca="1" si="59"/>
        <v>#N/A</v>
      </c>
      <c r="DI26" s="1">
        <f t="shared" ca="1" si="60"/>
        <v>-8.2611580000000004E-2</v>
      </c>
      <c r="DJ26" s="1">
        <f t="shared" ca="1" si="61"/>
        <v>-3.837873E-2</v>
      </c>
      <c r="DK26" s="1">
        <f t="shared" ca="1" si="62"/>
        <v>-3.9078729999999999E-2</v>
      </c>
      <c r="DL26" s="1">
        <f t="shared" ca="1" si="63"/>
        <v>-3.7643549999999998E-2</v>
      </c>
      <c r="DM26" s="1">
        <f t="shared" ca="1" si="64"/>
        <v>-2.3337799999999999E-2</v>
      </c>
      <c r="DN26" s="1">
        <f t="shared" ca="1" si="65"/>
        <v>-8.7122210000000019E-2</v>
      </c>
      <c r="DO26" s="1">
        <f t="shared" ca="1" si="66"/>
        <v>-8.8147210000000004E-2</v>
      </c>
      <c r="DP26" s="1">
        <f t="shared" ca="1" si="67"/>
        <v>-8.2611580000000004E-2</v>
      </c>
      <c r="DR26">
        <f t="shared" ca="1" si="109"/>
        <v>143</v>
      </c>
      <c r="DS26" s="169">
        <f t="shared" ca="1" si="68"/>
        <v>44926</v>
      </c>
      <c r="DT26" s="1">
        <f t="shared" ca="1" si="69"/>
        <v>-3.8737095221647637E-2</v>
      </c>
      <c r="DU26" s="1">
        <f t="shared" ca="1" si="70"/>
        <v>-3.93096E-2</v>
      </c>
      <c r="DV26" s="1">
        <f t="shared" ca="1" si="71"/>
        <v>-1.723247E-2</v>
      </c>
      <c r="DW26" s="1">
        <f t="shared" ca="1" si="72"/>
        <v>-5.7714730000000006E-2</v>
      </c>
      <c r="DX26" s="1">
        <f t="shared" ca="1" si="73"/>
        <v>-5.6477398393485485E-2</v>
      </c>
      <c r="DY26" s="1">
        <f t="shared" ca="1" si="74"/>
        <v>-5.6978229064758794E-2</v>
      </c>
      <c r="DZ26" s="1">
        <f t="shared" ca="1" si="75"/>
        <v>-5.2475059999999997E-2</v>
      </c>
      <c r="EA26" s="1">
        <f t="shared" ca="1" si="76"/>
        <v>-6.4934729999999996E-2</v>
      </c>
      <c r="EB26" s="1">
        <f t="shared" ca="1" si="77"/>
        <v>-5.0053468376241722E-2</v>
      </c>
      <c r="EC26" s="1">
        <f t="shared" ca="1" si="78"/>
        <v>-5.0713382839088154E-2</v>
      </c>
      <c r="ED26" s="1">
        <f t="shared" ca="1" si="79"/>
        <v>-1.9438750000000001E-2</v>
      </c>
      <c r="EE26" s="1">
        <f t="shared" ca="1" si="80"/>
        <v>-3.8958050000000001E-2</v>
      </c>
      <c r="EF26" s="1">
        <f t="shared" ca="1" si="81"/>
        <v>-6.1367430000000001E-2</v>
      </c>
      <c r="EG26" s="1">
        <f t="shared" ca="1" si="82"/>
        <v>-6.2392429999999999E-2</v>
      </c>
      <c r="EH26" s="1">
        <f t="shared" ca="1" si="83"/>
        <v>-6.4934729999999996E-2</v>
      </c>
      <c r="EJ26">
        <f t="shared" ca="1" si="110"/>
        <v>83</v>
      </c>
      <c r="EK26" s="169">
        <f t="shared" ca="1" si="84"/>
        <v>43100</v>
      </c>
      <c r="EL26" s="1">
        <f t="shared" ca="1" si="85"/>
        <v>1.5900000000000001E-2</v>
      </c>
      <c r="EM26" s="1">
        <f t="shared" ca="1" si="86"/>
        <v>1.5505999999999999E-2</v>
      </c>
      <c r="EN26" s="1">
        <f t="shared" ca="1" si="87"/>
        <v>-1.1197410506272014E-2</v>
      </c>
      <c r="EO26" s="1">
        <f t="shared" ca="1" si="88"/>
        <v>1.1047152674964622E-2</v>
      </c>
      <c r="EP26" s="1">
        <f t="shared" ca="1" si="89"/>
        <v>-1.7410000000000002E-2</v>
      </c>
      <c r="EQ26" s="1">
        <f t="shared" ca="1" si="90"/>
        <v>-1.7787999999999998E-2</v>
      </c>
      <c r="ER26" s="1">
        <f t="shared" ca="1" si="91"/>
        <v>-2.6250866250866325E-2</v>
      </c>
      <c r="ES26" s="1">
        <f t="shared" ca="1" si="92"/>
        <v>-4.0824535940505941E-3</v>
      </c>
      <c r="ET26" s="1">
        <f t="shared" ca="1" si="93"/>
        <v>8.2179999999999996E-3</v>
      </c>
      <c r="EU26" s="1">
        <f t="shared" ca="1" si="94"/>
        <v>7.4050000000000001E-3</v>
      </c>
      <c r="EV26" s="1">
        <f t="shared" ca="1" si="95"/>
        <v>6.5633884452345158E-3</v>
      </c>
      <c r="EW26" s="1">
        <f t="shared" ca="1" si="96"/>
        <v>1.6544917851371833E-2</v>
      </c>
      <c r="EX26" s="1">
        <f t="shared" ca="1" si="97"/>
        <v>0</v>
      </c>
      <c r="EY26" s="1">
        <f t="shared" ca="1" si="98"/>
        <v>0</v>
      </c>
      <c r="EZ26" s="1">
        <f t="shared" ca="1" si="99"/>
        <v>-4.0824535940505941E-3</v>
      </c>
    </row>
    <row r="27" spans="1:156" x14ac:dyDescent="0.25">
      <c r="A27">
        <f t="shared" ca="1" si="103"/>
        <v>25</v>
      </c>
      <c r="B27" s="169">
        <f ca="1">IF('LC (Gross)'!A174="","",IF('LC (Gross)'!A174&gt;$AC$9,"",'LC (Gross)'!A174))</f>
        <v>41333</v>
      </c>
      <c r="C27" s="1">
        <f ca="1">IF(B27="","",(VLOOKUP(B27,'LC (Gross)'!A:D,4,FALSE)/100))</f>
        <v>3.9170268163392592E-2</v>
      </c>
      <c r="D27" s="1"/>
      <c r="E27" s="1">
        <f ca="1">IF(B27="","",(VLOOKUP(B27,'Global (Gross)'!A:D,4,FALSE)/100))</f>
        <v>1.9900000000000001E-2</v>
      </c>
      <c r="F27" s="1"/>
      <c r="G27" s="1">
        <f ca="1">IF(B27="","",(VLOOKUP(B27,'LC (Net)'!A:D,4,FALSE)/100))</f>
        <v>3.8353601496725925E-2</v>
      </c>
      <c r="H27" s="1"/>
      <c r="I27" s="1">
        <f ca="1">IF(B27="","",(VLOOKUP(B27,'Global (Net)'!A:D,4,FALSE)/100))</f>
        <v>1.9900000000000001E-2</v>
      </c>
      <c r="J27" s="1"/>
      <c r="K27" s="1">
        <f ca="1">IF(B27="","",VLOOKUP(Website!B27,'LC (Gross)'!W:X,2,FALSE)/100)</f>
        <v>2.7228097381367514E-2</v>
      </c>
      <c r="L27" s="1">
        <f ca="1">IF(B27="","",VLOOKUP(Website!B27,'SC (Gross)'!P:Q,2,FALSE)/100)</f>
        <v>1.9286460665771006E-2</v>
      </c>
      <c r="M27" s="1">
        <f ca="1">IF(B27="","",VLOOKUP(Website!B27,'Global (Gross)'!P:Q,2,FALSE)/100)</f>
        <v>2.5757821507847688E-2</v>
      </c>
      <c r="O27" s="1">
        <f ca="1">IF(B27="","",VLOOKUP(Website!B27,'LC (Gross)'!J:K,2,FALSE)/100)</f>
        <v>1.3568501755030301E-2</v>
      </c>
      <c r="P27" s="233">
        <f ca="1">IF(B27="","",(VLOOKUP(B27,'SC (Gross)'!J:K,2,FALSE))/100)</f>
        <v>1.1030698950075635E-2</v>
      </c>
      <c r="Q27" s="233">
        <f ca="1">IF(B27="","",(VLOOKUP(B27,'Global (Gross)'!J:K,2,FALSE)/100))</f>
        <v>3.0975245256675393E-4</v>
      </c>
      <c r="S27" s="22">
        <f t="shared" ca="1" si="0"/>
        <v>2.5601766408362293E-2</v>
      </c>
      <c r="T27" s="22" t="str">
        <f t="shared" si="1"/>
        <v/>
      </c>
      <c r="U27" s="22">
        <f t="shared" ca="1" si="2"/>
        <v>1.9590247547433246E-2</v>
      </c>
      <c r="V27" s="22"/>
      <c r="W27" s="22">
        <f t="shared" ca="1" si="100"/>
        <v>1.3659595626337213E-2</v>
      </c>
      <c r="X27" s="22">
        <f t="shared" ca="1" si="101"/>
        <v>8.2557617156953714E-3</v>
      </c>
      <c r="Y27" s="22">
        <f t="shared" ca="1" si="102"/>
        <v>2.5448069055280933E-2</v>
      </c>
      <c r="AI27" t="s">
        <v>315</v>
      </c>
      <c r="AJ27" s="22"/>
      <c r="AK27" s="22" t="s">
        <v>321</v>
      </c>
      <c r="AM27" t="s">
        <v>316</v>
      </c>
      <c r="AN27" s="22"/>
      <c r="AO27" s="22" t="s">
        <v>322</v>
      </c>
      <c r="AQ27" t="s">
        <v>317</v>
      </c>
      <c r="AS27" t="s">
        <v>323</v>
      </c>
      <c r="AU27" t="s">
        <v>399</v>
      </c>
      <c r="CZ27">
        <f t="shared" ca="1" si="108"/>
        <v>168</v>
      </c>
      <c r="DA27" s="169">
        <f t="shared" ca="1" si="52"/>
        <v>45688</v>
      </c>
      <c r="DB27" s="1">
        <f t="shared" ca="1" si="53"/>
        <v>4.4176273945455528E-2</v>
      </c>
      <c r="DC27" s="1">
        <f t="shared" ca="1" si="54"/>
        <v>4.3370980910674733E-2</v>
      </c>
      <c r="DD27" s="1">
        <f t="shared" ca="1" si="55"/>
        <v>2.0867730000000001E-2</v>
      </c>
      <c r="DE27" s="1">
        <f t="shared" ca="1" si="56"/>
        <v>2.7792780000000003E-2</v>
      </c>
      <c r="DF27" s="1" t="e">
        <f t="shared" ca="1" si="57"/>
        <v>#N/A</v>
      </c>
      <c r="DG27" s="1" t="e">
        <f t="shared" ca="1" si="58"/>
        <v>#N/A</v>
      </c>
      <c r="DH27" s="1" t="e">
        <f t="shared" ca="1" si="59"/>
        <v>#N/A</v>
      </c>
      <c r="DI27" s="1">
        <f t="shared" ca="1" si="60"/>
        <v>2.6219139999999998E-2</v>
      </c>
      <c r="DJ27" s="1">
        <f t="shared" ca="1" si="61"/>
        <v>2.593962E-2</v>
      </c>
      <c r="DK27" s="1">
        <f t="shared" ca="1" si="62"/>
        <v>2.5239620000000001E-2</v>
      </c>
      <c r="DL27" s="1">
        <f t="shared" ca="1" si="63"/>
        <v>2.6802619999999999E-2</v>
      </c>
      <c r="DM27" s="1">
        <f t="shared" ca="1" si="64"/>
        <v>3.3814129999999998E-2</v>
      </c>
      <c r="DN27" s="1">
        <f t="shared" ca="1" si="65"/>
        <v>4.1609420000000001E-2</v>
      </c>
      <c r="DO27" s="1">
        <f t="shared" ca="1" si="66"/>
        <v>4.0584420000000003E-2</v>
      </c>
      <c r="DP27" s="1">
        <f t="shared" ca="1" si="67"/>
        <v>2.6219139999999998E-2</v>
      </c>
      <c r="DR27">
        <f t="shared" ca="1" si="109"/>
        <v>144</v>
      </c>
      <c r="DS27" s="169">
        <f t="shared" ca="1" si="68"/>
        <v>44957</v>
      </c>
      <c r="DT27" s="1">
        <f t="shared" ca="1" si="69"/>
        <v>2.8497283152063436E-2</v>
      </c>
      <c r="DU27" s="1">
        <f t="shared" ca="1" si="70"/>
        <v>2.7903141978001429E-2</v>
      </c>
      <c r="DV27" s="1">
        <f t="shared" ca="1" si="71"/>
        <v>3.4753330000000002E-4</v>
      </c>
      <c r="DW27" s="1">
        <f t="shared" ca="1" si="72"/>
        <v>6.2828720000000005E-2</v>
      </c>
      <c r="DX27" s="1">
        <f t="shared" ca="1" si="73"/>
        <v>5.0683174382068347E-2</v>
      </c>
      <c r="DY27" s="1">
        <f t="shared" ca="1" si="74"/>
        <v>5.0181820262223037E-2</v>
      </c>
      <c r="DZ27" s="1">
        <f t="shared" ca="1" si="75"/>
        <v>4.7549720000000004E-2</v>
      </c>
      <c r="EA27" s="1">
        <f t="shared" ca="1" si="76"/>
        <v>9.7465889999999999E-2</v>
      </c>
      <c r="EB27" s="1">
        <f t="shared" ca="1" si="77"/>
        <v>6.6684536521078724E-2</v>
      </c>
      <c r="EC27" s="1">
        <f t="shared" ca="1" si="78"/>
        <v>6.591489653176609E-2</v>
      </c>
      <c r="ED27" s="1">
        <f t="shared" ca="1" si="79"/>
        <v>1.7564E-2</v>
      </c>
      <c r="EE27" s="1">
        <f t="shared" ca="1" si="80"/>
        <v>7.1952000000000002E-2</v>
      </c>
      <c r="EF27" s="1">
        <f t="shared" ca="1" si="81"/>
        <v>9.1491529999999988E-2</v>
      </c>
      <c r="EG27" s="1">
        <f t="shared" ca="1" si="82"/>
        <v>9.0466529999999989E-2</v>
      </c>
      <c r="EH27" s="1">
        <f t="shared" ca="1" si="83"/>
        <v>9.7465889999999999E-2</v>
      </c>
      <c r="EJ27">
        <f t="shared" ca="1" si="110"/>
        <v>84</v>
      </c>
      <c r="EK27" s="169">
        <f t="shared" ca="1" si="84"/>
        <v>43131</v>
      </c>
      <c r="EL27" s="1">
        <f t="shared" ca="1" si="85"/>
        <v>4.8395000000000001E-2</v>
      </c>
      <c r="EM27" s="1">
        <f t="shared" ca="1" si="86"/>
        <v>4.8006E-2</v>
      </c>
      <c r="EN27" s="1">
        <f t="shared" ca="1" si="87"/>
        <v>2.6513754394878311E-2</v>
      </c>
      <c r="EO27" s="1">
        <f t="shared" ca="1" si="88"/>
        <v>5.7232165786512031E-2</v>
      </c>
      <c r="EP27" s="1">
        <f t="shared" ca="1" si="89"/>
        <v>6.0289999999999996E-3</v>
      </c>
      <c r="EQ27" s="1">
        <f t="shared" ca="1" si="90"/>
        <v>5.6470000000000001E-3</v>
      </c>
      <c r="ER27" s="1">
        <f t="shared" ca="1" si="91"/>
        <v>-5.3755788354968156E-3</v>
      </c>
      <c r="ES27" s="1">
        <f t="shared" ca="1" si="92"/>
        <v>2.6110313010553322E-2</v>
      </c>
      <c r="ET27" s="1">
        <f t="shared" ca="1" si="93"/>
        <v>3.9889000000000001E-2</v>
      </c>
      <c r="EU27" s="1">
        <f t="shared" ca="1" si="94"/>
        <v>3.9064999999999996E-2</v>
      </c>
      <c r="EV27" s="1">
        <f t="shared" ca="1" si="95"/>
        <v>3.3185323770554123E-2</v>
      </c>
      <c r="EW27" s="1">
        <f t="shared" ca="1" si="96"/>
        <v>5.6627213245823899E-2</v>
      </c>
      <c r="EX27" s="1">
        <f t="shared" ca="1" si="97"/>
        <v>0</v>
      </c>
      <c r="EY27" s="1">
        <f t="shared" ca="1" si="98"/>
        <v>0</v>
      </c>
      <c r="EZ27" s="1">
        <f t="shared" ca="1" si="99"/>
        <v>2.6110313010553322E-2</v>
      </c>
    </row>
    <row r="28" spans="1:156" x14ac:dyDescent="0.25">
      <c r="A28">
        <f t="shared" ca="1" si="103"/>
        <v>26</v>
      </c>
      <c r="B28" s="169">
        <f ca="1">IF('LC (Gross)'!A175="","",IF('LC (Gross)'!A175&gt;$AC$9,"",'LC (Gross)'!A175))</f>
        <v>41364</v>
      </c>
      <c r="C28" s="1">
        <f ca="1">IF(B28="","",(VLOOKUP(B28,'LC (Gross)'!A:D,4,FALSE)/100))</f>
        <v>4.4059909909909954E-2</v>
      </c>
      <c r="D28" s="1"/>
      <c r="E28" s="1">
        <f ca="1">IF(B28="","",(VLOOKUP(B28,'Global (Gross)'!A:D,4,FALSE)/100))</f>
        <v>3.7200000000000004E-2</v>
      </c>
      <c r="F28" s="1"/>
      <c r="G28" s="1">
        <f ca="1">IF(B28="","",(VLOOKUP(B28,'LC (Net)'!A:D,4,FALSE)/100))</f>
        <v>4.324324324324328E-2</v>
      </c>
      <c r="H28" s="1"/>
      <c r="I28" s="1">
        <f ca="1">IF(B28="","",(VLOOKUP(B28,'Global (Net)'!A:D,4,FALSE)/100))</f>
        <v>3.7200000000000004E-2</v>
      </c>
      <c r="J28" s="1"/>
      <c r="K28" s="1">
        <f ca="1">IF(B28="","",VLOOKUP(Website!B28,'LC (Gross)'!W:X,2,FALSE)/100)</f>
        <v>4.8732099591410033E-2</v>
      </c>
      <c r="L28" s="1">
        <f ca="1">IF(B28="","",VLOOKUP(Website!B28,'SC (Gross)'!P:Q,2,FALSE)/100)</f>
        <v>4.8670708727531806E-2</v>
      </c>
      <c r="M28" s="1">
        <f ca="1">IF(B28="","",VLOOKUP(Website!B28,'Global (Gross)'!P:Q,2,FALSE)/100)</f>
        <v>4.5749751247091505E-2</v>
      </c>
      <c r="O28" s="1">
        <f ca="1">IF(B28="","",VLOOKUP(Website!B28,'LC (Gross)'!J:K,2,FALSE)/100)</f>
        <v>3.7504846466217608E-2</v>
      </c>
      <c r="P28" s="233">
        <f ca="1">IF(B28="","",(VLOOKUP(B28,'SC (Gross)'!J:K,2,FALSE))/100)</f>
        <v>4.6180696693330969E-2</v>
      </c>
      <c r="Q28" s="233">
        <f ca="1">IF(B28="","",(VLOOKUP(B28,'Global (Gross)'!J:K,2,FALSE)/100))</f>
        <v>1.8908359613245187E-2</v>
      </c>
      <c r="S28" s="22">
        <f t="shared" ca="1" si="0"/>
        <v>6.5550634436923466E-3</v>
      </c>
      <c r="T28" s="22" t="str">
        <f t="shared" si="1"/>
        <v/>
      </c>
      <c r="U28" s="22">
        <f t="shared" ca="1" si="2"/>
        <v>1.8291640386754817E-2</v>
      </c>
      <c r="V28" s="22"/>
      <c r="W28" s="22">
        <f t="shared" ca="1" si="100"/>
        <v>1.1227253125192425E-2</v>
      </c>
      <c r="X28" s="22">
        <f t="shared" ca="1" si="101"/>
        <v>2.4900120342008364E-3</v>
      </c>
      <c r="Y28" s="22">
        <f t="shared" ca="1" si="102"/>
        <v>2.6841391633846318E-2</v>
      </c>
      <c r="AJ28" s="1"/>
      <c r="AK28" s="1"/>
      <c r="CZ28">
        <f t="shared" ca="1" si="108"/>
        <v>169</v>
      </c>
      <c r="DA28" s="169">
        <f t="shared" ca="1" si="52"/>
        <v>45716</v>
      </c>
      <c r="DB28" s="1">
        <f t="shared" ca="1" si="53"/>
        <v>-9.4939776271251407E-3</v>
      </c>
      <c r="DC28" s="1">
        <f t="shared" ca="1" si="54"/>
        <v>-1.0010633566326886E-2</v>
      </c>
      <c r="DD28" s="1">
        <f t="shared" ca="1" si="55"/>
        <v>4.6701800000000002E-2</v>
      </c>
      <c r="DE28" s="1">
        <f t="shared" ca="1" si="56"/>
        <v>-1.304958E-2</v>
      </c>
      <c r="DF28" s="1" t="e">
        <f t="shared" ca="1" si="57"/>
        <v>#N/A</v>
      </c>
      <c r="DG28" s="1" t="e">
        <f t="shared" ca="1" si="58"/>
        <v>#N/A</v>
      </c>
      <c r="DH28" s="1" t="e">
        <f t="shared" ca="1" si="59"/>
        <v>#N/A</v>
      </c>
      <c r="DI28" s="1">
        <f t="shared" ca="1" si="60"/>
        <v>-5.3509830000000001E-2</v>
      </c>
      <c r="DJ28" s="1">
        <f t="shared" ca="1" si="61"/>
        <v>1.347657E-2</v>
      </c>
      <c r="DK28" s="1">
        <f t="shared" ca="1" si="62"/>
        <v>1.2776570000000001E-2</v>
      </c>
      <c r="DL28" s="1">
        <f t="shared" ca="1" si="63"/>
        <v>2.4719690000000002E-2</v>
      </c>
      <c r="DM28" s="1">
        <f t="shared" ca="1" si="64"/>
        <v>-5.7200150000000002E-3</v>
      </c>
      <c r="DN28" s="1">
        <f t="shared" ca="1" si="65"/>
        <v>-5.6697309999999994E-2</v>
      </c>
      <c r="DO28" s="1">
        <f t="shared" ca="1" si="66"/>
        <v>-5.7722309999999999E-2</v>
      </c>
      <c r="DP28" s="1">
        <f t="shared" ca="1" si="67"/>
        <v>-5.3509830000000001E-2</v>
      </c>
      <c r="DR28">
        <f t="shared" ca="1" si="109"/>
        <v>145</v>
      </c>
      <c r="DS28" s="169">
        <f t="shared" ca="1" si="68"/>
        <v>44985</v>
      </c>
      <c r="DT28" s="1">
        <f t="shared" ca="1" si="69"/>
        <v>-2.7952823047861813E-2</v>
      </c>
      <c r="DU28" s="1">
        <f t="shared" ca="1" si="70"/>
        <v>-2.8517419938387648E-2</v>
      </c>
      <c r="DV28" s="1">
        <f t="shared" ca="1" si="71"/>
        <v>-3.2838199999999998E-2</v>
      </c>
      <c r="DW28" s="1">
        <f t="shared" ca="1" si="72"/>
        <v>-2.4490709999999999E-2</v>
      </c>
      <c r="DX28" s="1">
        <f t="shared" ca="1" si="73"/>
        <v>-1.7211992568556815E-2</v>
      </c>
      <c r="DY28" s="1">
        <f t="shared" ca="1" si="74"/>
        <v>-1.7713006518090983E-2</v>
      </c>
      <c r="DZ28" s="1">
        <f t="shared" ca="1" si="75"/>
        <v>-6.000409E-3</v>
      </c>
      <c r="EA28" s="1">
        <f t="shared" ca="1" si="76"/>
        <v>-1.692691E-2</v>
      </c>
      <c r="EB28" s="1">
        <f t="shared" ca="1" si="77"/>
        <v>-3.1415559766686876E-2</v>
      </c>
      <c r="EC28" s="1">
        <f t="shared" ca="1" si="78"/>
        <v>-3.2075639342745009E-2</v>
      </c>
      <c r="ED28" s="1">
        <f t="shared" ca="1" si="79"/>
        <v>-3.7379999999999997E-2</v>
      </c>
      <c r="EE28" s="1">
        <f t="shared" ca="1" si="80"/>
        <v>-2.8328000000000002E-2</v>
      </c>
      <c r="EF28" s="1">
        <f t="shared" ca="1" si="81"/>
        <v>1.3301790000000001E-2</v>
      </c>
      <c r="EG28" s="1">
        <f t="shared" ca="1" si="82"/>
        <v>1.2276789999999999E-2</v>
      </c>
      <c r="EH28" s="1">
        <f t="shared" ca="1" si="83"/>
        <v>-1.692691E-2</v>
      </c>
      <c r="EJ28">
        <f t="shared" ca="1" si="110"/>
        <v>85</v>
      </c>
      <c r="EK28" s="169">
        <f t="shared" ca="1" si="84"/>
        <v>43159</v>
      </c>
      <c r="EL28" s="1">
        <f t="shared" ca="1" si="85"/>
        <v>-2.9588999999999997E-2</v>
      </c>
      <c r="EM28" s="1">
        <f t="shared" ca="1" si="86"/>
        <v>-3.0344000000000003E-2</v>
      </c>
      <c r="EN28" s="1">
        <f t="shared" ca="1" si="87"/>
        <v>-4.2397855144443844E-2</v>
      </c>
      <c r="EO28" s="1">
        <f t="shared" ca="1" si="88"/>
        <v>-3.6859753386859775E-2</v>
      </c>
      <c r="EP28" s="1">
        <f t="shared" ca="1" si="89"/>
        <v>-4.1345E-2</v>
      </c>
      <c r="EQ28" s="1">
        <f t="shared" ca="1" si="90"/>
        <v>-4.2178000000000007E-2</v>
      </c>
      <c r="ER28" s="1">
        <f t="shared" ca="1" si="91"/>
        <v>-5.0788274858682855E-2</v>
      </c>
      <c r="ES28" s="1">
        <f t="shared" ca="1" si="92"/>
        <v>-3.8603870929858515E-2</v>
      </c>
      <c r="ET28" s="1">
        <f t="shared" ca="1" si="93"/>
        <v>-3.6088000000000002E-2</v>
      </c>
      <c r="EU28" s="1">
        <f t="shared" ca="1" si="94"/>
        <v>-3.6490000000000002E-2</v>
      </c>
      <c r="EV28" s="1">
        <f t="shared" ca="1" si="95"/>
        <v>-3.8988633215172368E-2</v>
      </c>
      <c r="EW28" s="1">
        <f t="shared" ca="1" si="96"/>
        <v>-4.1599596242029996E-2</v>
      </c>
      <c r="EX28" s="1">
        <f t="shared" ca="1" si="97"/>
        <v>0</v>
      </c>
      <c r="EY28" s="1">
        <f t="shared" ca="1" si="98"/>
        <v>0</v>
      </c>
      <c r="EZ28" s="1">
        <f t="shared" ca="1" si="99"/>
        <v>-3.8603870929858515E-2</v>
      </c>
    </row>
    <row r="29" spans="1:156" x14ac:dyDescent="0.25">
      <c r="A29">
        <f t="shared" ca="1" si="103"/>
        <v>27</v>
      </c>
      <c r="B29" s="169">
        <f ca="1">IF('LC (Gross)'!A176="","",IF('LC (Gross)'!A176&gt;$AC$9,"",'LC (Gross)'!A176))</f>
        <v>41394</v>
      </c>
      <c r="C29" s="1">
        <f ca="1">IF(B29="","",(VLOOKUP(B29,'LC (Gross)'!A:D,4,FALSE)/100))</f>
        <v>2.585984455958542E-2</v>
      </c>
      <c r="D29" s="1"/>
      <c r="E29" s="1">
        <f ca="1">IF(B29="","",(VLOOKUP(B29,'Global (Gross)'!A:D,4,FALSE)/100))</f>
        <v>3.9100000000000003E-2</v>
      </c>
      <c r="F29" s="1"/>
      <c r="G29" s="1">
        <f ca="1">IF(B29="","",(VLOOKUP(B29,'LC (Net)'!A:D,4,FALSE)/100))</f>
        <v>2.5043177892918753E-2</v>
      </c>
      <c r="H29" s="1"/>
      <c r="I29" s="1">
        <f ca="1">IF(B29="","",(VLOOKUP(B29,'Global (Net)'!A:D,4,FALSE)/100))</f>
        <v>3.9100000000000003E-2</v>
      </c>
      <c r="J29" s="1"/>
      <c r="K29" s="1">
        <f ca="1">IF(B29="","",VLOOKUP(Website!B29,'LC (Gross)'!W:X,2,FALSE)/100)</f>
        <v>3.8395552224128375E-2</v>
      </c>
      <c r="L29" s="1">
        <f ca="1">IF(B29="","",VLOOKUP(Website!B29,'SC (Gross)'!P:Q,2,FALSE)/100)</f>
        <v>8.8820199612691456E-3</v>
      </c>
      <c r="M29" s="1">
        <f ca="1">IF(B29="","",VLOOKUP(Website!B29,'Global (Gross)'!P:Q,2,FALSE)/100)</f>
        <v>2.9238273538123714E-2</v>
      </c>
      <c r="O29" s="1">
        <f ca="1">IF(B29="","",VLOOKUP(Website!B29,'LC (Gross)'!J:K,2,FALSE)/100)</f>
        <v>1.9264708679827446E-2</v>
      </c>
      <c r="P29" s="233">
        <f ca="1">IF(B29="","",(VLOOKUP(B29,'SC (Gross)'!J:K,2,FALSE))/100)</f>
        <v>-3.6743813302988855E-3</v>
      </c>
      <c r="Q29" s="233">
        <f ca="1">IF(B29="","",(VLOOKUP(B29,'Global (Gross)'!J:K,2,FALSE)/100))</f>
        <v>2.8945931428696281E-2</v>
      </c>
      <c r="S29" s="22">
        <f t="shared" ca="1" si="0"/>
        <v>6.5951358797579733E-3</v>
      </c>
      <c r="T29" s="22" t="str">
        <f t="shared" si="1"/>
        <v/>
      </c>
      <c r="U29" s="22">
        <f t="shared" ca="1" si="2"/>
        <v>1.0154068571303722E-2</v>
      </c>
      <c r="V29" s="22"/>
      <c r="W29" s="22">
        <f t="shared" ca="1" si="100"/>
        <v>1.9130843544300929E-2</v>
      </c>
      <c r="X29" s="22">
        <f t="shared" ca="1" si="101"/>
        <v>1.2556401291568032E-2</v>
      </c>
      <c r="Y29" s="22">
        <f t="shared" ca="1" si="102"/>
        <v>2.9234210942743338E-4</v>
      </c>
      <c r="AI29">
        <f ca="1">MAX(A:A)+2</f>
        <v>181</v>
      </c>
      <c r="AN29" s="233"/>
      <c r="AO29" s="233"/>
      <c r="CZ29">
        <f t="shared" ca="1" si="108"/>
        <v>170</v>
      </c>
      <c r="DA29" s="169">
        <f t="shared" ca="1" si="52"/>
        <v>45747</v>
      </c>
      <c r="DB29" s="1">
        <f t="shared" ca="1" si="53"/>
        <v>-1.6133805033496641E-2</v>
      </c>
      <c r="DC29" s="1">
        <f t="shared" ca="1" si="54"/>
        <v>-1.6640538144661043E-2</v>
      </c>
      <c r="DD29" s="1">
        <f t="shared" ca="1" si="55"/>
        <v>3.8105159999999999E-3</v>
      </c>
      <c r="DE29" s="1">
        <f t="shared" ca="1" si="56"/>
        <v>-5.6343949999999997E-2</v>
      </c>
      <c r="DF29" s="1" t="e">
        <f t="shared" ca="1" si="57"/>
        <v>#N/A</v>
      </c>
      <c r="DG29" s="1" t="e">
        <f t="shared" ca="1" si="58"/>
        <v>#N/A</v>
      </c>
      <c r="DH29" s="1" t="e">
        <f t="shared" ca="1" si="59"/>
        <v>#N/A</v>
      </c>
      <c r="DI29" s="1">
        <f t="shared" ca="1" si="60"/>
        <v>-6.8090390000000001E-2</v>
      </c>
      <c r="DJ29" s="1">
        <f t="shared" ca="1" si="61"/>
        <v>5.0076920000000002E-3</v>
      </c>
      <c r="DK29" s="1">
        <f t="shared" ca="1" si="62"/>
        <v>4.3076920000000001E-3</v>
      </c>
      <c r="DL29" s="1">
        <f t="shared" ca="1" si="63"/>
        <v>1.072357E-2</v>
      </c>
      <c r="DM29" s="1">
        <f t="shared" ca="1" si="64"/>
        <v>-3.8918849999999998E-2</v>
      </c>
      <c r="DN29" s="1">
        <f t="shared" ca="1" si="65"/>
        <v>-4.9637250000000001E-2</v>
      </c>
      <c r="DO29" s="1">
        <f t="shared" ca="1" si="66"/>
        <v>-5.0662249999999999E-2</v>
      </c>
      <c r="DP29" s="1">
        <f t="shared" ca="1" si="67"/>
        <v>-6.8090390000000001E-2</v>
      </c>
      <c r="DR29">
        <f t="shared" ca="1" si="109"/>
        <v>146</v>
      </c>
      <c r="DS29" s="169">
        <f t="shared" ca="1" si="68"/>
        <v>45016</v>
      </c>
      <c r="DT29" s="1">
        <f t="shared" ca="1" si="69"/>
        <v>1.2561934295472017E-2</v>
      </c>
      <c r="DU29" s="1">
        <f t="shared" ca="1" si="70"/>
        <v>1.1997793736767013E-2</v>
      </c>
      <c r="DV29" s="1">
        <f t="shared" ca="1" si="71"/>
        <v>1.559139E-2</v>
      </c>
      <c r="DW29" s="1">
        <f t="shared" ca="1" si="72"/>
        <v>3.669584E-2</v>
      </c>
      <c r="DX29" s="1">
        <f t="shared" ca="1" si="73"/>
        <v>-2.1568557176685134E-2</v>
      </c>
      <c r="DY29" s="1">
        <f t="shared" ca="1" si="74"/>
        <v>-2.2071729154978473E-2</v>
      </c>
      <c r="DZ29" s="1">
        <f t="shared" ca="1" si="75"/>
        <v>-8.1971530000000001E-2</v>
      </c>
      <c r="EA29" s="1">
        <f t="shared" ca="1" si="76"/>
        <v>-4.782989E-2</v>
      </c>
      <c r="EB29" s="1">
        <f t="shared" ca="1" si="77"/>
        <v>1.9567662266374103E-2</v>
      </c>
      <c r="EC29" s="1">
        <f t="shared" ca="1" si="78"/>
        <v>1.8907131180832367E-2</v>
      </c>
      <c r="ED29" s="1">
        <f t="shared" ca="1" si="79"/>
        <v>3.8073999999999997E-2</v>
      </c>
      <c r="EE29" s="1">
        <f t="shared" ca="1" si="80"/>
        <v>3.1548E-2</v>
      </c>
      <c r="EF29" s="1">
        <f t="shared" ca="1" si="81"/>
        <v>-4.8221600000000003E-2</v>
      </c>
      <c r="EG29" s="1">
        <f t="shared" ca="1" si="82"/>
        <v>-4.9246600000000001E-2</v>
      </c>
      <c r="EH29" s="1">
        <f t="shared" ca="1" si="83"/>
        <v>-4.782989E-2</v>
      </c>
      <c r="EJ29">
        <f t="shared" ca="1" si="110"/>
        <v>86</v>
      </c>
      <c r="EK29" s="169">
        <f t="shared" ca="1" si="84"/>
        <v>43190</v>
      </c>
      <c r="EL29" s="1">
        <f t="shared" ca="1" si="85"/>
        <v>-8.2730000000000008E-3</v>
      </c>
      <c r="EM29" s="1">
        <f t="shared" ca="1" si="86"/>
        <v>-8.6449999999999999E-3</v>
      </c>
      <c r="EN29" s="1">
        <f t="shared" ca="1" si="87"/>
        <v>8.5099131855693559E-3</v>
      </c>
      <c r="EO29" s="1">
        <f t="shared" ca="1" si="88"/>
        <v>-2.5411590560710545E-2</v>
      </c>
      <c r="EP29" s="1">
        <f t="shared" ca="1" si="89"/>
        <v>2.7175999999999999E-2</v>
      </c>
      <c r="EQ29" s="1">
        <f t="shared" ca="1" si="90"/>
        <v>2.6790999999999999E-2</v>
      </c>
      <c r="ER29" s="1">
        <f t="shared" ca="1" si="91"/>
        <v>3.4358855810400574E-2</v>
      </c>
      <c r="ES29" s="1">
        <f t="shared" ca="1" si="92"/>
        <v>1.2925838628987631E-2</v>
      </c>
      <c r="ET29" s="1">
        <f t="shared" ca="1" si="93"/>
        <v>-4.3540000000000002E-3</v>
      </c>
      <c r="EU29" s="1">
        <f t="shared" ca="1" si="94"/>
        <v>-4.7520000000000001E-3</v>
      </c>
      <c r="EV29" s="1">
        <f t="shared" ca="1" si="95"/>
        <v>1.1478450789224664E-3</v>
      </c>
      <c r="EW29" s="1">
        <f t="shared" ca="1" si="96"/>
        <v>-2.0704953594466228E-2</v>
      </c>
      <c r="EX29" s="1">
        <f t="shared" ca="1" si="97"/>
        <v>0</v>
      </c>
      <c r="EY29" s="1">
        <f t="shared" ca="1" si="98"/>
        <v>0</v>
      </c>
      <c r="EZ29" s="1">
        <f t="shared" ca="1" si="99"/>
        <v>1.2925838628987631E-2</v>
      </c>
    </row>
    <row r="30" spans="1:156" x14ac:dyDescent="0.25">
      <c r="A30">
        <f t="shared" ca="1" si="103"/>
        <v>28</v>
      </c>
      <c r="B30" s="169">
        <f ca="1">IF('LC (Gross)'!A177="","",IF('LC (Gross)'!A177&gt;$AC$9,"",'LC (Gross)'!A177))</f>
        <v>41425</v>
      </c>
      <c r="C30" s="1">
        <f ca="1">IF(B30="","",(VLOOKUP(B30,'LC (Gross)'!A:D,4,FALSE)/100))</f>
        <v>-1.2662693063746002E-2</v>
      </c>
      <c r="D30" s="1"/>
      <c r="E30" s="1">
        <f ca="1">IF(B30="","",(VLOOKUP(B30,'Global (Gross)'!A:D,4,FALSE)/100))</f>
        <v>-2.52E-2</v>
      </c>
      <c r="F30" s="1"/>
      <c r="G30" s="1">
        <f ca="1">IF(B30="","",(VLOOKUP(B30,'LC (Net)'!A:D,4,FALSE)/100))</f>
        <v>-1.3479359730412668E-2</v>
      </c>
      <c r="H30" s="1"/>
      <c r="I30" s="1">
        <f ca="1">IF(B30="","",(VLOOKUP(B30,'Global (Net)'!A:D,4,FALSE)/100))</f>
        <v>-2.52E-2</v>
      </c>
      <c r="J30" s="1"/>
      <c r="K30" s="1">
        <f ca="1">IF(B30="","",VLOOKUP(Website!B30,'LC (Gross)'!W:X,2,FALSE)/100)</f>
        <v>-3.4338617670715457E-2</v>
      </c>
      <c r="L30" s="1">
        <f ca="1">IF(B30="","",VLOOKUP(Website!B30,'SC (Gross)'!P:Q,2,FALSE)/100)</f>
        <v>5.8415311640613457E-3</v>
      </c>
      <c r="M30" s="1">
        <f ca="1">IF(B30="","",VLOOKUP(Website!B30,'Global (Gross)'!P:Q,2,FALSE)/100)</f>
        <v>-4.4704755292105054E-2</v>
      </c>
      <c r="O30" s="1">
        <f ca="1">IF(B30="","",VLOOKUP(Website!B30,'LC (Gross)'!J:K,2,FALSE)/100)</f>
        <v>2.3380172001401064E-2</v>
      </c>
      <c r="P30" s="233">
        <f ca="1">IF(B30="","",(VLOOKUP(B30,'SC (Gross)'!J:K,2,FALSE))/100)</f>
        <v>3.9965077138199384E-2</v>
      </c>
      <c r="Q30" s="233">
        <f ca="1">IF(B30="","",(VLOOKUP(B30,'Global (Gross)'!J:K,2,FALSE)/100))</f>
        <v>-1.9063002606021324E-3</v>
      </c>
      <c r="S30" s="22">
        <f t="shared" ca="1" si="0"/>
        <v>-3.6042865065147069E-2</v>
      </c>
      <c r="T30" s="22" t="str">
        <f t="shared" si="1"/>
        <v/>
      </c>
      <c r="U30" s="22">
        <f t="shared" ca="1" si="2"/>
        <v>-2.3293699739397867E-2</v>
      </c>
      <c r="V30" s="22"/>
      <c r="W30" s="22">
        <f t="shared" ca="1" si="100"/>
        <v>-5.7718789672116522E-2</v>
      </c>
      <c r="X30" s="22">
        <f t="shared" ca="1" si="101"/>
        <v>-3.4123545974138039E-2</v>
      </c>
      <c r="Y30" s="22">
        <f t="shared" ca="1" si="102"/>
        <v>-4.2798455031502924E-2</v>
      </c>
      <c r="AN30" s="1"/>
      <c r="AO30" s="1"/>
      <c r="CZ30">
        <f t="shared" ca="1" si="108"/>
        <v>171</v>
      </c>
      <c r="DA30" s="169">
        <f t="shared" ca="1" si="52"/>
        <v>45777</v>
      </c>
      <c r="DB30" s="1">
        <f t="shared" ca="1" si="53"/>
        <v>-1.7007119457187261E-2</v>
      </c>
      <c r="DC30" s="1">
        <f t="shared" ca="1" si="54"/>
        <v>-1.782123317791387E-2</v>
      </c>
      <c r="DD30" s="1">
        <f t="shared" ca="1" si="55"/>
        <v>-2.311651E-2</v>
      </c>
      <c r="DE30" s="1">
        <f t="shared" ca="1" si="56"/>
        <v>-6.781306E-3</v>
      </c>
      <c r="DF30" s="1" t="e">
        <f t="shared" ca="1" si="57"/>
        <v>#N/A</v>
      </c>
      <c r="DG30" s="1" t="e">
        <f t="shared" ca="1" si="58"/>
        <v>#N/A</v>
      </c>
      <c r="DH30" s="1" t="e">
        <f t="shared" ca="1" si="59"/>
        <v>#N/A</v>
      </c>
      <c r="DI30" s="1">
        <f t="shared" ca="1" si="60"/>
        <v>-2.3113199999999997E-2</v>
      </c>
      <c r="DJ30" s="1">
        <f t="shared" ca="1" si="61"/>
        <v>-2.1911760000000002E-4</v>
      </c>
      <c r="DK30" s="1">
        <f t="shared" ca="1" si="62"/>
        <v>-9.1911759999999999E-4</v>
      </c>
      <c r="DL30" s="1">
        <f t="shared" ca="1" si="63"/>
        <v>7.6429169999999999E-3</v>
      </c>
      <c r="DM30" s="1">
        <f t="shared" ca="1" si="64"/>
        <v>9.7781580000000003E-3</v>
      </c>
      <c r="DN30" s="1">
        <f t="shared" ca="1" si="65"/>
        <v>-2.0600390000000003E-2</v>
      </c>
      <c r="DO30" s="1">
        <f t="shared" ca="1" si="66"/>
        <v>-2.1625390000000001E-2</v>
      </c>
      <c r="DP30" s="1">
        <f t="shared" ca="1" si="67"/>
        <v>-2.3113199999999997E-2</v>
      </c>
      <c r="DR30">
        <f t="shared" ca="1" si="109"/>
        <v>147</v>
      </c>
      <c r="DS30" s="169">
        <f t="shared" ca="1" si="68"/>
        <v>45046</v>
      </c>
      <c r="DT30" s="1">
        <f t="shared" ca="1" si="69"/>
        <v>1.1585569287576312E-2</v>
      </c>
      <c r="DU30" s="1">
        <f t="shared" ca="1" si="70"/>
        <v>1.099480071381295E-2</v>
      </c>
      <c r="DV30" s="1">
        <f t="shared" ca="1" si="71"/>
        <v>2.6588349999999997E-2</v>
      </c>
      <c r="DW30" s="1">
        <f t="shared" ca="1" si="72"/>
        <v>1.560872E-2</v>
      </c>
      <c r="DX30" s="1">
        <f t="shared" ca="1" si="73"/>
        <v>-1.0251083133536065E-2</v>
      </c>
      <c r="DY30" s="1">
        <f t="shared" ca="1" si="74"/>
        <v>-1.0752694708132025E-2</v>
      </c>
      <c r="DZ30" s="1">
        <f t="shared" ca="1" si="75"/>
        <v>-4.1581559999999997E-2</v>
      </c>
      <c r="EA30" s="1">
        <f t="shared" ca="1" si="76"/>
        <v>-1.7983370000000002E-2</v>
      </c>
      <c r="EB30" s="1">
        <f t="shared" ca="1" si="77"/>
        <v>1.5725506870097283E-2</v>
      </c>
      <c r="EC30" s="1">
        <f t="shared" ca="1" si="78"/>
        <v>1.4958007552858209E-2</v>
      </c>
      <c r="ED30" s="1">
        <f t="shared" ca="1" si="79"/>
        <v>2.8603E-2</v>
      </c>
      <c r="EE30" s="1">
        <f t="shared" ca="1" si="80"/>
        <v>1.4809000000000001E-2</v>
      </c>
      <c r="EF30" s="1">
        <f t="shared" ca="1" si="81"/>
        <v>-1.4823469999999998E-2</v>
      </c>
      <c r="EG30" s="1">
        <f t="shared" ca="1" si="82"/>
        <v>-1.584847E-2</v>
      </c>
      <c r="EH30" s="1">
        <f t="shared" ca="1" si="83"/>
        <v>-1.7983370000000002E-2</v>
      </c>
      <c r="EJ30">
        <f t="shared" ca="1" si="110"/>
        <v>87</v>
      </c>
      <c r="EK30" s="169">
        <f t="shared" ca="1" si="84"/>
        <v>43220</v>
      </c>
      <c r="EL30" s="1">
        <f t="shared" ca="1" si="85"/>
        <v>1.5746E-2</v>
      </c>
      <c r="EM30" s="1">
        <f t="shared" ca="1" si="86"/>
        <v>1.4954E-2</v>
      </c>
      <c r="EN30" s="1">
        <f t="shared" ca="1" si="87"/>
        <v>-5.668110875880138E-3</v>
      </c>
      <c r="EO30" s="1">
        <f t="shared" ca="1" si="88"/>
        <v>3.8357610779871302E-3</v>
      </c>
      <c r="EP30" s="1">
        <f t="shared" ca="1" si="89"/>
        <v>1.4121999999999999E-2</v>
      </c>
      <c r="EQ30" s="1">
        <f t="shared" ca="1" si="90"/>
        <v>1.3265000000000001E-2</v>
      </c>
      <c r="ER30" s="1">
        <f t="shared" ca="1" si="91"/>
        <v>6.6221304506255841E-3</v>
      </c>
      <c r="ES30" s="1">
        <f t="shared" ca="1" si="92"/>
        <v>8.6466776426594189E-3</v>
      </c>
      <c r="ET30" s="1">
        <f t="shared" ca="1" si="93"/>
        <v>-7.8790000000000006E-3</v>
      </c>
      <c r="EU30" s="1">
        <f t="shared" ca="1" si="94"/>
        <v>-8.6219999999999995E-3</v>
      </c>
      <c r="EV30" s="1">
        <f t="shared" ca="1" si="95"/>
        <v>6.4423968697948004E-4</v>
      </c>
      <c r="EW30" s="1">
        <f t="shared" ca="1" si="96"/>
        <v>1.0052949511522167E-2</v>
      </c>
      <c r="EX30" s="1">
        <f t="shared" ca="1" si="97"/>
        <v>0</v>
      </c>
      <c r="EY30" s="1">
        <f t="shared" ca="1" si="98"/>
        <v>0</v>
      </c>
      <c r="EZ30" s="1">
        <f t="shared" ca="1" si="99"/>
        <v>8.6466776426594189E-3</v>
      </c>
    </row>
    <row r="31" spans="1:156" x14ac:dyDescent="0.25">
      <c r="A31">
        <f t="shared" ca="1" si="103"/>
        <v>29</v>
      </c>
      <c r="B31" s="169">
        <f ca="1">IF('LC (Gross)'!A178="","",IF('LC (Gross)'!A178&gt;$AC$9,"",'LC (Gross)'!A178))</f>
        <v>41455</v>
      </c>
      <c r="C31" s="1">
        <f ca="1">IF(B31="","",(VLOOKUP(B31,'LC (Gross)'!A:D,4,FALSE)/100))</f>
        <v>5.086521491602527E-3</v>
      </c>
      <c r="D31" s="1"/>
      <c r="E31" s="1">
        <f ca="1">IF(B31="","",(VLOOKUP(B31,'Global (Gross)'!A:D,4,FALSE)/100))</f>
        <v>-6.1999999999999998E-3</v>
      </c>
      <c r="F31" s="1"/>
      <c r="G31" s="1">
        <f ca="1">IF(B31="","",(VLOOKUP(B31,'LC (Net)'!A:D,4,FALSE)/100))</f>
        <v>4.269854824935861E-3</v>
      </c>
      <c r="H31" s="1"/>
      <c r="I31" s="1">
        <f ca="1">IF(B31="","",(VLOOKUP(B31,'Global (Net)'!A:D,4,FALSE)/100))</f>
        <v>-6.1999999999999998E-3</v>
      </c>
      <c r="J31" s="1"/>
      <c r="K31" s="1">
        <f ca="1">IF(B31="","",VLOOKUP(Website!B31,'LC (Gross)'!W:X,2,FALSE)/100)</f>
        <v>6.0416060922727655E-3</v>
      </c>
      <c r="L31" s="1">
        <f ca="1">IF(B31="","",VLOOKUP(Website!B31,'SC (Gross)'!P:Q,2,FALSE)/100)</f>
        <v>1.265195651176656E-2</v>
      </c>
      <c r="M31" s="1">
        <f ca="1">IF(B31="","",VLOOKUP(Website!B31,'Global (Gross)'!P:Q,2,FALSE)/100)</f>
        <v>-3.9101184640249831E-3</v>
      </c>
      <c r="O31" s="1">
        <f ca="1">IF(B31="","",VLOOKUP(Website!B31,'LC (Gross)'!J:K,2,FALSE)/100)</f>
        <v>-1.3426216140609801E-2</v>
      </c>
      <c r="P31" s="233">
        <f ca="1">IF(B31="","",(VLOOKUP(B31,'SC (Gross)'!J:K,2,FALSE))/100)</f>
        <v>-5.1248585858309223E-3</v>
      </c>
      <c r="Q31" s="233">
        <f ca="1">IF(B31="","",(VLOOKUP(B31,'Global (Gross)'!J:K,2,FALSE)/100))</f>
        <v>-2.8805221823048323E-2</v>
      </c>
      <c r="S31" s="22">
        <f t="shared" ca="1" si="0"/>
        <v>1.8512737632212329E-2</v>
      </c>
      <c r="T31" s="22" t="str">
        <f t="shared" si="1"/>
        <v/>
      </c>
      <c r="U31" s="22">
        <f t="shared" ca="1" si="2"/>
        <v>2.2605221823048322E-2</v>
      </c>
      <c r="V31" s="22"/>
      <c r="W31" s="22">
        <f t="shared" ca="1" si="100"/>
        <v>1.9467822232882567E-2</v>
      </c>
      <c r="X31" s="22">
        <f t="shared" ca="1" si="101"/>
        <v>1.7776815097597484E-2</v>
      </c>
      <c r="Y31" s="22">
        <f t="shared" ca="1" si="102"/>
        <v>2.4895103359023341E-2</v>
      </c>
      <c r="AI31" s="22"/>
      <c r="AN31" s="233"/>
      <c r="AO31" s="233"/>
      <c r="CZ31">
        <f t="shared" ca="1" si="108"/>
        <v>172</v>
      </c>
      <c r="DA31" s="169">
        <f t="shared" ca="1" si="52"/>
        <v>45808</v>
      </c>
      <c r="DB31" s="1">
        <f t="shared" ca="1" si="53"/>
        <v>1.698246054546064E-2</v>
      </c>
      <c r="DC31" s="1">
        <f t="shared" ca="1" si="54"/>
        <v>1.6469021635570558E-2</v>
      </c>
      <c r="DD31" s="1">
        <f t="shared" ca="1" si="55"/>
        <v>1.1138459999999999E-2</v>
      </c>
      <c r="DE31" s="1">
        <f t="shared" ca="1" si="56"/>
        <v>6.2946189999999999E-2</v>
      </c>
      <c r="DF31" s="1" t="e">
        <f t="shared" ca="1" si="57"/>
        <v>#N/A</v>
      </c>
      <c r="DG31" s="1" t="e">
        <f t="shared" ca="1" si="58"/>
        <v>#N/A</v>
      </c>
      <c r="DH31" s="1" t="e">
        <f t="shared" ca="1" si="59"/>
        <v>#N/A</v>
      </c>
      <c r="DI31" s="1">
        <f t="shared" ca="1" si="60"/>
        <v>5.3393110000000001E-2</v>
      </c>
      <c r="DJ31" s="1">
        <f t="shared" ca="1" si="61"/>
        <v>2.0019230000000002E-2</v>
      </c>
      <c r="DK31" s="1">
        <f t="shared" ca="1" si="62"/>
        <v>1.931923E-2</v>
      </c>
      <c r="DL31" s="1">
        <f t="shared" ca="1" si="63"/>
        <v>1.2818030000000001E-2</v>
      </c>
      <c r="DM31" s="1">
        <f t="shared" ca="1" si="64"/>
        <v>5.8145300000000004E-2</v>
      </c>
      <c r="DN31" s="1">
        <f t="shared" ca="1" si="65"/>
        <v>5.271841E-2</v>
      </c>
      <c r="DO31" s="1">
        <f t="shared" ca="1" si="66"/>
        <v>5.1693410000000002E-2</v>
      </c>
      <c r="DP31" s="1">
        <f t="shared" ca="1" si="67"/>
        <v>5.3393110000000001E-2</v>
      </c>
      <c r="DR31">
        <f t="shared" ca="1" si="109"/>
        <v>148</v>
      </c>
      <c r="DS31" s="169">
        <f t="shared" ca="1" si="68"/>
        <v>45077</v>
      </c>
      <c r="DT31" s="1">
        <f t="shared" ca="1" si="69"/>
        <v>-2.7888501293758621E-2</v>
      </c>
      <c r="DU31" s="1">
        <f t="shared" ca="1" si="70"/>
        <v>-2.845058157139423E-2</v>
      </c>
      <c r="DV31" s="1">
        <f t="shared" ca="1" si="71"/>
        <v>-5.2391259999999995E-2</v>
      </c>
      <c r="DW31" s="1">
        <f t="shared" ca="1" si="72"/>
        <v>4.3486430000000001E-3</v>
      </c>
      <c r="DX31" s="1">
        <f t="shared" ca="1" si="73"/>
        <v>-2.7328037455045976E-2</v>
      </c>
      <c r="DY31" s="1">
        <f t="shared" ca="1" si="74"/>
        <v>-2.7833622509883173E-2</v>
      </c>
      <c r="DZ31" s="1">
        <f t="shared" ca="1" si="75"/>
        <v>-4.1118870000000002E-2</v>
      </c>
      <c r="EA31" s="1">
        <f t="shared" ca="1" si="76"/>
        <v>-9.3249360000000007E-3</v>
      </c>
      <c r="EB31" s="1">
        <f t="shared" ca="1" si="77"/>
        <v>-2.6831842464369489E-2</v>
      </c>
      <c r="EC31" s="1">
        <f t="shared" ca="1" si="78"/>
        <v>-2.7492766843027362E-2</v>
      </c>
      <c r="ED31" s="1">
        <f t="shared" ca="1" si="79"/>
        <v>-3.1490999999999998E-2</v>
      </c>
      <c r="EE31" s="1">
        <f t="shared" ca="1" si="80"/>
        <v>-1.0115000000000001E-2</v>
      </c>
      <c r="EF31" s="1">
        <f t="shared" ca="1" si="81"/>
        <v>-2.2148609999999999E-2</v>
      </c>
      <c r="EG31" s="1">
        <f t="shared" ca="1" si="82"/>
        <v>-2.3173610000000001E-2</v>
      </c>
      <c r="EH31" s="1">
        <f t="shared" ca="1" si="83"/>
        <v>-9.3249360000000007E-3</v>
      </c>
      <c r="EJ31">
        <f t="shared" ca="1" si="110"/>
        <v>88</v>
      </c>
      <c r="EK31" s="169">
        <f t="shared" ca="1" si="84"/>
        <v>43251</v>
      </c>
      <c r="EL31" s="1">
        <f t="shared" ca="1" si="85"/>
        <v>2.3361E-2</v>
      </c>
      <c r="EM31" s="1">
        <f t="shared" ca="1" si="86"/>
        <v>2.281E-2</v>
      </c>
      <c r="EN31" s="1">
        <f t="shared" ca="1" si="87"/>
        <v>7.2798394361585439E-3</v>
      </c>
      <c r="EO31" s="1">
        <f t="shared" ca="1" si="88"/>
        <v>2.4079922263254429E-2</v>
      </c>
      <c r="EP31" s="1">
        <f t="shared" ca="1" si="89"/>
        <v>5.1650999999999996E-2</v>
      </c>
      <c r="EQ31" s="1">
        <f t="shared" ca="1" si="90"/>
        <v>5.1241000000000002E-2</v>
      </c>
      <c r="ER31" s="1">
        <f t="shared" ca="1" si="91"/>
        <v>5.6108461880031657E-2</v>
      </c>
      <c r="ES31" s="1">
        <f t="shared" ca="1" si="92"/>
        <v>6.0699700580171656E-2</v>
      </c>
      <c r="ET31" s="1">
        <f t="shared" ca="1" si="93"/>
        <v>1.2399E-2</v>
      </c>
      <c r="EU31" s="1">
        <f t="shared" ca="1" si="94"/>
        <v>1.2008000000000001E-2</v>
      </c>
      <c r="EV31" s="1">
        <f t="shared" ca="1" si="95"/>
        <v>1.5923735596586983E-3</v>
      </c>
      <c r="EW31" s="1">
        <f t="shared" ca="1" si="96"/>
        <v>1.9171716559374258E-3</v>
      </c>
      <c r="EX31" s="1">
        <f t="shared" ca="1" si="97"/>
        <v>0</v>
      </c>
      <c r="EY31" s="1">
        <f t="shared" ca="1" si="98"/>
        <v>0</v>
      </c>
      <c r="EZ31" s="1">
        <f t="shared" ca="1" si="99"/>
        <v>6.0699700580171656E-2</v>
      </c>
    </row>
    <row r="32" spans="1:156" x14ac:dyDescent="0.25">
      <c r="A32">
        <f t="shared" ca="1" si="103"/>
        <v>30</v>
      </c>
      <c r="B32" s="169">
        <f ca="1">IF('LC (Gross)'!A179="","",IF('LC (Gross)'!A179&gt;$AC$9,"",'LC (Gross)'!A179))</f>
        <v>41486</v>
      </c>
      <c r="C32" s="1">
        <f ca="1">IF(B32="","",(VLOOKUP(B32,'LC (Gross)'!A:D,4,FALSE)/100))</f>
        <v>4.5884693877550974E-2</v>
      </c>
      <c r="D32" s="1"/>
      <c r="E32" s="1">
        <f ca="1">IF(B32="","",(VLOOKUP(B32,'Global (Gross)'!A:D,4,FALSE)/100))</f>
        <v>3.5200000000000002E-2</v>
      </c>
      <c r="F32" s="1"/>
      <c r="G32" s="1">
        <f ca="1">IF(B32="","",(VLOOKUP(B32,'LC (Net)'!A:D,4,FALSE)/100))</f>
        <v>4.50680272108843E-2</v>
      </c>
      <c r="H32" s="1"/>
      <c r="I32" s="1">
        <f ca="1">IF(B32="","",(VLOOKUP(B32,'Global (Net)'!A:D,4,FALSE)/100))</f>
        <v>3.5200000000000002E-2</v>
      </c>
      <c r="J32" s="1"/>
      <c r="K32" s="1">
        <f ca="1">IF(B32="","",VLOOKUP(Website!B32,'LC (Gross)'!W:X,2,FALSE)/100)</f>
        <v>4.238446475258071E-2</v>
      </c>
      <c r="L32" s="1">
        <f ca="1">IF(B32="","",VLOOKUP(Website!B32,'SC (Gross)'!P:Q,2,FALSE)/100)</f>
        <v>6.3031148640078222E-2</v>
      </c>
      <c r="M32" s="1">
        <f ca="1">IF(B32="","",VLOOKUP(Website!B32,'Global (Gross)'!P:Q,2,FALSE)/100)</f>
        <v>3.0054251105534169E-2</v>
      </c>
      <c r="O32" s="1">
        <f ca="1">IF(B32="","",VLOOKUP(Website!B32,'LC (Gross)'!J:K,2,FALSE)/100)</f>
        <v>5.0883842905535055E-2</v>
      </c>
      <c r="P32" s="233">
        <f ca="1">IF(B32="","",(VLOOKUP(B32,'SC (Gross)'!J:K,2,FALSE))/100)</f>
        <v>6.9977537119009711E-2</v>
      </c>
      <c r="Q32" s="233">
        <f ca="1">IF(B32="","",(VLOOKUP(B32,'Global (Gross)'!J:K,2,FALSE)/100))</f>
        <v>4.8315455486609517E-2</v>
      </c>
      <c r="S32" s="22">
        <f t="shared" ca="1" si="0"/>
        <v>-4.9991490279840817E-3</v>
      </c>
      <c r="T32" s="22" t="str">
        <f t="shared" si="1"/>
        <v/>
      </c>
      <c r="U32" s="22">
        <f t="shared" ca="1" si="2"/>
        <v>-1.3115455486609515E-2</v>
      </c>
      <c r="V32" s="22"/>
      <c r="W32" s="22">
        <f t="shared" ca="1" si="100"/>
        <v>-8.4993781529543455E-3</v>
      </c>
      <c r="X32" s="22">
        <f t="shared" ca="1" si="101"/>
        <v>-6.9463884789314895E-3</v>
      </c>
      <c r="Y32" s="22">
        <f t="shared" ca="1" si="102"/>
        <v>-1.8261204381075348E-2</v>
      </c>
      <c r="AN32" s="233"/>
      <c r="AO32" s="233"/>
      <c r="CZ32">
        <f t="shared" ca="1" si="108"/>
        <v>173</v>
      </c>
      <c r="DA32" s="169">
        <f t="shared" ca="1" si="52"/>
        <v>45838</v>
      </c>
      <c r="DB32" s="1">
        <f t="shared" ca="1" si="53"/>
        <v>4.8357748879533612E-3</v>
      </c>
      <c r="DC32" s="1">
        <f t="shared" ca="1" si="54"/>
        <v>4.329401489169782E-3</v>
      </c>
      <c r="DD32" s="1">
        <f t="shared" ca="1" si="55"/>
        <v>-7.5421139999999999E-3</v>
      </c>
      <c r="DE32" s="1">
        <f t="shared" ca="1" si="56"/>
        <v>5.0848299999999999E-2</v>
      </c>
      <c r="DF32" s="1" t="e">
        <f t="shared" ca="1" si="57"/>
        <v>#N/A</v>
      </c>
      <c r="DG32" s="1" t="e">
        <f t="shared" ca="1" si="58"/>
        <v>#N/A</v>
      </c>
      <c r="DH32" s="1" t="e">
        <f t="shared" ca="1" si="59"/>
        <v>#N/A</v>
      </c>
      <c r="DI32" s="1">
        <f t="shared" ca="1" si="60"/>
        <v>5.4339259999999993E-2</v>
      </c>
      <c r="DJ32" s="1">
        <f t="shared" ca="1" si="61"/>
        <v>1.122948E-2</v>
      </c>
      <c r="DK32" s="1">
        <f t="shared" ca="1" si="62"/>
        <v>1.0529480000000001E-2</v>
      </c>
      <c r="DL32" s="1">
        <f t="shared" ca="1" si="63"/>
        <v>1.007893E-2</v>
      </c>
      <c r="DM32" s="1">
        <f t="shared" ca="1" si="64"/>
        <v>4.5320140000000002E-2</v>
      </c>
      <c r="DN32" s="1">
        <f t="shared" ca="1" si="65"/>
        <v>4.1024999999999999E-2</v>
      </c>
      <c r="DO32" s="1">
        <f t="shared" ca="1" si="66"/>
        <v>0.04</v>
      </c>
      <c r="DP32" s="1">
        <f t="shared" ca="1" si="67"/>
        <v>5.4339259999999993E-2</v>
      </c>
      <c r="DR32">
        <f t="shared" ca="1" si="109"/>
        <v>149</v>
      </c>
      <c r="DS32" s="169">
        <f t="shared" ca="1" si="68"/>
        <v>45107</v>
      </c>
      <c r="DT32" s="1">
        <f t="shared" ca="1" si="69"/>
        <v>4.9628988125141299E-2</v>
      </c>
      <c r="DU32" s="1">
        <f t="shared" ca="1" si="70"/>
        <v>4.9069800185492826E-2</v>
      </c>
      <c r="DV32" s="1">
        <f t="shared" ca="1" si="71"/>
        <v>4.1423719999999997E-2</v>
      </c>
      <c r="DW32" s="1">
        <f t="shared" ca="1" si="72"/>
        <v>6.6073800000000002E-2</v>
      </c>
      <c r="DX32" s="1">
        <f t="shared" ca="1" si="73"/>
        <v>6.1854490000000005E-2</v>
      </c>
      <c r="DY32" s="1">
        <f t="shared" ca="1" si="74"/>
        <v>6.082949E-2</v>
      </c>
      <c r="DZ32" s="1">
        <f t="shared" ca="1" si="75"/>
        <v>2.888866E-2</v>
      </c>
      <c r="EA32" s="1">
        <f t="shared" ca="1" si="76"/>
        <v>8.125694E-2</v>
      </c>
      <c r="EB32" s="1">
        <f t="shared" ca="1" si="77"/>
        <v>4.4193750973587818E-2</v>
      </c>
      <c r="EC32" s="1">
        <f t="shared" ca="1" si="78"/>
        <v>4.3532564540588764E-2</v>
      </c>
      <c r="ED32" s="1">
        <f t="shared" ca="1" si="79"/>
        <v>2.7199000000000001E-2</v>
      </c>
      <c r="EE32" s="1">
        <f t="shared" ca="1" si="80"/>
        <v>5.8438999999999998E-2</v>
      </c>
      <c r="EF32" s="1">
        <f t="shared" ca="1" si="81"/>
        <v>0.10958949999999999</v>
      </c>
      <c r="EG32" s="1">
        <f t="shared" ca="1" si="82"/>
        <v>0.10856450000000001</v>
      </c>
      <c r="EH32" s="1">
        <f t="shared" ca="1" si="83"/>
        <v>8.125694E-2</v>
      </c>
      <c r="EJ32">
        <f t="shared" ca="1" si="110"/>
        <v>89</v>
      </c>
      <c r="EK32" s="169">
        <f t="shared" ca="1" si="84"/>
        <v>43281</v>
      </c>
      <c r="EL32" s="1">
        <f t="shared" ca="1" si="85"/>
        <v>2.0266000000000003E-2</v>
      </c>
      <c r="EM32" s="1">
        <f t="shared" ca="1" si="86"/>
        <v>1.9642E-2</v>
      </c>
      <c r="EN32" s="1">
        <f t="shared" ca="1" si="87"/>
        <v>1.4332118368315931E-2</v>
      </c>
      <c r="EO32" s="1">
        <f t="shared" ca="1" si="88"/>
        <v>6.1554178695228754E-3</v>
      </c>
      <c r="EP32" s="1">
        <f t="shared" ca="1" si="89"/>
        <v>1.4079E-2</v>
      </c>
      <c r="EQ32" s="1">
        <f t="shared" ca="1" si="90"/>
        <v>1.3654999999999999E-2</v>
      </c>
      <c r="ER32" s="1">
        <f t="shared" ca="1" si="91"/>
        <v>1.5680055572566506E-2</v>
      </c>
      <c r="ES32" s="1">
        <f t="shared" ca="1" si="92"/>
        <v>7.1507127323460476E-3</v>
      </c>
      <c r="ET32" s="1">
        <f t="shared" ca="1" si="93"/>
        <v>1.0020000000000001E-3</v>
      </c>
      <c r="EU32" s="1">
        <f t="shared" ca="1" si="94"/>
        <v>6.1800000000000006E-4</v>
      </c>
      <c r="EV32" s="1">
        <f t="shared" ca="1" si="95"/>
        <v>3.5740493042246703E-3</v>
      </c>
      <c r="EW32" s="1">
        <f t="shared" ca="1" si="96"/>
        <v>-4.9960137775330741E-3</v>
      </c>
      <c r="EX32" s="1">
        <f t="shared" ca="1" si="97"/>
        <v>0</v>
      </c>
      <c r="EY32" s="1">
        <f t="shared" ca="1" si="98"/>
        <v>0</v>
      </c>
      <c r="EZ32" s="1">
        <f t="shared" ca="1" si="99"/>
        <v>7.1507127323460476E-3</v>
      </c>
    </row>
    <row r="33" spans="1:156" x14ac:dyDescent="0.25">
      <c r="A33">
        <f t="shared" ca="1" si="103"/>
        <v>31</v>
      </c>
      <c r="B33" s="169">
        <f ca="1">IF('LC (Gross)'!A180="","",IF('LC (Gross)'!A180&gt;$AC$9,"",'LC (Gross)'!A180))</f>
        <v>41517</v>
      </c>
      <c r="C33" s="1">
        <f ca="1">IF(B33="","",(VLOOKUP(B33,'LC (Gross)'!A:D,4,FALSE)/100))</f>
        <v>-3.4984797938703516E-2</v>
      </c>
      <c r="D33" s="1"/>
      <c r="E33" s="1">
        <f ca="1">IF(B33="","",(VLOOKUP(B33,'Global (Gross)'!A:D,4,FALSE)/100))</f>
        <v>-2.92E-2</v>
      </c>
      <c r="F33" s="1"/>
      <c r="G33" s="1">
        <f ca="1">IF(B33="","",(VLOOKUP(B33,'LC (Net)'!A:D,4,FALSE)/100))</f>
        <v>-3.5801464605370183E-2</v>
      </c>
      <c r="H33" s="1"/>
      <c r="I33" s="1">
        <f ca="1">IF(B33="","",(VLOOKUP(B33,'Global (Net)'!A:D,4,FALSE)/100))</f>
        <v>-2.92E-2</v>
      </c>
      <c r="J33" s="1"/>
      <c r="K33" s="1">
        <f ca="1">IF(B33="","",VLOOKUP(Website!B33,'LC (Gross)'!W:X,2,FALSE)/100)</f>
        <v>-4.8339233867019632E-2</v>
      </c>
      <c r="L33" s="1">
        <f ca="1">IF(B33="","",VLOOKUP(Website!B33,'SC (Gross)'!P:Q,2,FALSE)/100)</f>
        <v>-4.7591855519854016E-2</v>
      </c>
      <c r="M33" s="1">
        <f ca="1">IF(B33="","",VLOOKUP(Website!B33,'Global (Gross)'!P:Q,2,FALSE)/100)</f>
        <v>-2.7795445263514958E-2</v>
      </c>
      <c r="O33" s="1">
        <f ca="1">IF(B33="","",VLOOKUP(Website!B33,'LC (Gross)'!J:K,2,FALSE)/100)</f>
        <v>-2.8972352824548811E-2</v>
      </c>
      <c r="P33" s="233">
        <f ca="1">IF(B33="","",(VLOOKUP(B33,'SC (Gross)'!J:K,2,FALSE))/100)</f>
        <v>-3.1777193277507915E-2</v>
      </c>
      <c r="Q33" s="233">
        <f ca="1">IF(B33="","",(VLOOKUP(B33,'Global (Gross)'!J:K,2,FALSE)/100))</f>
        <v>-2.0337986924848662E-2</v>
      </c>
      <c r="S33" s="22">
        <f t="shared" ca="1" si="0"/>
        <v>-6.0124451141547047E-3</v>
      </c>
      <c r="T33" s="22" t="str">
        <f t="shared" si="1"/>
        <v/>
      </c>
      <c r="U33" s="22">
        <f t="shared" ca="1" si="2"/>
        <v>-8.8620130751513385E-3</v>
      </c>
      <c r="V33" s="22"/>
      <c r="W33" s="22">
        <f t="shared" ca="1" si="100"/>
        <v>-1.9366881042470821E-2</v>
      </c>
      <c r="X33" s="22">
        <f t="shared" ca="1" si="101"/>
        <v>-1.5814662242346102E-2</v>
      </c>
      <c r="Y33" s="22">
        <f t="shared" ca="1" si="102"/>
        <v>-7.4574583386662965E-3</v>
      </c>
      <c r="AH33"/>
      <c r="CZ33">
        <f t="shared" ca="1" si="108"/>
        <v>174</v>
      </c>
      <c r="DA33" s="169">
        <f t="shared" ca="1" si="52"/>
        <v>45869</v>
      </c>
      <c r="DB33" s="1">
        <f t="shared" ca="1" si="53"/>
        <v>-3.5865398435556781E-3</v>
      </c>
      <c r="DC33" s="1">
        <f t="shared" ca="1" si="54"/>
        <v>-4.3939681521318963E-3</v>
      </c>
      <c r="DD33" s="1">
        <f t="shared" ca="1" si="55"/>
        <v>-2.9140759999999998E-3</v>
      </c>
      <c r="DE33" s="1">
        <f t="shared" ca="1" si="56"/>
        <v>2.2442899999999998E-2</v>
      </c>
      <c r="DF33" s="1" t="e">
        <f t="shared" ca="1" si="57"/>
        <v>#N/A</v>
      </c>
      <c r="DG33" s="1" t="e">
        <f t="shared" ca="1" si="58"/>
        <v>#N/A</v>
      </c>
      <c r="DH33" s="1" t="e">
        <f t="shared" ca="1" si="59"/>
        <v>#N/A</v>
      </c>
      <c r="DI33" s="1">
        <f t="shared" ca="1" si="60"/>
        <v>1.7346760000000003E-2</v>
      </c>
      <c r="DJ33" s="1">
        <f t="shared" ca="1" si="61"/>
        <v>-2.5795980000000003E-2</v>
      </c>
      <c r="DK33" s="1">
        <f t="shared" ca="1" si="62"/>
        <v>-2.6495980000000002E-2</v>
      </c>
      <c r="DL33" s="1">
        <f t="shared" ca="1" si="63"/>
        <v>-1.6278600000000001E-2</v>
      </c>
      <c r="DM33" s="1">
        <f t="shared" ca="1" si="64"/>
        <v>1.3846879999999999E-2</v>
      </c>
      <c r="DN33" s="1">
        <f t="shared" ca="1" si="65"/>
        <v>8.8476860000000004E-3</v>
      </c>
      <c r="DO33" s="1">
        <f t="shared" ca="1" si="66"/>
        <v>7.8226860000000006E-3</v>
      </c>
      <c r="DP33" s="1">
        <f t="shared" ca="1" si="67"/>
        <v>1.7346760000000003E-2</v>
      </c>
      <c r="DR33">
        <f t="shared" ca="1" si="109"/>
        <v>150</v>
      </c>
      <c r="DS33" s="169">
        <f t="shared" ca="1" si="68"/>
        <v>45138</v>
      </c>
      <c r="DT33" s="1">
        <f t="shared" ca="1" si="69"/>
        <v>1.6975906447378512E-2</v>
      </c>
      <c r="DU33" s="1">
        <f t="shared" ca="1" si="70"/>
        <v>1.6373723154375863E-2</v>
      </c>
      <c r="DV33" s="1">
        <f t="shared" ca="1" si="71"/>
        <v>9.4963560000000009E-3</v>
      </c>
      <c r="DW33" s="1">
        <f t="shared" ca="1" si="72"/>
        <v>3.2125000000000001E-2</v>
      </c>
      <c r="DX33" s="1">
        <f t="shared" ca="1" si="73"/>
        <v>3.4908580000000002E-2</v>
      </c>
      <c r="DY33" s="1">
        <f t="shared" ca="1" si="74"/>
        <v>3.3883580000000003E-2</v>
      </c>
      <c r="DZ33" s="1">
        <f t="shared" ca="1" si="75"/>
        <v>7.1115239999999996E-2</v>
      </c>
      <c r="EA33" s="1">
        <f t="shared" ca="1" si="76"/>
        <v>6.114903E-2</v>
      </c>
      <c r="EB33" s="1">
        <f t="shared" ca="1" si="77"/>
        <v>1.1483673688421965E-2</v>
      </c>
      <c r="EC33" s="1">
        <f t="shared" ca="1" si="78"/>
        <v>1.0720313867897895E-2</v>
      </c>
      <c r="ED33" s="1">
        <f t="shared" ca="1" si="79"/>
        <v>1.6834999999999999E-2</v>
      </c>
      <c r="EE33" s="1">
        <f t="shared" ca="1" si="80"/>
        <v>3.6906000000000001E-2</v>
      </c>
      <c r="EF33" s="1">
        <f t="shared" ca="1" si="81"/>
        <v>4.5275999999999997E-2</v>
      </c>
      <c r="EG33" s="1">
        <f t="shared" ca="1" si="82"/>
        <v>4.4250999999999999E-2</v>
      </c>
      <c r="EH33" s="1">
        <f t="shared" ca="1" si="83"/>
        <v>6.114903E-2</v>
      </c>
      <c r="EJ33">
        <f t="shared" ca="1" si="110"/>
        <v>90</v>
      </c>
      <c r="EK33" s="169">
        <f t="shared" ca="1" si="84"/>
        <v>43312</v>
      </c>
      <c r="EL33" s="1">
        <f t="shared" ca="1" si="85"/>
        <v>3.6717E-2</v>
      </c>
      <c r="EM33" s="1">
        <f t="shared" ca="1" si="86"/>
        <v>3.6091999999999999E-2</v>
      </c>
      <c r="EN33" s="1">
        <f t="shared" ca="1" si="87"/>
        <v>3.5258768432322021E-2</v>
      </c>
      <c r="EO33" s="1">
        <f t="shared" ca="1" si="88"/>
        <v>3.7219699000503731E-2</v>
      </c>
      <c r="EP33" s="1">
        <f t="shared" ca="1" si="89"/>
        <v>2.4182000000000002E-2</v>
      </c>
      <c r="EQ33" s="1">
        <f t="shared" ca="1" si="90"/>
        <v>2.3740999999999998E-2</v>
      </c>
      <c r="ER33" s="1">
        <f t="shared" ca="1" si="91"/>
        <v>2.7267327801875373E-2</v>
      </c>
      <c r="ES33" s="1">
        <f t="shared" ca="1" si="92"/>
        <v>1.739588816414506E-2</v>
      </c>
      <c r="ET33" s="1">
        <f t="shared" ca="1" si="93"/>
        <v>3.6761000000000002E-2</v>
      </c>
      <c r="EU33" s="1">
        <f t="shared" ca="1" si="94"/>
        <v>3.6378000000000001E-2</v>
      </c>
      <c r="EV33" s="1">
        <f t="shared" ca="1" si="95"/>
        <v>3.12008798790544E-2</v>
      </c>
      <c r="EW33" s="1">
        <f t="shared" ca="1" si="96"/>
        <v>3.0499640500831336E-2</v>
      </c>
      <c r="EX33" s="1">
        <f t="shared" ca="1" si="97"/>
        <v>0</v>
      </c>
      <c r="EY33" s="1">
        <f t="shared" ca="1" si="98"/>
        <v>0</v>
      </c>
      <c r="EZ33" s="1">
        <f t="shared" ca="1" si="99"/>
        <v>1.739588816414506E-2</v>
      </c>
    </row>
    <row r="34" spans="1:156" x14ac:dyDescent="0.25">
      <c r="A34">
        <f t="shared" ca="1" si="103"/>
        <v>32</v>
      </c>
      <c r="B34" s="169">
        <f ca="1">IF('LC (Gross)'!A181="","",IF('LC (Gross)'!A181&gt;$AC$9,"",'LC (Gross)'!A181))</f>
        <v>41547</v>
      </c>
      <c r="C34" s="1">
        <f ca="1">IF(B34="","",(VLOOKUP(B34,'LC (Gross)'!A:D,4,FALSE)/100))</f>
        <v>2.106983122362871E-2</v>
      </c>
      <c r="D34" s="1"/>
      <c r="E34" s="1">
        <f ca="1">IF(B34="","",(VLOOKUP(B34,'Global (Gross)'!A:D,4,FALSE)/100))</f>
        <v>2.3599999999999999E-2</v>
      </c>
      <c r="F34" s="1"/>
      <c r="G34" s="1">
        <f ca="1">IF(B34="","",(VLOOKUP(B34,'LC (Net)'!A:D,4,FALSE)/100))</f>
        <v>2.0253164556962043E-2</v>
      </c>
      <c r="H34" s="1"/>
      <c r="I34" s="1">
        <f ca="1">IF(B34="","",(VLOOKUP(B34,'Global (Net)'!A:D,4,FALSE)/100))</f>
        <v>2.3599999999999999E-2</v>
      </c>
      <c r="J34" s="1"/>
      <c r="K34" s="1">
        <f ca="1">IF(B34="","",VLOOKUP(Website!B34,'LC (Gross)'!W:X,2,FALSE)/100)</f>
        <v>1.9794963904262542E-2</v>
      </c>
      <c r="L34" s="1">
        <f ca="1">IF(B34="","",VLOOKUP(Website!B34,'SC (Gross)'!P:Q,2,FALSE)/100)</f>
        <v>5.2395142598906409E-2</v>
      </c>
      <c r="M34" s="1">
        <f ca="1">IF(B34="","",VLOOKUP(Website!B34,'Global (Gross)'!P:Q,2,FALSE)/100)</f>
        <v>3.2900859844475737E-2</v>
      </c>
      <c r="O34" s="1">
        <f ca="1">IF(B34="","",VLOOKUP(Website!B34,'LC (Gross)'!J:K,2,FALSE)/100)</f>
        <v>3.1362227634925535E-2</v>
      </c>
      <c r="P34" s="233">
        <f ca="1">IF(B34="","",(VLOOKUP(B34,'SC (Gross)'!J:K,2,FALSE))/100)</f>
        <v>6.3780070609969292E-2</v>
      </c>
      <c r="Q34" s="233">
        <f ca="1">IF(B34="","",(VLOOKUP(B34,'Global (Gross)'!J:K,2,FALSE)/100))</f>
        <v>5.2164342865153347E-2</v>
      </c>
      <c r="S34" s="22">
        <f t="shared" ca="1" si="0"/>
        <v>-1.0292396411296825E-2</v>
      </c>
      <c r="T34" s="22" t="str">
        <f t="shared" si="1"/>
        <v/>
      </c>
      <c r="U34" s="22">
        <f t="shared" ca="1" si="2"/>
        <v>-2.8564342865153348E-2</v>
      </c>
      <c r="V34" s="22"/>
      <c r="W34" s="22">
        <f t="shared" ca="1" si="100"/>
        <v>-1.1567263730662993E-2</v>
      </c>
      <c r="X34" s="22">
        <f t="shared" ca="1" si="101"/>
        <v>-1.1384928011062882E-2</v>
      </c>
      <c r="Y34" s="22">
        <f t="shared" ca="1" si="102"/>
        <v>-1.926348302067761E-2</v>
      </c>
      <c r="AH34" t="s">
        <v>253</v>
      </c>
      <c r="AI34" s="22">
        <f t="shared" ref="AI34:AV34" ca="1" si="112">AI21</f>
        <v>0.12725922947307389</v>
      </c>
      <c r="AJ34" s="22">
        <f t="shared" ca="1" si="112"/>
        <v>0.11824032482423008</v>
      </c>
      <c r="AK34" s="22">
        <f t="shared" ca="1" si="112"/>
        <v>0.10642852288481164</v>
      </c>
      <c r="AL34" s="22">
        <f t="shared" ca="1" si="112"/>
        <v>0.13954857158133382</v>
      </c>
      <c r="AM34" s="22" t="e">
        <f t="shared" ca="1" si="112"/>
        <v>#N/A</v>
      </c>
      <c r="AN34" s="22" t="e">
        <f t="shared" ca="1" si="112"/>
        <v>#N/A</v>
      </c>
      <c r="AO34" s="22" t="e">
        <f t="shared" ca="1" si="112"/>
        <v>#N/A</v>
      </c>
      <c r="AP34" s="22">
        <f t="shared" ca="1" si="112"/>
        <v>8.2670118692959926E-2</v>
      </c>
      <c r="AQ34" s="22">
        <f t="shared" ca="1" si="112"/>
        <v>0.10047427669982967</v>
      </c>
      <c r="AR34" s="22">
        <f t="shared" ca="1" si="112"/>
        <v>9.4899054641683689E-2</v>
      </c>
      <c r="AS34" s="22">
        <f t="shared" ca="1" si="112"/>
        <v>8.6484818691081378E-2</v>
      </c>
      <c r="AT34" s="22">
        <f t="shared" ca="1" si="112"/>
        <v>0.11033473376756286</v>
      </c>
      <c r="AU34" s="22">
        <f t="shared" ca="1" si="112"/>
        <v>6.4933488205023204E-2</v>
      </c>
      <c r="AV34" s="22">
        <f t="shared" ca="1" si="112"/>
        <v>5.1953700879928455E-2</v>
      </c>
      <c r="AW34" s="22">
        <f ca="1">AW21</f>
        <v>3.8990566920969139E-2</v>
      </c>
      <c r="CZ34">
        <f t="shared" ca="1" si="108"/>
        <v>175</v>
      </c>
      <c r="DA34" s="169">
        <f t="shared" ca="1" si="52"/>
        <v>45900</v>
      </c>
      <c r="DB34" s="1">
        <f t="shared" ca="1" si="53"/>
        <v>2.7301060489229353E-2</v>
      </c>
      <c r="DC34" s="1">
        <f t="shared" ca="1" si="54"/>
        <v>2.6797035488596386E-2</v>
      </c>
      <c r="DD34" s="1">
        <f t="shared" ca="1" si="55"/>
        <v>1.5505150000000001E-2</v>
      </c>
      <c r="DE34" s="1">
        <f t="shared" ca="1" si="56"/>
        <v>2.0271819999999999E-2</v>
      </c>
      <c r="DF34" s="1" t="e">
        <f t="shared" ca="1" si="57"/>
        <v>#N/A</v>
      </c>
      <c r="DG34" s="1" t="e">
        <f t="shared" ca="1" si="58"/>
        <v>#N/A</v>
      </c>
      <c r="DH34" s="1" t="e">
        <f t="shared" ca="1" si="59"/>
        <v>#N/A</v>
      </c>
      <c r="DI34" s="1">
        <f t="shared" ca="1" si="60"/>
        <v>7.1434139999999993E-2</v>
      </c>
      <c r="DJ34" s="1">
        <f t="shared" ca="1" si="61"/>
        <v>2.3329969999999998E-2</v>
      </c>
      <c r="DK34" s="1">
        <f t="shared" ca="1" si="62"/>
        <v>2.2629969999999999E-2</v>
      </c>
      <c r="DL34" s="1">
        <f t="shared" ca="1" si="63"/>
        <v>2.3530319999999997E-2</v>
      </c>
      <c r="DM34" s="1">
        <f t="shared" ca="1" si="64"/>
        <v>2.5172910000000003E-2</v>
      </c>
      <c r="DN34" s="1">
        <f t="shared" ca="1" si="65"/>
        <v>8.2849059999999988E-2</v>
      </c>
      <c r="DO34" s="1">
        <f t="shared" ca="1" si="66"/>
        <v>8.1824060000000004E-2</v>
      </c>
      <c r="DP34" s="1">
        <f t="shared" ca="1" si="67"/>
        <v>7.1434139999999993E-2</v>
      </c>
      <c r="DR34">
        <f t="shared" ca="1" si="109"/>
        <v>151</v>
      </c>
      <c r="DS34" s="169">
        <f t="shared" ca="1" si="68"/>
        <v>45169</v>
      </c>
      <c r="DT34" s="1">
        <f t="shared" ca="1" si="69"/>
        <v>-2.1062522896691166E-2</v>
      </c>
      <c r="DU34" s="1">
        <f t="shared" ca="1" si="70"/>
        <v>-2.1652389652342074E-2</v>
      </c>
      <c r="DV34" s="1">
        <f t="shared" ca="1" si="71"/>
        <v>-2.9815350000000001E-2</v>
      </c>
      <c r="DW34" s="1">
        <f t="shared" ca="1" si="72"/>
        <v>-1.5921680000000001E-2</v>
      </c>
      <c r="DX34" s="1">
        <f t="shared" ca="1" si="73"/>
        <v>-3.510945E-2</v>
      </c>
      <c r="DY34" s="1">
        <f t="shared" ca="1" si="74"/>
        <v>-3.6134449999999999E-2</v>
      </c>
      <c r="DZ34" s="1">
        <f t="shared" ca="1" si="75"/>
        <v>-3.0401669999999999E-2</v>
      </c>
      <c r="EA34" s="1">
        <f t="shared" ca="1" si="76"/>
        <v>-5.0064710000000005E-2</v>
      </c>
      <c r="EB34" s="1">
        <f t="shared" ca="1" si="77"/>
        <v>-2.0007244223140173E-2</v>
      </c>
      <c r="EC34" s="1">
        <f t="shared" ca="1" si="78"/>
        <v>-2.0673644510230765E-2</v>
      </c>
      <c r="ED34" s="1">
        <f t="shared" ca="1" si="79"/>
        <v>-1.8962E-2</v>
      </c>
      <c r="EE34" s="1">
        <f t="shared" ca="1" si="80"/>
        <v>-2.7650000000000001E-2</v>
      </c>
      <c r="EF34" s="1">
        <f t="shared" ca="1" si="81"/>
        <v>-4.3782220000000004E-2</v>
      </c>
      <c r="EG34" s="1">
        <f t="shared" ca="1" si="82"/>
        <v>-4.4807220000000002E-2</v>
      </c>
      <c r="EH34" s="1">
        <f t="shared" ca="1" si="83"/>
        <v>-5.0064710000000005E-2</v>
      </c>
      <c r="EJ34">
        <f t="shared" ca="1" si="110"/>
        <v>91</v>
      </c>
      <c r="EK34" s="169">
        <f t="shared" ca="1" si="84"/>
        <v>43343</v>
      </c>
      <c r="EL34" s="1">
        <f t="shared" ca="1" si="85"/>
        <v>4.3539000000000001E-2</v>
      </c>
      <c r="EM34" s="1">
        <f t="shared" ca="1" si="86"/>
        <v>4.2913E-2</v>
      </c>
      <c r="EN34" s="1">
        <f t="shared" ca="1" si="87"/>
        <v>1.821788477415278E-2</v>
      </c>
      <c r="EO34" s="1">
        <f t="shared" ca="1" si="88"/>
        <v>3.2583139999999997E-2</v>
      </c>
      <c r="EP34" s="1">
        <f t="shared" ca="1" si="89"/>
        <v>5.8044999999999999E-2</v>
      </c>
      <c r="EQ34" s="1">
        <f t="shared" ca="1" si="90"/>
        <v>5.7590000000000002E-2</v>
      </c>
      <c r="ER34" s="1">
        <f t="shared" ca="1" si="91"/>
        <v>3.0555750227766586E-2</v>
      </c>
      <c r="ES34" s="1">
        <f t="shared" ca="1" si="92"/>
        <v>4.3072100000000002E-2</v>
      </c>
      <c r="ET34" s="1">
        <f t="shared" ca="1" si="93"/>
        <v>1.5966000000000001E-2</v>
      </c>
      <c r="EU34" s="1">
        <f t="shared" ca="1" si="94"/>
        <v>1.4927999999999999E-2</v>
      </c>
      <c r="EV34" s="1">
        <f t="shared" ca="1" si="95"/>
        <v>1.5884201489315783E-2</v>
      </c>
      <c r="EW34" s="1">
        <f t="shared" ca="1" si="96"/>
        <v>8.361648385214672E-3</v>
      </c>
      <c r="EX34" s="1">
        <f t="shared" ca="1" si="97"/>
        <v>0</v>
      </c>
      <c r="EY34" s="1">
        <f t="shared" ca="1" si="98"/>
        <v>0</v>
      </c>
      <c r="EZ34" s="1">
        <f t="shared" ca="1" si="99"/>
        <v>4.3072100000000002E-2</v>
      </c>
    </row>
    <row r="35" spans="1:156" x14ac:dyDescent="0.25">
      <c r="A35">
        <f t="shared" ca="1" si="103"/>
        <v>33</v>
      </c>
      <c r="B35" s="169">
        <f ca="1">IF('LC (Gross)'!A182="","",IF('LC (Gross)'!A182&gt;$AC$9,"",'LC (Gross)'!A182))</f>
        <v>41578</v>
      </c>
      <c r="C35" s="1">
        <f ca="1">IF(B35="","",(VLOOKUP(B35,'LC (Gross)'!A:D,4,FALSE)/100))</f>
        <v>3.8037510339123184E-2</v>
      </c>
      <c r="D35" s="1"/>
      <c r="E35" s="1">
        <f ca="1">IF(B35="","",(VLOOKUP(B35,'Global (Gross)'!A:D,4,FALSE)/100))</f>
        <v>3.1200000000000002E-2</v>
      </c>
      <c r="F35" s="1"/>
      <c r="G35" s="1">
        <f ca="1">IF(B35="","",(VLOOKUP(B35,'LC (Net)'!A:D,4,FALSE)/100))</f>
        <v>3.7220843672456518E-2</v>
      </c>
      <c r="H35" s="1"/>
      <c r="I35" s="1">
        <f ca="1">IF(B35="","",(VLOOKUP(B35,'Global (Net)'!A:D,4,FALSE)/100))</f>
        <v>3.1200000000000002E-2</v>
      </c>
      <c r="J35" s="1"/>
      <c r="K35" s="1">
        <f ca="1">IF(B35="","",VLOOKUP(Website!B35,'LC (Gross)'!W:X,2,FALSE)/100)</f>
        <v>4.5744904530364457E-2</v>
      </c>
      <c r="L35" s="1">
        <f ca="1">IF(B35="","",VLOOKUP(Website!B35,'SC (Gross)'!P:Q,2,FALSE)/100)</f>
        <v>4.2363225115219082E-2</v>
      </c>
      <c r="M35" s="1">
        <f ca="1">IF(B35="","",VLOOKUP(Website!B35,'Global (Gross)'!P:Q,2,FALSE)/100)</f>
        <v>3.5390105051340846E-2</v>
      </c>
      <c r="O35" s="1">
        <f ca="1">IF(B35="","",VLOOKUP(Website!B35,'LC (Gross)'!J:K,2,FALSE)/100)</f>
        <v>4.5962932762223019E-2</v>
      </c>
      <c r="P35" s="233">
        <f ca="1">IF(B35="","",(VLOOKUP(B35,'SC (Gross)'!J:K,2,FALSE))/100)</f>
        <v>2.5146190529199516E-2</v>
      </c>
      <c r="Q35" s="233">
        <f ca="1">IF(B35="","",(VLOOKUP(B35,'Global (Gross)'!J:K,2,FALSE)/100))</f>
        <v>4.0473160608512491E-2</v>
      </c>
      <c r="S35" s="22">
        <f t="shared" ca="1" si="0"/>
        <v>-7.9254224230998344E-3</v>
      </c>
      <c r="T35" s="22" t="str">
        <f t="shared" si="1"/>
        <v/>
      </c>
      <c r="U35" s="22">
        <f t="shared" ca="1" si="2"/>
        <v>-9.2731606085124894E-3</v>
      </c>
      <c r="V35" s="22"/>
      <c r="W35" s="22">
        <f t="shared" ca="1" si="100"/>
        <v>-2.1802823185856218E-4</v>
      </c>
      <c r="X35" s="22">
        <f t="shared" ca="1" si="101"/>
        <v>1.7217034586019565E-2</v>
      </c>
      <c r="Y35" s="22">
        <f t="shared" ca="1" si="102"/>
        <v>-5.0830555571716451E-3</v>
      </c>
      <c r="AH35" t="s">
        <v>254</v>
      </c>
      <c r="AI35" s="1">
        <f t="shared" ref="AI35:AW35" ca="1" si="113">_xlfn.STDEV.P(INDIRECT(AI23&amp;AI24&amp;":"&amp;AI23&amp;AI25))*SQRT(12)</f>
        <v>0.1170517137940458</v>
      </c>
      <c r="AJ35" s="1">
        <f t="shared" ca="1" si="113"/>
        <v>0.11703397270892138</v>
      </c>
      <c r="AK35" s="1">
        <f t="shared" ca="1" si="113"/>
        <v>0.11468808262915911</v>
      </c>
      <c r="AL35" s="1">
        <f t="shared" ca="1" si="113"/>
        <v>0.14038419932790938</v>
      </c>
      <c r="AM35" s="1" t="e">
        <f t="shared" ca="1" si="113"/>
        <v>#N/A</v>
      </c>
      <c r="AN35" s="1" t="e">
        <f t="shared" ca="1" si="113"/>
        <v>#N/A</v>
      </c>
      <c r="AO35" s="1" t="e">
        <f t="shared" ca="1" si="113"/>
        <v>#N/A</v>
      </c>
      <c r="AP35" s="1">
        <f t="shared" ca="1" si="113"/>
        <v>0.19795905692586058</v>
      </c>
      <c r="AQ35" s="1">
        <f t="shared" ca="1" si="113"/>
        <v>0.11095262348720127</v>
      </c>
      <c r="AR35" s="1">
        <f t="shared" ca="1" si="113"/>
        <v>0.11090191461974411</v>
      </c>
      <c r="AS35" s="1">
        <f t="shared" ca="1" si="113"/>
        <v>9.8596386684820861E-2</v>
      </c>
      <c r="AT35" s="1">
        <f t="shared" ca="1" si="113"/>
        <v>0.13597561510321873</v>
      </c>
      <c r="AU35" s="1">
        <f t="shared" ca="1" si="113"/>
        <v>0.18985721232863484</v>
      </c>
      <c r="AV35" s="1">
        <f t="shared" ca="1" si="113"/>
        <v>0.18985692644044266</v>
      </c>
      <c r="AW35" s="1">
        <f t="shared" ca="1" si="113"/>
        <v>0.19874052672357365</v>
      </c>
      <c r="CZ35">
        <f ca="1">CZ34+1</f>
        <v>176</v>
      </c>
      <c r="DA35" s="169">
        <f t="shared" ca="1" si="52"/>
        <v>45930</v>
      </c>
      <c r="DB35" s="1">
        <f t="shared" ca="1" si="53"/>
        <v>1.273984284453792E-2</v>
      </c>
      <c r="DC35" s="1">
        <f t="shared" ca="1" si="54"/>
        <v>1.2208076362087074E-2</v>
      </c>
      <c r="DD35" s="1">
        <f t="shared" ca="1" si="55"/>
        <v>2.1070530000000002E-3</v>
      </c>
      <c r="DE35" s="1">
        <f t="shared" ca="1" si="56"/>
        <v>3.640438E-2</v>
      </c>
      <c r="DF35" s="1" t="e">
        <f t="shared" ca="1" si="57"/>
        <v>#N/A</v>
      </c>
      <c r="DG35" s="1" t="e">
        <f t="shared" ca="1" si="58"/>
        <v>#N/A</v>
      </c>
      <c r="DH35" s="1" t="e">
        <f t="shared" ca="1" si="59"/>
        <v>#N/A</v>
      </c>
      <c r="DI35" s="1">
        <f t="shared" ca="1" si="60"/>
        <v>3.1113100000000001E-2</v>
      </c>
      <c r="DJ35" s="1">
        <f t="shared" ca="1" si="61"/>
        <v>3.3295689999999996E-2</v>
      </c>
      <c r="DK35" s="1">
        <f t="shared" ca="1" si="62"/>
        <v>3.2595689999999997E-2</v>
      </c>
      <c r="DL35" s="1">
        <f t="shared" ca="1" si="63"/>
        <v>5.321465E-3</v>
      </c>
      <c r="DM35" s="1">
        <f t="shared" ca="1" si="64"/>
        <v>3.665293E-2</v>
      </c>
      <c r="DN35" s="1">
        <f t="shared" ca="1" si="65"/>
        <v>-1.067676E-3</v>
      </c>
      <c r="DO35" s="1">
        <f t="shared" ca="1" si="66"/>
        <v>-2.0926759999999999E-3</v>
      </c>
      <c r="DP35" s="1">
        <f t="shared" ca="1" si="67"/>
        <v>3.1113100000000001E-2</v>
      </c>
      <c r="DR35">
        <f t="shared" ca="1" si="109"/>
        <v>152</v>
      </c>
      <c r="DS35" s="169">
        <f t="shared" ref="DS35:DS62" ca="1" si="114">VLOOKUP(DR35,$A:$B,2,FALSE)</f>
        <v>45199</v>
      </c>
      <c r="DT35" s="1">
        <f t="shared" ref="DT35:DT62" ca="1" si="115">IF(DR35="",0,VLOOKUP(DR35,$A:$Q,3,FALSE))</f>
        <v>-2.2848957873521945E-2</v>
      </c>
      <c r="DU35" s="1">
        <f t="shared" ref="DU35:DU62" ca="1" si="116">IF(DR35="",0,VLOOKUP(DR35,$A:$Q,7,FALSE))</f>
        <v>-2.342679022940369E-2</v>
      </c>
      <c r="DV35" s="1">
        <f t="shared" ref="DV35:DV62" ca="1" si="117">IF(DR35="",0,VLOOKUP(DR35,$A:$Q,11,FALSE))</f>
        <v>-3.7838289999999997E-2</v>
      </c>
      <c r="DW35" s="1">
        <f t="shared" ref="DW35:DW62" ca="1" si="118">IF(DR35="",0,VLOOKUP(DR35,$A:$Q,15,FALSE))</f>
        <v>-4.7678450000000004E-2</v>
      </c>
      <c r="DX35" s="1">
        <f t="shared" ref="DX35:DX62" ca="1" si="119">IF(DR35="",0,VLOOKUP(DR35,$A:$Q,4,FALSE))</f>
        <v>-3.9951460000000001E-2</v>
      </c>
      <c r="DY35" s="1">
        <f t="shared" ref="DY35:DY62" ca="1" si="120">IF(DR35="",0,VLOOKUP(DR35,$A:$Q,8,FALSE))</f>
        <v>-4.0976459999999999E-2</v>
      </c>
      <c r="DZ35" s="1">
        <f t="shared" ref="DZ35:DZ62" ca="1" si="121">IF(DR35="",0,VLOOKUP(DR35,$A:$Q,12,FALSE))</f>
        <v>-4.2968180000000002E-2</v>
      </c>
      <c r="EA35" s="1">
        <f t="shared" ref="EA35:EA62" ca="1" si="122">IF(DR35="",0,VLOOKUP(DR35,$A:$Q,16,FALSE))</f>
        <v>-5.8905890000000002E-2</v>
      </c>
      <c r="EB35" s="1">
        <f t="shared" ref="EB35:EB62" ca="1" si="123">IF(DR35="",0,VLOOKUP(DR35,$A:$Q,5,FALSE))</f>
        <v>-2.2444274492501616E-2</v>
      </c>
      <c r="EC35" s="1">
        <f t="shared" ref="EC35:EC62" ca="1" si="124">IF(DR35="",0,VLOOKUP(DR35,$A:$Q,9,FALSE))</f>
        <v>-2.3112636895573732E-2</v>
      </c>
      <c r="ED35" s="1">
        <f t="shared" ref="ED35:ED62" ca="1" si="125">IF(DR35="",0,VLOOKUP(DR35,$A:$Q,13,FALSE))</f>
        <v>-2.1179999999999997E-2</v>
      </c>
      <c r="EE35" s="1">
        <f t="shared" ref="EE35:EE62" ca="1" si="126">IF(DR35="",0,VLOOKUP(DR35,$A:$Q,17,FALSE))</f>
        <v>-4.0971E-2</v>
      </c>
      <c r="EF35" s="1">
        <f t="shared" ref="EF35:EF62" ca="1" si="127">IF(DR35="",0,VLOOKUP(DR35,$A:$Q,6,FALSE))</f>
        <v>-4.8793179999999998E-2</v>
      </c>
      <c r="EG35" s="1">
        <f t="shared" ref="EG35:EG62" ca="1" si="128">IF(DR35="",0,VLOOKUP(DR35,$A:$Q,10,FALSE))</f>
        <v>-4.9818179999999997E-2</v>
      </c>
      <c r="EH35" s="1">
        <f t="shared" ref="EH35:EH62" ca="1" si="129">IF(DR35="",0,VLOOKUP(DR35,$A:$Q,16,FALSE))</f>
        <v>-5.8905890000000002E-2</v>
      </c>
      <c r="EJ35">
        <f t="shared" ca="1" si="110"/>
        <v>92</v>
      </c>
      <c r="EK35" s="169">
        <f t="shared" ref="EK35:EK66" ca="1" si="130">VLOOKUP(EJ35,$A:$B,2,FALSE)</f>
        <v>43373</v>
      </c>
      <c r="EL35" s="1">
        <f t="shared" ref="EL35:EL66" ca="1" si="131">IF(EJ35="",0,VLOOKUP(EJ35,$A:$Q,3,FALSE))</f>
        <v>3.2829999999999999E-3</v>
      </c>
      <c r="EM35" s="1">
        <f t="shared" ref="EM35:EM66" ca="1" si="132">IF(EJ35="",0,VLOOKUP(EJ35,$A:$Q,7,FALSE))</f>
        <v>2.4979999999999998E-3</v>
      </c>
      <c r="EN35" s="1">
        <f t="shared" ref="EN35:EN66" ca="1" si="133">IF(EJ35="",0,VLOOKUP(EJ35,$A:$Q,11,FALSE))</f>
        <v>-3.5452637606231529E-3</v>
      </c>
      <c r="EO35" s="1">
        <f t="shared" ref="EO35:EO66" ca="1" si="134">IF(EJ35="",0,VLOOKUP(EJ35,$A:$Q,15,FALSE))</f>
        <v>5.6832280000000002E-3</v>
      </c>
      <c r="EP35" s="1">
        <f t="shared" ref="EP35:EP66" ca="1" si="135">IF(EJ35="",0,VLOOKUP(EJ35,$A:$Q,4,FALSE))</f>
        <v>-2.2879E-2</v>
      </c>
      <c r="EQ35" s="1">
        <f t="shared" ref="EQ35:EQ66" ca="1" si="136">IF(EJ35="",0,VLOOKUP(EJ35,$A:$Q,8,FALSE))</f>
        <v>-2.3706999999999999E-2</v>
      </c>
      <c r="ER35" s="1">
        <f t="shared" ref="ER35:ER66" ca="1" si="137">IF(EJ35="",0,VLOOKUP(EJ35,$A:$Q,12,FALSE))</f>
        <v>-2.7091125467528152E-2</v>
      </c>
      <c r="ES35" s="1">
        <f t="shared" ref="ES35:ES66" ca="1" si="138">IF(EJ35="",0,VLOOKUP(EJ35,$A:$Q,16,FALSE))</f>
        <v>-2.4049999999999998E-2</v>
      </c>
      <c r="ET35" s="1">
        <f t="shared" ref="ET35:ET66" ca="1" si="139">IF(EJ35="",0,VLOOKUP(EJ35,$A:$Q,5,FALSE))</f>
        <v>1.5073000000000001E-2</v>
      </c>
      <c r="EU35" s="1">
        <f t="shared" ref="EU35:EU66" ca="1" si="140">IF(EJ35="",0,VLOOKUP(EJ35,$A:$Q,9,FALSE))</f>
        <v>1.4697999999999999E-2</v>
      </c>
      <c r="EV35" s="1">
        <f t="shared" ref="EV35:EV66" ca="1" si="141">IF(EJ35="",0,VLOOKUP(EJ35,$A:$Q,13,FALSE))</f>
        <v>1.1218585068382076E-2</v>
      </c>
      <c r="EW35" s="1">
        <f t="shared" ref="EW35:EW66" ca="1" si="142">IF(EJ35="",0,VLOOKUP(EJ35,$A:$Q,17,FALSE))</f>
        <v>4.7908212501488806E-3</v>
      </c>
      <c r="EX35" s="1">
        <f t="shared" ref="EX35:EX66" ca="1" si="143">IF(EJ35="",0,VLOOKUP(EJ35,$A:$Q,6,FALSE))</f>
        <v>0</v>
      </c>
      <c r="EY35" s="1">
        <f t="shared" ref="EY35:EY66" ca="1" si="144">IF(EJ35="",0,VLOOKUP(EJ35,$A:$Q,10,FALSE))</f>
        <v>0</v>
      </c>
      <c r="EZ35" s="1">
        <f t="shared" ref="EZ35:EZ66" ca="1" si="145">IF(EJ35="",0,VLOOKUP(EJ35,$A:$Q,16,FALSE))</f>
        <v>-2.4049999999999998E-2</v>
      </c>
    </row>
    <row r="36" spans="1:156" x14ac:dyDescent="0.25">
      <c r="A36">
        <f t="shared" ca="1" si="103"/>
        <v>34</v>
      </c>
      <c r="B36" s="169">
        <f ca="1">IF('LC (Gross)'!A183="","",IF('LC (Gross)'!A183&gt;$AC$9,"",'LC (Gross)'!A183))</f>
        <v>41608</v>
      </c>
      <c r="C36" s="1">
        <f ca="1">IF(B36="","",(VLOOKUP(B36,'LC (Gross)'!A:D,4,FALSE)/100))</f>
        <v>1.9157974481658728E-2</v>
      </c>
      <c r="D36" s="1"/>
      <c r="E36" s="1">
        <f ca="1">IF(B36="","",(VLOOKUP(B36,'Global (Gross)'!A:D,4,FALSE)/100))</f>
        <v>1.15E-2</v>
      </c>
      <c r="F36" s="1"/>
      <c r="G36" s="1">
        <f ca="1">IF(B36="","",(VLOOKUP(B36,'LC (Net)'!A:D,4,FALSE)/100))</f>
        <v>1.8341307814992061E-2</v>
      </c>
      <c r="H36" s="1"/>
      <c r="I36" s="1">
        <f ca="1">IF(B36="","",(VLOOKUP(B36,'Global (Net)'!A:D,4,FALSE)/100))</f>
        <v>1.15E-2</v>
      </c>
      <c r="J36" s="1"/>
      <c r="K36" s="1">
        <f ca="1">IF(B36="","",VLOOKUP(Website!B36,'LC (Gross)'!W:X,2,FALSE)/100)</f>
        <v>1.1941041333819052E-2</v>
      </c>
      <c r="L36" s="1">
        <f ca="1">IF(B36="","",VLOOKUP(Website!B36,'SC (Gross)'!P:Q,2,FALSE)/100)</f>
        <v>3.6228219017163811E-2</v>
      </c>
      <c r="M36" s="1">
        <f ca="1">IF(B36="","",VLOOKUP(Website!B36,'Global (Gross)'!P:Q,2,FALSE)/100)</f>
        <v>-1.3774911136146342E-3</v>
      </c>
      <c r="O36" s="1">
        <f ca="1">IF(B36="","",VLOOKUP(Website!B36,'LC (Gross)'!J:K,2,FALSE)/100)</f>
        <v>3.0467850036079137E-2</v>
      </c>
      <c r="P36" s="233">
        <f ca="1">IF(B36="","",(VLOOKUP(B36,'SC (Gross)'!J:K,2,FALSE))/100)</f>
        <v>4.0068638380340353E-2</v>
      </c>
      <c r="Q36" s="233">
        <f ca="1">IF(B36="","",(VLOOKUP(B36,'Global (Gross)'!J:K,2,FALSE)/100))</f>
        <v>1.4639941701106808E-2</v>
      </c>
      <c r="S36" s="22">
        <f t="shared" ca="1" si="0"/>
        <v>-1.1309875554420409E-2</v>
      </c>
      <c r="T36" s="22" t="str">
        <f t="shared" si="1"/>
        <v/>
      </c>
      <c r="U36" s="22">
        <f t="shared" ca="1" si="2"/>
        <v>-3.1399417011068083E-3</v>
      </c>
      <c r="V36" s="22"/>
      <c r="W36" s="22">
        <f t="shared" ca="1" si="100"/>
        <v>-1.8526808702260086E-2</v>
      </c>
      <c r="X36" s="22">
        <f t="shared" ca="1" si="101"/>
        <v>-3.8404193631765421E-3</v>
      </c>
      <c r="Y36" s="22">
        <f t="shared" ca="1" si="102"/>
        <v>-1.6017432814721441E-2</v>
      </c>
      <c r="AH36" t="s">
        <v>255</v>
      </c>
      <c r="AI36" s="61">
        <f t="shared" ref="AI36:AW36" ca="1" si="146">AI34/AI35</f>
        <v>1.0872051792166697</v>
      </c>
      <c r="AJ36" s="61">
        <f t="shared" ca="1" si="146"/>
        <v>1.0103077088420218</v>
      </c>
      <c r="AK36" s="61">
        <f t="shared" ca="1" si="146"/>
        <v>0.92798240623609918</v>
      </c>
      <c r="AL36" s="61">
        <f t="shared" ca="1" si="146"/>
        <v>0.99404756553389817</v>
      </c>
      <c r="AM36" s="61" t="e">
        <f t="shared" ca="1" si="146"/>
        <v>#N/A</v>
      </c>
      <c r="AN36" s="61" t="e">
        <f t="shared" ca="1" si="146"/>
        <v>#N/A</v>
      </c>
      <c r="AO36" s="61" t="e">
        <f t="shared" ca="1" si="146"/>
        <v>#N/A</v>
      </c>
      <c r="AP36" s="61">
        <f t="shared" ca="1" si="146"/>
        <v>0.41761220717434239</v>
      </c>
      <c r="AQ36" s="61">
        <f t="shared" ca="1" si="146"/>
        <v>0.90556017101677355</v>
      </c>
      <c r="AR36" s="61">
        <f t="shared" ca="1" si="146"/>
        <v>0.85570258157462509</v>
      </c>
      <c r="AS36" s="61">
        <f t="shared" ca="1" si="146"/>
        <v>0.87716012319542658</v>
      </c>
      <c r="AT36" s="61">
        <f t="shared" ca="1" si="146"/>
        <v>0.8114302971441465</v>
      </c>
      <c r="AU36" s="61">
        <f t="shared" ca="1" si="146"/>
        <v>0.34201222807709863</v>
      </c>
      <c r="AV36" s="61">
        <f t="shared" ca="1" si="146"/>
        <v>0.27364659195737123</v>
      </c>
      <c r="AW36" s="61">
        <f t="shared" ca="1" si="146"/>
        <v>0.19618830423651215</v>
      </c>
      <c r="CZ36">
        <f t="shared" ca="1" si="108"/>
        <v>177</v>
      </c>
      <c r="DA36" s="169">
        <f t="shared" ca="1" si="52"/>
        <v>45961</v>
      </c>
      <c r="DB36" s="1">
        <f t="shared" ca="1" si="53"/>
        <v>-6.8231271707644111E-4</v>
      </c>
      <c r="DC36" s="1">
        <f t="shared" ca="1" si="54"/>
        <v>-1.2385999129374185E-3</v>
      </c>
      <c r="DD36" s="1">
        <f t="shared" ca="1" si="55"/>
        <v>-3.7181140000000001E-2</v>
      </c>
      <c r="DE36" s="1">
        <f t="shared" ca="1" si="56"/>
        <v>2.3413639999999999E-2</v>
      </c>
      <c r="DF36" s="1" t="e">
        <f t="shared" ca="1" si="57"/>
        <v>#N/A</v>
      </c>
      <c r="DG36" s="1" t="e">
        <f t="shared" ca="1" si="58"/>
        <v>#N/A</v>
      </c>
      <c r="DH36" s="1" t="e">
        <f t="shared" ca="1" si="59"/>
        <v>#N/A</v>
      </c>
      <c r="DI36" s="1">
        <f t="shared" ca="1" si="60"/>
        <v>1.809146E-2</v>
      </c>
      <c r="DJ36" s="1">
        <f t="shared" ca="1" si="61"/>
        <v>-1.928262E-2</v>
      </c>
      <c r="DK36" s="1">
        <f t="shared" ca="1" si="62"/>
        <v>-1.998262E-2</v>
      </c>
      <c r="DL36" s="1">
        <f t="shared" ca="1" si="63"/>
        <v>-1.4094850000000001E-2</v>
      </c>
      <c r="DM36" s="1">
        <f t="shared" ca="1" si="64"/>
        <v>2.255368E-2</v>
      </c>
      <c r="DN36" s="1">
        <f t="shared" ca="1" si="65"/>
        <v>-1.2156549999999999E-2</v>
      </c>
      <c r="DO36" s="1">
        <f t="shared" ca="1" si="66"/>
        <v>-1.318155E-2</v>
      </c>
      <c r="DP36" s="1">
        <f t="shared" ca="1" si="67"/>
        <v>1.809146E-2</v>
      </c>
      <c r="DR36">
        <f t="shared" ca="1" si="109"/>
        <v>153</v>
      </c>
      <c r="DS36" s="169">
        <f t="shared" ca="1" si="114"/>
        <v>45230</v>
      </c>
      <c r="DT36" s="1">
        <f t="shared" ca="1" si="115"/>
        <v>-9.4426173619984125E-3</v>
      </c>
      <c r="DU36" s="1">
        <f t="shared" ca="1" si="116"/>
        <v>-1.0039554517785295E-2</v>
      </c>
      <c r="DV36" s="1">
        <f t="shared" ca="1" si="117"/>
        <v>-4.116817E-3</v>
      </c>
      <c r="DW36" s="1">
        <f t="shared" ca="1" si="118"/>
        <v>-2.1025820000000001E-2</v>
      </c>
      <c r="DX36" s="1">
        <f t="shared" ca="1" si="119"/>
        <v>-1.8065910000000001E-2</v>
      </c>
      <c r="DY36" s="1">
        <f t="shared" ca="1" si="120"/>
        <v>-1.9090910000000003E-2</v>
      </c>
      <c r="DZ36" s="1">
        <f t="shared" ca="1" si="121"/>
        <v>-2.5646769999999999E-2</v>
      </c>
      <c r="EA36" s="1">
        <f t="shared" ca="1" si="122"/>
        <v>-6.8217509999999995E-2</v>
      </c>
      <c r="EB36" s="1">
        <f t="shared" ca="1" si="123"/>
        <v>-1.2443623587775126E-2</v>
      </c>
      <c r="EC36" s="1">
        <f t="shared" ca="1" si="124"/>
        <v>-1.3198598656500818E-2</v>
      </c>
      <c r="ED36" s="1">
        <f t="shared" ca="1" si="125"/>
        <v>-1.6892000000000001E-2</v>
      </c>
      <c r="EE36" s="1">
        <f t="shared" ca="1" si="126"/>
        <v>-2.9870000000000001E-2</v>
      </c>
      <c r="EF36" s="1">
        <f t="shared" ca="1" si="127"/>
        <v>-6.2120810000000005E-2</v>
      </c>
      <c r="EG36" s="1">
        <f t="shared" ca="1" si="128"/>
        <v>-6.3145810000000011E-2</v>
      </c>
      <c r="EH36" s="1">
        <f t="shared" ca="1" si="129"/>
        <v>-6.8217509999999995E-2</v>
      </c>
      <c r="EJ36">
        <f t="shared" ca="1" si="110"/>
        <v>93</v>
      </c>
      <c r="EK36" s="169">
        <f t="shared" ca="1" si="130"/>
        <v>43404</v>
      </c>
      <c r="EL36" s="1">
        <f t="shared" ca="1" si="131"/>
        <v>-7.307000000000001E-2</v>
      </c>
      <c r="EM36" s="1">
        <f t="shared" ca="1" si="132"/>
        <v>-7.3866000000000001E-2</v>
      </c>
      <c r="EN36" s="1">
        <f t="shared" ca="1" si="133"/>
        <v>-2.8728837419264713E-2</v>
      </c>
      <c r="EO36" s="1">
        <f t="shared" ca="1" si="134"/>
        <v>-6.8352242584879389E-2</v>
      </c>
      <c r="EP36" s="1">
        <f t="shared" ca="1" si="135"/>
        <v>-0.107766</v>
      </c>
      <c r="EQ36" s="1">
        <f t="shared" ca="1" si="136"/>
        <v>-0.108636</v>
      </c>
      <c r="ER36" s="1">
        <f t="shared" ca="1" si="137"/>
        <v>-7.0435025731086134E-2</v>
      </c>
      <c r="ES36" s="1">
        <f t="shared" ca="1" si="138"/>
        <v>-0.10861624881516924</v>
      </c>
      <c r="ET36" s="1">
        <f t="shared" ca="1" si="139"/>
        <v>-5.5579999999999997E-2</v>
      </c>
      <c r="EU36" s="1">
        <f t="shared" ca="1" si="140"/>
        <v>-5.6405999999999998E-2</v>
      </c>
      <c r="EV36" s="1">
        <f t="shared" ca="1" si="141"/>
        <v>-4.6730824974907444E-2</v>
      </c>
      <c r="EW36" s="1">
        <f t="shared" ca="1" si="142"/>
        <v>-7.4721107219412733E-2</v>
      </c>
      <c r="EX36" s="1">
        <f t="shared" ca="1" si="143"/>
        <v>0</v>
      </c>
      <c r="EY36" s="1">
        <f t="shared" ca="1" si="144"/>
        <v>0</v>
      </c>
      <c r="EZ36" s="1">
        <f t="shared" ca="1" si="145"/>
        <v>-0.10861624881516924</v>
      </c>
    </row>
    <row r="37" spans="1:156" x14ac:dyDescent="0.25">
      <c r="A37">
        <f t="shared" ca="1" si="103"/>
        <v>35</v>
      </c>
      <c r="B37" s="169">
        <f ca="1">IF('LC (Gross)'!A184="","",IF('LC (Gross)'!A184&gt;$AC$9,"",'LC (Gross)'!A184))</f>
        <v>41639</v>
      </c>
      <c r="C37" s="1">
        <f ca="1">IF(B37="","",(VLOOKUP(B37,'LC (Gross)'!A:D,4,FALSE)/100))</f>
        <v>2.0869416666666668E-2</v>
      </c>
      <c r="D37" s="1"/>
      <c r="E37" s="1">
        <f ca="1">IF(B37="","",(VLOOKUP(B37,'Global (Gross)'!A:D,4,FALSE)/100))</f>
        <v>9.1000000000000004E-3</v>
      </c>
      <c r="F37" s="1"/>
      <c r="G37" s="1">
        <f ca="1">IF(B37="","",(VLOOKUP(B37,'LC (Net)'!A:D,4,FALSE)/100))</f>
        <v>2.0052750000000001E-2</v>
      </c>
      <c r="H37" s="1"/>
      <c r="I37" s="1">
        <f ca="1">IF(B37="","",(VLOOKUP(B37,'Global (Net)'!A:D,4,FALSE)/100))</f>
        <v>9.1000000000000004E-3</v>
      </c>
      <c r="J37" s="1"/>
      <c r="K37" s="1">
        <f ca="1">IF(B37="","",VLOOKUP(Website!B37,'LC (Gross)'!W:X,2,FALSE)/100)</f>
        <v>1.1263765636694114E-2</v>
      </c>
      <c r="L37" s="1">
        <f ca="1">IF(B37="","",VLOOKUP(Website!B37,'SC (Gross)'!P:Q,2,FALSE)/100)</f>
        <v>9.9665420192876063E-3</v>
      </c>
      <c r="M37" s="1">
        <f ca="1">IF(B37="","",VLOOKUP(Website!B37,'Global (Gross)'!P:Q,2,FALSE)/100)</f>
        <v>2.9874296577027753E-3</v>
      </c>
      <c r="O37" s="1">
        <f ca="1">IF(B37="","",VLOOKUP(Website!B37,'LC (Gross)'!J:K,2,FALSE)/100)</f>
        <v>2.5247921308159685E-2</v>
      </c>
      <c r="P37" s="233">
        <f ca="1">IF(B37="","",(VLOOKUP(B37,'SC (Gross)'!J:K,2,FALSE))/100)</f>
        <v>1.972270555826006E-2</v>
      </c>
      <c r="Q37" s="233">
        <f ca="1">IF(B37="","",(VLOOKUP(B37,'Global (Gross)'!J:K,2,FALSE)/100))</f>
        <v>1.7782496678838144E-2</v>
      </c>
      <c r="S37" s="22">
        <f t="shared" ca="1" si="0"/>
        <v>-4.3785046414930168E-3</v>
      </c>
      <c r="T37" s="22" t="str">
        <f t="shared" si="1"/>
        <v/>
      </c>
      <c r="U37" s="22">
        <f t="shared" ca="1" si="2"/>
        <v>-8.6824966788381433E-3</v>
      </c>
      <c r="V37" s="22"/>
      <c r="W37" s="22">
        <f t="shared" ca="1" si="100"/>
        <v>-1.398415567146557E-2</v>
      </c>
      <c r="X37" s="22">
        <f t="shared" ca="1" si="101"/>
        <v>-9.7561635389724535E-3</v>
      </c>
      <c r="Y37" s="22">
        <f t="shared" ca="1" si="102"/>
        <v>-1.4795067021135368E-2</v>
      </c>
      <c r="AH37" t="s">
        <v>256</v>
      </c>
      <c r="AI37" s="1">
        <f ca="1">_xlfn.STDEV.P(INDIRECT(AI27&amp;AI24&amp;":"&amp;AI27&amp;AI25))*SQRT(12)</f>
        <v>6.8598887549142354E-2</v>
      </c>
      <c r="AK37" s="1">
        <f ca="1">_xlfn.STDEV.P(INDIRECT(AK27&amp;AK24&amp;":"&amp;AK27&amp;AK25))*SQRT(12)</f>
        <v>8.9654290670265924E-2</v>
      </c>
      <c r="AL37" s="1"/>
      <c r="AM37" s="1" t="e">
        <f ca="1">_xlfn.STDEV.P(INDIRECT(AM27&amp;AM24&amp;":"&amp;AM27&amp;AM25))*SQRT(12)</f>
        <v>#N/A</v>
      </c>
      <c r="AO37" s="1" t="e">
        <f ca="1">_xlfn.STDEV.P(INDIRECT(AO27&amp;AO24&amp;":"&amp;AO27&amp;AO25))*SQRT(12)</f>
        <v>#N/A</v>
      </c>
      <c r="AP37" t="s">
        <v>360</v>
      </c>
      <c r="AQ37" s="1">
        <f ca="1">_xlfn.STDEV.P(INDIRECT(AQ27&amp;AQ24&amp;":"&amp;AQ27&amp;AQ25))*SQRT(12)</f>
        <v>6.300471570377357E-2</v>
      </c>
      <c r="AS37" s="1">
        <f ca="1">_xlfn.STDEV.P(INDIRECT(AS27&amp;AS24&amp;":"&amp;AS27&amp;AS25))*SQRT(12)</f>
        <v>7.3000150964529845E-2</v>
      </c>
      <c r="AU37" s="1">
        <f ca="1">_xlfn.STDEV.P(INDIRECT(AU27&amp;AU24&amp;":"&amp;AU27&amp;AU25))*SQRT(12)</f>
        <v>5.2130537159368329E-2</v>
      </c>
      <c r="CZ37">
        <f t="shared" ca="1" si="108"/>
        <v>178</v>
      </c>
      <c r="DA37" s="169">
        <f t="shared" ca="1" si="52"/>
        <v>45991</v>
      </c>
      <c r="DB37" s="1">
        <f t="shared" ca="1" si="53"/>
        <v>3.8182025384643492E-2</v>
      </c>
      <c r="DC37" s="1">
        <f t="shared" ca="1" si="54"/>
        <v>3.7661618229367512E-2</v>
      </c>
      <c r="DD37" s="1">
        <f t="shared" ca="1" si="55"/>
        <v>3.85893E-2</v>
      </c>
      <c r="DE37" s="1">
        <f t="shared" ca="1" si="56"/>
        <v>2.4512030000000003E-3</v>
      </c>
      <c r="DF37" s="1" t="e">
        <f t="shared" ca="1" si="57"/>
        <v>#N/A</v>
      </c>
      <c r="DG37" s="1" t="e">
        <f t="shared" ca="1" si="58"/>
        <v>#N/A</v>
      </c>
      <c r="DH37" s="1" t="e">
        <f t="shared" ca="1" si="59"/>
        <v>#N/A</v>
      </c>
      <c r="DI37" s="1">
        <f t="shared" ca="1" si="60"/>
        <v>9.5805179999999997E-3</v>
      </c>
      <c r="DJ37" s="1">
        <f t="shared" ca="1" si="61"/>
        <v>3.1137349999999998E-2</v>
      </c>
      <c r="DK37" s="1">
        <f t="shared" ca="1" si="62"/>
        <v>3.0437349999999998E-2</v>
      </c>
      <c r="DL37" s="1">
        <f t="shared" ca="1" si="63"/>
        <v>2.3607E-2</v>
      </c>
      <c r="DM37" s="1">
        <f t="shared" ca="1" si="64"/>
        <v>1.8736109999999999E-4</v>
      </c>
      <c r="DN37" s="1">
        <f t="shared" ca="1" si="65"/>
        <v>1.1953960000000001E-2</v>
      </c>
      <c r="DO37" s="1">
        <f t="shared" ca="1" si="66"/>
        <v>1.0928960000000001E-2</v>
      </c>
      <c r="DP37" s="1">
        <f t="shared" ca="1" si="67"/>
        <v>9.5805179999999997E-3</v>
      </c>
      <c r="DR37">
        <f t="shared" ca="1" si="109"/>
        <v>154</v>
      </c>
      <c r="DS37" s="169">
        <f t="shared" ca="1" si="114"/>
        <v>45260</v>
      </c>
      <c r="DT37" s="1">
        <f t="shared" ca="1" si="115"/>
        <v>6.8032830611097633E-2</v>
      </c>
      <c r="DU37" s="1">
        <f t="shared" ca="1" si="116"/>
        <v>6.7473040628722156E-2</v>
      </c>
      <c r="DV37" s="1">
        <f t="shared" ca="1" si="117"/>
        <v>5.3373739999999996E-2</v>
      </c>
      <c r="DW37" s="1">
        <f t="shared" ca="1" si="118"/>
        <v>9.1325980000000001E-2</v>
      </c>
      <c r="DX37" s="1">
        <f t="shared" ca="1" si="119"/>
        <v>6.779694E-2</v>
      </c>
      <c r="DY37" s="1">
        <f t="shared" ca="1" si="120"/>
        <v>6.6771940000000002E-2</v>
      </c>
      <c r="DZ37" s="1">
        <f t="shared" ca="1" si="121"/>
        <v>6.0607249999999994E-2</v>
      </c>
      <c r="EA37" s="1">
        <f t="shared" ca="1" si="122"/>
        <v>9.0285180000000007E-2</v>
      </c>
      <c r="EB37" s="1">
        <f t="shared" ca="1" si="123"/>
        <v>5.9887544830788321E-2</v>
      </c>
      <c r="EC37" s="1">
        <f t="shared" ca="1" si="124"/>
        <v>5.9218905451178604E-2</v>
      </c>
      <c r="ED37" s="1">
        <f t="shared" ca="1" si="125"/>
        <v>5.0140749999999998E-2</v>
      </c>
      <c r="EE37" s="1">
        <f t="shared" ca="1" si="126"/>
        <v>9.2788260000000011E-2</v>
      </c>
      <c r="EF37" s="1">
        <f t="shared" ca="1" si="127"/>
        <v>8.5992319999999983E-2</v>
      </c>
      <c r="EG37" s="1">
        <f t="shared" ca="1" si="128"/>
        <v>8.4967319999999999E-2</v>
      </c>
      <c r="EH37" s="1">
        <f t="shared" ca="1" si="129"/>
        <v>9.0285180000000007E-2</v>
      </c>
      <c r="EJ37">
        <f t="shared" ca="1" si="110"/>
        <v>94</v>
      </c>
      <c r="EK37" s="169">
        <f t="shared" ca="1" si="130"/>
        <v>43434</v>
      </c>
      <c r="EL37" s="1">
        <f t="shared" ca="1" si="131"/>
        <v>1.67E-2</v>
      </c>
      <c r="EM37" s="1">
        <f t="shared" ca="1" si="132"/>
        <v>1.6066E-2</v>
      </c>
      <c r="EN37" s="1">
        <f t="shared" ca="1" si="133"/>
        <v>4.849551044468025E-2</v>
      </c>
      <c r="EO37" s="1">
        <f t="shared" ca="1" si="134"/>
        <v>2.037537162221471E-2</v>
      </c>
      <c r="EP37" s="1">
        <f t="shared" ca="1" si="135"/>
        <v>8.6479999999999994E-3</v>
      </c>
      <c r="EQ37" s="1">
        <f t="shared" ca="1" si="136"/>
        <v>8.1519999999999995E-3</v>
      </c>
      <c r="ER37" s="1">
        <f t="shared" ca="1" si="137"/>
        <v>3.6469078826785933E-2</v>
      </c>
      <c r="ES37" s="1">
        <f t="shared" ca="1" si="138"/>
        <v>1.5799600677700532E-2</v>
      </c>
      <c r="ET37" s="1">
        <f t="shared" ca="1" si="139"/>
        <v>3.6338000000000002E-2</v>
      </c>
      <c r="EU37" s="1">
        <f t="shared" ca="1" si="140"/>
        <v>3.5961E-2</v>
      </c>
      <c r="EV37" s="1">
        <f t="shared" ca="1" si="141"/>
        <v>3.1622251975296889E-2</v>
      </c>
      <c r="EW37" s="1">
        <f t="shared" ca="1" si="142"/>
        <v>1.5142311215893968E-2</v>
      </c>
      <c r="EX37" s="1">
        <f t="shared" ca="1" si="143"/>
        <v>0</v>
      </c>
      <c r="EY37" s="1">
        <f t="shared" ca="1" si="144"/>
        <v>0</v>
      </c>
      <c r="EZ37" s="1">
        <f t="shared" ca="1" si="145"/>
        <v>1.5799600677700532E-2</v>
      </c>
    </row>
    <row r="38" spans="1:156" x14ac:dyDescent="0.25">
      <c r="A38">
        <f t="shared" ca="1" si="103"/>
        <v>36</v>
      </c>
      <c r="B38" s="169">
        <f ca="1">IF('LC (Gross)'!A185="","",IF('LC (Gross)'!A185&gt;$AC$9,"",'LC (Gross)'!A185))</f>
        <v>41670</v>
      </c>
      <c r="C38" s="1">
        <f ca="1">IF(B38="","",(VLOOKUP(B38,'LC (Gross)'!A:D,4,FALSE)/100))</f>
        <v>-3.2202201257861628E-2</v>
      </c>
      <c r="D38" s="1"/>
      <c r="E38" s="1">
        <f ca="1">IF(B38="","",(VLOOKUP(B38,'Global (Gross)'!A:D,4,FALSE)/100))</f>
        <v>-1.89E-2</v>
      </c>
      <c r="F38" s="1"/>
      <c r="G38" s="1">
        <f ca="1">IF(B38="","",(VLOOKUP(B38,'LC (Net)'!A:D,4,FALSE)/100))</f>
        <v>-3.3018867924528295E-2</v>
      </c>
      <c r="H38" s="1"/>
      <c r="I38" s="1">
        <f ca="1">IF(B38="","",(VLOOKUP(B38,'Global (Net)'!A:D,4,FALSE)/100))</f>
        <v>-1.89E-2</v>
      </c>
      <c r="J38" s="1"/>
      <c r="K38" s="1">
        <f ca="1">IF(B38="","",VLOOKUP(Website!B38,'LC (Gross)'!W:X,2,FALSE)/100)</f>
        <v>-2.4884537648391852E-2</v>
      </c>
      <c r="L38" s="1">
        <f ca="1">IF(B38="","",VLOOKUP(Website!B38,'SC (Gross)'!P:Q,2,FALSE)/100)</f>
        <v>-2.6728297386410728E-2</v>
      </c>
      <c r="M38" s="1">
        <f ca="1">IF(B38="","",VLOOKUP(Website!B38,'Global (Gross)'!P:Q,2,FALSE)/100)</f>
        <v>-2.9713931000823968E-2</v>
      </c>
      <c r="O38" s="1">
        <f ca="1">IF(B38="","",VLOOKUP(Website!B38,'LC (Gross)'!J:K,2,FALSE)/100)</f>
        <v>-3.4574234097127891E-2</v>
      </c>
      <c r="P38" s="233">
        <f ca="1">IF(B38="","",(VLOOKUP(B38,'SC (Gross)'!J:K,2,FALSE))/100)</f>
        <v>-2.7679779878653211E-2</v>
      </c>
      <c r="Q38" s="233">
        <f ca="1">IF(B38="","",(VLOOKUP(B38,'Global (Gross)'!J:K,2,FALSE)/100))</f>
        <v>-3.9778382151194884E-2</v>
      </c>
      <c r="S38" s="22">
        <f t="shared" ca="1" si="0"/>
        <v>2.3720328392662637E-3</v>
      </c>
      <c r="T38" s="22" t="str">
        <f t="shared" si="1"/>
        <v/>
      </c>
      <c r="U38" s="22">
        <f t="shared" ca="1" si="2"/>
        <v>2.0878382151194884E-2</v>
      </c>
      <c r="V38" s="22"/>
      <c r="W38" s="22">
        <f t="shared" ca="1" si="100"/>
        <v>9.689696448736039E-3</v>
      </c>
      <c r="X38" s="22">
        <f t="shared" ca="1" si="101"/>
        <v>9.5148249224248291E-4</v>
      </c>
      <c r="Y38" s="22">
        <f t="shared" ca="1" si="102"/>
        <v>1.0064451150370916E-2</v>
      </c>
      <c r="AH38" t="s">
        <v>257</v>
      </c>
      <c r="AI38" s="1">
        <f ca="1">RSQ(C3:C600,O3:O600)</f>
        <v>0.76278681253697422</v>
      </c>
      <c r="AK38" s="1">
        <f ca="1">RSQ(K3:K600,O3:O600)</f>
        <v>0.59426762946044376</v>
      </c>
      <c r="AM38" s="1" t="e">
        <f ca="1">RSQ(D3:D600,P3:P600)</f>
        <v>#N/A</v>
      </c>
      <c r="AO38" s="1" t="e">
        <f ca="1">RSQ(L3:L600,O3:O600)</f>
        <v>#N/A</v>
      </c>
      <c r="AP38" t="s">
        <v>360</v>
      </c>
      <c r="AQ38" s="1">
        <f ca="1">RSQ(E3:E600,Q3:Q600)</f>
        <v>0.79066497843458761</v>
      </c>
      <c r="AS38" s="1">
        <f ca="1">RSQ(M3:M600,O3:O600)</f>
        <v>0.68577523704870325</v>
      </c>
      <c r="AU38" s="1">
        <f ca="1">RSQ(F3:F600,P3:P600)</f>
        <v>0.93129105949507529</v>
      </c>
      <c r="CZ38">
        <f t="shared" ca="1" si="108"/>
        <v>179</v>
      </c>
      <c r="DA38" s="169">
        <f t="shared" ca="1" si="52"/>
        <v>46022</v>
      </c>
      <c r="DB38" s="1">
        <f t="shared" ca="1" si="53"/>
        <v>-5.0948326786837334E-4</v>
      </c>
      <c r="DC38" s="1">
        <f t="shared" ca="1" si="54"/>
        <v>-1.3073768602683152E-3</v>
      </c>
      <c r="DD38" s="1">
        <f t="shared" ca="1" si="55"/>
        <v>-2.1869409999999999E-2</v>
      </c>
      <c r="DE38" s="1">
        <f t="shared" ca="1" si="56"/>
        <v>5.9176080000000004E-4</v>
      </c>
      <c r="DF38" s="1" t="e">
        <f t="shared" ca="1" si="57"/>
        <v>#N/A</v>
      </c>
      <c r="DG38" s="1" t="e">
        <f t="shared" ca="1" si="58"/>
        <v>#N/A</v>
      </c>
      <c r="DH38" s="1" t="e">
        <f t="shared" ca="1" si="59"/>
        <v>#N/A</v>
      </c>
      <c r="DI38" s="1">
        <f t="shared" ca="1" si="60"/>
        <v>-5.8173470000000005E-3</v>
      </c>
      <c r="DJ38" s="1">
        <f t="shared" ca="1" si="61"/>
        <v>3.5737099999999999E-3</v>
      </c>
      <c r="DK38" s="1">
        <f t="shared" ca="1" si="62"/>
        <v>2.8737099999999998E-3</v>
      </c>
      <c r="DL38" s="1">
        <f t="shared" ca="1" si="63"/>
        <v>-6.8503060000000005E-3</v>
      </c>
      <c r="DM38" s="1">
        <f t="shared" ca="1" si="64"/>
        <v>1.0703000000000001E-2</v>
      </c>
      <c r="DN38" s="1">
        <f t="shared" ca="1" si="65"/>
        <v>9.5060539999999999E-3</v>
      </c>
      <c r="DO38" s="1">
        <f t="shared" ca="1" si="66"/>
        <v>8.481054E-3</v>
      </c>
      <c r="DP38" s="1">
        <f t="shared" ca="1" si="67"/>
        <v>-5.8173470000000005E-3</v>
      </c>
      <c r="DR38">
        <f t="shared" ca="1" si="109"/>
        <v>155</v>
      </c>
      <c r="DS38" s="169">
        <f t="shared" ca="1" si="114"/>
        <v>45291</v>
      </c>
      <c r="DT38" s="1">
        <f t="shared" ca="1" si="115"/>
        <v>3.6510591214129487E-2</v>
      </c>
      <c r="DU38" s="1">
        <f t="shared" ca="1" si="116"/>
        <v>3.5955201526564111E-2</v>
      </c>
      <c r="DV38" s="1">
        <f t="shared" ca="1" si="117"/>
        <v>2.3474210000000002E-2</v>
      </c>
      <c r="DW38" s="1">
        <f t="shared" ca="1" si="118"/>
        <v>4.5311299999999999E-2</v>
      </c>
      <c r="DX38" s="1">
        <f t="shared" ca="1" si="119"/>
        <v>9.408496999999999E-2</v>
      </c>
      <c r="DY38" s="1">
        <f t="shared" ca="1" si="120"/>
        <v>9.3059969999999992E-2</v>
      </c>
      <c r="DZ38" s="1">
        <f t="shared" ca="1" si="121"/>
        <v>9.2551000000000008E-2</v>
      </c>
      <c r="EA38" s="1">
        <f t="shared" ca="1" si="122"/>
        <v>0.1223072</v>
      </c>
      <c r="EB38" s="1">
        <f t="shared" ca="1" si="123"/>
        <v>3.7169089155897908E-2</v>
      </c>
      <c r="EC38" s="1">
        <f t="shared" ca="1" si="124"/>
        <v>3.6500408411167203E-2</v>
      </c>
      <c r="ED38" s="1">
        <f t="shared" ca="1" si="125"/>
        <v>3.2473839999999997E-2</v>
      </c>
      <c r="EE38" s="1">
        <f t="shared" ca="1" si="126"/>
        <v>4.8394820000000005E-2</v>
      </c>
      <c r="EF38" s="1">
        <f t="shared" ca="1" si="127"/>
        <v>0.12527199999999999</v>
      </c>
      <c r="EG38" s="1">
        <f t="shared" ca="1" si="128"/>
        <v>0.124247</v>
      </c>
      <c r="EH38" s="1">
        <f t="shared" ca="1" si="129"/>
        <v>0.1223072</v>
      </c>
      <c r="EJ38">
        <f t="shared" ca="1" si="110"/>
        <v>95</v>
      </c>
      <c r="EK38" s="169">
        <f t="shared" ca="1" si="130"/>
        <v>43465</v>
      </c>
      <c r="EL38" s="1">
        <f t="shared" ca="1" si="131"/>
        <v>-7.6059000000000002E-2</v>
      </c>
      <c r="EM38" s="1">
        <f t="shared" ca="1" si="132"/>
        <v>-7.6698000000000002E-2</v>
      </c>
      <c r="EN38" s="1">
        <f t="shared" ca="1" si="133"/>
        <v>-6.9267247437525853E-2</v>
      </c>
      <c r="EO38" s="1">
        <f t="shared" ca="1" si="134"/>
        <v>-9.0331682593467147E-2</v>
      </c>
      <c r="EP38" s="1">
        <f t="shared" ca="1" si="135"/>
        <v>-0.106695</v>
      </c>
      <c r="EQ38" s="1">
        <f t="shared" ca="1" si="136"/>
        <v>-0.107194</v>
      </c>
      <c r="ER38" s="1">
        <f t="shared" ca="1" si="137"/>
        <v>-9.3306067297533699E-2</v>
      </c>
      <c r="ES38" s="1">
        <f t="shared" ca="1" si="138"/>
        <v>-0.1188434454640741</v>
      </c>
      <c r="ET38" s="1">
        <f t="shared" ca="1" si="139"/>
        <v>-6.8103999999999998E-2</v>
      </c>
      <c r="EU38" s="1">
        <f t="shared" ca="1" si="140"/>
        <v>-6.8482000000000001E-2</v>
      </c>
      <c r="EV38" s="1">
        <f t="shared" ca="1" si="141"/>
        <v>-4.935832481040528E-2</v>
      </c>
      <c r="EW38" s="1">
        <f t="shared" ca="1" si="142"/>
        <v>-6.9989559159407536E-2</v>
      </c>
      <c r="EX38" s="1">
        <f t="shared" ca="1" si="143"/>
        <v>0</v>
      </c>
      <c r="EY38" s="1">
        <f t="shared" ca="1" si="144"/>
        <v>0</v>
      </c>
      <c r="EZ38" s="1">
        <f t="shared" ca="1" si="145"/>
        <v>-0.1188434454640741</v>
      </c>
    </row>
    <row r="39" spans="1:156" x14ac:dyDescent="0.25">
      <c r="A39">
        <f t="shared" ca="1" si="103"/>
        <v>37</v>
      </c>
      <c r="B39" s="169">
        <f ca="1">IF('LC (Gross)'!A186="","",IF('LC (Gross)'!A186&gt;$AC$9,"",'LC (Gross)'!A186))</f>
        <v>41698</v>
      </c>
      <c r="C39" s="1">
        <f ca="1">IF(B39="","",(VLOOKUP(B39,'LC (Gross)'!A:D,4,FALSE)/100))</f>
        <v>3.6589024390243863E-2</v>
      </c>
      <c r="D39" s="1">
        <f ca="1">IF(B39="","",(VLOOKUP(B39,'SC (Gross)'!A:D,4,FALSE))/100)</f>
        <v>5.3399999999999996E-2</v>
      </c>
      <c r="E39" s="1">
        <f ca="1">IF(B39="","",(VLOOKUP(B39,'Global (Gross)'!A:D,4,FALSE)/100))</f>
        <v>3.4099999999999998E-2</v>
      </c>
      <c r="F39" s="1"/>
      <c r="G39" s="1">
        <f ca="1">IF(B39="","",(VLOOKUP(B39,'LC (Net)'!A:D,4,FALSE)/100))</f>
        <v>3.5772357723577196E-2</v>
      </c>
      <c r="H39" s="1">
        <f ca="1">IF(B39="","",(VLOOKUP(B39,'SC (Net)'!A:D,4,FALSE))/100)</f>
        <v>5.3399999999999996E-2</v>
      </c>
      <c r="I39" s="1">
        <f ca="1">IF(B39="","",(VLOOKUP(B39,'Global (Net)'!A:D,4,FALSE)/100))</f>
        <v>3.4099999999999998E-2</v>
      </c>
      <c r="J39" s="1"/>
      <c r="K39" s="1">
        <f ca="1">IF(B39="","",VLOOKUP(Website!B39,'LC (Gross)'!W:X,2,FALSE)/100)</f>
        <v>3.7290898281286365E-2</v>
      </c>
      <c r="L39" s="1">
        <f ca="1">IF(B39="","",VLOOKUP(Website!B39,'SC (Gross)'!P:Q,2,FALSE)/100)</f>
        <v>3.5719434255418098E-2</v>
      </c>
      <c r="M39" s="1">
        <f ca="1">IF(B39="","",VLOOKUP(Website!B39,'Global (Gross)'!P:Q,2,FALSE)/100)</f>
        <v>3.7168119249486667E-2</v>
      </c>
      <c r="O39" s="1">
        <f ca="1">IF(B39="","",VLOOKUP(Website!B39,'LC (Gross)'!J:K,2,FALSE)/100)</f>
        <v>4.5734913571781319E-2</v>
      </c>
      <c r="P39" s="233">
        <f ca="1">IF(B39="","",(VLOOKUP(B39,'SC (Gross)'!J:K,2,FALSE))/100)</f>
        <v>4.7112568096957082E-2</v>
      </c>
      <c r="Q39" s="233">
        <f ca="1">IF(B39="","",(VLOOKUP(B39,'Global (Gross)'!J:K,2,FALSE)/100))</f>
        <v>4.8807797665584872E-2</v>
      </c>
      <c r="S39" s="22">
        <f t="shared" ca="1" si="0"/>
        <v>-9.145889181537456E-3</v>
      </c>
      <c r="T39" s="22">
        <f t="shared" ca="1" si="1"/>
        <v>6.2874319030429143E-3</v>
      </c>
      <c r="U39" s="22">
        <f t="shared" ca="1" si="2"/>
        <v>-1.4707797665584874E-2</v>
      </c>
      <c r="V39" s="22"/>
      <c r="W39" s="22">
        <f t="shared" ca="1" si="100"/>
        <v>-8.4440152904949536E-3</v>
      </c>
      <c r="X39" s="22">
        <f t="shared" ca="1" si="101"/>
        <v>-1.1393133841538984E-2</v>
      </c>
      <c r="Y39" s="22">
        <f t="shared" ca="1" si="102"/>
        <v>-1.1639678416098205E-2</v>
      </c>
      <c r="AH39" t="s">
        <v>44</v>
      </c>
      <c r="AI39" s="1">
        <f ca="1">INTERCEPT(C3:C600,O3:O600)*12</f>
        <v>2.4433103216607417E-2</v>
      </c>
      <c r="AK39" s="1">
        <f ca="1">INTERCEPT(K3:K600,O3:O600)*12</f>
        <v>1.9251093016379638E-2</v>
      </c>
      <c r="AM39" s="1" t="e">
        <f ca="1">INTERCEPT(D3:D600,P3:P600)*12</f>
        <v>#N/A</v>
      </c>
      <c r="AO39" s="1" t="e">
        <f ca="1">INTERCEPT(L3:L600,P3:P600)*12</f>
        <v>#N/A</v>
      </c>
      <c r="AP39" t="s">
        <v>360</v>
      </c>
      <c r="AQ39" s="1">
        <f ca="1">INTERCEPT(E3:E600,Q3:Q600)*12</f>
        <v>1.9328869209625742E-2</v>
      </c>
      <c r="AS39" s="1">
        <f ca="1">INTERCEPT(M3:M600,Q3:Q600)*12</f>
        <v>1.7326167860966472E-2</v>
      </c>
      <c r="AU39" s="1">
        <f ca="1">INTERCEPT(F3:F600,P3:P600)*12</f>
        <v>2.7453498042368407E-2</v>
      </c>
      <c r="DR39">
        <f t="shared" ca="1" si="109"/>
        <v>156</v>
      </c>
      <c r="DS39" s="169">
        <f t="shared" ca="1" si="114"/>
        <v>45322</v>
      </c>
      <c r="DT39" s="1">
        <f t="shared" ca="1" si="115"/>
        <v>2.631801198476685E-2</v>
      </c>
      <c r="DU39" s="1">
        <f t="shared" ca="1" si="116"/>
        <v>2.5760914411812247E-2</v>
      </c>
      <c r="DV39" s="1">
        <f t="shared" ca="1" si="117"/>
        <v>9.9222289999999994E-3</v>
      </c>
      <c r="DW39" s="1">
        <f t="shared" ca="1" si="118"/>
        <v>1.679361E-2</v>
      </c>
      <c r="DX39" s="1">
        <f t="shared" ca="1" si="119"/>
        <v>0</v>
      </c>
      <c r="DY39" s="1">
        <f t="shared" ca="1" si="120"/>
        <v>0</v>
      </c>
      <c r="DZ39" s="1" t="e">
        <f t="shared" ca="1" si="121"/>
        <v>#N/A</v>
      </c>
      <c r="EA39" s="1">
        <f t="shared" ca="1" si="122"/>
        <v>-3.8897680000000004E-2</v>
      </c>
      <c r="EB39" s="1">
        <f t="shared" ca="1" si="123"/>
        <v>9.978642695839526E-3</v>
      </c>
      <c r="EC39" s="1">
        <f t="shared" ca="1" si="124"/>
        <v>9.2289443191436414E-3</v>
      </c>
      <c r="ED39" s="1">
        <f t="shared" ca="1" si="125"/>
        <v>1.3183180000000001E-2</v>
      </c>
      <c r="EE39" s="1">
        <f t="shared" ca="1" si="126"/>
        <v>6.0940530000000003E-3</v>
      </c>
      <c r="EF39" s="1">
        <f t="shared" ca="1" si="127"/>
        <v>-1.5050019999999999E-2</v>
      </c>
      <c r="EG39" s="1">
        <f t="shared" ca="1" si="128"/>
        <v>-1.6075019999999999E-2</v>
      </c>
      <c r="EH39" s="1">
        <f t="shared" ca="1" si="129"/>
        <v>-3.8897680000000004E-2</v>
      </c>
      <c r="EJ39">
        <f t="shared" ca="1" si="110"/>
        <v>96</v>
      </c>
      <c r="EK39" s="169">
        <f t="shared" ca="1" si="130"/>
        <v>43496</v>
      </c>
      <c r="EL39" s="1">
        <f t="shared" ca="1" si="131"/>
        <v>7.2218999999999992E-2</v>
      </c>
      <c r="EM39" s="1">
        <f t="shared" ca="1" si="132"/>
        <v>7.1584999999999996E-2</v>
      </c>
      <c r="EN39" s="1">
        <f t="shared" ca="1" si="133"/>
        <v>6.6371135605943002E-2</v>
      </c>
      <c r="EO39" s="1">
        <f t="shared" ca="1" si="134"/>
        <v>8.0134375796410834E-2</v>
      </c>
      <c r="EP39" s="1">
        <f t="shared" ca="1" si="135"/>
        <v>8.6816999999999991E-2</v>
      </c>
      <c r="EQ39" s="1">
        <f t="shared" ca="1" si="136"/>
        <v>8.6317000000000005E-2</v>
      </c>
      <c r="ER39" s="1">
        <f t="shared" ca="1" si="137"/>
        <v>8.6290100767634173E-2</v>
      </c>
      <c r="ES39" s="1">
        <f t="shared" ca="1" si="138"/>
        <v>0.11246632927110163</v>
      </c>
      <c r="ET39" s="1">
        <f t="shared" ca="1" si="139"/>
        <v>5.5792000000000001E-2</v>
      </c>
      <c r="EU39" s="1">
        <f t="shared" ca="1" si="140"/>
        <v>5.4931000000000001E-2</v>
      </c>
      <c r="EV39" s="1">
        <f t="shared" ca="1" si="141"/>
        <v>4.9648972923875767E-2</v>
      </c>
      <c r="EW39" s="1">
        <f t="shared" ca="1" si="142"/>
        <v>7.9321416466241371E-2</v>
      </c>
      <c r="EX39" s="1">
        <f t="shared" ca="1" si="143"/>
        <v>0</v>
      </c>
      <c r="EY39" s="1">
        <f t="shared" ca="1" si="144"/>
        <v>0</v>
      </c>
      <c r="EZ39" s="1">
        <f t="shared" ca="1" si="145"/>
        <v>0.11246632927110163</v>
      </c>
    </row>
    <row r="40" spans="1:156" x14ac:dyDescent="0.25">
      <c r="A40">
        <f t="shared" ca="1" si="103"/>
        <v>38</v>
      </c>
      <c r="B40" s="169">
        <f ca="1">IF('LC (Gross)'!A187="","",IF('LC (Gross)'!A187&gt;$AC$9,"",'LC (Gross)'!A187))</f>
        <v>41729</v>
      </c>
      <c r="C40" s="1">
        <f ca="1">IF(B40="","",(VLOOKUP(B40,'LC (Gross)'!A:D,4,FALSE)/100))</f>
        <v>1.8870041862899041E-2</v>
      </c>
      <c r="D40" s="1">
        <f ca="1">IF(B40="","",(VLOOKUP(B40,'SC (Gross)'!A:D,4,FALSE))/100)</f>
        <v>2.4900000000000002E-2</v>
      </c>
      <c r="E40" s="1">
        <f ca="1">IF(B40="","",(VLOOKUP(B40,'Global (Gross)'!A:D,4,FALSE)/100))</f>
        <v>2.1400000000000002E-2</v>
      </c>
      <c r="F40" s="1"/>
      <c r="G40" s="1">
        <f ca="1">IF(B40="","",(VLOOKUP(B40,'LC (Net)'!A:D,4,FALSE)/100))</f>
        <v>1.8053375196232374E-2</v>
      </c>
      <c r="H40" s="1">
        <f ca="1">IF(B40="","",(VLOOKUP(B40,'SC (Net)'!A:D,4,FALSE))/100)</f>
        <v>2.4900000000000002E-2</v>
      </c>
      <c r="I40" s="1">
        <f ca="1">IF(B40="","",(VLOOKUP(B40,'Global (Net)'!A:D,4,FALSE)/100))</f>
        <v>2.1400000000000002E-2</v>
      </c>
      <c r="J40" s="1"/>
      <c r="K40" s="1">
        <f ca="1">IF(B40="","",VLOOKUP(Website!B40,'LC (Gross)'!W:X,2,FALSE)/100)</f>
        <v>2.1060425250211286E-2</v>
      </c>
      <c r="L40" s="1">
        <f ca="1">IF(B40="","",VLOOKUP(Website!B40,'SC (Gross)'!P:Q,2,FALSE)/100)</f>
        <v>1.8852167457973031E-2</v>
      </c>
      <c r="M40" s="1">
        <f ca="1">IF(B40="","",VLOOKUP(Website!B40,'Global (Gross)'!P:Q,2,FALSE)/100)</f>
        <v>1.0316887370108309E-2</v>
      </c>
      <c r="O40" s="1">
        <f ca="1">IF(B40="","",VLOOKUP(Website!B40,'LC (Gross)'!J:K,2,FALSE)/100)</f>
        <v>8.4079821406014832E-3</v>
      </c>
      <c r="P40" s="233">
        <f ca="1">IF(B40="","",(VLOOKUP(B40,'SC (Gross)'!J:K,2,FALSE))/100)</f>
        <v>-6.8078276144242908E-3</v>
      </c>
      <c r="Q40" s="233">
        <f ca="1">IF(B40="","",(VLOOKUP(B40,'Global (Gross)'!J:K,2,FALSE)/100))</f>
        <v>5.1204134568489422E-3</v>
      </c>
      <c r="S40" s="22">
        <f t="shared" ca="1" si="0"/>
        <v>1.0462059722297558E-2</v>
      </c>
      <c r="T40" s="22">
        <f t="shared" ca="1" si="1"/>
        <v>3.170782761442429E-2</v>
      </c>
      <c r="U40" s="22">
        <f t="shared" ca="1" si="2"/>
        <v>1.6279586543151061E-2</v>
      </c>
      <c r="V40" s="22"/>
      <c r="W40" s="22">
        <f t="shared" ca="1" si="100"/>
        <v>1.2652443109609803E-2</v>
      </c>
      <c r="X40" s="22">
        <f t="shared" ca="1" si="101"/>
        <v>2.5659995072397322E-2</v>
      </c>
      <c r="Y40" s="22">
        <f t="shared" ca="1" si="102"/>
        <v>5.1964739132593666E-3</v>
      </c>
      <c r="AH40" t="s">
        <v>43</v>
      </c>
      <c r="AI40" s="61">
        <f ca="1">SLOPE(C3:C600,O3:O600)</f>
        <v>0.72821754032701758</v>
      </c>
      <c r="AJ40" s="61"/>
      <c r="AK40" s="61">
        <f ca="1">SLOPE(K3:K600,O3:O600)</f>
        <v>0.62978324163331434</v>
      </c>
      <c r="AL40" s="61"/>
      <c r="AM40" s="61" t="e">
        <f ca="1">SLOPE(D3:D600,P3:P600)</f>
        <v>#N/A</v>
      </c>
      <c r="AN40" s="61"/>
      <c r="AO40" s="61" t="e">
        <f ca="1">SLOPE(L3:L600,P3:P600)</f>
        <v>#N/A</v>
      </c>
      <c r="AP40" t="s">
        <v>360</v>
      </c>
      <c r="AQ40" s="61">
        <f ca="1">SLOPE(E3:E600,Q3:Q600)</f>
        <v>0.72555910244400179</v>
      </c>
      <c r="AS40">
        <f ca="1">SLOPE(M3:M600,Q3:Q600)</f>
        <v>0.61877705743032685</v>
      </c>
      <c r="AU40">
        <f ca="1">SLOPE(F3:F600,P3:P600)</f>
        <v>0.92189907706034435</v>
      </c>
      <c r="DR40">
        <f t="shared" ca="1" si="109"/>
        <v>157</v>
      </c>
      <c r="DS40" s="169">
        <f t="shared" ca="1" si="114"/>
        <v>45351</v>
      </c>
      <c r="DT40" s="1">
        <f t="shared" ca="1" si="115"/>
        <v>3.3854661954757725E-2</v>
      </c>
      <c r="DU40" s="1">
        <f t="shared" ca="1" si="116"/>
        <v>3.3854661954757725E-2</v>
      </c>
      <c r="DV40" s="1">
        <f t="shared" ca="1" si="117"/>
        <v>1.656612E-2</v>
      </c>
      <c r="DW40" s="1">
        <f t="shared" ca="1" si="118"/>
        <v>5.3395100000000001E-2</v>
      </c>
      <c r="DX40" s="1">
        <f t="shared" ca="1" si="119"/>
        <v>0</v>
      </c>
      <c r="DY40" s="1">
        <f t="shared" ca="1" si="120"/>
        <v>0</v>
      </c>
      <c r="DZ40" s="1" t="e">
        <f t="shared" ca="1" si="121"/>
        <v>#N/A</v>
      </c>
      <c r="EA40" s="1">
        <f t="shared" ca="1" si="122"/>
        <v>5.6506040000000007E-2</v>
      </c>
      <c r="EB40" s="1">
        <f t="shared" ca="1" si="123"/>
        <v>2.7640462105890041E-2</v>
      </c>
      <c r="EC40" s="1">
        <f t="shared" ca="1" si="124"/>
        <v>2.6971585671766499E-2</v>
      </c>
      <c r="ED40" s="1">
        <f t="shared" ca="1" si="125"/>
        <v>1.509868E-2</v>
      </c>
      <c r="EE40" s="1">
        <f t="shared" ca="1" si="126"/>
        <v>4.3309620000000007E-2</v>
      </c>
      <c r="EF40" s="1">
        <f t="shared" ca="1" si="127"/>
        <v>3.1658080000000005E-2</v>
      </c>
      <c r="EG40" s="1">
        <f t="shared" ca="1" si="128"/>
        <v>3.063308E-2</v>
      </c>
      <c r="EH40" s="1">
        <f t="shared" ca="1" si="129"/>
        <v>5.6506040000000007E-2</v>
      </c>
      <c r="EJ40">
        <f t="shared" ca="1" si="110"/>
        <v>97</v>
      </c>
      <c r="EK40" s="169">
        <f t="shared" ca="1" si="130"/>
        <v>43524</v>
      </c>
      <c r="EL40" s="1">
        <f t="shared" ca="1" si="131"/>
        <v>4.3503E-2</v>
      </c>
      <c r="EM40" s="1">
        <f t="shared" ca="1" si="132"/>
        <v>4.2697000000000006E-2</v>
      </c>
      <c r="EN40" s="1">
        <f t="shared" ca="1" si="133"/>
        <v>4.1204872274492273E-2</v>
      </c>
      <c r="EO40" s="1">
        <f t="shared" ca="1" si="134"/>
        <v>3.2105470754573096E-2</v>
      </c>
      <c r="EP40" s="1">
        <f t="shared" ca="1" si="135"/>
        <v>4.4736000000000005E-2</v>
      </c>
      <c r="EQ40" s="1">
        <f t="shared" ca="1" si="136"/>
        <v>4.3859000000000002E-2</v>
      </c>
      <c r="ER40" s="1">
        <f t="shared" ca="1" si="137"/>
        <v>3.6870453917687208E-2</v>
      </c>
      <c r="ES40" s="1">
        <f t="shared" ca="1" si="138"/>
        <v>5.1894965863048863E-2</v>
      </c>
      <c r="ET40" s="1">
        <f t="shared" ca="1" si="139"/>
        <v>3.9452000000000001E-2</v>
      </c>
      <c r="EU40" s="1">
        <f t="shared" ca="1" si="140"/>
        <v>3.9076E-2</v>
      </c>
      <c r="EV40" s="1">
        <f t="shared" ca="1" si="141"/>
        <v>2.7657101815265102E-2</v>
      </c>
      <c r="EW40" s="1">
        <f t="shared" ca="1" si="142"/>
        <v>2.725567285567429E-2</v>
      </c>
      <c r="EX40" s="1">
        <f t="shared" ca="1" si="143"/>
        <v>0</v>
      </c>
      <c r="EY40" s="1">
        <f t="shared" ca="1" si="144"/>
        <v>0</v>
      </c>
      <c r="EZ40" s="1">
        <f t="shared" ca="1" si="145"/>
        <v>5.1894965863048863E-2</v>
      </c>
    </row>
    <row r="41" spans="1:156" x14ac:dyDescent="0.25">
      <c r="A41">
        <f t="shared" ca="1" si="103"/>
        <v>39</v>
      </c>
      <c r="B41" s="169">
        <f ca="1">IF('LC (Gross)'!A188="","",IF('LC (Gross)'!A188&gt;$AC$9,"",'LC (Gross)'!A188))</f>
        <v>41759</v>
      </c>
      <c r="C41" s="1">
        <f ca="1">IF(B41="","",(VLOOKUP(B41,'LC (Gross)'!A:D,4,FALSE)/100))</f>
        <v>6.9847468517090774E-3</v>
      </c>
      <c r="D41" s="1">
        <f ca="1">IF(B41="","",(VLOOKUP(B41,'SC (Gross)'!A:D,4,FALSE))/100)</f>
        <v>-2.9900000000000003E-2</v>
      </c>
      <c r="E41" s="1">
        <f ca="1">IF(B41="","",(VLOOKUP(B41,'Global (Gross)'!A:D,4,FALSE)/100))</f>
        <v>3.3099999999999997E-2</v>
      </c>
      <c r="F41" s="1"/>
      <c r="G41" s="1">
        <f ca="1">IF(B41="","",(VLOOKUP(B41,'LC (Net)'!A:D,4,FALSE)/100))</f>
        <v>6.1680801850424105E-3</v>
      </c>
      <c r="H41" s="1">
        <f ca="1">IF(B41="","",(VLOOKUP(B41,'SC (Net)'!A:D,4,FALSE))/100)</f>
        <v>-2.9900000000000003E-2</v>
      </c>
      <c r="I41" s="1">
        <f ca="1">IF(B41="","",(VLOOKUP(B41,'Global (Net)'!A:D,4,FALSE)/100))</f>
        <v>3.3099999999999997E-2</v>
      </c>
      <c r="J41" s="1"/>
      <c r="K41" s="1">
        <f ca="1">IF(B41="","",VLOOKUP(Website!B41,'LC (Gross)'!W:X,2,FALSE)/100)</f>
        <v>1.9478624953933085E-2</v>
      </c>
      <c r="L41" s="1">
        <f ca="1">IF(B41="","",VLOOKUP(Website!B41,'SC (Gross)'!P:Q,2,FALSE)/100)</f>
        <v>-2.7178202792956855E-2</v>
      </c>
      <c r="M41" s="1">
        <f ca="1">IF(B41="","",VLOOKUP(Website!B41,'Global (Gross)'!P:Q,2,FALSE)/100)</f>
        <v>1.4872790340005115E-2</v>
      </c>
      <c r="O41" s="1">
        <f ca="1">IF(B41="","",VLOOKUP(Website!B41,'LC (Gross)'!J:K,2,FALSE)/100)</f>
        <v>7.3893574420213536E-3</v>
      </c>
      <c r="P41" s="233">
        <f ca="1">IF(B41="","",(VLOOKUP(B41,'SC (Gross)'!J:K,2,FALSE))/100)</f>
        <v>-3.878116259828291E-2</v>
      </c>
      <c r="Q41" s="233">
        <f ca="1">IF(B41="","",(VLOOKUP(B41,'Global (Gross)'!J:K,2,FALSE)/100))</f>
        <v>9.9330083072437722E-3</v>
      </c>
      <c r="S41" s="22">
        <f t="shared" ca="1" si="0"/>
        <v>-4.0461059031227618E-4</v>
      </c>
      <c r="T41" s="22">
        <f t="shared" ca="1" si="1"/>
        <v>8.8811625982829073E-3</v>
      </c>
      <c r="U41" s="22">
        <f t="shared" ca="1" si="2"/>
        <v>2.3166991692756225E-2</v>
      </c>
      <c r="V41" s="22"/>
      <c r="W41" s="22">
        <f t="shared" ca="1" si="100"/>
        <v>1.2089267511911733E-2</v>
      </c>
      <c r="X41" s="22">
        <f t="shared" ca="1" si="101"/>
        <v>1.1602959805326055E-2</v>
      </c>
      <c r="Y41" s="22">
        <f t="shared" ca="1" si="102"/>
        <v>4.9397820327613425E-3</v>
      </c>
      <c r="DR41">
        <f t="shared" ca="1" si="109"/>
        <v>158</v>
      </c>
      <c r="DS41" s="169">
        <f t="shared" ca="1" si="114"/>
        <v>45382</v>
      </c>
      <c r="DT41" s="1">
        <f t="shared" ca="1" si="115"/>
        <v>3.4650632662020259E-2</v>
      </c>
      <c r="DU41" s="1">
        <f t="shared" ca="1" si="116"/>
        <v>3.4274537616093212E-2</v>
      </c>
      <c r="DV41" s="1">
        <f t="shared" ca="1" si="117"/>
        <v>3.0912850000000002E-2</v>
      </c>
      <c r="DW41" s="1">
        <f t="shared" ca="1" si="118"/>
        <v>3.2173630000000002E-2</v>
      </c>
      <c r="DX41" s="1">
        <f t="shared" ca="1" si="119"/>
        <v>0</v>
      </c>
      <c r="DY41" s="1">
        <f t="shared" ca="1" si="120"/>
        <v>0</v>
      </c>
      <c r="DZ41" s="1" t="e">
        <f t="shared" ca="1" si="121"/>
        <v>#N/A</v>
      </c>
      <c r="EA41" s="1">
        <f t="shared" ca="1" si="122"/>
        <v>3.5787600000000003E-2</v>
      </c>
      <c r="EB41" s="1">
        <f t="shared" ca="1" si="123"/>
        <v>3.1532220903994573E-2</v>
      </c>
      <c r="EC41" s="1">
        <f t="shared" ca="1" si="124"/>
        <v>3.0864815180447321E-2</v>
      </c>
      <c r="ED41" s="1">
        <f t="shared" ca="1" si="125"/>
        <v>1.9413100000000003E-2</v>
      </c>
      <c r="EE41" s="1">
        <f t="shared" ca="1" si="126"/>
        <v>3.2044410000000002E-2</v>
      </c>
      <c r="EF41" s="1">
        <f t="shared" ca="1" si="127"/>
        <v>4.1645870000000001E-2</v>
      </c>
      <c r="EG41" s="1">
        <f t="shared" ca="1" si="128"/>
        <v>4.0620870000000003E-2</v>
      </c>
      <c r="EH41" s="1">
        <f t="shared" ca="1" si="129"/>
        <v>3.5787600000000003E-2</v>
      </c>
      <c r="EJ41">
        <f t="shared" ca="1" si="110"/>
        <v>98</v>
      </c>
      <c r="EK41" s="169">
        <f t="shared" ca="1" si="130"/>
        <v>43555</v>
      </c>
      <c r="EL41" s="1">
        <f t="shared" ca="1" si="131"/>
        <v>1.6475E-2</v>
      </c>
      <c r="EM41" s="1">
        <f t="shared" ca="1" si="132"/>
        <v>1.5852999999999999E-2</v>
      </c>
      <c r="EN41" s="1">
        <f t="shared" ca="1" si="133"/>
        <v>2.3280213985266383E-2</v>
      </c>
      <c r="EO41" s="1">
        <f t="shared" ca="1" si="134"/>
        <v>1.9411095029969693E-2</v>
      </c>
      <c r="EP41" s="1">
        <f t="shared" ca="1" si="135"/>
        <v>-1.9113999999999999E-2</v>
      </c>
      <c r="EQ41" s="1">
        <f t="shared" ca="1" si="136"/>
        <v>-1.9612000000000001E-2</v>
      </c>
      <c r="ER41" s="1">
        <f t="shared" ca="1" si="137"/>
        <v>-2.0974208472265908E-2</v>
      </c>
      <c r="ES41" s="1">
        <f t="shared" ca="1" si="138"/>
        <v>-2.0937400864579223E-2</v>
      </c>
      <c r="ET41" s="1">
        <f t="shared" ca="1" si="139"/>
        <v>1.8436999999999999E-2</v>
      </c>
      <c r="EU41" s="1">
        <f t="shared" ca="1" si="140"/>
        <v>1.8062000000000002E-2</v>
      </c>
      <c r="EV41" s="1">
        <f t="shared" ca="1" si="141"/>
        <v>2.0997431422921688E-2</v>
      </c>
      <c r="EW41" s="1">
        <f t="shared" ca="1" si="142"/>
        <v>1.3291747259706461E-2</v>
      </c>
      <c r="EX41" s="1">
        <f t="shared" ca="1" si="143"/>
        <v>0</v>
      </c>
      <c r="EY41" s="1">
        <f t="shared" ca="1" si="144"/>
        <v>0</v>
      </c>
      <c r="EZ41" s="1">
        <f t="shared" ca="1" si="145"/>
        <v>-2.0937400864579223E-2</v>
      </c>
    </row>
    <row r="42" spans="1:156" x14ac:dyDescent="0.25">
      <c r="A42">
        <f t="shared" ca="1" si="103"/>
        <v>40</v>
      </c>
      <c r="B42" s="169">
        <f ca="1">IF('LC (Gross)'!A189="","",IF('LC (Gross)'!A189&gt;$AC$9,"",'LC (Gross)'!A189))</f>
        <v>41790</v>
      </c>
      <c r="C42" s="1">
        <f ca="1">IF(B42="","",(VLOOKUP(B42,'LC (Gross)'!A:D,4,FALSE)/100))</f>
        <v>1.2310919540229776E-2</v>
      </c>
      <c r="D42" s="1">
        <f ca="1">IF(B42="","",(VLOOKUP(B42,'SC (Gross)'!A:D,4,FALSE))/100)</f>
        <v>6.8999999999999999E-3</v>
      </c>
      <c r="E42" s="1">
        <f ca="1">IF(B42="","",(VLOOKUP(B42,'Global (Gross)'!A:D,4,FALSE)/100))</f>
        <v>6.4000000000000003E-3</v>
      </c>
      <c r="F42" s="1"/>
      <c r="G42" s="1">
        <f ca="1">IF(B42="","",(VLOOKUP(B42,'LC (Net)'!A:D,4,FALSE)/100))</f>
        <v>1.1494252873563109E-2</v>
      </c>
      <c r="H42" s="1">
        <f ca="1">IF(B42="","",(VLOOKUP(B42,'SC (Net)'!A:D,4,FALSE))/100)</f>
        <v>6.8999999999999999E-3</v>
      </c>
      <c r="I42" s="1">
        <f ca="1">IF(B42="","",(VLOOKUP(B42,'Global (Net)'!A:D,4,FALSE)/100))</f>
        <v>6.4000000000000003E-3</v>
      </c>
      <c r="J42" s="1"/>
      <c r="K42" s="1">
        <f ca="1">IF(B42="","",VLOOKUP(Website!B42,'LC (Gross)'!W:X,2,FALSE)/100)</f>
        <v>1.0427257307489916E-2</v>
      </c>
      <c r="L42" s="1">
        <f ca="1">IF(B42="","",VLOOKUP(Website!B42,'SC (Gross)'!P:Q,2,FALSE)/100)</f>
        <v>8.1448599224522387E-3</v>
      </c>
      <c r="M42" s="1">
        <f ca="1">IF(B42="","",VLOOKUP(Website!B42,'Global (Gross)'!P:Q,2,FALSE)/100)</f>
        <v>1.6089616097015501E-2</v>
      </c>
      <c r="O42" s="1">
        <f ca="1">IF(B42="","",VLOOKUP(Website!B42,'LC (Gross)'!J:K,2,FALSE)/100)</f>
        <v>2.3465618221986662E-2</v>
      </c>
      <c r="P42" s="233">
        <f ca="1">IF(B42="","",(VLOOKUP(B42,'SC (Gross)'!J:K,2,FALSE))/100)</f>
        <v>8.0152936191700656E-3</v>
      </c>
      <c r="Q42" s="233">
        <f ca="1">IF(B42="","",(VLOOKUP(B42,'Global (Gross)'!J:K,2,FALSE)/100))</f>
        <v>2.2048845461827643E-2</v>
      </c>
      <c r="S42" s="22">
        <f t="shared" ca="1" si="0"/>
        <v>-1.1154698681756886E-2</v>
      </c>
      <c r="T42" s="22">
        <f t="shared" ca="1" si="1"/>
        <v>-1.1152936191700658E-3</v>
      </c>
      <c r="U42" s="22">
        <f t="shared" ca="1" si="2"/>
        <v>-1.5648845461827644E-2</v>
      </c>
      <c r="V42" s="22"/>
      <c r="W42" s="22">
        <f t="shared" ca="1" si="100"/>
        <v>-1.3038360914496746E-2</v>
      </c>
      <c r="X42" s="22">
        <f t="shared" ca="1" si="101"/>
        <v>1.2956630328217304E-4</v>
      </c>
      <c r="Y42" s="22">
        <f t="shared" ca="1" si="102"/>
        <v>-5.9592293648121422E-3</v>
      </c>
      <c r="DR42">
        <f t="shared" ca="1" si="109"/>
        <v>159</v>
      </c>
      <c r="DS42" s="169">
        <f t="shared" ca="1" si="114"/>
        <v>45412</v>
      </c>
      <c r="DT42" s="1">
        <f t="shared" ca="1" si="115"/>
        <v>-3.9984913813974933E-2</v>
      </c>
      <c r="DU42" s="1">
        <f t="shared" ca="1" si="116"/>
        <v>-4.0443709388205719E-2</v>
      </c>
      <c r="DV42" s="1">
        <f t="shared" ca="1" si="117"/>
        <v>-3.0440480000000002E-2</v>
      </c>
      <c r="DW42" s="1">
        <f t="shared" ca="1" si="118"/>
        <v>-4.0844069999999996E-2</v>
      </c>
      <c r="DX42" s="1">
        <f t="shared" ca="1" si="119"/>
        <v>0</v>
      </c>
      <c r="DY42" s="1">
        <f t="shared" ca="1" si="120"/>
        <v>0</v>
      </c>
      <c r="DZ42" s="1" t="e">
        <f t="shared" ca="1" si="121"/>
        <v>#N/A</v>
      </c>
      <c r="EA42" s="1">
        <f t="shared" ca="1" si="122"/>
        <v>-7.038266E-2</v>
      </c>
      <c r="EB42" s="1">
        <f t="shared" ca="1" si="123"/>
        <v>-2.5710239003672513E-2</v>
      </c>
      <c r="EC42" s="1">
        <f t="shared" ca="1" si="124"/>
        <v>-2.6488353266014744E-2</v>
      </c>
      <c r="ED42" s="1">
        <f t="shared" ca="1" si="125"/>
        <v>-2.5968499999999999E-2</v>
      </c>
      <c r="EE42" s="1">
        <f t="shared" ca="1" si="126"/>
        <v>-3.2620160000000002E-2</v>
      </c>
      <c r="EF42" s="1">
        <f t="shared" ca="1" si="127"/>
        <v>-6.8794110000000006E-2</v>
      </c>
      <c r="EG42" s="1">
        <f t="shared" ca="1" si="128"/>
        <v>-6.9819110000000004E-2</v>
      </c>
      <c r="EH42" s="1">
        <f t="shared" ca="1" si="129"/>
        <v>-7.038266E-2</v>
      </c>
      <c r="EJ42">
        <f t="shared" ca="1" si="110"/>
        <v>99</v>
      </c>
      <c r="EK42" s="169">
        <f t="shared" ca="1" si="130"/>
        <v>43585</v>
      </c>
      <c r="EL42" s="1">
        <f t="shared" ca="1" si="131"/>
        <v>3.6074000000000002E-2</v>
      </c>
      <c r="EM42" s="1">
        <f t="shared" ca="1" si="132"/>
        <v>3.5436999999999996E-2</v>
      </c>
      <c r="EN42" s="1">
        <f t="shared" ca="1" si="133"/>
        <v>2.3496935203532621E-2</v>
      </c>
      <c r="EO42" s="1">
        <f t="shared" ca="1" si="134"/>
        <v>4.0489294581786031E-2</v>
      </c>
      <c r="EP42" s="1">
        <f t="shared" ca="1" si="135"/>
        <v>3.04E-2</v>
      </c>
      <c r="EQ42" s="1">
        <f t="shared" ca="1" si="136"/>
        <v>2.9891999999999998E-2</v>
      </c>
      <c r="ER42" s="1">
        <f t="shared" ca="1" si="137"/>
        <v>3.0248747193941095E-2</v>
      </c>
      <c r="ES42" s="1">
        <f t="shared" ca="1" si="138"/>
        <v>3.39703741675896E-2</v>
      </c>
      <c r="ET42" s="1">
        <f t="shared" ca="1" si="139"/>
        <v>2.954E-2</v>
      </c>
      <c r="EU42" s="1">
        <f t="shared" ca="1" si="140"/>
        <v>2.8711E-2</v>
      </c>
      <c r="EV42" s="1">
        <f t="shared" ca="1" si="141"/>
        <v>9.3638366927838654E-3</v>
      </c>
      <c r="EW42" s="1">
        <f t="shared" ca="1" si="142"/>
        <v>3.4239396443720135E-2</v>
      </c>
      <c r="EX42" s="1">
        <f t="shared" ca="1" si="143"/>
        <v>0</v>
      </c>
      <c r="EY42" s="1">
        <f t="shared" ca="1" si="144"/>
        <v>0</v>
      </c>
      <c r="EZ42" s="1">
        <f t="shared" ca="1" si="145"/>
        <v>3.39703741675896E-2</v>
      </c>
    </row>
    <row r="43" spans="1:156" x14ac:dyDescent="0.25">
      <c r="A43">
        <f t="shared" ca="1" si="103"/>
        <v>41</v>
      </c>
      <c r="B43" s="169">
        <f ca="1">IF('LC (Gross)'!A190="","",IF('LC (Gross)'!A190&gt;$AC$9,"",'LC (Gross)'!A190))</f>
        <v>41820</v>
      </c>
      <c r="C43" s="1">
        <f ca="1">IF(B43="","",(VLOOKUP(B43,'LC (Gross)'!A:D,4,FALSE)/100))</f>
        <v>1.4453030303030419E-2</v>
      </c>
      <c r="D43" s="1">
        <f ca="1">IF(B43="","",(VLOOKUP(B43,'SC (Gross)'!A:D,4,FALSE))/100)</f>
        <v>3.8800000000000001E-2</v>
      </c>
      <c r="E43" s="1">
        <f ca="1">IF(B43="","",(VLOOKUP(B43,'Global (Gross)'!A:D,4,FALSE)/100))</f>
        <v>1.52E-2</v>
      </c>
      <c r="F43" s="1"/>
      <c r="G43" s="1">
        <f ca="1">IF(B43="","",(VLOOKUP(B43,'LC (Net)'!A:D,4,FALSE)/100))</f>
        <v>1.363636363636375E-2</v>
      </c>
      <c r="H43" s="1">
        <f ca="1">IF(B43="","",(VLOOKUP(B43,'SC (Net)'!A:D,4,FALSE))/100)</f>
        <v>3.8800000000000001E-2</v>
      </c>
      <c r="I43" s="1">
        <f ca="1">IF(B43="","",(VLOOKUP(B43,'Global (Net)'!A:D,4,FALSE)/100))</f>
        <v>1.52E-2</v>
      </c>
      <c r="J43" s="1"/>
      <c r="K43" s="1">
        <f ca="1">IF(B43="","",VLOOKUP(Website!B43,'LC (Gross)'!W:X,2,FALSE)/100)</f>
        <v>2.1555243800838328E-2</v>
      </c>
      <c r="L43" s="1">
        <f ca="1">IF(B43="","",VLOOKUP(Website!B43,'SC (Gross)'!P:Q,2,FALSE)/100)</f>
        <v>3.4869953491251514E-2</v>
      </c>
      <c r="M43" s="1">
        <f ca="1">IF(B43="","",VLOOKUP(Website!B43,'Global (Gross)'!P:Q,2,FALSE)/100)</f>
        <v>1.7668589205755366E-2</v>
      </c>
      <c r="O43" s="1">
        <f ca="1">IF(B43="","",VLOOKUP(Website!B43,'LC (Gross)'!J:K,2,FALSE)/100)</f>
        <v>2.0658252562913794E-2</v>
      </c>
      <c r="P43" s="233">
        <f ca="1">IF(B43="","",(VLOOKUP(B43,'SC (Gross)'!J:K,2,FALSE))/100)</f>
        <v>5.3207317594899169E-2</v>
      </c>
      <c r="Q43" s="233">
        <f ca="1">IF(B43="","",(VLOOKUP(B43,'Global (Gross)'!J:K,2,FALSE)/100))</f>
        <v>1.9244427261298491E-2</v>
      </c>
      <c r="S43" s="22">
        <f t="shared" ca="1" si="0"/>
        <v>-6.2052222598833751E-3</v>
      </c>
      <c r="T43" s="22">
        <f t="shared" ca="1" si="1"/>
        <v>-1.4407317594899167E-2</v>
      </c>
      <c r="U43" s="22">
        <f t="shared" ca="1" si="2"/>
        <v>-4.0444272612984913E-3</v>
      </c>
      <c r="V43" s="22"/>
      <c r="W43" s="22">
        <f t="shared" ca="1" si="100"/>
        <v>8.96991237924534E-4</v>
      </c>
      <c r="X43" s="22">
        <f t="shared" ca="1" si="101"/>
        <v>-1.8337364103647655E-2</v>
      </c>
      <c r="Y43" s="22">
        <f t="shared" ca="1" si="102"/>
        <v>-1.5758380555431252E-3</v>
      </c>
      <c r="DR43">
        <f t="shared" ca="1" si="109"/>
        <v>160</v>
      </c>
      <c r="DS43" s="169">
        <f t="shared" ca="1" si="114"/>
        <v>45443</v>
      </c>
      <c r="DT43" s="1">
        <f t="shared" ca="1" si="115"/>
        <v>3.6816566581423862E-2</v>
      </c>
      <c r="DU43" s="1">
        <f t="shared" ca="1" si="116"/>
        <v>3.6378928867356414E-2</v>
      </c>
      <c r="DV43" s="1">
        <f t="shared" ca="1" si="117"/>
        <v>2.4779700000000002E-2</v>
      </c>
      <c r="DW43" s="1">
        <f t="shared" ca="1" si="118"/>
        <v>4.9585549999999999E-2</v>
      </c>
      <c r="DX43" s="1">
        <f t="shared" ca="1" si="119"/>
        <v>0</v>
      </c>
      <c r="DY43" s="1">
        <f t="shared" ca="1" si="120"/>
        <v>0</v>
      </c>
      <c r="DZ43" s="1" t="e">
        <f t="shared" ca="1" si="121"/>
        <v>#N/A</v>
      </c>
      <c r="EA43" s="1">
        <f t="shared" ca="1" si="122"/>
        <v>5.0208769999999993E-2</v>
      </c>
      <c r="EB43" s="1">
        <f t="shared" ca="1" si="123"/>
        <v>2.3062300727677544E-2</v>
      </c>
      <c r="EC43" s="1">
        <f t="shared" ca="1" si="124"/>
        <v>2.241124428223196E-2</v>
      </c>
      <c r="ED43" s="1">
        <f t="shared" ca="1" si="125"/>
        <v>1.8897520000000001E-2</v>
      </c>
      <c r="EE43" s="1">
        <f t="shared" ca="1" si="126"/>
        <v>4.1195639999999999E-2</v>
      </c>
      <c r="EF43" s="1">
        <f t="shared" ca="1" si="127"/>
        <v>4.8790269999999997E-2</v>
      </c>
      <c r="EG43" s="1">
        <f t="shared" ca="1" si="128"/>
        <v>4.7765269999999999E-2</v>
      </c>
      <c r="EH43" s="1">
        <f t="shared" ca="1" si="129"/>
        <v>5.0208769999999993E-2</v>
      </c>
      <c r="EJ43">
        <f t="shared" ca="1" si="110"/>
        <v>100</v>
      </c>
      <c r="EK43" s="169">
        <f t="shared" ca="1" si="130"/>
        <v>43616</v>
      </c>
      <c r="EL43" s="1">
        <f t="shared" ca="1" si="131"/>
        <v>-4.8585000000000003E-2</v>
      </c>
      <c r="EM43" s="1">
        <f t="shared" ca="1" si="132"/>
        <v>-4.9218999999999999E-2</v>
      </c>
      <c r="EN43" s="1">
        <f t="shared" ca="1" si="133"/>
        <v>-9.3319861937217335E-3</v>
      </c>
      <c r="EO43" s="1">
        <f t="shared" ca="1" si="134"/>
        <v>-6.3548857349396443E-2</v>
      </c>
      <c r="EP43" s="1">
        <f t="shared" ca="1" si="135"/>
        <v>-5.7443000000000001E-2</v>
      </c>
      <c r="EQ43" s="1">
        <f t="shared" ca="1" si="136"/>
        <v>-5.7957999999999996E-2</v>
      </c>
      <c r="ER43" s="1">
        <f t="shared" ca="1" si="137"/>
        <v>-4.5374711125784055E-2</v>
      </c>
      <c r="ES43" s="1">
        <f t="shared" ca="1" si="138"/>
        <v>-7.7772522689384602E-2</v>
      </c>
      <c r="ET43" s="1">
        <f t="shared" ca="1" si="139"/>
        <v>-1.7284000000000001E-2</v>
      </c>
      <c r="EU43" s="1">
        <f t="shared" ca="1" si="140"/>
        <v>-1.7662000000000001E-2</v>
      </c>
      <c r="EV43" s="1">
        <f t="shared" ca="1" si="141"/>
        <v>-1.031372198788378E-2</v>
      </c>
      <c r="EW43" s="1">
        <f t="shared" ca="1" si="142"/>
        <v>-5.8564212488350378E-2</v>
      </c>
      <c r="EX43" s="1">
        <f t="shared" ca="1" si="143"/>
        <v>0</v>
      </c>
      <c r="EY43" s="1">
        <f t="shared" ca="1" si="144"/>
        <v>0</v>
      </c>
      <c r="EZ43" s="1">
        <f t="shared" ca="1" si="145"/>
        <v>-7.7772522689384602E-2</v>
      </c>
    </row>
    <row r="44" spans="1:156" x14ac:dyDescent="0.25">
      <c r="A44">
        <f t="shared" ca="1" si="103"/>
        <v>42</v>
      </c>
      <c r="B44" s="169">
        <f ca="1">IF('LC (Gross)'!A191="","",IF('LC (Gross)'!A191&gt;$AC$9,"",'LC (Gross)'!A191))</f>
        <v>41851</v>
      </c>
      <c r="C44" s="1">
        <f ca="1">IF(B44="","",(VLOOKUP(B44,'LC (Gross)'!A:D,4,FALSE)/100))</f>
        <v>-9.6467115097160355E-3</v>
      </c>
      <c r="D44" s="1">
        <f ca="1">IF(B44="","",(VLOOKUP(B44,'SC (Gross)'!A:D,4,FALSE))/100)</f>
        <v>-4.1200000000000001E-2</v>
      </c>
      <c r="E44" s="1">
        <f ca="1">IF(B44="","",(VLOOKUP(B44,'Global (Gross)'!A:D,4,FALSE)/100))</f>
        <v>-1.04E-2</v>
      </c>
      <c r="F44" s="1"/>
      <c r="G44" s="1">
        <f ca="1">IF(B44="","",(VLOOKUP(B44,'LC (Net)'!A:D,4,FALSE)/100))</f>
        <v>-1.0463378176382702E-2</v>
      </c>
      <c r="H44" s="1">
        <f ca="1">IF(B44="","",(VLOOKUP(B44,'SC (Net)'!A:D,4,FALSE))/100)</f>
        <v>-4.1200000000000001E-2</v>
      </c>
      <c r="I44" s="1">
        <f ca="1">IF(B44="","",(VLOOKUP(B44,'Global (Net)'!A:D,4,FALSE)/100))</f>
        <v>-1.04E-2</v>
      </c>
      <c r="J44" s="1"/>
      <c r="K44" s="1">
        <f ca="1">IF(B44="","",VLOOKUP(Website!B44,'LC (Gross)'!W:X,2,FALSE)/100)</f>
        <v>-3.800069718612438E-2</v>
      </c>
      <c r="L44" s="1">
        <f ca="1">IF(B44="","",VLOOKUP(Website!B44,'SC (Gross)'!P:Q,2,FALSE)/100)</f>
        <v>-4.3932131400070296E-2</v>
      </c>
      <c r="M44" s="1">
        <f ca="1">IF(B44="","",VLOOKUP(Website!B44,'Global (Gross)'!P:Q,2,FALSE)/100)</f>
        <v>-6.5232505241095088E-3</v>
      </c>
      <c r="O44" s="1">
        <f ca="1">IF(B44="","",VLOOKUP(Website!B44,'LC (Gross)'!J:K,2,FALSE)/100)</f>
        <v>-1.379228117077598E-2</v>
      </c>
      <c r="P44" s="233">
        <f ca="1">IF(B44="","",(VLOOKUP(B44,'SC (Gross)'!J:K,2,FALSE))/100)</f>
        <v>-6.0529187375197531E-2</v>
      </c>
      <c r="Q44" s="233">
        <f ca="1">IF(B44="","",(VLOOKUP(B44,'Global (Gross)'!J:K,2,FALSE)/100))</f>
        <v>-1.1760758034444884E-2</v>
      </c>
      <c r="S44" s="22">
        <f t="shared" ca="1" si="0"/>
        <v>4.1455696610599446E-3</v>
      </c>
      <c r="T44" s="22">
        <f t="shared" ca="1" si="1"/>
        <v>1.932918737519753E-2</v>
      </c>
      <c r="U44" s="22">
        <f t="shared" ca="1" si="2"/>
        <v>1.3607580344448846E-3</v>
      </c>
      <c r="V44" s="22"/>
      <c r="W44" s="22">
        <f t="shared" ca="1" si="100"/>
        <v>-2.42084160153484E-2</v>
      </c>
      <c r="X44" s="22">
        <f t="shared" ca="1" si="101"/>
        <v>1.6597055975127235E-2</v>
      </c>
      <c r="Y44" s="22">
        <f t="shared" ca="1" si="102"/>
        <v>5.2375075103353753E-3</v>
      </c>
      <c r="DR44">
        <f t="shared" ca="1" si="109"/>
        <v>161</v>
      </c>
      <c r="DS44" s="169">
        <f t="shared" ca="1" si="114"/>
        <v>45473</v>
      </c>
      <c r="DT44" s="1">
        <f t="shared" ca="1" si="115"/>
        <v>1.9618040202060379E-2</v>
      </c>
      <c r="DU44" s="1">
        <f t="shared" ca="1" si="116"/>
        <v>1.9181031885381162E-2</v>
      </c>
      <c r="DV44" s="1">
        <f t="shared" ca="1" si="117"/>
        <v>-1.6201969999999999E-3</v>
      </c>
      <c r="DW44" s="1">
        <f t="shared" ca="1" si="118"/>
        <v>3.5878790000000001E-2</v>
      </c>
      <c r="DX44" s="1">
        <f t="shared" ca="1" si="119"/>
        <v>0</v>
      </c>
      <c r="DY44" s="1">
        <f t="shared" ca="1" si="120"/>
        <v>0</v>
      </c>
      <c r="DZ44" s="1" t="e">
        <f t="shared" ca="1" si="121"/>
        <v>#N/A</v>
      </c>
      <c r="EA44" s="1">
        <f t="shared" ca="1" si="122"/>
        <v>-9.264521999999999E-3</v>
      </c>
      <c r="EB44" s="1">
        <f t="shared" ca="1" si="123"/>
        <v>2.9304903650030998E-3</v>
      </c>
      <c r="EC44" s="1">
        <f t="shared" ca="1" si="124"/>
        <v>2.2657466972229178E-3</v>
      </c>
      <c r="ED44" s="1">
        <f t="shared" ca="1" si="125"/>
        <v>1.229474E-2</v>
      </c>
      <c r="EE44" s="1">
        <f t="shared" ca="1" si="126"/>
        <v>2.2624209999999999E-2</v>
      </c>
      <c r="EF44" s="1">
        <f t="shared" ca="1" si="127"/>
        <v>-2.372264E-2</v>
      </c>
      <c r="EG44" s="1">
        <f t="shared" ca="1" si="128"/>
        <v>-2.4747640000000001E-2</v>
      </c>
      <c r="EH44" s="1">
        <f t="shared" ca="1" si="129"/>
        <v>-9.264521999999999E-3</v>
      </c>
      <c r="EJ44">
        <f t="shared" ca="1" si="110"/>
        <v>101</v>
      </c>
      <c r="EK44" s="169">
        <f t="shared" ca="1" si="130"/>
        <v>43646</v>
      </c>
      <c r="EL44" s="1">
        <f t="shared" ca="1" si="131"/>
        <v>5.8181000000000004E-2</v>
      </c>
      <c r="EM44" s="1">
        <f t="shared" ca="1" si="132"/>
        <v>5.74E-2</v>
      </c>
      <c r="EN44" s="1">
        <f t="shared" ca="1" si="133"/>
        <v>3.7568651704060374E-2</v>
      </c>
      <c r="EO44" s="1">
        <f t="shared" ca="1" si="134"/>
        <v>7.0477169999999992E-2</v>
      </c>
      <c r="EP44" s="1">
        <f t="shared" ca="1" si="135"/>
        <v>5.3159999999999999E-2</v>
      </c>
      <c r="EQ44" s="1">
        <f t="shared" ca="1" si="136"/>
        <v>5.2248000000000003E-2</v>
      </c>
      <c r="ER44" s="1">
        <f t="shared" ca="1" si="137"/>
        <v>5.1238777684018258E-2</v>
      </c>
      <c r="ES44" s="1">
        <f t="shared" ca="1" si="138"/>
        <v>7.065914262433097E-2</v>
      </c>
      <c r="ET44" s="1">
        <f t="shared" ca="1" si="139"/>
        <v>4.564E-2</v>
      </c>
      <c r="EU44" s="1">
        <f t="shared" ca="1" si="140"/>
        <v>4.5270999999999999E-2</v>
      </c>
      <c r="EV44" s="1">
        <f t="shared" ca="1" si="141"/>
        <v>4.3560455235483159E-2</v>
      </c>
      <c r="EW44" s="1">
        <f t="shared" ca="1" si="142"/>
        <v>6.5977240000000006E-2</v>
      </c>
      <c r="EX44" s="1">
        <f t="shared" ca="1" si="143"/>
        <v>0</v>
      </c>
      <c r="EY44" s="1">
        <f t="shared" ca="1" si="144"/>
        <v>0</v>
      </c>
      <c r="EZ44" s="1">
        <f t="shared" ca="1" si="145"/>
        <v>7.065914262433097E-2</v>
      </c>
    </row>
    <row r="45" spans="1:156" x14ac:dyDescent="0.25">
      <c r="A45">
        <f t="shared" ca="1" si="103"/>
        <v>43</v>
      </c>
      <c r="B45" s="169">
        <f ca="1">IF('LC (Gross)'!A192="","",IF('LC (Gross)'!A192&gt;$AC$9,"",'LC (Gross)'!A192))</f>
        <v>41882</v>
      </c>
      <c r="C45" s="1">
        <f ca="1">IF(B45="","",(VLOOKUP(B45,'LC (Gross)'!A:D,4,FALSE)/100))</f>
        <v>3.7070443101712015E-2</v>
      </c>
      <c r="D45" s="1">
        <f ca="1">IF(B45="","",(VLOOKUP(B45,'SC (Gross)'!A:D,4,FALSE))/100)</f>
        <v>4.4299999999999999E-2</v>
      </c>
      <c r="E45" s="1">
        <f ca="1">IF(B45="","",(VLOOKUP(B45,'Global (Gross)'!A:D,4,FALSE)/100))</f>
        <v>4.5999999999999999E-2</v>
      </c>
      <c r="F45" s="1"/>
      <c r="G45" s="1">
        <f ca="1">IF(B45="","",(VLOOKUP(B45,'LC (Net)'!A:D,4,FALSE)/100))</f>
        <v>3.6253776435045348E-2</v>
      </c>
      <c r="H45" s="1">
        <f ca="1">IF(B45="","",(VLOOKUP(B45,'SC (Net)'!A:D,4,FALSE))/100)</f>
        <v>4.4299999999999999E-2</v>
      </c>
      <c r="I45" s="1">
        <f ca="1">IF(B45="","",(VLOOKUP(B45,'Global (Net)'!A:D,4,FALSE)/100))</f>
        <v>4.5999999999999999E-2</v>
      </c>
      <c r="J45" s="1"/>
      <c r="K45" s="1">
        <f ca="1">IF(B45="","",VLOOKUP(Website!B45,'LC (Gross)'!W:X,2,FALSE)/100)</f>
        <v>3.7552616388082535E-2</v>
      </c>
      <c r="L45" s="1">
        <f ca="1">IF(B45="","",VLOOKUP(Website!B45,'SC (Gross)'!P:Q,2,FALSE)/100)</f>
        <v>3.4312575281180188E-2</v>
      </c>
      <c r="M45" s="1">
        <f ca="1">IF(B45="","",VLOOKUP(Website!B45,'Global (Gross)'!P:Q,2,FALSE)/100)</f>
        <v>3.1625766217385221E-2</v>
      </c>
      <c r="O45" s="1">
        <f ca="1">IF(B45="","",VLOOKUP(Website!B45,'LC (Gross)'!J:K,2,FALSE)/100)</f>
        <v>4.0001307171931559E-2</v>
      </c>
      <c r="P45" s="233">
        <f ca="1">IF(B45="","",(VLOOKUP(B45,'SC (Gross)'!J:K,2,FALSE))/100)</f>
        <v>4.9585935266501638E-2</v>
      </c>
      <c r="Q45" s="233">
        <f ca="1">IF(B45="","",(VLOOKUP(B45,'Global (Gross)'!J:K,2,FALSE)/100))</f>
        <v>2.2589010239507296E-2</v>
      </c>
      <c r="S45" s="22">
        <f t="shared" ca="1" si="0"/>
        <v>-2.9308640702195438E-3</v>
      </c>
      <c r="T45" s="22">
        <f t="shared" ca="1" si="1"/>
        <v>-5.2859352665016388E-3</v>
      </c>
      <c r="U45" s="22">
        <f t="shared" ca="1" si="2"/>
        <v>2.3410989760492704E-2</v>
      </c>
      <c r="V45" s="22"/>
      <c r="W45" s="22">
        <f t="shared" ca="1" si="100"/>
        <v>-2.4486907838490238E-3</v>
      </c>
      <c r="X45" s="22">
        <f t="shared" ca="1" si="101"/>
        <v>-1.527335998532145E-2</v>
      </c>
      <c r="Y45" s="22">
        <f t="shared" ca="1" si="102"/>
        <v>9.036755977877925E-3</v>
      </c>
      <c r="DR45">
        <f t="shared" ca="1" si="109"/>
        <v>162</v>
      </c>
      <c r="DS45" s="169">
        <f t="shared" ca="1" si="114"/>
        <v>45504</v>
      </c>
      <c r="DT45" s="1">
        <f t="shared" ca="1" si="115"/>
        <v>2.831799119855178E-2</v>
      </c>
      <c r="DU45" s="1">
        <f t="shared" ca="1" si="116"/>
        <v>2.7279068047180388E-2</v>
      </c>
      <c r="DV45" s="1">
        <f t="shared" ca="1" si="117"/>
        <v>4.4021290000000005E-2</v>
      </c>
      <c r="DW45" s="1">
        <f t="shared" ca="1" si="118"/>
        <v>1.2172529999999999E-2</v>
      </c>
      <c r="DX45" s="1">
        <f t="shared" ca="1" si="119"/>
        <v>0</v>
      </c>
      <c r="DY45" s="1" t="e">
        <f t="shared" ca="1" si="120"/>
        <v>#N/A</v>
      </c>
      <c r="DZ45" s="1" t="e">
        <f t="shared" ca="1" si="121"/>
        <v>#N/A</v>
      </c>
      <c r="EA45" s="1">
        <f t="shared" ca="1" si="122"/>
        <v>0.1015991</v>
      </c>
      <c r="EB45" s="1">
        <f t="shared" ca="1" si="123"/>
        <v>2.6325542624837085E-2</v>
      </c>
      <c r="EC45" s="1">
        <f t="shared" ca="1" si="124"/>
        <v>2.5553737156955223E-2</v>
      </c>
      <c r="ED45" s="1">
        <f t="shared" ca="1" si="125"/>
        <v>4.0605929999999998E-2</v>
      </c>
      <c r="EE45" s="1">
        <f t="shared" ca="1" si="126"/>
        <v>1.6436079999999999E-2</v>
      </c>
      <c r="EF45" s="1">
        <f t="shared" ca="1" si="127"/>
        <v>9.95225E-2</v>
      </c>
      <c r="EG45" s="1">
        <f t="shared" ca="1" si="128"/>
        <v>9.8497500000000002E-2</v>
      </c>
      <c r="EH45" s="1">
        <f t="shared" ca="1" si="129"/>
        <v>0.1015991</v>
      </c>
      <c r="EJ45">
        <f t="shared" ca="1" si="110"/>
        <v>102</v>
      </c>
      <c r="EK45" s="169">
        <f t="shared" ca="1" si="130"/>
        <v>43677</v>
      </c>
      <c r="EL45" s="1">
        <f t="shared" ca="1" si="131"/>
        <v>2.1686E-2</v>
      </c>
      <c r="EM45" s="1">
        <f t="shared" ca="1" si="132"/>
        <v>2.0898E-2</v>
      </c>
      <c r="EN45" s="1">
        <f t="shared" ca="1" si="133"/>
        <v>1.0579608534584718E-2</v>
      </c>
      <c r="EO45" s="1">
        <f t="shared" ca="1" si="134"/>
        <v>1.437272E-2</v>
      </c>
      <c r="EP45" s="1">
        <f t="shared" ca="1" si="135"/>
        <v>2.1333999999999999E-2</v>
      </c>
      <c r="EQ45" s="1">
        <f t="shared" ca="1" si="136"/>
        <v>2.0453000000000002E-2</v>
      </c>
      <c r="ER45" s="1">
        <f t="shared" ca="1" si="137"/>
        <v>1.683049754582654E-2</v>
      </c>
      <c r="ES45" s="1">
        <f t="shared" ca="1" si="138"/>
        <v>5.7276328251731319E-3</v>
      </c>
      <c r="ET45" s="1">
        <f t="shared" ca="1" si="139"/>
        <v>5.1599999999999997E-4</v>
      </c>
      <c r="EU45" s="1">
        <f t="shared" ca="1" si="140"/>
        <v>-5.0599999999999994E-4</v>
      </c>
      <c r="EV45" s="1">
        <f t="shared" ca="1" si="141"/>
        <v>2.4967827718830275E-3</v>
      </c>
      <c r="EW45" s="1">
        <f t="shared" ca="1" si="142"/>
        <v>3.2810790000000001E-3</v>
      </c>
      <c r="EX45" s="1">
        <f t="shared" ca="1" si="143"/>
        <v>0</v>
      </c>
      <c r="EY45" s="1">
        <f t="shared" ca="1" si="144"/>
        <v>0</v>
      </c>
      <c r="EZ45" s="1">
        <f t="shared" ca="1" si="145"/>
        <v>5.7276328251731319E-3</v>
      </c>
    </row>
    <row r="46" spans="1:156" x14ac:dyDescent="0.25">
      <c r="A46">
        <f t="shared" ca="1" si="103"/>
        <v>44</v>
      </c>
      <c r="B46" s="169">
        <f ca="1">IF('LC (Gross)'!A193="","",IF('LC (Gross)'!A193&gt;$AC$9,"",'LC (Gross)'!A193))</f>
        <v>41912</v>
      </c>
      <c r="C46" s="1">
        <f ca="1">IF(B46="","",(VLOOKUP(B46,'LC (Gross)'!A:D,4,FALSE)/100))</f>
        <v>-7.9296890184645998E-3</v>
      </c>
      <c r="D46" s="1">
        <f ca="1">IF(B46="","",(VLOOKUP(B46,'SC (Gross)'!A:D,4,FALSE))/100)</f>
        <v>-3.9399999999999998E-2</v>
      </c>
      <c r="E46" s="1">
        <f ca="1">IF(B46="","",(VLOOKUP(B46,'Global (Gross)'!A:D,4,FALSE)/100))</f>
        <v>-2.0799999999999999E-2</v>
      </c>
      <c r="F46" s="1"/>
      <c r="G46" s="1">
        <f ca="1">IF(B46="","",(VLOOKUP(B46,'LC (Net)'!A:D,4,FALSE)/100))</f>
        <v>-8.7463556851312668E-3</v>
      </c>
      <c r="H46" s="1">
        <f ca="1">IF(B46="","",(VLOOKUP(B46,'SC (Net)'!A:D,4,FALSE))/100)</f>
        <v>-3.9399999999999998E-2</v>
      </c>
      <c r="I46" s="1">
        <f ca="1">IF(B46="","",(VLOOKUP(B46,'Global (Net)'!A:D,4,FALSE)/100))</f>
        <v>-2.0799999999999999E-2</v>
      </c>
      <c r="J46" s="1"/>
      <c r="K46" s="1">
        <f ca="1">IF(B46="","",VLOOKUP(Website!B46,'LC (Gross)'!W:X,2,FALSE)/100)</f>
        <v>-8.6028701682969028E-3</v>
      </c>
      <c r="L46" s="1">
        <f ca="1">IF(B46="","",VLOOKUP(Website!B46,'SC (Gross)'!P:Q,2,FALSE)/100)</f>
        <v>-4.8691404329973383E-2</v>
      </c>
      <c r="M46" s="1">
        <f ca="1">IF(B46="","",VLOOKUP(Website!B46,'Global (Gross)'!P:Q,2,FALSE)/100)</f>
        <v>-2.2790808006963568E-2</v>
      </c>
      <c r="O46" s="1">
        <f ca="1">IF(B46="","",VLOOKUP(Website!B46,'LC (Gross)'!J:K,2,FALSE)/100)</f>
        <v>-1.4020945270779435E-2</v>
      </c>
      <c r="P46" s="233">
        <f ca="1">IF(B46="","",(VLOOKUP(B46,'SC (Gross)'!J:K,2,FALSE))/100)</f>
        <v>-6.0493826882581737E-2</v>
      </c>
      <c r="Q46" s="233">
        <f ca="1">IF(B46="","",(VLOOKUP(B46,'Global (Gross)'!J:K,2,FALSE)/100))</f>
        <v>-3.1960384709725946E-2</v>
      </c>
      <c r="S46" s="22">
        <f t="shared" ca="1" si="0"/>
        <v>6.0912562523148354E-3</v>
      </c>
      <c r="T46" s="22">
        <f t="shared" ca="1" si="1"/>
        <v>2.109382688258174E-2</v>
      </c>
      <c r="U46" s="22">
        <f t="shared" ca="1" si="2"/>
        <v>1.1160384709725947E-2</v>
      </c>
      <c r="V46" s="22"/>
      <c r="W46" s="22">
        <f t="shared" ca="1" si="100"/>
        <v>5.4180751024825325E-3</v>
      </c>
      <c r="X46" s="22">
        <f t="shared" ca="1" si="101"/>
        <v>1.1802422552608355E-2</v>
      </c>
      <c r="Y46" s="22">
        <f t="shared" ca="1" si="102"/>
        <v>9.1695767027623783E-3</v>
      </c>
      <c r="DR46">
        <f t="shared" ca="1" si="109"/>
        <v>163</v>
      </c>
      <c r="DS46" s="169">
        <f t="shared" ca="1" si="114"/>
        <v>45535</v>
      </c>
      <c r="DT46" s="1">
        <f t="shared" ca="1" si="115"/>
        <v>5.0407000699022798E-2</v>
      </c>
      <c r="DU46" s="1">
        <f t="shared" ca="1" si="116"/>
        <v>4.9884144927988247E-2</v>
      </c>
      <c r="DV46" s="1">
        <f t="shared" ca="1" si="117"/>
        <v>5.2126460000000006E-2</v>
      </c>
      <c r="DW46" s="1">
        <f t="shared" ca="1" si="118"/>
        <v>2.4257540000000001E-2</v>
      </c>
      <c r="DX46" s="1">
        <f t="shared" ca="1" si="119"/>
        <v>0</v>
      </c>
      <c r="DY46" s="1" t="e">
        <f t="shared" ca="1" si="120"/>
        <v>#N/A</v>
      </c>
      <c r="DZ46" s="1" t="e">
        <f t="shared" ca="1" si="121"/>
        <v>#N/A</v>
      </c>
      <c r="EA46" s="1">
        <f t="shared" ca="1" si="122"/>
        <v>-1.4953719999999998E-2</v>
      </c>
      <c r="EB46" s="1">
        <f t="shared" ca="1" si="123"/>
        <v>3.7140227881264122E-2</v>
      </c>
      <c r="EC46" s="1">
        <f t="shared" ca="1" si="124"/>
        <v>3.6476639369329274E-2</v>
      </c>
      <c r="ED46" s="1">
        <f t="shared" ca="1" si="125"/>
        <v>4.6167090000000001E-2</v>
      </c>
      <c r="EE46" s="1">
        <f t="shared" ca="1" si="126"/>
        <v>2.5737969999999999E-2</v>
      </c>
      <c r="EF46" s="1">
        <f t="shared" ca="1" si="127"/>
        <v>-1.7819979999999999E-2</v>
      </c>
      <c r="EG46" s="1">
        <f t="shared" ca="1" si="128"/>
        <v>-1.8844980000000001E-2</v>
      </c>
      <c r="EH46" s="1">
        <f t="shared" ca="1" si="129"/>
        <v>-1.4953719999999998E-2</v>
      </c>
      <c r="EJ46">
        <f t="shared" ca="1" si="110"/>
        <v>103</v>
      </c>
      <c r="EK46" s="169">
        <f t="shared" ca="1" si="130"/>
        <v>43708</v>
      </c>
      <c r="EL46" s="1">
        <f t="shared" ca="1" si="131"/>
        <v>9.077E-3</v>
      </c>
      <c r="EM46" s="1">
        <f t="shared" ca="1" si="132"/>
        <v>8.4580000000000002E-3</v>
      </c>
      <c r="EN46" s="1">
        <f t="shared" ca="1" si="133"/>
        <v>2.4347946344671131E-2</v>
      </c>
      <c r="EO46" s="1">
        <f t="shared" ca="1" si="134"/>
        <v>-1.5840069999999998E-2</v>
      </c>
      <c r="EP46" s="1">
        <f t="shared" ca="1" si="135"/>
        <v>-3.4944000000000003E-2</v>
      </c>
      <c r="EQ46" s="1">
        <f t="shared" ca="1" si="136"/>
        <v>-3.5466999999999999E-2</v>
      </c>
      <c r="ER46" s="1">
        <f t="shared" ca="1" si="137"/>
        <v>-2.5231217862442534E-2</v>
      </c>
      <c r="ES46" s="1">
        <f t="shared" ca="1" si="138"/>
        <v>-4.9388228429049989E-2</v>
      </c>
      <c r="ET46" s="1">
        <f t="shared" ca="1" si="139"/>
        <v>4.2570000000000004E-3</v>
      </c>
      <c r="EU46" s="1">
        <f t="shared" ca="1" si="140"/>
        <v>3.8890000000000001E-3</v>
      </c>
      <c r="EV46" s="1">
        <f t="shared" ca="1" si="141"/>
        <v>1.4560961806742698E-2</v>
      </c>
      <c r="EW46" s="1">
        <f t="shared" ca="1" si="142"/>
        <v>-2.3207909999999998E-2</v>
      </c>
      <c r="EX46" s="1">
        <f t="shared" ca="1" si="143"/>
        <v>0</v>
      </c>
      <c r="EY46" s="1">
        <f t="shared" ca="1" si="144"/>
        <v>0</v>
      </c>
      <c r="EZ46" s="1">
        <f t="shared" ca="1" si="145"/>
        <v>-4.9388228429049989E-2</v>
      </c>
    </row>
    <row r="47" spans="1:156" x14ac:dyDescent="0.25">
      <c r="A47">
        <f t="shared" ca="1" si="103"/>
        <v>45</v>
      </c>
      <c r="B47" s="169">
        <f ca="1">IF('LC (Gross)'!A194="","",IF('LC (Gross)'!A194&gt;$AC$9,"",'LC (Gross)'!A194))</f>
        <v>41943</v>
      </c>
      <c r="C47" s="1">
        <f ca="1">IF(B47="","",(VLOOKUP(B47,'LC (Gross)'!A:D,4,FALSE)/100))</f>
        <v>3.3169607843137223E-2</v>
      </c>
      <c r="D47" s="1">
        <f ca="1">IF(B47="","",(VLOOKUP(B47,'SC (Gross)'!A:D,4,FALSE))/100)</f>
        <v>0.10369999999999999</v>
      </c>
      <c r="E47" s="1">
        <f ca="1">IF(B47="","",(VLOOKUP(B47,'Global (Gross)'!A:D,4,FALSE)/100))</f>
        <v>2.9300000000000003E-2</v>
      </c>
      <c r="F47" s="1"/>
      <c r="G47" s="1">
        <f ca="1">IF(B47="","",(VLOOKUP(B47,'LC (Net)'!A:D,4,FALSE)/100))</f>
        <v>3.2352941176470557E-2</v>
      </c>
      <c r="H47" s="1">
        <f ca="1">IF(B47="","",(VLOOKUP(B47,'SC (Net)'!A:D,4,FALSE))/100)</f>
        <v>0.10369999999999999</v>
      </c>
      <c r="I47" s="1">
        <f ca="1">IF(B47="","",(VLOOKUP(B47,'Global (Net)'!A:D,4,FALSE)/100))</f>
        <v>2.9300000000000003E-2</v>
      </c>
      <c r="J47" s="1"/>
      <c r="K47" s="1">
        <f ca="1">IF(B47="","",VLOOKUP(Website!B47,'LC (Gross)'!W:X,2,FALSE)/100)</f>
        <v>4.940829493087559E-2</v>
      </c>
      <c r="L47" s="1">
        <f ca="1">IF(B47="","",VLOOKUP(Website!B47,'SC (Gross)'!P:Q,2,FALSE)/100)</f>
        <v>0.1001176451884708</v>
      </c>
      <c r="M47" s="1">
        <f ca="1">IF(B47="","",VLOOKUP(Website!B47,'Global (Gross)'!P:Q,2,FALSE)/100)</f>
        <v>3.1321225851347952E-2</v>
      </c>
      <c r="O47" s="1">
        <f ca="1">IF(B47="","",VLOOKUP(Website!B47,'LC (Gross)'!J:K,2,FALSE)/100)</f>
        <v>2.4420309995375748E-2</v>
      </c>
      <c r="P47" s="233">
        <f ca="1">IF(B47="","",(VLOOKUP(B47,'SC (Gross)'!J:K,2,FALSE))/100)</f>
        <v>6.5919147344933191E-2</v>
      </c>
      <c r="Q47" s="233">
        <f ca="1">IF(B47="","",(VLOOKUP(B47,'Global (Gross)'!J:K,2,FALSE)/100))</f>
        <v>7.3243500540315721E-3</v>
      </c>
      <c r="S47" s="22">
        <f t="shared" ca="1" si="0"/>
        <v>8.7492978477614752E-3</v>
      </c>
      <c r="T47" s="22">
        <f t="shared" ca="1" si="1"/>
        <v>3.7780852655066796E-2</v>
      </c>
      <c r="U47" s="22">
        <f t="shared" ca="1" si="2"/>
        <v>2.1975649945968432E-2</v>
      </c>
      <c r="V47" s="22"/>
      <c r="W47" s="22">
        <f t="shared" ca="1" si="100"/>
        <v>2.4987984935499842E-2</v>
      </c>
      <c r="X47" s="22">
        <f t="shared" ca="1" si="101"/>
        <v>3.4198497843537609E-2</v>
      </c>
      <c r="Y47" s="22">
        <f t="shared" ca="1" si="102"/>
        <v>2.399687579731638E-2</v>
      </c>
      <c r="DR47">
        <f t="shared" ca="1" si="109"/>
        <v>164</v>
      </c>
      <c r="DS47" s="169">
        <f t="shared" ca="1" si="114"/>
        <v>45565</v>
      </c>
      <c r="DT47" s="1">
        <f t="shared" ca="1" si="115"/>
        <v>4.1410713689470063E-3</v>
      </c>
      <c r="DU47" s="1">
        <f t="shared" ca="1" si="116"/>
        <v>3.6247302426418125E-3</v>
      </c>
      <c r="DV47" s="1">
        <f t="shared" ca="1" si="117"/>
        <v>1.059823E-2</v>
      </c>
      <c r="DW47" s="1">
        <f t="shared" ca="1" si="118"/>
        <v>2.1354150000000002E-2</v>
      </c>
      <c r="DX47" s="1">
        <f t="shared" ca="1" si="119"/>
        <v>0</v>
      </c>
      <c r="DY47" s="1" t="e">
        <f t="shared" ca="1" si="120"/>
        <v>#N/A</v>
      </c>
      <c r="DZ47" s="1" t="e">
        <f t="shared" ca="1" si="121"/>
        <v>#N/A</v>
      </c>
      <c r="EA47" s="1">
        <f t="shared" ca="1" si="122"/>
        <v>6.9889100000000001E-3</v>
      </c>
      <c r="EB47" s="1">
        <f t="shared" ca="1" si="123"/>
        <v>2.0445989999999992E-4</v>
      </c>
      <c r="EC47" s="1">
        <f t="shared" ca="1" si="124"/>
        <v>-4.9554010000000008E-4</v>
      </c>
      <c r="ED47" s="1">
        <f t="shared" ca="1" si="125"/>
        <v>1.028713E-2</v>
      </c>
      <c r="EE47" s="1">
        <f t="shared" ca="1" si="126"/>
        <v>2.3676279999999997E-2</v>
      </c>
      <c r="EF47" s="1">
        <f t="shared" ca="1" si="127"/>
        <v>1.3416570000000001E-2</v>
      </c>
      <c r="EG47" s="1">
        <f t="shared" ca="1" si="128"/>
        <v>1.2391570000000001E-2</v>
      </c>
      <c r="EH47" s="1">
        <f t="shared" ca="1" si="129"/>
        <v>6.9889100000000001E-3</v>
      </c>
      <c r="EJ47">
        <f t="shared" ca="1" si="110"/>
        <v>104</v>
      </c>
      <c r="EK47" s="169">
        <f t="shared" ca="1" si="130"/>
        <v>43738</v>
      </c>
      <c r="EL47" s="1">
        <f t="shared" ca="1" si="131"/>
        <v>1.0305E-2</v>
      </c>
      <c r="EM47" s="1">
        <f t="shared" ca="1" si="132"/>
        <v>9.6699999999999998E-3</v>
      </c>
      <c r="EN47" s="1">
        <f t="shared" ca="1" si="133"/>
        <v>2.2043600810949165E-2</v>
      </c>
      <c r="EO47" s="1">
        <f t="shared" ca="1" si="134"/>
        <v>1.871072E-2</v>
      </c>
      <c r="EP47" s="1">
        <f t="shared" ca="1" si="135"/>
        <v>4.1382000000000002E-2</v>
      </c>
      <c r="EQ47" s="1">
        <f t="shared" ca="1" si="136"/>
        <v>4.0861999999999996E-2</v>
      </c>
      <c r="ER47" s="1">
        <f t="shared" ca="1" si="137"/>
        <v>3.37305889798067E-2</v>
      </c>
      <c r="ES47" s="1">
        <f t="shared" ca="1" si="138"/>
        <v>2.0805680904424927E-2</v>
      </c>
      <c r="ET47" s="1">
        <f t="shared" ca="1" si="139"/>
        <v>1.5269999999999999E-2</v>
      </c>
      <c r="EU47" s="1">
        <f t="shared" ca="1" si="140"/>
        <v>1.4902E-2</v>
      </c>
      <c r="EV47" s="1">
        <f t="shared" ca="1" si="141"/>
        <v>1.1785595046831587E-2</v>
      </c>
      <c r="EW47" s="1">
        <f t="shared" ca="1" si="142"/>
        <v>2.1464979999999998E-2</v>
      </c>
      <c r="EX47" s="1">
        <f t="shared" ca="1" si="143"/>
        <v>0</v>
      </c>
      <c r="EY47" s="1">
        <f t="shared" ca="1" si="144"/>
        <v>0</v>
      </c>
      <c r="EZ47" s="1">
        <f t="shared" ca="1" si="145"/>
        <v>2.0805680904424927E-2</v>
      </c>
    </row>
    <row r="48" spans="1:156" x14ac:dyDescent="0.25">
      <c r="A48">
        <f t="shared" ca="1" si="103"/>
        <v>46</v>
      </c>
      <c r="B48" s="169">
        <f ca="1">IF('LC (Gross)'!A195="","",IF('LC (Gross)'!A195&gt;$AC$9,"",'LC (Gross)'!A195))</f>
        <v>41973</v>
      </c>
      <c r="C48" s="1">
        <f ca="1">IF(B48="","",(VLOOKUP(B48,'LC (Gross)'!A:D,4,FALSE)/100))</f>
        <v>4.2127207977207988E-2</v>
      </c>
      <c r="D48" s="1">
        <f ca="1">IF(B48="","",(VLOOKUP(B48,'SC (Gross)'!A:D,4,FALSE))/100)</f>
        <v>8.6999999999999994E-3</v>
      </c>
      <c r="E48" s="1">
        <f ca="1">IF(B48="","",(VLOOKUP(B48,'Global (Gross)'!A:D,4,FALSE)/100))</f>
        <v>2.35E-2</v>
      </c>
      <c r="F48" s="1"/>
      <c r="G48" s="1">
        <f ca="1">IF(B48="","",(VLOOKUP(B48,'LC (Net)'!A:D,4,FALSE)/100))</f>
        <v>4.1310541310541321E-2</v>
      </c>
      <c r="H48" s="1">
        <f ca="1">IF(B48="","",(VLOOKUP(B48,'SC (Net)'!A:D,4,FALSE))/100)</f>
        <v>8.6999999999999994E-3</v>
      </c>
      <c r="I48" s="1">
        <f ca="1">IF(B48="","",(VLOOKUP(B48,'Global (Net)'!A:D,4,FALSE)/100))</f>
        <v>2.35E-2</v>
      </c>
      <c r="J48" s="1"/>
      <c r="K48" s="1">
        <f ca="1">IF(B48="","",VLOOKUP(Website!B48,'LC (Gross)'!W:X,2,FALSE)/100)</f>
        <v>2.854635757970355E-2</v>
      </c>
      <c r="L48" s="1">
        <f ca="1">IF(B48="","",VLOOKUP(Website!B48,'SC (Gross)'!P:Q,2,FALSE)/100)</f>
        <v>-2.7601754373287979E-3</v>
      </c>
      <c r="M48" s="1">
        <f ca="1">IF(B48="","",VLOOKUP(Website!B48,'Global (Gross)'!P:Q,2,FALSE)/100)</f>
        <v>1.6920830039450031E-2</v>
      </c>
      <c r="O48" s="1">
        <f ca="1">IF(B48="","",VLOOKUP(Website!B48,'LC (Gross)'!J:K,2,FALSE)/100)</f>
        <v>2.6882268432619146E-2</v>
      </c>
      <c r="P48" s="233">
        <f ca="1">IF(B48="","",(VLOOKUP(B48,'SC (Gross)'!J:K,2,FALSE))/100)</f>
        <v>9.0243889280836997E-4</v>
      </c>
      <c r="Q48" s="233">
        <f ca="1">IF(B48="","",(VLOOKUP(B48,'Global (Gross)'!J:K,2,FALSE)/100))</f>
        <v>1.7273389282044048E-2</v>
      </c>
      <c r="S48" s="22">
        <f t="shared" ca="1" si="0"/>
        <v>1.5244939544588842E-2</v>
      </c>
      <c r="T48" s="22">
        <f t="shared" ca="1" si="1"/>
        <v>7.7975611071916294E-3</v>
      </c>
      <c r="U48" s="22">
        <f t="shared" ca="1" si="2"/>
        <v>6.2266107179559521E-3</v>
      </c>
      <c r="V48" s="22"/>
      <c r="W48" s="22">
        <f t="shared" ca="1" si="100"/>
        <v>1.6640891470844042E-3</v>
      </c>
      <c r="X48" s="22">
        <f t="shared" ca="1" si="101"/>
        <v>-3.6626143301371678E-3</v>
      </c>
      <c r="Y48" s="22">
        <f t="shared" ca="1" si="102"/>
        <v>-3.5255924259401661E-4</v>
      </c>
      <c r="DR48">
        <f t="shared" ca="1" si="109"/>
        <v>165</v>
      </c>
      <c r="DS48" s="169">
        <f t="shared" ca="1" si="114"/>
        <v>45596</v>
      </c>
      <c r="DT48" s="1">
        <f t="shared" ca="1" si="115"/>
        <v>-2.837943522339902E-2</v>
      </c>
      <c r="DU48" s="1">
        <f t="shared" ca="1" si="116"/>
        <v>-2.8920142538052706E-2</v>
      </c>
      <c r="DV48" s="1">
        <f t="shared" ca="1" si="117"/>
        <v>-8.7954690000000002E-3</v>
      </c>
      <c r="DW48" s="1">
        <f t="shared" ca="1" si="118"/>
        <v>-9.1531749999999995E-3</v>
      </c>
      <c r="DX48" s="1">
        <f t="shared" ca="1" si="119"/>
        <v>0</v>
      </c>
      <c r="DY48" s="1" t="e">
        <f t="shared" ca="1" si="120"/>
        <v>#N/A</v>
      </c>
      <c r="DZ48" s="1" t="e">
        <f t="shared" ca="1" si="121"/>
        <v>#N/A</v>
      </c>
      <c r="EA48" s="1">
        <f t="shared" ca="1" si="122"/>
        <v>-1.444409E-2</v>
      </c>
      <c r="EB48" s="1">
        <f t="shared" ca="1" si="123"/>
        <v>-3.4005010000000002E-2</v>
      </c>
      <c r="EC48" s="1">
        <f t="shared" ca="1" si="124"/>
        <v>-3.4705010000000001E-2</v>
      </c>
      <c r="ED48" s="1">
        <f t="shared" ca="1" si="125"/>
        <v>-2.4867189999999997E-2</v>
      </c>
      <c r="EE48" s="1">
        <f t="shared" ca="1" si="126"/>
        <v>-2.211631E-2</v>
      </c>
      <c r="EF48" s="1">
        <f t="shared" ca="1" si="127"/>
        <v>-2.8962759999999997E-2</v>
      </c>
      <c r="EG48" s="1">
        <f t="shared" ca="1" si="128"/>
        <v>-2.9987759999999999E-2</v>
      </c>
      <c r="EH48" s="1">
        <f t="shared" ca="1" si="129"/>
        <v>-1.444409E-2</v>
      </c>
      <c r="EJ48">
        <f t="shared" ca="1" si="110"/>
        <v>105</v>
      </c>
      <c r="EK48" s="169">
        <f t="shared" ca="1" si="130"/>
        <v>43769</v>
      </c>
      <c r="EL48" s="1">
        <f t="shared" ca="1" si="131"/>
        <v>-3.055E-3</v>
      </c>
      <c r="EM48" s="1">
        <f t="shared" ca="1" si="132"/>
        <v>-3.7000000000000002E-3</v>
      </c>
      <c r="EN48" s="1">
        <f t="shared" ca="1" si="133"/>
        <v>-3.7818312881583598E-3</v>
      </c>
      <c r="EO48" s="1">
        <f t="shared" ca="1" si="134"/>
        <v>2.1657300000000001E-2</v>
      </c>
      <c r="EP48" s="1">
        <f t="shared" ca="1" si="135"/>
        <v>1.6278000000000001E-2</v>
      </c>
      <c r="EQ48" s="1">
        <f t="shared" ca="1" si="136"/>
        <v>1.5744999999999999E-2</v>
      </c>
      <c r="ER48" s="1">
        <f t="shared" ca="1" si="137"/>
        <v>2.6747834872361292E-2</v>
      </c>
      <c r="ES48" s="1">
        <f t="shared" ca="1" si="138"/>
        <v>2.633634E-2</v>
      </c>
      <c r="ET48" s="1">
        <f t="shared" ca="1" si="139"/>
        <v>7.6000000000000004E-5</v>
      </c>
      <c r="EU48" s="1">
        <f t="shared" ca="1" si="140"/>
        <v>-9.2700000000000009E-4</v>
      </c>
      <c r="EV48" s="1">
        <f t="shared" ca="1" si="141"/>
        <v>1.0793504400695297E-2</v>
      </c>
      <c r="EW48" s="1">
        <f t="shared" ca="1" si="142"/>
        <v>2.7620949999999998E-2</v>
      </c>
      <c r="EX48" s="1">
        <f t="shared" ca="1" si="143"/>
        <v>0</v>
      </c>
      <c r="EY48" s="1">
        <f t="shared" ca="1" si="144"/>
        <v>0</v>
      </c>
      <c r="EZ48" s="1">
        <f t="shared" ca="1" si="145"/>
        <v>2.633634E-2</v>
      </c>
    </row>
    <row r="49" spans="1:156" x14ac:dyDescent="0.25">
      <c r="A49">
        <f t="shared" ca="1" si="103"/>
        <v>47</v>
      </c>
      <c r="B49" s="169">
        <f ca="1">IF('LC (Gross)'!A196="","",IF('LC (Gross)'!A196&gt;$AC$9,"",'LC (Gross)'!A196))</f>
        <v>42004</v>
      </c>
      <c r="C49" s="1">
        <f ca="1">IF(B49="","",(VLOOKUP(B49,'LC (Gross)'!A:D,4,FALSE)/100))</f>
        <v>8.5224666666666672E-4</v>
      </c>
      <c r="D49" s="1">
        <f ca="1">IF(B49="","",(VLOOKUP(B49,'SC (Gross)'!A:D,4,FALSE))/100)</f>
        <v>3.3500000000000002E-2</v>
      </c>
      <c r="E49" s="1">
        <f ca="1">IF(B49="","",(VLOOKUP(B49,'Global (Gross)'!A:D,4,FALSE)/100))</f>
        <v>-4.1000000000000003E-3</v>
      </c>
      <c r="F49" s="1"/>
      <c r="G49" s="1">
        <f ca="1">IF(B49="","",(VLOOKUP(B49,'LC (Net)'!A:D,4,FALSE)/100))</f>
        <v>3.5580000000000002E-5</v>
      </c>
      <c r="H49" s="1">
        <f ca="1">IF(B49="","",(VLOOKUP(B49,'SC (Net)'!A:D,4,FALSE))/100)</f>
        <v>3.3500000000000002E-2</v>
      </c>
      <c r="I49" s="1">
        <f ca="1">IF(B49="","",(VLOOKUP(B49,'Global (Net)'!A:D,4,FALSE)/100))</f>
        <v>-4.1000000000000003E-3</v>
      </c>
      <c r="J49" s="1"/>
      <c r="K49" s="1">
        <f ca="1">IF(B49="","",VLOOKUP(Website!B49,'LC (Gross)'!W:X,2,FALSE)/100)</f>
        <v>1.2122201138519856E-2</v>
      </c>
      <c r="L49" s="1">
        <f ca="1">IF(B49="","",VLOOKUP(Website!B49,'SC (Gross)'!P:Q,2,FALSE)/100)</f>
        <v>3.3402166431184946E-2</v>
      </c>
      <c r="M49" s="1">
        <f ca="1">IF(B49="","",VLOOKUP(Website!B49,'Global (Gross)'!P:Q,2,FALSE)/100)</f>
        <v>-4.7005782762923496E-3</v>
      </c>
      <c r="O49" s="1">
        <f ca="1">IF(B49="","",VLOOKUP(Website!B49,'LC (Gross)'!J:K,2,FALSE)/100)</f>
        <v>-2.5732260110186045E-3</v>
      </c>
      <c r="P49" s="233">
        <f ca="1">IF(B49="","",(VLOOKUP(B49,'SC (Gross)'!J:K,2,FALSE))/100)</f>
        <v>2.8498588871171827E-2</v>
      </c>
      <c r="Q49" s="233">
        <f ca="1">IF(B49="","",(VLOOKUP(B49,'Global (Gross)'!J:K,2,FALSE)/100))</f>
        <v>-1.8764197641083512E-2</v>
      </c>
      <c r="S49" s="22">
        <f t="shared" ca="1" si="0"/>
        <v>3.4254726776852713E-3</v>
      </c>
      <c r="T49" s="22">
        <f t="shared" ca="1" si="1"/>
        <v>5.0014111288281746E-3</v>
      </c>
      <c r="U49" s="22">
        <f t="shared" ca="1" si="2"/>
        <v>1.4664197641083513E-2</v>
      </c>
      <c r="V49" s="22"/>
      <c r="W49" s="22">
        <f t="shared" ca="1" si="100"/>
        <v>1.469542714953846E-2</v>
      </c>
      <c r="X49" s="22">
        <f t="shared" ca="1" si="101"/>
        <v>4.9035775600131185E-3</v>
      </c>
      <c r="Y49" s="22">
        <f t="shared" ca="1" si="102"/>
        <v>1.4063619364791162E-2</v>
      </c>
      <c r="DR49">
        <f t="shared" ca="1" si="109"/>
        <v>166</v>
      </c>
      <c r="DS49" s="169">
        <f t="shared" ca="1" si="114"/>
        <v>45626</v>
      </c>
      <c r="DT49" s="1">
        <f t="shared" ca="1" si="115"/>
        <v>7.127046480052722E-2</v>
      </c>
      <c r="DU49" s="1">
        <f t="shared" ca="1" si="116"/>
        <v>7.0755668790189269E-2</v>
      </c>
      <c r="DV49" s="1">
        <f t="shared" ca="1" si="117"/>
        <v>5.5308940000000001E-2</v>
      </c>
      <c r="DW49" s="1">
        <f t="shared" ca="1" si="118"/>
        <v>5.8699979999999999E-2</v>
      </c>
      <c r="DX49" s="1">
        <f t="shared" ca="1" si="119"/>
        <v>0</v>
      </c>
      <c r="DY49" s="1" t="e">
        <f t="shared" ca="1" si="120"/>
        <v>#N/A</v>
      </c>
      <c r="DZ49" s="1" t="e">
        <f t="shared" ca="1" si="121"/>
        <v>#N/A</v>
      </c>
      <c r="EA49" s="1">
        <f t="shared" ca="1" si="122"/>
        <v>0.10966110000000001</v>
      </c>
      <c r="EB49" s="1">
        <f t="shared" ca="1" si="123"/>
        <v>4.0504829999999999E-2</v>
      </c>
      <c r="EC49" s="1">
        <f t="shared" ca="1" si="124"/>
        <v>3.9804829999999999E-2</v>
      </c>
      <c r="ED49" s="1">
        <f t="shared" ca="1" si="125"/>
        <v>2.9571960000000001E-2</v>
      </c>
      <c r="EE49" s="1">
        <f t="shared" ca="1" si="126"/>
        <v>3.7734209999999997E-2</v>
      </c>
      <c r="EF49" s="1">
        <f t="shared" ca="1" si="127"/>
        <v>8.9668529999999982E-2</v>
      </c>
      <c r="EG49" s="1">
        <f t="shared" ca="1" si="128"/>
        <v>8.8643529999999998E-2</v>
      </c>
      <c r="EH49" s="1">
        <f t="shared" ca="1" si="129"/>
        <v>0.10966110000000001</v>
      </c>
      <c r="EJ49">
        <f t="shared" ca="1" si="110"/>
        <v>106</v>
      </c>
      <c r="EK49" s="169">
        <f t="shared" ca="1" si="130"/>
        <v>43799</v>
      </c>
      <c r="EL49" s="1">
        <f t="shared" ca="1" si="131"/>
        <v>2.0211E-2</v>
      </c>
      <c r="EM49" s="1">
        <f t="shared" ca="1" si="132"/>
        <v>1.9436999999999999E-2</v>
      </c>
      <c r="EN49" s="1">
        <f t="shared" ca="1" si="133"/>
        <v>4.5487515521080491E-4</v>
      </c>
      <c r="EO49" s="1">
        <f t="shared" ca="1" si="134"/>
        <v>3.6299899999999996E-2</v>
      </c>
      <c r="EP49" s="1">
        <f t="shared" ca="1" si="135"/>
        <v>1.2399E-2</v>
      </c>
      <c r="EQ49" s="1">
        <f t="shared" ca="1" si="136"/>
        <v>1.1524000000000001E-2</v>
      </c>
      <c r="ER49" s="1">
        <f t="shared" ca="1" si="137"/>
        <v>7.4425547350908785E-3</v>
      </c>
      <c r="ES49" s="1">
        <f t="shared" ca="1" si="138"/>
        <v>4.1039970911143836E-2</v>
      </c>
      <c r="ET49" s="1">
        <f t="shared" ca="1" si="139"/>
        <v>1.6138E-2</v>
      </c>
      <c r="EU49" s="1">
        <f t="shared" ca="1" si="140"/>
        <v>1.5698E-2</v>
      </c>
      <c r="EV49" s="1">
        <f t="shared" ca="1" si="141"/>
        <v>9.2091176881414728E-4</v>
      </c>
      <c r="EW49" s="1">
        <f t="shared" ca="1" si="142"/>
        <v>2.4884491648913109E-2</v>
      </c>
      <c r="EX49" s="1">
        <f t="shared" ca="1" si="143"/>
        <v>0</v>
      </c>
      <c r="EY49" s="1">
        <f t="shared" ca="1" si="144"/>
        <v>0</v>
      </c>
      <c r="EZ49" s="1">
        <f t="shared" ca="1" si="145"/>
        <v>4.1039970911143836E-2</v>
      </c>
    </row>
    <row r="50" spans="1:156" x14ac:dyDescent="0.25">
      <c r="A50">
        <f t="shared" ca="1" si="103"/>
        <v>48</v>
      </c>
      <c r="B50" s="169">
        <f ca="1">IF('LC (Gross)'!A197="","",IF('LC (Gross)'!A197&gt;$AC$9,"",'LC (Gross)'!A197))</f>
        <v>42035</v>
      </c>
      <c r="C50" s="1">
        <f ca="1">IF(B50="","",(VLOOKUP(B50,'LC (Gross)'!A:D,4,FALSE)/100))</f>
        <v>-1.1317523197715911E-2</v>
      </c>
      <c r="D50" s="1">
        <f ca="1">IF(B50="","",(VLOOKUP(B50,'SC (Gross)'!A:D,4,FALSE))/100)</f>
        <v>-2.2499999999999999E-2</v>
      </c>
      <c r="E50" s="1">
        <f ca="1">IF(B50="","",(VLOOKUP(B50,'Global (Gross)'!A:D,4,FALSE)/100))</f>
        <v>-4.3E-3</v>
      </c>
      <c r="F50" s="1"/>
      <c r="G50" s="1">
        <f ca="1">IF(B50="","",(VLOOKUP(B50,'LC (Net)'!A:D,4,FALSE)/100))</f>
        <v>-1.2134189864382578E-2</v>
      </c>
      <c r="H50" s="1">
        <f ca="1">IF(B50="","",(VLOOKUP(B50,'SC (Net)'!A:D,4,FALSE))/100)</f>
        <v>-2.2499999999999999E-2</v>
      </c>
      <c r="I50" s="1">
        <f ca="1">IF(B50="","",(VLOOKUP(B50,'Global (Net)'!A:D,4,FALSE)/100))</f>
        <v>-4.3E-3</v>
      </c>
      <c r="J50" s="1"/>
      <c r="K50" s="1">
        <f ca="1">IF(B50="","",VLOOKUP(Website!B50,'LC (Gross)'!W:X,2,FALSE)/100)</f>
        <v>-4.4297926239115597E-3</v>
      </c>
      <c r="L50" s="1">
        <f ca="1">IF(B50="","",VLOOKUP(Website!B50,'SC (Gross)'!P:Q,2,FALSE)/100)</f>
        <v>-1.3917616126205019E-2</v>
      </c>
      <c r="M50" s="1">
        <f ca="1">IF(B50="","",VLOOKUP(Website!B50,'Global (Gross)'!P:Q,2,FALSE)/100)</f>
        <v>1.4837134129739799E-2</v>
      </c>
      <c r="O50" s="1">
        <f ca="1">IF(B50="","",VLOOKUP(Website!B50,'LC (Gross)'!J:K,2,FALSE)/100)</f>
        <v>-3.0018337485743868E-2</v>
      </c>
      <c r="P50" s="233">
        <f ca="1">IF(B50="","",(VLOOKUP(B50,'SC (Gross)'!J:K,2,FALSE))/100)</f>
        <v>-3.2159753259148764E-2</v>
      </c>
      <c r="Q50" s="233">
        <f ca="1">IF(B50="","",(VLOOKUP(B50,'Global (Gross)'!J:K,2,FALSE)/100))</f>
        <v>-1.5364150474858958E-2</v>
      </c>
      <c r="S50" s="22">
        <f t="shared" ca="1" si="0"/>
        <v>1.8700814288027959E-2</v>
      </c>
      <c r="T50" s="22">
        <f t="shared" ca="1" si="1"/>
        <v>9.659753259148765E-3</v>
      </c>
      <c r="U50" s="22">
        <f t="shared" ca="1" si="2"/>
        <v>1.1064150474858958E-2</v>
      </c>
      <c r="V50" s="22"/>
      <c r="W50" s="22">
        <f t="shared" ca="1" si="100"/>
        <v>2.5588544861832308E-2</v>
      </c>
      <c r="X50" s="22">
        <f t="shared" ca="1" si="101"/>
        <v>1.8242137132943745E-2</v>
      </c>
      <c r="Y50" s="22">
        <f t="shared" ca="1" si="102"/>
        <v>3.0201284604598755E-2</v>
      </c>
      <c r="DR50">
        <f t="shared" ca="1" si="109"/>
        <v>167</v>
      </c>
      <c r="DS50" s="169">
        <f t="shared" ca="1" si="114"/>
        <v>45657</v>
      </c>
      <c r="DT50" s="1">
        <f t="shared" ca="1" si="115"/>
        <v>-4.7396585490156309E-2</v>
      </c>
      <c r="DU50" s="1">
        <f t="shared" ca="1" si="116"/>
        <v>-4.7917593802191495E-2</v>
      </c>
      <c r="DV50" s="1">
        <f t="shared" ca="1" si="117"/>
        <v>-6.2797260000000008E-2</v>
      </c>
      <c r="DW50" s="1">
        <f t="shared" ca="1" si="118"/>
        <v>-2.3912279999999998E-2</v>
      </c>
      <c r="DX50" s="1">
        <f t="shared" ca="1" si="119"/>
        <v>0</v>
      </c>
      <c r="DY50" s="1" t="e">
        <f t="shared" ca="1" si="120"/>
        <v>#N/A</v>
      </c>
      <c r="DZ50" s="1" t="e">
        <f t="shared" ca="1" si="121"/>
        <v>#N/A</v>
      </c>
      <c r="EA50" s="1">
        <f t="shared" ca="1" si="122"/>
        <v>-8.2611580000000004E-2</v>
      </c>
      <c r="EB50" s="1">
        <f t="shared" ca="1" si="123"/>
        <v>-3.837873E-2</v>
      </c>
      <c r="EC50" s="1">
        <f t="shared" ca="1" si="124"/>
        <v>-3.9078729999999999E-2</v>
      </c>
      <c r="ED50" s="1">
        <f t="shared" ca="1" si="125"/>
        <v>-3.7643549999999998E-2</v>
      </c>
      <c r="EE50" s="1">
        <f t="shared" ca="1" si="126"/>
        <v>-2.3337799999999999E-2</v>
      </c>
      <c r="EF50" s="1">
        <f t="shared" ca="1" si="127"/>
        <v>-8.7122210000000019E-2</v>
      </c>
      <c r="EG50" s="1">
        <f t="shared" ca="1" si="128"/>
        <v>-8.8147210000000004E-2</v>
      </c>
      <c r="EH50" s="1">
        <f t="shared" ca="1" si="129"/>
        <v>-8.2611580000000004E-2</v>
      </c>
      <c r="EJ50">
        <f t="shared" ca="1" si="110"/>
        <v>107</v>
      </c>
      <c r="EK50" s="169">
        <f t="shared" ca="1" si="130"/>
        <v>43830</v>
      </c>
      <c r="EL50" s="1">
        <f t="shared" ca="1" si="131"/>
        <v>2.0333E-2</v>
      </c>
      <c r="EM50" s="1">
        <f t="shared" ca="1" si="132"/>
        <v>1.9689999999999999E-2</v>
      </c>
      <c r="EN50" s="1">
        <f t="shared" ca="1" si="133"/>
        <v>1.7599526723614332E-2</v>
      </c>
      <c r="EO50" s="1">
        <f t="shared" ca="1" si="134"/>
        <v>3.0115039999999999E-2</v>
      </c>
      <c r="EP50" s="1">
        <f t="shared" ca="1" si="135"/>
        <v>1.6506E-2</v>
      </c>
      <c r="EQ50" s="1">
        <f t="shared" ca="1" si="136"/>
        <v>1.5955999999999998E-2</v>
      </c>
      <c r="ER50" s="1">
        <f t="shared" ca="1" si="137"/>
        <v>1.597122778554939E-2</v>
      </c>
      <c r="ES50" s="1">
        <f t="shared" ca="1" si="138"/>
        <v>2.8824800000000001E-2</v>
      </c>
      <c r="ET50" s="1">
        <f t="shared" ca="1" si="139"/>
        <v>2.2049610000000001E-2</v>
      </c>
      <c r="EU50" s="1">
        <f t="shared" ca="1" si="140"/>
        <v>2.1569999999999999E-2</v>
      </c>
      <c r="EV50" s="1">
        <f t="shared" ca="1" si="141"/>
        <v>1.8871198089818231E-2</v>
      </c>
      <c r="EW50" s="1">
        <f t="shared" ca="1" si="142"/>
        <v>3.5623201575041646E-2</v>
      </c>
      <c r="EX50" s="1">
        <f t="shared" ca="1" si="143"/>
        <v>0</v>
      </c>
      <c r="EY50" s="1">
        <f t="shared" ca="1" si="144"/>
        <v>0</v>
      </c>
      <c r="EZ50" s="1">
        <f t="shared" ca="1" si="145"/>
        <v>2.8824800000000001E-2</v>
      </c>
    </row>
    <row r="51" spans="1:156" x14ac:dyDescent="0.25">
      <c r="A51">
        <f t="shared" ca="1" si="103"/>
        <v>49</v>
      </c>
      <c r="B51" s="169">
        <f ca="1">IF('LC (Gross)'!A198="","",IF('LC (Gross)'!A198&gt;$AC$9,"",'LC (Gross)'!A198))</f>
        <v>42063</v>
      </c>
      <c r="C51" s="1">
        <f ca="1">IF(B51="","",(VLOOKUP(B51,'LC (Gross)'!A:D,4,FALSE)/100))</f>
        <v>3.1163487475915214E-2</v>
      </c>
      <c r="D51" s="1">
        <f ca="1">IF(B51="","",(VLOOKUP(B51,'SC (Gross)'!A:D,4,FALSE))/100)</f>
        <v>3.2199999999999999E-2</v>
      </c>
      <c r="E51" s="1">
        <f ca="1">IF(B51="","",(VLOOKUP(B51,'Global (Gross)'!A:D,4,FALSE)/100))</f>
        <v>1.67E-2</v>
      </c>
      <c r="F51" s="1"/>
      <c r="G51" s="1">
        <f ca="1">IF(B51="","",(VLOOKUP(B51,'LC (Net)'!A:D,4,FALSE)/100))</f>
        <v>3.034682080924855E-2</v>
      </c>
      <c r="H51" s="1">
        <f ca="1">IF(B51="","",(VLOOKUP(B51,'SC (Net)'!A:D,4,FALSE))/100)</f>
        <v>3.2199999999999999E-2</v>
      </c>
      <c r="I51" s="1">
        <f ca="1">IF(B51="","",(VLOOKUP(B51,'Global (Net)'!A:D,4,FALSE)/100))</f>
        <v>1.67E-2</v>
      </c>
      <c r="J51" s="1"/>
      <c r="K51" s="1">
        <f ca="1">IF(B51="","",VLOOKUP(Website!B51,'LC (Gross)'!W:X,2,FALSE)/100)</f>
        <v>1.5215085675718821E-2</v>
      </c>
      <c r="L51" s="1">
        <f ca="1">IF(B51="","",VLOOKUP(Website!B51,'SC (Gross)'!P:Q,2,FALSE)/100)</f>
        <v>1.7555460750853118E-2</v>
      </c>
      <c r="M51" s="1">
        <f ca="1">IF(B51="","",VLOOKUP(Website!B51,'Global (Gross)'!P:Q,2,FALSE)/100)</f>
        <v>2.7375830299716478E-2</v>
      </c>
      <c r="O51" s="1">
        <f ca="1">IF(B51="","",VLOOKUP(Website!B51,'LC (Gross)'!J:K,2,FALSE)/100)</f>
        <v>5.7470113655331431E-2</v>
      </c>
      <c r="P51" s="233">
        <f ca="1">IF(B51="","",(VLOOKUP(B51,'SC (Gross)'!J:K,2,FALSE))/100)</f>
        <v>5.9366466793778522E-2</v>
      </c>
      <c r="Q51" s="233">
        <f ca="1">IF(B51="","",(VLOOKUP(B51,'Global (Gross)'!J:K,2,FALSE)/100))</f>
        <v>5.6143616728353711E-2</v>
      </c>
      <c r="S51" s="22">
        <f t="shared" ca="1" si="0"/>
        <v>-2.6306626179416218E-2</v>
      </c>
      <c r="T51" s="22">
        <f t="shared" ca="1" si="1"/>
        <v>-2.7166466793778522E-2</v>
      </c>
      <c r="U51" s="22">
        <f t="shared" ca="1" si="2"/>
        <v>-3.9443616728353711E-2</v>
      </c>
      <c r="V51" s="22"/>
      <c r="W51" s="22">
        <f t="shared" ca="1" si="100"/>
        <v>-4.2255027979612614E-2</v>
      </c>
      <c r="X51" s="22">
        <f t="shared" ca="1" si="101"/>
        <v>-4.1811006042925404E-2</v>
      </c>
      <c r="Y51" s="22">
        <f t="shared" ca="1" si="102"/>
        <v>-2.8767786428637233E-2</v>
      </c>
      <c r="DR51">
        <f t="shared" ca="1" si="109"/>
        <v>168</v>
      </c>
      <c r="DS51" s="169">
        <f t="shared" ca="1" si="114"/>
        <v>45688</v>
      </c>
      <c r="DT51" s="1">
        <f t="shared" ca="1" si="115"/>
        <v>4.4176273945455528E-2</v>
      </c>
      <c r="DU51" s="1">
        <f t="shared" ca="1" si="116"/>
        <v>4.3370980910674733E-2</v>
      </c>
      <c r="DV51" s="1">
        <f t="shared" ca="1" si="117"/>
        <v>2.0867730000000001E-2</v>
      </c>
      <c r="DW51" s="1">
        <f t="shared" ca="1" si="118"/>
        <v>2.7792780000000003E-2</v>
      </c>
      <c r="DX51" s="1" t="e">
        <f t="shared" ca="1" si="119"/>
        <v>#N/A</v>
      </c>
      <c r="DY51" s="1" t="e">
        <f t="shared" ca="1" si="120"/>
        <v>#N/A</v>
      </c>
      <c r="DZ51" s="1" t="e">
        <f t="shared" ca="1" si="121"/>
        <v>#N/A</v>
      </c>
      <c r="EA51" s="1">
        <f t="shared" ca="1" si="122"/>
        <v>2.6219139999999998E-2</v>
      </c>
      <c r="EB51" s="1">
        <f t="shared" ca="1" si="123"/>
        <v>2.593962E-2</v>
      </c>
      <c r="EC51" s="1">
        <f t="shared" ca="1" si="124"/>
        <v>2.5239620000000001E-2</v>
      </c>
      <c r="ED51" s="1">
        <f t="shared" ca="1" si="125"/>
        <v>2.6802619999999999E-2</v>
      </c>
      <c r="EE51" s="1">
        <f t="shared" ca="1" si="126"/>
        <v>3.3814129999999998E-2</v>
      </c>
      <c r="EF51" s="1">
        <f t="shared" ca="1" si="127"/>
        <v>4.1609420000000001E-2</v>
      </c>
      <c r="EG51" s="1">
        <f t="shared" ca="1" si="128"/>
        <v>4.0584420000000003E-2</v>
      </c>
      <c r="EH51" s="1">
        <f t="shared" ca="1" si="129"/>
        <v>2.6219139999999998E-2</v>
      </c>
      <c r="EJ51">
        <f t="shared" ca="1" si="110"/>
        <v>108</v>
      </c>
      <c r="EK51" s="169">
        <f t="shared" ca="1" si="130"/>
        <v>43861</v>
      </c>
      <c r="EL51" s="1">
        <f t="shared" ca="1" si="131"/>
        <v>1.7665E-2</v>
      </c>
      <c r="EM51" s="1">
        <f t="shared" ca="1" si="132"/>
        <v>1.7004999999999999E-2</v>
      </c>
      <c r="EN51" s="1">
        <f t="shared" ca="1" si="133"/>
        <v>3.0699283991019038E-2</v>
      </c>
      <c r="EO51" s="1">
        <f t="shared" ca="1" si="134"/>
        <v>-4.393706E-4</v>
      </c>
      <c r="EP51" s="1">
        <f t="shared" ca="1" si="135"/>
        <v>-3.0228000000000001E-2</v>
      </c>
      <c r="EQ51" s="1">
        <f t="shared" ca="1" si="136"/>
        <v>-3.0786999999999998E-2</v>
      </c>
      <c r="ER51" s="1">
        <f t="shared" ca="1" si="137"/>
        <v>-2.464141827677082E-2</v>
      </c>
      <c r="ES51" s="1">
        <f t="shared" ca="1" si="138"/>
        <v>-3.2096710000000001E-2</v>
      </c>
      <c r="ET51" s="1">
        <f t="shared" ca="1" si="139"/>
        <v>1.0735E-2</v>
      </c>
      <c r="EU51" s="1">
        <f t="shared" ca="1" si="140"/>
        <v>9.6460000000000001E-3</v>
      </c>
      <c r="EV51" s="1">
        <f t="shared" ca="1" si="141"/>
        <v>1.4263776849507243E-2</v>
      </c>
      <c r="EW51" s="1">
        <f t="shared" ca="1" si="142"/>
        <v>-1.0770090000000001E-2</v>
      </c>
      <c r="EX51" s="1">
        <f t="shared" ca="1" si="143"/>
        <v>0</v>
      </c>
      <c r="EY51" s="1">
        <f t="shared" ca="1" si="144"/>
        <v>0</v>
      </c>
      <c r="EZ51" s="1">
        <f t="shared" ca="1" si="145"/>
        <v>-3.2096710000000001E-2</v>
      </c>
    </row>
    <row r="52" spans="1:156" x14ac:dyDescent="0.25">
      <c r="A52">
        <f t="shared" ca="1" si="103"/>
        <v>50</v>
      </c>
      <c r="B52" s="169">
        <f ca="1">IF('LC (Gross)'!A199="","",IF('LC (Gross)'!A199&gt;$AC$9,"",'LC (Gross)'!A199))</f>
        <v>42094</v>
      </c>
      <c r="C52" s="1">
        <f ca="1">IF(B52="","",(VLOOKUP(B52,'LC (Gross)'!A:D,4,FALSE)/100))</f>
        <v>-6.1959560542309243E-3</v>
      </c>
      <c r="D52" s="1">
        <f ca="1">IF(B52="","",(VLOOKUP(B52,'SC (Gross)'!A:D,4,FALSE))/100)</f>
        <v>2.3E-2</v>
      </c>
      <c r="E52" s="1">
        <f ca="1">IF(B52="","",(VLOOKUP(B52,'Global (Gross)'!A:D,4,FALSE)/100))</f>
        <v>-1.2800000000000001E-2</v>
      </c>
      <c r="F52" s="1"/>
      <c r="G52" s="1">
        <f ca="1">IF(B52="","",(VLOOKUP(B52,'LC (Net)'!A:D,4,FALSE)/100))</f>
        <v>-7.0126227208975912E-3</v>
      </c>
      <c r="H52" s="1">
        <f ca="1">IF(B52="","",(VLOOKUP(B52,'SC (Net)'!A:D,4,FALSE))/100)</f>
        <v>2.3E-2</v>
      </c>
      <c r="I52" s="1">
        <f ca="1">IF(B52="","",(VLOOKUP(B52,'Global (Net)'!A:D,4,FALSE)/100))</f>
        <v>-1.2800000000000001E-2</v>
      </c>
      <c r="J52" s="1"/>
      <c r="K52" s="1">
        <f ca="1">IF(B52="","",VLOOKUP(Website!B52,'LC (Gross)'!W:X,2,FALSE)/100)</f>
        <v>-3.4857760600342617E-3</v>
      </c>
      <c r="L52" s="1">
        <f ca="1">IF(B52="","",VLOOKUP(Website!B52,'SC (Gross)'!P:Q,2,FALSE)/100)</f>
        <v>1.835663724853083E-2</v>
      </c>
      <c r="M52" s="1">
        <f ca="1">IF(B52="","",VLOOKUP(Website!B52,'Global (Gross)'!P:Q,2,FALSE)/100)</f>
        <v>-1.5554107851410634E-3</v>
      </c>
      <c r="O52" s="1">
        <f ca="1">IF(B52="","",VLOOKUP(Website!B52,'LC (Gross)'!J:K,2,FALSE)/100)</f>
        <v>-1.5811659792919264E-2</v>
      </c>
      <c r="P52" s="233">
        <f ca="1">IF(B52="","",(VLOOKUP(B52,'SC (Gross)'!J:K,2,FALSE))/100)</f>
        <v>1.7420488950149301E-2</v>
      </c>
      <c r="Q52" s="233">
        <f ca="1">IF(B52="","",(VLOOKUP(B52,'Global (Gross)'!J:K,2,FALSE)/100))</f>
        <v>-1.475725759740446E-2</v>
      </c>
      <c r="S52" s="22">
        <f t="shared" ca="1" si="0"/>
        <v>9.6157037386883394E-3</v>
      </c>
      <c r="T52" s="22">
        <f t="shared" ca="1" si="1"/>
        <v>5.5795110498506988E-3</v>
      </c>
      <c r="U52" s="22">
        <f t="shared" ca="1" si="2"/>
        <v>1.9572575974044597E-3</v>
      </c>
      <c r="V52" s="22"/>
      <c r="W52" s="22">
        <f t="shared" ca="1" si="100"/>
        <v>1.2325883732885002E-2</v>
      </c>
      <c r="X52" s="22">
        <f t="shared" ca="1" si="101"/>
        <v>9.3614829838152905E-4</v>
      </c>
      <c r="Y52" s="22">
        <f t="shared" ca="1" si="102"/>
        <v>1.3201846812263397E-2</v>
      </c>
      <c r="DR52">
        <f t="shared" ca="1" si="109"/>
        <v>169</v>
      </c>
      <c r="DS52" s="169">
        <f t="shared" ca="1" si="114"/>
        <v>45716</v>
      </c>
      <c r="DT52" s="1">
        <f t="shared" ca="1" si="115"/>
        <v>-9.4939776271251407E-3</v>
      </c>
      <c r="DU52" s="1">
        <f t="shared" ca="1" si="116"/>
        <v>-1.0010633566326886E-2</v>
      </c>
      <c r="DV52" s="1">
        <f t="shared" ca="1" si="117"/>
        <v>4.6701800000000002E-2</v>
      </c>
      <c r="DW52" s="1">
        <f t="shared" ca="1" si="118"/>
        <v>-1.304958E-2</v>
      </c>
      <c r="DX52" s="1" t="e">
        <f t="shared" ca="1" si="119"/>
        <v>#N/A</v>
      </c>
      <c r="DY52" s="1" t="e">
        <f t="shared" ca="1" si="120"/>
        <v>#N/A</v>
      </c>
      <c r="DZ52" s="1" t="e">
        <f t="shared" ca="1" si="121"/>
        <v>#N/A</v>
      </c>
      <c r="EA52" s="1">
        <f t="shared" ca="1" si="122"/>
        <v>-5.3509830000000001E-2</v>
      </c>
      <c r="EB52" s="1">
        <f t="shared" ca="1" si="123"/>
        <v>1.347657E-2</v>
      </c>
      <c r="EC52" s="1">
        <f t="shared" ca="1" si="124"/>
        <v>1.2776570000000001E-2</v>
      </c>
      <c r="ED52" s="1">
        <f t="shared" ca="1" si="125"/>
        <v>2.4719690000000002E-2</v>
      </c>
      <c r="EE52" s="1">
        <f t="shared" ca="1" si="126"/>
        <v>-5.7200150000000002E-3</v>
      </c>
      <c r="EF52" s="1">
        <f t="shared" ca="1" si="127"/>
        <v>-5.6697309999999994E-2</v>
      </c>
      <c r="EG52" s="1">
        <f t="shared" ca="1" si="128"/>
        <v>-5.7722309999999999E-2</v>
      </c>
      <c r="EH52" s="1">
        <f t="shared" ca="1" si="129"/>
        <v>-5.3509830000000001E-2</v>
      </c>
      <c r="EJ52">
        <f t="shared" ca="1" si="110"/>
        <v>109</v>
      </c>
      <c r="EK52" s="169">
        <f t="shared" ca="1" si="130"/>
        <v>43890</v>
      </c>
      <c r="EL52" s="1">
        <f t="shared" ca="1" si="131"/>
        <v>-7.6582999999999998E-2</v>
      </c>
      <c r="EM52" s="1">
        <f t="shared" ca="1" si="132"/>
        <v>-7.7355000000000007E-2</v>
      </c>
      <c r="EN52" s="1">
        <f t="shared" ca="1" si="133"/>
        <v>-9.5284760497232487E-2</v>
      </c>
      <c r="EO52" s="1">
        <f t="shared" ca="1" si="134"/>
        <v>-8.2321380000000013E-2</v>
      </c>
      <c r="EP52" s="1">
        <f t="shared" ca="1" si="135"/>
        <v>-9.7119999999999998E-2</v>
      </c>
      <c r="EQ52" s="1">
        <f t="shared" ca="1" si="136"/>
        <v>-9.8003999999999994E-2</v>
      </c>
      <c r="ER52" s="1">
        <f t="shared" ca="1" si="137"/>
        <v>-8.7916402151759152E-2</v>
      </c>
      <c r="ES52" s="1">
        <f t="shared" ca="1" si="138"/>
        <v>-8.4235100000000007E-2</v>
      </c>
      <c r="ET52" s="1">
        <f t="shared" ca="1" si="139"/>
        <v>-7.3333999999999996E-2</v>
      </c>
      <c r="EU52" s="1">
        <f t="shared" ca="1" si="140"/>
        <v>-7.3845999999999995E-2</v>
      </c>
      <c r="EV52" s="1">
        <f t="shared" ca="1" si="141"/>
        <v>-7.6531399910817061E-2</v>
      </c>
      <c r="EW52" s="1">
        <f t="shared" ca="1" si="142"/>
        <v>-8.0440470000000014E-2</v>
      </c>
      <c r="EX52" s="1">
        <f t="shared" ca="1" si="143"/>
        <v>0</v>
      </c>
      <c r="EY52" s="1">
        <f t="shared" ca="1" si="144"/>
        <v>0</v>
      </c>
      <c r="EZ52" s="1">
        <f t="shared" ca="1" si="145"/>
        <v>-8.4235100000000007E-2</v>
      </c>
    </row>
    <row r="53" spans="1:156" x14ac:dyDescent="0.25">
      <c r="A53">
        <f t="shared" ca="1" si="103"/>
        <v>51</v>
      </c>
      <c r="B53" s="169">
        <f ca="1">IF('LC (Gross)'!A200="","",IF('LC (Gross)'!A200&gt;$AC$9,"",'LC (Gross)'!A200))</f>
        <v>42124</v>
      </c>
      <c r="C53" s="1">
        <f ca="1">IF(B53="","",(VLOOKUP(B53,'LC (Gross)'!A:D,4,FALSE)/100))</f>
        <v>-1.3307627118644017E-2</v>
      </c>
      <c r="D53" s="1">
        <f ca="1">IF(B53="","",(VLOOKUP(B53,'SC (Gross)'!A:D,4,FALSE))/100)</f>
        <v>-3.6699999999999997E-2</v>
      </c>
      <c r="E53" s="1">
        <f ca="1">IF(B53="","",(VLOOKUP(B53,'Global (Gross)'!A:D,4,FALSE)/100))</f>
        <v>2.2099999999999998E-2</v>
      </c>
      <c r="F53" s="1"/>
      <c r="G53" s="1">
        <f ca="1">IF(B53="","",(VLOOKUP(B53,'LC (Net)'!A:D,4,FALSE)/100))</f>
        <v>-1.4124293785310684E-2</v>
      </c>
      <c r="H53" s="1">
        <f ca="1">IF(B53="","",(VLOOKUP(B53,'SC (Net)'!A:D,4,FALSE))/100)</f>
        <v>-3.6699999999999997E-2</v>
      </c>
      <c r="I53" s="1">
        <f ca="1">IF(B53="","",(VLOOKUP(B53,'Global (Net)'!A:D,4,FALSE)/100))</f>
        <v>2.2099999999999998E-2</v>
      </c>
      <c r="J53" s="1"/>
      <c r="K53" s="1">
        <f ca="1">IF(B53="","",VLOOKUP(Website!B53,'LC (Gross)'!W:X,2,FALSE)/100)</f>
        <v>-1.9785341736997059E-2</v>
      </c>
      <c r="L53" s="1">
        <f ca="1">IF(B53="","",VLOOKUP(Website!B53,'SC (Gross)'!P:Q,2,FALSE)/100)</f>
        <v>-3.6627875061755424E-2</v>
      </c>
      <c r="M53" s="1">
        <f ca="1">IF(B53="","",VLOOKUP(Website!B53,'Global (Gross)'!P:Q,2,FALSE)/100)</f>
        <v>1.7847608417659155E-2</v>
      </c>
      <c r="O53" s="1">
        <f ca="1">IF(B53="","",VLOOKUP(Website!B53,'LC (Gross)'!J:K,2,FALSE)/100)</f>
        <v>9.5901070467064135E-3</v>
      </c>
      <c r="P53" s="233">
        <f ca="1">IF(B53="","",(VLOOKUP(B53,'SC (Gross)'!J:K,2,FALSE))/100)</f>
        <v>-2.5502843863635615E-2</v>
      </c>
      <c r="Q53" s="233">
        <f ca="1">IF(B53="","",(VLOOKUP(B53,'Global (Gross)'!J:K,2,FALSE)/100))</f>
        <v>2.9354884312032786E-2</v>
      </c>
      <c r="S53" s="22">
        <f t="shared" ca="1" si="0"/>
        <v>-2.2897734165350431E-2</v>
      </c>
      <c r="T53" s="22">
        <f t="shared" ca="1" si="1"/>
        <v>-1.1197156136364381E-2</v>
      </c>
      <c r="U53" s="22">
        <f t="shared" ca="1" si="2"/>
        <v>-7.2548843120327881E-3</v>
      </c>
      <c r="V53" s="22"/>
      <c r="W53" s="22">
        <f t="shared" ca="1" si="100"/>
        <v>-2.9375448783703472E-2</v>
      </c>
      <c r="X53" s="22">
        <f t="shared" ca="1" si="101"/>
        <v>-1.1125031198119809E-2</v>
      </c>
      <c r="Y53" s="22">
        <f t="shared" ca="1" si="102"/>
        <v>-1.1507275894373632E-2</v>
      </c>
      <c r="DR53">
        <f t="shared" ca="1" si="109"/>
        <v>170</v>
      </c>
      <c r="DS53" s="169">
        <f t="shared" ca="1" si="114"/>
        <v>45747</v>
      </c>
      <c r="DT53" s="1">
        <f t="shared" ca="1" si="115"/>
        <v>-1.6133805033496641E-2</v>
      </c>
      <c r="DU53" s="1">
        <f t="shared" ca="1" si="116"/>
        <v>-1.6640538144661043E-2</v>
      </c>
      <c r="DV53" s="1">
        <f t="shared" ca="1" si="117"/>
        <v>3.8105159999999999E-3</v>
      </c>
      <c r="DW53" s="1">
        <f t="shared" ca="1" si="118"/>
        <v>-5.6343949999999997E-2</v>
      </c>
      <c r="DX53" s="1" t="e">
        <f t="shared" ca="1" si="119"/>
        <v>#N/A</v>
      </c>
      <c r="DY53" s="1" t="e">
        <f t="shared" ca="1" si="120"/>
        <v>#N/A</v>
      </c>
      <c r="DZ53" s="1" t="e">
        <f t="shared" ca="1" si="121"/>
        <v>#N/A</v>
      </c>
      <c r="EA53" s="1">
        <f t="shared" ca="1" si="122"/>
        <v>-6.8090390000000001E-2</v>
      </c>
      <c r="EB53" s="1">
        <f t="shared" ca="1" si="123"/>
        <v>5.0076920000000002E-3</v>
      </c>
      <c r="EC53" s="1">
        <f t="shared" ca="1" si="124"/>
        <v>4.3076920000000001E-3</v>
      </c>
      <c r="ED53" s="1">
        <f t="shared" ca="1" si="125"/>
        <v>1.072357E-2</v>
      </c>
      <c r="EE53" s="1">
        <f t="shared" ca="1" si="126"/>
        <v>-3.8918849999999998E-2</v>
      </c>
      <c r="EF53" s="1">
        <f t="shared" ca="1" si="127"/>
        <v>-4.9637250000000001E-2</v>
      </c>
      <c r="EG53" s="1">
        <f t="shared" ca="1" si="128"/>
        <v>-5.0662249999999999E-2</v>
      </c>
      <c r="EH53" s="1">
        <f t="shared" ca="1" si="129"/>
        <v>-6.8090390000000001E-2</v>
      </c>
      <c r="EJ53">
        <f t="shared" ca="1" si="110"/>
        <v>110</v>
      </c>
      <c r="EK53" s="169">
        <f t="shared" ca="1" si="130"/>
        <v>43921</v>
      </c>
      <c r="EL53" s="1">
        <f t="shared" ca="1" si="131"/>
        <v>-0.11947800000000001</v>
      </c>
      <c r="EM53" s="1">
        <f t="shared" ca="1" si="132"/>
        <v>-0.12012600000000001</v>
      </c>
      <c r="EN53" s="1">
        <f t="shared" ca="1" si="133"/>
        <v>-0.13104456212566201</v>
      </c>
      <c r="EO53" s="1">
        <f t="shared" ca="1" si="134"/>
        <v>-0.12351200000000001</v>
      </c>
      <c r="EP53" s="1">
        <f t="shared" ca="1" si="135"/>
        <v>-0.210091</v>
      </c>
      <c r="EQ53" s="1">
        <f t="shared" ca="1" si="136"/>
        <v>-0.210672</v>
      </c>
      <c r="ER53" s="1">
        <f t="shared" ca="1" si="137"/>
        <v>-0.25378923171323653</v>
      </c>
      <c r="ES53" s="1">
        <f t="shared" ca="1" si="138"/>
        <v>-0.21728459999999999</v>
      </c>
      <c r="ET53" s="1">
        <f t="shared" ca="1" si="139"/>
        <v>-0.138182</v>
      </c>
      <c r="EU53" s="1">
        <f t="shared" ca="1" si="140"/>
        <v>-0.13869400000000001</v>
      </c>
      <c r="EV53" s="1">
        <f t="shared" ca="1" si="141"/>
        <v>-0.10186571421120906</v>
      </c>
      <c r="EW53" s="1">
        <f t="shared" ca="1" si="142"/>
        <v>-0.1344024028483046</v>
      </c>
      <c r="EX53" s="1">
        <f t="shared" ca="1" si="143"/>
        <v>0</v>
      </c>
      <c r="EY53" s="1">
        <f t="shared" ca="1" si="144"/>
        <v>0</v>
      </c>
      <c r="EZ53" s="1">
        <f t="shared" ca="1" si="145"/>
        <v>-0.21728459999999999</v>
      </c>
    </row>
    <row r="54" spans="1:156" x14ac:dyDescent="0.25">
      <c r="A54">
        <f t="shared" ca="1" si="103"/>
        <v>52</v>
      </c>
      <c r="B54" s="169">
        <f ca="1">IF('LC (Gross)'!A201="","",IF('LC (Gross)'!A201&gt;$AC$9,"",'LC (Gross)'!A201))</f>
        <v>42155</v>
      </c>
      <c r="C54" s="1">
        <f ca="1">IF(B54="","",(VLOOKUP(B54,'LC (Gross)'!A:D,4,FALSE)/100))</f>
        <v>1.0845319961795519E-2</v>
      </c>
      <c r="D54" s="1">
        <f ca="1">IF(B54="","",(VLOOKUP(B54,'SC (Gross)'!A:D,4,FALSE))/100)</f>
        <v>1.8000000000000002E-2</v>
      </c>
      <c r="E54" s="1">
        <f ca="1">IF(B54="","",(VLOOKUP(B54,'Global (Gross)'!A:D,4,FALSE)/100))</f>
        <v>-9.1000000000000004E-3</v>
      </c>
      <c r="F54" s="1"/>
      <c r="G54" s="1">
        <f ca="1">IF(B54="","",(VLOOKUP(B54,'LC (Net)'!A:D,4,FALSE)/100))</f>
        <v>1.0028653295128854E-2</v>
      </c>
      <c r="H54" s="1">
        <f ca="1">IF(B54="","",(VLOOKUP(B54,'SC (Net)'!A:D,4,FALSE))/100)</f>
        <v>1.8000000000000002E-2</v>
      </c>
      <c r="I54" s="1">
        <f ca="1">IF(B54="","",(VLOOKUP(B54,'Global (Net)'!A:D,4,FALSE)/100))</f>
        <v>-9.1000000000000004E-3</v>
      </c>
      <c r="J54" s="1"/>
      <c r="K54" s="1">
        <f ca="1">IF(B54="","",VLOOKUP(Website!B54,'LC (Gross)'!W:X,2,FALSE)/100)</f>
        <v>9.4052983231192981E-3</v>
      </c>
      <c r="L54" s="1">
        <f ca="1">IF(B54="","",VLOOKUP(Website!B54,'SC (Gross)'!P:Q,2,FALSE)/100)</f>
        <v>4.5228564509465297E-3</v>
      </c>
      <c r="M54" s="1">
        <f ca="1">IF(B54="","",VLOOKUP(Website!B54,'Global (Gross)'!P:Q,2,FALSE)/100)</f>
        <v>-1.0069186796058598E-2</v>
      </c>
      <c r="O54" s="1">
        <f ca="1">IF(B54="","",VLOOKUP(Website!B54,'LC (Gross)'!J:K,2,FALSE)/100)</f>
        <v>1.2861229340560991E-2</v>
      </c>
      <c r="P54" s="233">
        <f ca="1">IF(B54="","",(VLOOKUP(B54,'SC (Gross)'!J:K,2,FALSE))/100)</f>
        <v>2.2830562424304077E-2</v>
      </c>
      <c r="Q54" s="233">
        <f ca="1">IF(B54="","",(VLOOKUP(B54,'Global (Gross)'!J:K,2,FALSE)/100))</f>
        <v>-6.1679122166133349E-4</v>
      </c>
      <c r="S54" s="22">
        <f t="shared" ca="1" si="0"/>
        <v>-2.0159093787654719E-3</v>
      </c>
      <c r="T54" s="22">
        <f t="shared" ca="1" si="1"/>
        <v>-4.8305624243040746E-3</v>
      </c>
      <c r="U54" s="22">
        <f t="shared" ca="1" si="2"/>
        <v>-8.4832087783386669E-3</v>
      </c>
      <c r="V54" s="22"/>
      <c r="W54" s="22">
        <f t="shared" ca="1" si="100"/>
        <v>-3.4559310174416928E-3</v>
      </c>
      <c r="X54" s="22">
        <f t="shared" ca="1" si="101"/>
        <v>-1.8307705973357548E-2</v>
      </c>
      <c r="Y54" s="22">
        <f t="shared" ca="1" si="102"/>
        <v>-9.4523955743972647E-3</v>
      </c>
      <c r="DR54">
        <f t="shared" ca="1" si="109"/>
        <v>171</v>
      </c>
      <c r="DS54" s="169">
        <f t="shared" ca="1" si="114"/>
        <v>45777</v>
      </c>
      <c r="DT54" s="1">
        <f t="shared" ca="1" si="115"/>
        <v>-1.7007119457187261E-2</v>
      </c>
      <c r="DU54" s="1">
        <f t="shared" ca="1" si="116"/>
        <v>-1.782123317791387E-2</v>
      </c>
      <c r="DV54" s="1">
        <f t="shared" ca="1" si="117"/>
        <v>-2.311651E-2</v>
      </c>
      <c r="DW54" s="1">
        <f t="shared" ca="1" si="118"/>
        <v>-6.781306E-3</v>
      </c>
      <c r="DX54" s="1" t="e">
        <f t="shared" ca="1" si="119"/>
        <v>#N/A</v>
      </c>
      <c r="DY54" s="1" t="e">
        <f t="shared" ca="1" si="120"/>
        <v>#N/A</v>
      </c>
      <c r="DZ54" s="1" t="e">
        <f t="shared" ca="1" si="121"/>
        <v>#N/A</v>
      </c>
      <c r="EA54" s="1">
        <f t="shared" ca="1" si="122"/>
        <v>-2.3113199999999997E-2</v>
      </c>
      <c r="EB54" s="1">
        <f t="shared" ca="1" si="123"/>
        <v>-2.1911760000000002E-4</v>
      </c>
      <c r="EC54" s="1">
        <f t="shared" ca="1" si="124"/>
        <v>-9.1911759999999999E-4</v>
      </c>
      <c r="ED54" s="1">
        <f t="shared" ca="1" si="125"/>
        <v>7.6429169999999999E-3</v>
      </c>
      <c r="EE54" s="1">
        <f t="shared" ca="1" si="126"/>
        <v>9.7781580000000003E-3</v>
      </c>
      <c r="EF54" s="1">
        <f t="shared" ca="1" si="127"/>
        <v>-2.0600390000000003E-2</v>
      </c>
      <c r="EG54" s="1">
        <f t="shared" ca="1" si="128"/>
        <v>-2.1625390000000001E-2</v>
      </c>
      <c r="EH54" s="1">
        <f t="shared" ca="1" si="129"/>
        <v>-2.3113199999999997E-2</v>
      </c>
      <c r="EJ54">
        <f t="shared" ca="1" si="110"/>
        <v>111</v>
      </c>
      <c r="EK54" s="169">
        <f t="shared" ca="1" si="130"/>
        <v>43951</v>
      </c>
      <c r="EL54" s="1">
        <f t="shared" ca="1" si="131"/>
        <v>8.4589999999999999E-2</v>
      </c>
      <c r="EM54" s="1">
        <f t="shared" ca="1" si="132"/>
        <v>8.3940000000000001E-2</v>
      </c>
      <c r="EN54" s="1">
        <f t="shared" ca="1" si="133"/>
        <v>6.7019478266053326E-2</v>
      </c>
      <c r="EO54" s="1">
        <f t="shared" ca="1" si="134"/>
        <v>0.1281939</v>
      </c>
      <c r="EP54" s="1">
        <f t="shared" ca="1" si="135"/>
        <v>5.3794000000000002E-2</v>
      </c>
      <c r="EQ54" s="1">
        <f t="shared" ca="1" si="136"/>
        <v>5.3211000000000001E-2</v>
      </c>
      <c r="ER54" s="1">
        <f t="shared" ca="1" si="137"/>
        <v>5.6627740720058405E-2</v>
      </c>
      <c r="ES54" s="1">
        <f t="shared" ca="1" si="138"/>
        <v>0.13736280000000001</v>
      </c>
      <c r="ET54" s="1">
        <f t="shared" ca="1" si="139"/>
        <v>8.0314999999999998E-2</v>
      </c>
      <c r="EU54" s="1">
        <f t="shared" ca="1" si="140"/>
        <v>7.8602000000000005E-2</v>
      </c>
      <c r="EV54" s="1">
        <f t="shared" ca="1" si="141"/>
        <v>7.565603501768968E-2</v>
      </c>
      <c r="EW54" s="1">
        <f t="shared" ca="1" si="142"/>
        <v>0.10782130000000001</v>
      </c>
      <c r="EX54" s="1">
        <f t="shared" ca="1" si="143"/>
        <v>0</v>
      </c>
      <c r="EY54" s="1">
        <f t="shared" ca="1" si="144"/>
        <v>0</v>
      </c>
      <c r="EZ54" s="1">
        <f t="shared" ca="1" si="145"/>
        <v>0.13736280000000001</v>
      </c>
    </row>
    <row r="55" spans="1:156" x14ac:dyDescent="0.25">
      <c r="A55">
        <f t="shared" ca="1" si="103"/>
        <v>53</v>
      </c>
      <c r="B55" s="169">
        <f ca="1">IF('LC (Gross)'!A202="","",IF('LC (Gross)'!A202&gt;$AC$9,"",'LC (Gross)'!A202))</f>
        <v>42185</v>
      </c>
      <c r="C55" s="1">
        <f ca="1">IF(B55="","",(VLOOKUP(B55,'LC (Gross)'!A:D,4,FALSE)/100))</f>
        <v>-1.8332269503546068E-2</v>
      </c>
      <c r="D55" s="1">
        <f ca="1">IF(B55="","",(VLOOKUP(B55,'SC (Gross)'!A:D,4,FALSE))/100)</f>
        <v>1.15E-2</v>
      </c>
      <c r="E55" s="1">
        <f ca="1">IF(B55="","",(VLOOKUP(B55,'Global (Gross)'!A:D,4,FALSE)/100))</f>
        <v>-2.4199999999999999E-2</v>
      </c>
      <c r="F55" s="1"/>
      <c r="G55" s="1">
        <f ca="1">IF(B55="","",(VLOOKUP(B55,'LC (Net)'!A:D,4,FALSE)/100))</f>
        <v>-1.9148936170212735E-2</v>
      </c>
      <c r="H55" s="1">
        <f ca="1">IF(B55="","",(VLOOKUP(B55,'SC (Net)'!A:D,4,FALSE))/100)</f>
        <v>1.15E-2</v>
      </c>
      <c r="I55" s="1">
        <f ca="1">IF(B55="","",(VLOOKUP(B55,'Global (Net)'!A:D,4,FALSE)/100))</f>
        <v>-2.4199999999999999E-2</v>
      </c>
      <c r="J55" s="1"/>
      <c r="K55" s="1">
        <f ca="1">IF(B55="","",VLOOKUP(Website!B55,'LC (Gross)'!W:X,2,FALSE)/100)</f>
        <v>-1.7730048146024423E-2</v>
      </c>
      <c r="L55" s="1">
        <f ca="1">IF(B55="","",VLOOKUP(Website!B55,'SC (Gross)'!P:Q,2,FALSE)/100)</f>
        <v>1.1330681471712307E-2</v>
      </c>
      <c r="M55" s="1">
        <f ca="1">IF(B55="","",VLOOKUP(Website!B55,'Global (Gross)'!P:Q,2,FALSE)/100)</f>
        <v>-2.2776889082447682E-2</v>
      </c>
      <c r="O55" s="1">
        <f ca="1">IF(B55="","",VLOOKUP(Website!B55,'LC (Gross)'!J:K,2,FALSE)/100)</f>
        <v>-1.9358188264035552E-2</v>
      </c>
      <c r="P55" s="233">
        <f ca="1">IF(B55="","",(VLOOKUP(B55,'SC (Gross)'!J:K,2,FALSE))/100)</f>
        <v>7.4882261871327925E-3</v>
      </c>
      <c r="Q55" s="233">
        <f ca="1">IF(B55="","",(VLOOKUP(B55,'Global (Gross)'!J:K,2,FALSE)/100))</f>
        <v>-2.3054046922851401E-2</v>
      </c>
      <c r="S55" s="22">
        <f t="shared" ca="1" si="0"/>
        <v>1.0259187604894845E-3</v>
      </c>
      <c r="T55" s="22">
        <f t="shared" ca="1" si="1"/>
        <v>4.0117738128672073E-3</v>
      </c>
      <c r="U55" s="22">
        <f t="shared" ca="1" si="2"/>
        <v>-1.1459530771485982E-3</v>
      </c>
      <c r="V55" s="22"/>
      <c r="W55" s="22">
        <f t="shared" ca="1" si="100"/>
        <v>1.6281401180111288E-3</v>
      </c>
      <c r="X55" s="22">
        <f t="shared" ca="1" si="101"/>
        <v>3.8424552845795143E-3</v>
      </c>
      <c r="Y55" s="22">
        <f t="shared" ca="1" si="102"/>
        <v>2.7715784040371894E-4</v>
      </c>
      <c r="DR55">
        <f t="shared" ca="1" si="109"/>
        <v>172</v>
      </c>
      <c r="DS55" s="169">
        <f t="shared" ca="1" si="114"/>
        <v>45808</v>
      </c>
      <c r="DT55" s="1">
        <f t="shared" ca="1" si="115"/>
        <v>1.698246054546064E-2</v>
      </c>
      <c r="DU55" s="1">
        <f t="shared" ca="1" si="116"/>
        <v>1.6469021635570558E-2</v>
      </c>
      <c r="DV55" s="1">
        <f t="shared" ca="1" si="117"/>
        <v>1.1138459999999999E-2</v>
      </c>
      <c r="DW55" s="1">
        <f t="shared" ca="1" si="118"/>
        <v>6.2946189999999999E-2</v>
      </c>
      <c r="DX55" s="1" t="e">
        <f t="shared" ca="1" si="119"/>
        <v>#N/A</v>
      </c>
      <c r="DY55" s="1" t="e">
        <f t="shared" ca="1" si="120"/>
        <v>#N/A</v>
      </c>
      <c r="DZ55" s="1" t="e">
        <f t="shared" ca="1" si="121"/>
        <v>#N/A</v>
      </c>
      <c r="EA55" s="1">
        <f t="shared" ca="1" si="122"/>
        <v>5.3393110000000001E-2</v>
      </c>
      <c r="EB55" s="1">
        <f t="shared" ca="1" si="123"/>
        <v>2.0019230000000002E-2</v>
      </c>
      <c r="EC55" s="1">
        <f t="shared" ca="1" si="124"/>
        <v>1.931923E-2</v>
      </c>
      <c r="ED55" s="1">
        <f t="shared" ca="1" si="125"/>
        <v>1.2818030000000001E-2</v>
      </c>
      <c r="EE55" s="1">
        <f t="shared" ca="1" si="126"/>
        <v>5.8145300000000004E-2</v>
      </c>
      <c r="EF55" s="1">
        <f t="shared" ca="1" si="127"/>
        <v>5.271841E-2</v>
      </c>
      <c r="EG55" s="1">
        <f t="shared" ca="1" si="128"/>
        <v>5.1693410000000002E-2</v>
      </c>
      <c r="EH55" s="1">
        <f t="shared" ca="1" si="129"/>
        <v>5.3393110000000001E-2</v>
      </c>
      <c r="EJ55">
        <f t="shared" ca="1" si="110"/>
        <v>112</v>
      </c>
      <c r="EK55" s="169">
        <f t="shared" ca="1" si="130"/>
        <v>43982</v>
      </c>
      <c r="EL55" s="1">
        <f t="shared" ca="1" si="131"/>
        <v>5.6333000000000001E-2</v>
      </c>
      <c r="EM55" s="1">
        <f t="shared" ca="1" si="132"/>
        <v>5.5545999999999998E-2</v>
      </c>
      <c r="EN55" s="1">
        <f t="shared" ca="1" si="133"/>
        <v>3.9197317941725837E-3</v>
      </c>
      <c r="EO55" s="1">
        <f t="shared" ca="1" si="134"/>
        <v>4.7629910000000004E-2</v>
      </c>
      <c r="EP55" s="1">
        <f t="shared" ca="1" si="135"/>
        <v>5.3324999999999997E-2</v>
      </c>
      <c r="EQ55" s="1">
        <f t="shared" ca="1" si="136"/>
        <v>5.2351999999999996E-2</v>
      </c>
      <c r="ER55" s="1">
        <f t="shared" ca="1" si="137"/>
        <v>-4.4532978680155787E-2</v>
      </c>
      <c r="ES55" s="1">
        <f t="shared" ca="1" si="138"/>
        <v>6.5074660000000006E-2</v>
      </c>
      <c r="ET55" s="1">
        <f t="shared" ca="1" si="139"/>
        <v>3.7398000000000001E-2</v>
      </c>
      <c r="EU55" s="1">
        <f t="shared" ca="1" si="140"/>
        <v>3.6785999999999999E-2</v>
      </c>
      <c r="EV55" s="1">
        <f t="shared" ca="1" si="141"/>
        <v>2.2675633674621283E-2</v>
      </c>
      <c r="EW55" s="1">
        <f t="shared" ca="1" si="142"/>
        <v>4.4068219999999998E-2</v>
      </c>
      <c r="EX55" s="1">
        <f t="shared" ca="1" si="143"/>
        <v>0</v>
      </c>
      <c r="EY55" s="1">
        <f t="shared" ca="1" si="144"/>
        <v>0</v>
      </c>
      <c r="EZ55" s="1">
        <f t="shared" ca="1" si="145"/>
        <v>6.5074660000000006E-2</v>
      </c>
    </row>
    <row r="56" spans="1:156" x14ac:dyDescent="0.25">
      <c r="A56">
        <f t="shared" ca="1" si="103"/>
        <v>54</v>
      </c>
      <c r="B56" s="169">
        <f ca="1">IF('LC (Gross)'!A203="","",IF('LC (Gross)'!A203&gt;$AC$9,"",'LC (Gross)'!A203))</f>
        <v>42216</v>
      </c>
      <c r="C56" s="1">
        <f ca="1">IF(B56="","",(VLOOKUP(B56,'LC (Gross)'!A:D,4,FALSE)/100))</f>
        <v>4.7092877801880012E-2</v>
      </c>
      <c r="D56" s="1">
        <f ca="1">IF(B56="","",(VLOOKUP(B56,'SC (Gross)'!A:D,4,FALSE))/100)</f>
        <v>9.1000000000000004E-3</v>
      </c>
      <c r="E56" s="1">
        <f ca="1">IF(B56="","",(VLOOKUP(B56,'Global (Gross)'!A:D,4,FALSE)/100))</f>
        <v>3.2300000000000002E-2</v>
      </c>
      <c r="F56" s="1"/>
      <c r="G56" s="1">
        <f ca="1">IF(B56="","",(VLOOKUP(B56,'LC (Net)'!A:D,4,FALSE)/100))</f>
        <v>4.6276211135213338E-2</v>
      </c>
      <c r="H56" s="1">
        <f ca="1">IF(B56="","",(VLOOKUP(B56,'SC (Net)'!A:D,4,FALSE))/100)</f>
        <v>9.1000000000000004E-3</v>
      </c>
      <c r="I56" s="1">
        <f ca="1">IF(B56="","",(VLOOKUP(B56,'Global (Net)'!A:D,4,FALSE)/100))</f>
        <v>3.2300000000000002E-2</v>
      </c>
      <c r="J56" s="1"/>
      <c r="K56" s="1">
        <f ca="1">IF(B56="","",VLOOKUP(Website!B56,'LC (Gross)'!W:X,2,FALSE)/100)</f>
        <v>4.3381932149607068E-2</v>
      </c>
      <c r="L56" s="1">
        <f ca="1">IF(B56="","",VLOOKUP(Website!B56,'SC (Gross)'!P:Q,2,FALSE)/100)</f>
        <v>1.8397122645147274E-2</v>
      </c>
      <c r="M56" s="1">
        <f ca="1">IF(B56="","",VLOOKUP(Website!B56,'Global (Gross)'!P:Q,2,FALSE)/100)</f>
        <v>2.2051795356349123E-2</v>
      </c>
      <c r="O56" s="1">
        <f ca="1">IF(B56="","",VLOOKUP(Website!B56,'LC (Gross)'!J:K,2,FALSE)/100)</f>
        <v>2.0954396522417248E-2</v>
      </c>
      <c r="P56" s="233">
        <f ca="1">IF(B56="","",(VLOOKUP(B56,'SC (Gross)'!J:K,2,FALSE))/100)</f>
        <v>-1.1619530266059153E-2</v>
      </c>
      <c r="Q56" s="233">
        <f ca="1">IF(B56="","",(VLOOKUP(B56,'Global (Gross)'!J:K,2,FALSE)/100))</f>
        <v>9.0381619214768404E-3</v>
      </c>
      <c r="S56" s="22">
        <f t="shared" ca="1" si="0"/>
        <v>2.6138481279462764E-2</v>
      </c>
      <c r="T56" s="22">
        <f t="shared" ca="1" si="1"/>
        <v>2.0719530266059154E-2</v>
      </c>
      <c r="U56" s="22">
        <f t="shared" ca="1" si="2"/>
        <v>2.326183807852316E-2</v>
      </c>
      <c r="V56" s="22"/>
      <c r="W56" s="22">
        <f t="shared" ca="1" si="100"/>
        <v>2.2427535627189819E-2</v>
      </c>
      <c r="X56" s="22">
        <f t="shared" ca="1" si="101"/>
        <v>3.0016652911206428E-2</v>
      </c>
      <c r="Y56" s="22">
        <f t="shared" ca="1" si="102"/>
        <v>1.3013633434872282E-2</v>
      </c>
      <c r="DR56">
        <f t="shared" ca="1" si="109"/>
        <v>173</v>
      </c>
      <c r="DS56" s="169">
        <f t="shared" ca="1" si="114"/>
        <v>45838</v>
      </c>
      <c r="DT56" s="1">
        <f t="shared" ca="1" si="115"/>
        <v>4.8357748879533612E-3</v>
      </c>
      <c r="DU56" s="1">
        <f t="shared" ca="1" si="116"/>
        <v>4.329401489169782E-3</v>
      </c>
      <c r="DV56" s="1">
        <f t="shared" ca="1" si="117"/>
        <v>-7.5421139999999999E-3</v>
      </c>
      <c r="DW56" s="1">
        <f t="shared" ca="1" si="118"/>
        <v>5.0848299999999999E-2</v>
      </c>
      <c r="DX56" s="1" t="e">
        <f t="shared" ca="1" si="119"/>
        <v>#N/A</v>
      </c>
      <c r="DY56" s="1" t="e">
        <f t="shared" ca="1" si="120"/>
        <v>#N/A</v>
      </c>
      <c r="DZ56" s="1" t="e">
        <f t="shared" ca="1" si="121"/>
        <v>#N/A</v>
      </c>
      <c r="EA56" s="1">
        <f t="shared" ca="1" si="122"/>
        <v>5.4339259999999993E-2</v>
      </c>
      <c r="EB56" s="1">
        <f t="shared" ca="1" si="123"/>
        <v>1.122948E-2</v>
      </c>
      <c r="EC56" s="1">
        <f t="shared" ca="1" si="124"/>
        <v>1.0529480000000001E-2</v>
      </c>
      <c r="ED56" s="1">
        <f t="shared" ca="1" si="125"/>
        <v>1.007893E-2</v>
      </c>
      <c r="EE56" s="1">
        <f t="shared" ca="1" si="126"/>
        <v>4.5320140000000002E-2</v>
      </c>
      <c r="EF56" s="1">
        <f t="shared" ca="1" si="127"/>
        <v>4.1024999999999999E-2</v>
      </c>
      <c r="EG56" s="1">
        <f t="shared" ca="1" si="128"/>
        <v>0.04</v>
      </c>
      <c r="EH56" s="1">
        <f t="shared" ca="1" si="129"/>
        <v>5.4339259999999993E-2</v>
      </c>
      <c r="EJ56">
        <f t="shared" ca="1" si="110"/>
        <v>113</v>
      </c>
      <c r="EK56" s="169">
        <f t="shared" ca="1" si="130"/>
        <v>44012</v>
      </c>
      <c r="EL56" s="1">
        <f t="shared" ca="1" si="131"/>
        <v>6.012E-3</v>
      </c>
      <c r="EM56" s="1">
        <f t="shared" ca="1" si="132"/>
        <v>5.3820000000000005E-3</v>
      </c>
      <c r="EN56" s="1">
        <f t="shared" ca="1" si="133"/>
        <v>-3.8408277505518657E-3</v>
      </c>
      <c r="EO56" s="1">
        <f t="shared" ca="1" si="134"/>
        <v>1.9887180000000001E-2</v>
      </c>
      <c r="EP56" s="1">
        <f t="shared" ca="1" si="135"/>
        <v>5.2039999999999994E-3</v>
      </c>
      <c r="EQ56" s="1">
        <f t="shared" ca="1" si="136"/>
        <v>4.5970000000000004E-3</v>
      </c>
      <c r="ER56" s="1">
        <f t="shared" ca="1" si="137"/>
        <v>1.5323458080829591E-2</v>
      </c>
      <c r="ES56" s="1">
        <f t="shared" ca="1" si="138"/>
        <v>3.5346200000000001E-2</v>
      </c>
      <c r="ET56" s="1">
        <f t="shared" ca="1" si="139"/>
        <v>6.5269999999999998E-3</v>
      </c>
      <c r="EU56" s="1">
        <f t="shared" ca="1" si="140"/>
        <v>5.9670000000000001E-3</v>
      </c>
      <c r="EV56" s="1">
        <f t="shared" ca="1" si="141"/>
        <v>-5.3534040552333749E-4</v>
      </c>
      <c r="EW56" s="1">
        <f t="shared" ca="1" si="142"/>
        <v>3.2419301230355579E-2</v>
      </c>
      <c r="EX56" s="1">
        <f t="shared" ca="1" si="143"/>
        <v>0</v>
      </c>
      <c r="EY56" s="1">
        <f t="shared" ca="1" si="144"/>
        <v>0</v>
      </c>
      <c r="EZ56" s="1">
        <f t="shared" ca="1" si="145"/>
        <v>3.5346200000000001E-2</v>
      </c>
    </row>
    <row r="57" spans="1:156" x14ac:dyDescent="0.25">
      <c r="A57">
        <f t="shared" ca="1" si="103"/>
        <v>55</v>
      </c>
      <c r="B57" s="169">
        <f ca="1">IF('LC (Gross)'!A204="","",IF('LC (Gross)'!A204&gt;$AC$9,"",'LC (Gross)'!A204))</f>
        <v>42247</v>
      </c>
      <c r="C57" s="1">
        <f ca="1">IF(B57="","",(VLOOKUP(B57,'LC (Gross)'!A:D,4,FALSE)/100))</f>
        <v>-4.6868198571757745E-2</v>
      </c>
      <c r="D57" s="1">
        <f ca="1">IF(B57="","",(VLOOKUP(B57,'SC (Gross)'!A:D,4,FALSE))/100)</f>
        <v>-4.1399999999999999E-2</v>
      </c>
      <c r="E57" s="1">
        <f ca="1">IF(B57="","",(VLOOKUP(B57,'Global (Gross)'!A:D,4,FALSE)/100))</f>
        <v>-4.6199999999999998E-2</v>
      </c>
      <c r="F57" s="1"/>
      <c r="G57" s="1">
        <f ca="1">IF(B57="","",(VLOOKUP(B57,'LC (Net)'!A:D,4,FALSE)/100))</f>
        <v>-4.7684865238424419E-2</v>
      </c>
      <c r="H57" s="1">
        <f ca="1">IF(B57="","",(VLOOKUP(B57,'SC (Net)'!A:D,4,FALSE))/100)</f>
        <v>-4.1399999999999999E-2</v>
      </c>
      <c r="I57" s="1">
        <f ca="1">IF(B57="","",(VLOOKUP(B57,'Global (Net)'!A:D,4,FALSE)/100))</f>
        <v>-4.6199999999999998E-2</v>
      </c>
      <c r="J57" s="1"/>
      <c r="K57" s="1">
        <f ca="1">IF(B57="","",VLOOKUP(Website!B57,'LC (Gross)'!W:X,2,FALSE)/100)</f>
        <v>-4.905061896999862E-2</v>
      </c>
      <c r="L57" s="1">
        <f ca="1">IF(B57="","",VLOOKUP(Website!B57,'SC (Gross)'!P:Q,2,FALSE)/100)</f>
        <v>-4.8762521083611531E-2</v>
      </c>
      <c r="M57" s="1">
        <f ca="1">IF(B57="","",VLOOKUP(Website!B57,'Global (Gross)'!P:Q,2,FALSE)/100)</f>
        <v>-5.0812044577185363E-2</v>
      </c>
      <c r="O57" s="1">
        <f ca="1">IF(B57="","",VLOOKUP(Website!B57,'LC (Gross)'!J:K,2,FALSE)/100)</f>
        <v>-6.0338140445487153E-2</v>
      </c>
      <c r="P57" s="233">
        <f ca="1">IF(B57="","",(VLOOKUP(B57,'SC (Gross)'!J:K,2,FALSE))/100)</f>
        <v>-6.2840456545254345E-2</v>
      </c>
      <c r="Q57" s="233">
        <f ca="1">IF(B57="","",(VLOOKUP(B57,'Global (Gross)'!J:K,2,FALSE)/100))</f>
        <v>-6.8078439586629694E-2</v>
      </c>
      <c r="S57" s="22">
        <f t="shared" ca="1" si="0"/>
        <v>1.3469941873729407E-2</v>
      </c>
      <c r="T57" s="22">
        <f t="shared" ca="1" si="1"/>
        <v>2.1440456545254345E-2</v>
      </c>
      <c r="U57" s="22">
        <f t="shared" ca="1" si="2"/>
        <v>2.1878439586629696E-2</v>
      </c>
      <c r="V57" s="22"/>
      <c r="W57" s="22">
        <f t="shared" ca="1" si="100"/>
        <v>1.1287521475488532E-2</v>
      </c>
      <c r="X57" s="22">
        <f t="shared" ca="1" si="101"/>
        <v>1.4077935461642814E-2</v>
      </c>
      <c r="Y57" s="22">
        <f t="shared" ca="1" si="102"/>
        <v>1.7266395009444331E-2</v>
      </c>
      <c r="DR57">
        <f t="shared" ca="1" si="109"/>
        <v>174</v>
      </c>
      <c r="DS57" s="169">
        <f t="shared" ca="1" si="114"/>
        <v>45869</v>
      </c>
      <c r="DT57" s="1">
        <f t="shared" ca="1" si="115"/>
        <v>-3.5865398435556781E-3</v>
      </c>
      <c r="DU57" s="1">
        <f t="shared" ca="1" si="116"/>
        <v>-4.3939681521318963E-3</v>
      </c>
      <c r="DV57" s="1">
        <f t="shared" ca="1" si="117"/>
        <v>-2.9140759999999998E-3</v>
      </c>
      <c r="DW57" s="1">
        <f t="shared" ca="1" si="118"/>
        <v>2.2442899999999998E-2</v>
      </c>
      <c r="DX57" s="1" t="e">
        <f t="shared" ca="1" si="119"/>
        <v>#N/A</v>
      </c>
      <c r="DY57" s="1" t="e">
        <f t="shared" ca="1" si="120"/>
        <v>#N/A</v>
      </c>
      <c r="DZ57" s="1" t="e">
        <f t="shared" ca="1" si="121"/>
        <v>#N/A</v>
      </c>
      <c r="EA57" s="1">
        <f t="shared" ca="1" si="122"/>
        <v>1.7346760000000003E-2</v>
      </c>
      <c r="EB57" s="1">
        <f t="shared" ca="1" si="123"/>
        <v>-2.5795980000000003E-2</v>
      </c>
      <c r="EC57" s="1">
        <f t="shared" ca="1" si="124"/>
        <v>-2.6495980000000002E-2</v>
      </c>
      <c r="ED57" s="1">
        <f t="shared" ca="1" si="125"/>
        <v>-1.6278600000000001E-2</v>
      </c>
      <c r="EE57" s="1">
        <f t="shared" ca="1" si="126"/>
        <v>1.3846879999999999E-2</v>
      </c>
      <c r="EF57" s="1">
        <f t="shared" ca="1" si="127"/>
        <v>8.8476860000000004E-3</v>
      </c>
      <c r="EG57" s="1">
        <f t="shared" ca="1" si="128"/>
        <v>7.8226860000000006E-3</v>
      </c>
      <c r="EH57" s="1">
        <f t="shared" ca="1" si="129"/>
        <v>1.7346760000000003E-2</v>
      </c>
      <c r="EJ57">
        <f t="shared" ca="1" si="110"/>
        <v>114</v>
      </c>
      <c r="EK57" s="169">
        <f t="shared" ca="1" si="130"/>
        <v>44043</v>
      </c>
      <c r="EL57" s="1">
        <f t="shared" ca="1" si="131"/>
        <v>6.2112999999999995E-2</v>
      </c>
      <c r="EM57" s="1">
        <f t="shared" ca="1" si="132"/>
        <v>6.1462000000000003E-2</v>
      </c>
      <c r="EN57" s="1">
        <f t="shared" ca="1" si="133"/>
        <v>7.4400817614423437E-2</v>
      </c>
      <c r="EO57" s="1">
        <f t="shared" ca="1" si="134"/>
        <v>5.6381899999999999E-2</v>
      </c>
      <c r="EP57" s="1">
        <f t="shared" ca="1" si="135"/>
        <v>5.4755999999999999E-2</v>
      </c>
      <c r="EQ57" s="1">
        <f t="shared" ca="1" si="136"/>
        <v>5.4141000000000002E-2</v>
      </c>
      <c r="ER57" s="1">
        <f t="shared" ca="1" si="137"/>
        <v>1.3403975095785363E-2</v>
      </c>
      <c r="ES57" s="1">
        <f t="shared" ca="1" si="138"/>
        <v>2.7678639999999997E-2</v>
      </c>
      <c r="ET57" s="1">
        <f t="shared" ca="1" si="139"/>
        <v>4.5662000000000001E-2</v>
      </c>
      <c r="EU57" s="1">
        <f t="shared" ca="1" si="140"/>
        <v>4.4809999999999996E-2</v>
      </c>
      <c r="EV57" s="1">
        <f t="shared" ca="1" si="141"/>
        <v>3.9367460689935303E-2</v>
      </c>
      <c r="EW57" s="1">
        <f t="shared" ca="1" si="142"/>
        <v>5.3293939999999998E-2</v>
      </c>
      <c r="EX57" s="1">
        <f t="shared" ca="1" si="143"/>
        <v>0</v>
      </c>
      <c r="EY57" s="1">
        <f t="shared" ca="1" si="144"/>
        <v>0</v>
      </c>
      <c r="EZ57" s="1">
        <f t="shared" ca="1" si="145"/>
        <v>2.7678639999999997E-2</v>
      </c>
    </row>
    <row r="58" spans="1:156" x14ac:dyDescent="0.25">
      <c r="A58">
        <f t="shared" ca="1" si="103"/>
        <v>56</v>
      </c>
      <c r="B58" s="169">
        <f ca="1">IF('LC (Gross)'!A205="","",IF('LC (Gross)'!A205&gt;$AC$9,"",'LC (Gross)'!A205))</f>
        <v>42277</v>
      </c>
      <c r="C58" s="1">
        <f ca="1">IF(B58="","",(VLOOKUP(B58,'LC (Gross)'!A:D,4,FALSE)/100))</f>
        <v>4.4451136913401575E-3</v>
      </c>
      <c r="D58" s="1">
        <f ca="1">IF(B58="","",(VLOOKUP(B58,'SC (Gross)'!A:D,4,FALSE))/100)</f>
        <v>-3.9000000000000003E-3</v>
      </c>
      <c r="E58" s="1">
        <f ca="1">IF(B58="","",(VLOOKUP(B58,'Global (Gross)'!A:D,4,FALSE)/100))</f>
        <v>-1.11E-2</v>
      </c>
      <c r="F58" s="1"/>
      <c r="G58" s="1">
        <f ca="1">IF(B58="","",(VLOOKUP(B58,'LC (Net)'!A:D,4,FALSE)/100))</f>
        <v>3.628447024673491E-3</v>
      </c>
      <c r="H58" s="1">
        <f ca="1">IF(B58="","",(VLOOKUP(B58,'SC (Net)'!A:D,4,FALSE))/100)</f>
        <v>-3.9000000000000003E-3</v>
      </c>
      <c r="I58" s="1">
        <f ca="1">IF(B58="","",(VLOOKUP(B58,'Global (Net)'!A:D,4,FALSE)/100))</f>
        <v>-1.11E-2</v>
      </c>
      <c r="J58" s="1"/>
      <c r="K58" s="1">
        <f ca="1">IF(B58="","",VLOOKUP(Website!B58,'LC (Gross)'!W:X,2,FALSE)/100)</f>
        <v>-4.0605774219850382E-3</v>
      </c>
      <c r="L58" s="1">
        <f ca="1">IF(B58="","",VLOOKUP(Website!B58,'SC (Gross)'!P:Q,2,FALSE)/100)</f>
        <v>7.881481052601013E-3</v>
      </c>
      <c r="M58" s="1">
        <f ca="1">IF(B58="","",VLOOKUP(Website!B58,'Global (Gross)'!P:Q,2,FALSE)/100)</f>
        <v>-1.2497435592890857E-2</v>
      </c>
      <c r="O58" s="1">
        <f ca="1">IF(B58="","",VLOOKUP(Website!B58,'LC (Gross)'!J:K,2,FALSE)/100)</f>
        <v>-2.4739432189367951E-2</v>
      </c>
      <c r="P58" s="233">
        <f ca="1">IF(B58="","",(VLOOKUP(B58,'SC (Gross)'!J:K,2,FALSE))/100)</f>
        <v>-4.906226403573407E-2</v>
      </c>
      <c r="Q58" s="233">
        <f ca="1">IF(B58="","",(VLOOKUP(B58,'Global (Gross)'!J:K,2,FALSE)/100))</f>
        <v>-3.5676536381570215E-2</v>
      </c>
      <c r="S58" s="22">
        <f t="shared" ca="1" si="0"/>
        <v>2.918454588070811E-2</v>
      </c>
      <c r="T58" s="22">
        <f t="shared" ca="1" si="1"/>
        <v>4.5162264035734069E-2</v>
      </c>
      <c r="U58" s="22">
        <f t="shared" ca="1" si="2"/>
        <v>2.4576536381570216E-2</v>
      </c>
      <c r="V58" s="22"/>
      <c r="W58" s="22">
        <f t="shared" ca="1" si="100"/>
        <v>2.0678854767382911E-2</v>
      </c>
      <c r="X58" s="22">
        <f t="shared" ca="1" si="101"/>
        <v>5.6943745088335079E-2</v>
      </c>
      <c r="Y58" s="22">
        <f t="shared" ca="1" si="102"/>
        <v>2.3179100788679359E-2</v>
      </c>
      <c r="DR58">
        <f t="shared" ca="1" si="109"/>
        <v>175</v>
      </c>
      <c r="DS58" s="169">
        <f t="shared" ca="1" si="114"/>
        <v>45900</v>
      </c>
      <c r="DT58" s="1">
        <f t="shared" ca="1" si="115"/>
        <v>2.7301060489229353E-2</v>
      </c>
      <c r="DU58" s="1">
        <f t="shared" ca="1" si="116"/>
        <v>2.6797035488596386E-2</v>
      </c>
      <c r="DV58" s="1">
        <f t="shared" ca="1" si="117"/>
        <v>1.5505150000000001E-2</v>
      </c>
      <c r="DW58" s="1">
        <f t="shared" ca="1" si="118"/>
        <v>2.0271819999999999E-2</v>
      </c>
      <c r="DX58" s="1" t="e">
        <f t="shared" ca="1" si="119"/>
        <v>#N/A</v>
      </c>
      <c r="DY58" s="1" t="e">
        <f t="shared" ca="1" si="120"/>
        <v>#N/A</v>
      </c>
      <c r="DZ58" s="1" t="e">
        <f t="shared" ca="1" si="121"/>
        <v>#N/A</v>
      </c>
      <c r="EA58" s="1">
        <f t="shared" ca="1" si="122"/>
        <v>7.1434139999999993E-2</v>
      </c>
      <c r="EB58" s="1">
        <f t="shared" ca="1" si="123"/>
        <v>2.3329969999999998E-2</v>
      </c>
      <c r="EC58" s="1">
        <f t="shared" ca="1" si="124"/>
        <v>2.2629969999999999E-2</v>
      </c>
      <c r="ED58" s="1">
        <f t="shared" ca="1" si="125"/>
        <v>2.3530319999999997E-2</v>
      </c>
      <c r="EE58" s="1">
        <f t="shared" ca="1" si="126"/>
        <v>2.5172910000000003E-2</v>
      </c>
      <c r="EF58" s="1">
        <f t="shared" ca="1" si="127"/>
        <v>8.2849059999999988E-2</v>
      </c>
      <c r="EG58" s="1">
        <f t="shared" ca="1" si="128"/>
        <v>8.1824060000000004E-2</v>
      </c>
      <c r="EH58" s="1">
        <f t="shared" ca="1" si="129"/>
        <v>7.1434139999999993E-2</v>
      </c>
      <c r="EJ58">
        <f t="shared" ca="1" si="110"/>
        <v>115</v>
      </c>
      <c r="EK58" s="169">
        <f t="shared" ca="1" si="130"/>
        <v>44074</v>
      </c>
      <c r="EL58" s="1">
        <f t="shared" ca="1" si="131"/>
        <v>4.6452999999999994E-2</v>
      </c>
      <c r="EM58" s="1">
        <f t="shared" ca="1" si="132"/>
        <v>4.5824999999999998E-2</v>
      </c>
      <c r="EN58" s="1">
        <f t="shared" ca="1" si="133"/>
        <v>2.88084604599772E-2</v>
      </c>
      <c r="EO58" s="1">
        <f t="shared" ca="1" si="134"/>
        <v>7.1882580000000001E-2</v>
      </c>
      <c r="EP58" s="1">
        <f t="shared" ca="1" si="135"/>
        <v>7.8729999999999998E-3</v>
      </c>
      <c r="EQ58" s="1">
        <f t="shared" ca="1" si="136"/>
        <v>7.2560000000000003E-3</v>
      </c>
      <c r="ER58" s="1">
        <f t="shared" ca="1" si="137"/>
        <v>2.6831443947565897E-2</v>
      </c>
      <c r="ES58" s="1">
        <f t="shared" ca="1" si="138"/>
        <v>5.634343E-2</v>
      </c>
      <c r="ET58" s="1">
        <f t="shared" ca="1" si="139"/>
        <v>5.0312999999999997E-2</v>
      </c>
      <c r="EU58" s="1">
        <f t="shared" ca="1" si="140"/>
        <v>4.9739999999999999E-2</v>
      </c>
      <c r="EV58" s="1">
        <f t="shared" ca="1" si="141"/>
        <v>2.2545757474487581E-2</v>
      </c>
      <c r="EW58" s="1">
        <f t="shared" ca="1" si="142"/>
        <v>6.1644669999999999E-2</v>
      </c>
      <c r="EX58" s="1">
        <f t="shared" ca="1" si="143"/>
        <v>0</v>
      </c>
      <c r="EY58" s="1">
        <f t="shared" ca="1" si="144"/>
        <v>0</v>
      </c>
      <c r="EZ58" s="1">
        <f t="shared" ca="1" si="145"/>
        <v>5.634343E-2</v>
      </c>
    </row>
    <row r="59" spans="1:156" x14ac:dyDescent="0.25">
      <c r="A59">
        <f t="shared" ca="1" si="103"/>
        <v>57</v>
      </c>
      <c r="B59" s="169">
        <f ca="1">IF('LC (Gross)'!A206="","",IF('LC (Gross)'!A206&gt;$AC$9,"",'LC (Gross)'!A206))</f>
        <v>42308</v>
      </c>
      <c r="C59" s="1">
        <f ca="1">IF(B59="","",(VLOOKUP(B59,'LC (Gross)'!A:D,4,FALSE)/100))</f>
        <v>5.866193058568335E-2</v>
      </c>
      <c r="D59" s="1">
        <f ca="1">IF(B59="","",(VLOOKUP(B59,'SC (Gross)'!A:D,4,FALSE))/100)</f>
        <v>3.8100000000000002E-2</v>
      </c>
      <c r="E59" s="1">
        <f ca="1">IF(B59="","",(VLOOKUP(B59,'Global (Gross)'!A:D,4,FALSE)/100))</f>
        <v>5.5E-2</v>
      </c>
      <c r="F59" s="1"/>
      <c r="G59" s="1">
        <f ca="1">IF(B59="","",(VLOOKUP(B59,'LC (Net)'!A:D,4,FALSE)/100))</f>
        <v>5.7845263919016683E-2</v>
      </c>
      <c r="H59" s="1">
        <f ca="1">IF(B59="","",(VLOOKUP(B59,'SC (Net)'!A:D,4,FALSE))/100)</f>
        <v>3.8100000000000002E-2</v>
      </c>
      <c r="I59" s="1">
        <f ca="1">IF(B59="","",(VLOOKUP(B59,'Global (Net)'!A:D,4,FALSE)/100))</f>
        <v>5.5E-2</v>
      </c>
      <c r="J59" s="1"/>
      <c r="K59" s="1">
        <f ca="1">IF(B59="","",VLOOKUP(Website!B59,'LC (Gross)'!W:X,2,FALSE)/100)</f>
        <v>6.8115021819909985E-2</v>
      </c>
      <c r="L59" s="1">
        <f ca="1">IF(B59="","",VLOOKUP(Website!B59,'SC (Gross)'!P:Q,2,FALSE)/100)</f>
        <v>6.2623419334917912E-2</v>
      </c>
      <c r="M59" s="1">
        <f ca="1">IF(B59="","",VLOOKUP(Website!B59,'Global (Gross)'!P:Q,2,FALSE)/100)</f>
        <v>5.915680910367583E-2</v>
      </c>
      <c r="O59" s="1">
        <f ca="1">IF(B59="","",VLOOKUP(Website!B59,'LC (Gross)'!J:K,2,FALSE)/100)</f>
        <v>8.4352208713533716E-2</v>
      </c>
      <c r="P59" s="233">
        <f ca="1">IF(B59="","",(VLOOKUP(B59,'SC (Gross)'!J:K,2,FALSE))/100)</f>
        <v>5.634204345986376E-2</v>
      </c>
      <c r="Q59" s="233">
        <f ca="1">IF(B59="","",(VLOOKUP(B59,'Global (Gross)'!J:K,2,FALSE)/100))</f>
        <v>7.877880916412823E-2</v>
      </c>
      <c r="S59" s="22">
        <f t="shared" ca="1" si="0"/>
        <v>-2.5690278127850366E-2</v>
      </c>
      <c r="T59" s="22">
        <f t="shared" ca="1" si="1"/>
        <v>-1.8242043459863758E-2</v>
      </c>
      <c r="U59" s="22">
        <f t="shared" ca="1" si="2"/>
        <v>-2.377880916412823E-2</v>
      </c>
      <c r="V59" s="22"/>
      <c r="W59" s="22">
        <f t="shared" ca="1" si="100"/>
        <v>-1.6237186893623731E-2</v>
      </c>
      <c r="X59" s="22">
        <f t="shared" ca="1" si="101"/>
        <v>6.2813758750541529E-3</v>
      </c>
      <c r="Y59" s="22">
        <f t="shared" ca="1" si="102"/>
        <v>-1.9622000060452401E-2</v>
      </c>
      <c r="DR59">
        <f t="shared" ca="1" si="109"/>
        <v>176</v>
      </c>
      <c r="DS59" s="169">
        <f t="shared" ca="1" si="114"/>
        <v>45930</v>
      </c>
      <c r="DT59" s="1">
        <f t="shared" ca="1" si="115"/>
        <v>1.273984284453792E-2</v>
      </c>
      <c r="DU59" s="1">
        <f t="shared" ca="1" si="116"/>
        <v>1.2208076362087074E-2</v>
      </c>
      <c r="DV59" s="1">
        <f t="shared" ca="1" si="117"/>
        <v>2.1070530000000002E-3</v>
      </c>
      <c r="DW59" s="1">
        <f t="shared" ca="1" si="118"/>
        <v>3.640438E-2</v>
      </c>
      <c r="DX59" s="1" t="e">
        <f t="shared" ca="1" si="119"/>
        <v>#N/A</v>
      </c>
      <c r="DY59" s="1" t="e">
        <f t="shared" ca="1" si="120"/>
        <v>#N/A</v>
      </c>
      <c r="DZ59" s="1" t="e">
        <f t="shared" ca="1" si="121"/>
        <v>#N/A</v>
      </c>
      <c r="EA59" s="1">
        <f t="shared" ca="1" si="122"/>
        <v>3.1113100000000001E-2</v>
      </c>
      <c r="EB59" s="1">
        <f t="shared" ca="1" si="123"/>
        <v>3.3295689999999996E-2</v>
      </c>
      <c r="EC59" s="1">
        <f t="shared" ca="1" si="124"/>
        <v>3.2595689999999997E-2</v>
      </c>
      <c r="ED59" s="1">
        <f t="shared" ca="1" si="125"/>
        <v>5.321465E-3</v>
      </c>
      <c r="EE59" s="1">
        <f t="shared" ca="1" si="126"/>
        <v>3.665293E-2</v>
      </c>
      <c r="EF59" s="1">
        <f t="shared" ca="1" si="127"/>
        <v>-1.067676E-3</v>
      </c>
      <c r="EG59" s="1">
        <f t="shared" ca="1" si="128"/>
        <v>-2.0926759999999999E-3</v>
      </c>
      <c r="EH59" s="1">
        <f t="shared" ca="1" si="129"/>
        <v>3.1113100000000001E-2</v>
      </c>
      <c r="EJ59">
        <f t="shared" ca="1" si="110"/>
        <v>116</v>
      </c>
      <c r="EK59" s="169">
        <f t="shared" ca="1" si="130"/>
        <v>44104</v>
      </c>
      <c r="EL59" s="1">
        <f t="shared" ca="1" si="131"/>
        <v>-2.6131000000000001E-2</v>
      </c>
      <c r="EM59" s="1">
        <f t="shared" ca="1" si="132"/>
        <v>-2.6884999999999999E-2</v>
      </c>
      <c r="EN59" s="1">
        <f t="shared" ca="1" si="133"/>
        <v>-1.7453839537849406E-2</v>
      </c>
      <c r="EO59" s="1">
        <f t="shared" ca="1" si="134"/>
        <v>-3.7996780000000001E-2</v>
      </c>
      <c r="EP59" s="1">
        <f t="shared" ca="1" si="135"/>
        <v>-3.4266999999999999E-2</v>
      </c>
      <c r="EQ59" s="1">
        <f t="shared" ca="1" si="136"/>
        <v>-3.5145000000000003E-2</v>
      </c>
      <c r="ER59" s="1">
        <f t="shared" ca="1" si="137"/>
        <v>-5.2812951254451394E-2</v>
      </c>
      <c r="ES59" s="1">
        <f t="shared" ca="1" si="138"/>
        <v>-3.3404400000000001E-2</v>
      </c>
      <c r="ET59" s="1">
        <f t="shared" ca="1" si="139"/>
        <v>-2.5716000000000003E-2</v>
      </c>
      <c r="EU59" s="1">
        <f t="shared" ca="1" si="140"/>
        <v>-2.6296E-2</v>
      </c>
      <c r="EV59" s="1">
        <f t="shared" ca="1" si="141"/>
        <v>-1.2630988982933076E-2</v>
      </c>
      <c r="EW59" s="1">
        <f t="shared" ca="1" si="142"/>
        <v>-3.1833709846272512E-2</v>
      </c>
      <c r="EX59" s="1">
        <f t="shared" ca="1" si="143"/>
        <v>0</v>
      </c>
      <c r="EY59" s="1">
        <f t="shared" ca="1" si="144"/>
        <v>0</v>
      </c>
      <c r="EZ59" s="1">
        <f t="shared" ca="1" si="145"/>
        <v>-3.3404400000000001E-2</v>
      </c>
    </row>
    <row r="60" spans="1:156" x14ac:dyDescent="0.25">
      <c r="A60">
        <f t="shared" ca="1" si="103"/>
        <v>58</v>
      </c>
      <c r="B60" s="169">
        <f ca="1">IF('LC (Gross)'!A207="","",IF('LC (Gross)'!A207&gt;$AC$9,"",'LC (Gross)'!A207))</f>
        <v>42338</v>
      </c>
      <c r="C60" s="1">
        <f ca="1">IF(B60="","",(VLOOKUP(B60,'LC (Gross)'!A:D,4,FALSE)/100))</f>
        <v>-4.6515493278651218E-3</v>
      </c>
      <c r="D60" s="1">
        <f ca="1">IF(B60="","",(VLOOKUP(B60,'SC (Gross)'!A:D,4,FALSE))/100)</f>
        <v>1.9099999999999999E-2</v>
      </c>
      <c r="E60" s="1">
        <f ca="1">IF(B60="","",(VLOOKUP(B60,'Global (Gross)'!A:D,4,FALSE)/100))</f>
        <v>-1.1599999999999999E-2</v>
      </c>
      <c r="F60" s="1"/>
      <c r="G60" s="1">
        <f ca="1">IF(B60="","",(VLOOKUP(B60,'LC (Net)'!A:D,4,FALSE)/100))</f>
        <v>-5.4682159945317887E-3</v>
      </c>
      <c r="H60" s="1">
        <f ca="1">IF(B60="","",(VLOOKUP(B60,'SC (Net)'!A:D,4,FALSE))/100)</f>
        <v>1.9099999999999999E-2</v>
      </c>
      <c r="I60" s="1">
        <f ca="1">IF(B60="","",(VLOOKUP(B60,'Global (Net)'!A:D,4,FALSE)/100))</f>
        <v>-1.1599999999999999E-2</v>
      </c>
      <c r="J60" s="1"/>
      <c r="K60" s="1">
        <f ca="1">IF(B60="","",VLOOKUP(Website!B60,'LC (Gross)'!W:X,2,FALSE)/100)</f>
        <v>1.0936049478238594E-2</v>
      </c>
      <c r="L60" s="1">
        <f ca="1">IF(B60="","",VLOOKUP(Website!B60,'SC (Gross)'!P:Q,2,FALSE)/100)</f>
        <v>2.7361435850306128E-2</v>
      </c>
      <c r="M60" s="1">
        <f ca="1">IF(B60="","",VLOOKUP(Website!B60,'Global (Gross)'!P:Q,2,FALSE)/100)</f>
        <v>-1.3646369277787763E-2</v>
      </c>
      <c r="O60" s="1">
        <f ca="1">IF(B60="","",VLOOKUP(Website!B60,'LC (Gross)'!J:K,2,FALSE)/100)</f>
        <v>2.9752942236979663E-3</v>
      </c>
      <c r="P60" s="233">
        <f ca="1">IF(B60="","",(VLOOKUP(B60,'SC (Gross)'!J:K,2,FALSE))/100)</f>
        <v>3.2529358603983836E-2</v>
      </c>
      <c r="Q60" s="233">
        <f ca="1">IF(B60="","",(VLOOKUP(B60,'Global (Gross)'!J:K,2,FALSE)/100))</f>
        <v>-7.7148480624924997E-3</v>
      </c>
      <c r="S60" s="22">
        <f t="shared" ca="1" si="0"/>
        <v>-7.6268435515630881E-3</v>
      </c>
      <c r="T60" s="22">
        <f t="shared" ca="1" si="1"/>
        <v>-1.3429358603983838E-2</v>
      </c>
      <c r="U60" s="22">
        <f t="shared" ca="1" si="2"/>
        <v>-3.8851519375074995E-3</v>
      </c>
      <c r="V60" s="22"/>
      <c r="W60" s="22">
        <f t="shared" ca="1" si="100"/>
        <v>7.9607552545406281E-3</v>
      </c>
      <c r="X60" s="22">
        <f t="shared" ca="1" si="101"/>
        <v>-5.1679227536777089E-3</v>
      </c>
      <c r="Y60" s="22">
        <f t="shared" ca="1" si="102"/>
        <v>-5.9315212152952638E-3</v>
      </c>
      <c r="DR60">
        <f t="shared" ca="1" si="109"/>
        <v>177</v>
      </c>
      <c r="DS60" s="169">
        <f t="shared" ca="1" si="114"/>
        <v>45961</v>
      </c>
      <c r="DT60" s="1">
        <f t="shared" ca="1" si="115"/>
        <v>-6.8231271707644111E-4</v>
      </c>
      <c r="DU60" s="1">
        <f t="shared" ca="1" si="116"/>
        <v>-1.2385999129374185E-3</v>
      </c>
      <c r="DV60" s="1">
        <f t="shared" ca="1" si="117"/>
        <v>-3.7181140000000001E-2</v>
      </c>
      <c r="DW60" s="1">
        <f t="shared" ca="1" si="118"/>
        <v>2.3413639999999999E-2</v>
      </c>
      <c r="DX60" s="1" t="e">
        <f t="shared" ca="1" si="119"/>
        <v>#N/A</v>
      </c>
      <c r="DY60" s="1" t="e">
        <f t="shared" ca="1" si="120"/>
        <v>#N/A</v>
      </c>
      <c r="DZ60" s="1" t="e">
        <f t="shared" ca="1" si="121"/>
        <v>#N/A</v>
      </c>
      <c r="EA60" s="1">
        <f t="shared" ca="1" si="122"/>
        <v>1.809146E-2</v>
      </c>
      <c r="EB60" s="1">
        <f t="shared" ca="1" si="123"/>
        <v>-1.928262E-2</v>
      </c>
      <c r="EC60" s="1">
        <f t="shared" ca="1" si="124"/>
        <v>-1.998262E-2</v>
      </c>
      <c r="ED60" s="1">
        <f t="shared" ca="1" si="125"/>
        <v>-1.4094850000000001E-2</v>
      </c>
      <c r="EE60" s="1">
        <f t="shared" ca="1" si="126"/>
        <v>2.255368E-2</v>
      </c>
      <c r="EF60" s="1">
        <f t="shared" ca="1" si="127"/>
        <v>-1.2156549999999999E-2</v>
      </c>
      <c r="EG60" s="1">
        <f t="shared" ca="1" si="128"/>
        <v>-1.318155E-2</v>
      </c>
      <c r="EH60" s="1">
        <f t="shared" ca="1" si="129"/>
        <v>1.809146E-2</v>
      </c>
      <c r="EJ60">
        <f t="shared" ca="1" si="110"/>
        <v>117</v>
      </c>
      <c r="EK60" s="169">
        <f t="shared" ca="1" si="130"/>
        <v>44135</v>
      </c>
      <c r="EL60" s="1">
        <f t="shared" ca="1" si="131"/>
        <v>-1.9891000000000002E-2</v>
      </c>
      <c r="EM60" s="1">
        <f t="shared" ca="1" si="132"/>
        <v>-2.0543999999999996E-2</v>
      </c>
      <c r="EN60" s="1">
        <f t="shared" ca="1" si="133"/>
        <v>-2.8737091800063893E-2</v>
      </c>
      <c r="EO60" s="1">
        <f t="shared" ca="1" si="134"/>
        <v>-2.6593810000000002E-2</v>
      </c>
      <c r="EP60" s="1">
        <f t="shared" ca="1" si="135"/>
        <v>1.5140000000000001E-2</v>
      </c>
      <c r="EQ60" s="1">
        <f t="shared" ca="1" si="136"/>
        <v>1.4518E-2</v>
      </c>
      <c r="ER60" s="1">
        <f t="shared" ca="1" si="137"/>
        <v>2.0814985331721735E-2</v>
      </c>
      <c r="ES60" s="1">
        <f t="shared" ca="1" si="138"/>
        <v>2.0943360000000001E-2</v>
      </c>
      <c r="ET60" s="1">
        <f t="shared" ca="1" si="139"/>
        <v>-3.0800999999999999E-2</v>
      </c>
      <c r="EU60" s="1">
        <f t="shared" ca="1" si="140"/>
        <v>-3.1632E-2</v>
      </c>
      <c r="EV60" s="1">
        <f t="shared" ca="1" si="141"/>
        <v>-2.5946069859809406E-2</v>
      </c>
      <c r="EW60" s="1">
        <f t="shared" ca="1" si="142"/>
        <v>-2.407946E-2</v>
      </c>
      <c r="EX60" s="1">
        <f t="shared" ca="1" si="143"/>
        <v>0</v>
      </c>
      <c r="EY60" s="1">
        <f t="shared" ca="1" si="144"/>
        <v>0</v>
      </c>
      <c r="EZ60" s="1">
        <f t="shared" ca="1" si="145"/>
        <v>2.0943360000000001E-2</v>
      </c>
    </row>
    <row r="61" spans="1:156" x14ac:dyDescent="0.25">
      <c r="A61">
        <f t="shared" ca="1" si="103"/>
        <v>59</v>
      </c>
      <c r="B61" s="169">
        <f ca="1">IF('LC (Gross)'!A208="","",IF('LC (Gross)'!A208&gt;$AC$9,"",'LC (Gross)'!A208))</f>
        <v>42369</v>
      </c>
      <c r="C61" s="1">
        <f ca="1">IF(B61="","",(VLOOKUP(B61,'LC (Gross)'!A:D,4,FALSE)/100))</f>
        <v>-1.9502273333333331E-3</v>
      </c>
      <c r="D61" s="1">
        <f ca="1">IF(B61="","",(VLOOKUP(B61,'SC (Gross)'!A:D,4,FALSE))/100)</f>
        <v>-1.6799999999999999E-2</v>
      </c>
      <c r="E61" s="1">
        <f ca="1">IF(B61="","",(VLOOKUP(B61,'Global (Gross)'!A:D,4,FALSE)/100))</f>
        <v>-5.4000000000000003E-3</v>
      </c>
      <c r="F61" s="1"/>
      <c r="G61" s="1">
        <f ca="1">IF(B61="","",(VLOOKUP(B61,'LC (Net)'!A:D,4,FALSE)/100))</f>
        <v>-2.7668939999999998E-3</v>
      </c>
      <c r="H61" s="1">
        <f ca="1">IF(B61="","",(VLOOKUP(B61,'SC (Net)'!A:D,4,FALSE))/100)</f>
        <v>-1.6799999999999999E-2</v>
      </c>
      <c r="I61" s="1">
        <f ca="1">IF(B61="","",(VLOOKUP(B61,'Global (Net)'!A:D,4,FALSE)/100))</f>
        <v>-5.4000000000000003E-3</v>
      </c>
      <c r="J61" s="1"/>
      <c r="K61" s="1">
        <f ca="1">IF(B61="","",VLOOKUP(Website!B61,'LC (Gross)'!W:X,2,FALSE)/100)</f>
        <v>-1.0712203583562419E-3</v>
      </c>
      <c r="L61" s="1">
        <f ca="1">IF(B61="","",VLOOKUP(Website!B61,'SC (Gross)'!P:Q,2,FALSE)/100)</f>
        <v>-3.3690497332780837E-2</v>
      </c>
      <c r="M61" s="1">
        <f ca="1">IF(B61="","",VLOOKUP(Website!B61,'Global (Gross)'!P:Q,2,FALSE)/100)</f>
        <v>7.4711970738668646E-3</v>
      </c>
      <c r="O61" s="1">
        <f ca="1">IF(B61="","",VLOOKUP(Website!B61,'LC (Gross)'!J:K,2,FALSE)/100)</f>
        <v>-1.5862368127833485E-2</v>
      </c>
      <c r="P61" s="233">
        <f ca="1">IF(B61="","",(VLOOKUP(B61,'SC (Gross)'!J:K,2,FALSE))/100)</f>
        <v>-5.0212707421467877E-2</v>
      </c>
      <c r="Q61" s="233">
        <f ca="1">IF(B61="","",(VLOOKUP(B61,'Global (Gross)'!J:K,2,FALSE)/100))</f>
        <v>-1.7553961121070102E-2</v>
      </c>
      <c r="S61" s="22">
        <f t="shared" ca="1" si="0"/>
        <v>1.3912140794500151E-2</v>
      </c>
      <c r="T61" s="22">
        <f t="shared" ca="1" si="1"/>
        <v>3.3412707421467874E-2</v>
      </c>
      <c r="U61" s="22">
        <f t="shared" ca="1" si="2"/>
        <v>1.2153961121070101E-2</v>
      </c>
      <c r="V61" s="22"/>
      <c r="W61" s="22">
        <f t="shared" ca="1" si="100"/>
        <v>1.4791147769477243E-2</v>
      </c>
      <c r="X61" s="22">
        <f t="shared" ca="1" si="101"/>
        <v>1.6522210088687039E-2</v>
      </c>
      <c r="Y61" s="22">
        <f t="shared" ca="1" si="102"/>
        <v>2.5025158194936968E-2</v>
      </c>
      <c r="DR61">
        <f t="shared" ca="1" si="109"/>
        <v>178</v>
      </c>
      <c r="DS61" s="169">
        <f t="shared" ca="1" si="114"/>
        <v>45991</v>
      </c>
      <c r="DT61" s="1">
        <f t="shared" ca="1" si="115"/>
        <v>3.8182025384643492E-2</v>
      </c>
      <c r="DU61" s="1">
        <f t="shared" ca="1" si="116"/>
        <v>3.7661618229367512E-2</v>
      </c>
      <c r="DV61" s="1">
        <f t="shared" ca="1" si="117"/>
        <v>3.85893E-2</v>
      </c>
      <c r="DW61" s="1">
        <f t="shared" ca="1" si="118"/>
        <v>2.4512030000000003E-3</v>
      </c>
      <c r="DX61" s="1" t="e">
        <f t="shared" ca="1" si="119"/>
        <v>#N/A</v>
      </c>
      <c r="DY61" s="1" t="e">
        <f t="shared" ca="1" si="120"/>
        <v>#N/A</v>
      </c>
      <c r="DZ61" s="1" t="e">
        <f t="shared" ca="1" si="121"/>
        <v>#N/A</v>
      </c>
      <c r="EA61" s="1">
        <f t="shared" ca="1" si="122"/>
        <v>9.5805179999999997E-3</v>
      </c>
      <c r="EB61" s="1">
        <f t="shared" ca="1" si="123"/>
        <v>3.1137349999999998E-2</v>
      </c>
      <c r="EC61" s="1">
        <f t="shared" ca="1" si="124"/>
        <v>3.0437349999999998E-2</v>
      </c>
      <c r="ED61" s="1">
        <f t="shared" ca="1" si="125"/>
        <v>2.3607E-2</v>
      </c>
      <c r="EE61" s="1">
        <f t="shared" ca="1" si="126"/>
        <v>1.8736109999999999E-4</v>
      </c>
      <c r="EF61" s="1">
        <f t="shared" ca="1" si="127"/>
        <v>1.1953960000000001E-2</v>
      </c>
      <c r="EG61" s="1">
        <f t="shared" ca="1" si="128"/>
        <v>1.0928960000000001E-2</v>
      </c>
      <c r="EH61" s="1">
        <f t="shared" ca="1" si="129"/>
        <v>9.5805179999999997E-3</v>
      </c>
      <c r="EJ61">
        <f t="shared" ca="1" si="110"/>
        <v>118</v>
      </c>
      <c r="EK61" s="169">
        <f t="shared" ca="1" si="130"/>
        <v>44165</v>
      </c>
      <c r="EL61" s="1">
        <f t="shared" ca="1" si="131"/>
        <v>7.0962999999999998E-2</v>
      </c>
      <c r="EM61" s="1">
        <f t="shared" ca="1" si="132"/>
        <v>7.0179999999999992E-2</v>
      </c>
      <c r="EN61" s="1">
        <f t="shared" ca="1" si="133"/>
        <v>6.1642038128013506E-2</v>
      </c>
      <c r="EO61" s="1">
        <f t="shared" ca="1" si="134"/>
        <v>0.1094619</v>
      </c>
      <c r="EP61" s="1">
        <f t="shared" ca="1" si="135"/>
        <v>4.9685E-2</v>
      </c>
      <c r="EQ61" s="1">
        <f t="shared" ca="1" si="136"/>
        <v>4.8765999999999997E-2</v>
      </c>
      <c r="ER61" s="1">
        <f t="shared" ca="1" si="137"/>
        <v>0.12627626912916201</v>
      </c>
      <c r="ES61" s="1">
        <f t="shared" ca="1" si="138"/>
        <v>0.1842106800262473</v>
      </c>
      <c r="ET61" s="1">
        <f t="shared" ca="1" si="139"/>
        <v>7.8699000000000005E-2</v>
      </c>
      <c r="EU61" s="1">
        <f t="shared" ca="1" si="140"/>
        <v>7.8117000000000006E-2</v>
      </c>
      <c r="EV61" s="1">
        <f t="shared" ca="1" si="141"/>
        <v>6.7624349894346306E-2</v>
      </c>
      <c r="EW61" s="1">
        <f t="shared" ca="1" si="142"/>
        <v>0.12362284519542568</v>
      </c>
      <c r="EX61" s="1">
        <f t="shared" ca="1" si="143"/>
        <v>0</v>
      </c>
      <c r="EY61" s="1">
        <f t="shared" ca="1" si="144"/>
        <v>0</v>
      </c>
      <c r="EZ61" s="1">
        <f t="shared" ca="1" si="145"/>
        <v>0.1842106800262473</v>
      </c>
    </row>
    <row r="62" spans="1:156" x14ac:dyDescent="0.25">
      <c r="A62">
        <f t="shared" ca="1" si="103"/>
        <v>60</v>
      </c>
      <c r="B62" s="169">
        <f ca="1">IF('LC (Gross)'!A209="","",IF('LC (Gross)'!A209&gt;$AC$9,"",'LC (Gross)'!A209))</f>
        <v>42400</v>
      </c>
      <c r="C62" s="1">
        <f ca="1">IF(B62="","",(VLOOKUP(B62,'LC (Gross)'!A:D,4,FALSE)/100))</f>
        <v>-2.4238602309014975E-2</v>
      </c>
      <c r="D62" s="1">
        <f ca="1">IF(B62="","",(VLOOKUP(B62,'SC (Gross)'!A:D,4,FALSE))/100)</f>
        <v>-1.0500000000000001E-2</v>
      </c>
      <c r="E62" s="1">
        <f ca="1">IF(B62="","",(VLOOKUP(B62,'Global (Gross)'!A:D,4,FALSE)/100))</f>
        <v>-3.7000000000000002E-3</v>
      </c>
      <c r="F62" s="1"/>
      <c r="G62" s="1">
        <f ca="1">IF(B62="","",(VLOOKUP(B62,'LC (Net)'!A:D,4,FALSE)/100))</f>
        <v>-2.5055268975681638E-2</v>
      </c>
      <c r="H62" s="1">
        <f ca="1">IF(B62="","",(VLOOKUP(B62,'SC (Net)'!A:D,4,FALSE))/100)</f>
        <v>-1.0500000000000001E-2</v>
      </c>
      <c r="I62" s="1">
        <f ca="1">IF(B62="","",(VLOOKUP(B62,'Global (Net)'!A:D,4,FALSE)/100))</f>
        <v>-3.7000000000000002E-3</v>
      </c>
      <c r="J62" s="1"/>
      <c r="K62" s="1">
        <f ca="1">IF(B62="","",VLOOKUP(Website!B62,'LC (Gross)'!W:X,2,FALSE)/100)</f>
        <v>-1.7217561553411535E-2</v>
      </c>
      <c r="L62" s="1">
        <f ca="1">IF(B62="","",VLOOKUP(Website!B62,'SC (Gross)'!P:Q,2,FALSE)/100)</f>
        <v>-2.5818704095732625E-2</v>
      </c>
      <c r="M62" s="1">
        <f ca="1">IF(B62="","",VLOOKUP(Website!B62,'Global (Gross)'!P:Q,2,FALSE)/100)</f>
        <v>-1.8487153594228763E-2</v>
      </c>
      <c r="O62" s="1">
        <f ca="1">IF(B62="","",VLOOKUP(Website!B62,'LC (Gross)'!J:K,2,FALSE)/100)</f>
        <v>-4.9625526699858299E-2</v>
      </c>
      <c r="P62" s="233">
        <f ca="1">IF(B62="","",(VLOOKUP(B62,'SC (Gross)'!J:K,2,FALSE))/100)</f>
        <v>-8.7951679430077978E-2</v>
      </c>
      <c r="Q62" s="233">
        <f ca="1">IF(B62="","",(VLOOKUP(B62,'Global (Gross)'!J:K,2,FALSE)/100))</f>
        <v>-6.0046807125479891E-2</v>
      </c>
      <c r="S62" s="22">
        <f t="shared" ca="1" si="0"/>
        <v>2.5386924390843325E-2</v>
      </c>
      <c r="T62" s="22">
        <f t="shared" ca="1" si="1"/>
        <v>7.7451679430077983E-2</v>
      </c>
      <c r="U62" s="22">
        <f t="shared" ca="1" si="2"/>
        <v>5.6346807125479889E-2</v>
      </c>
      <c r="V62" s="22"/>
      <c r="W62" s="22">
        <f t="shared" ca="1" si="100"/>
        <v>3.2407965146446768E-2</v>
      </c>
      <c r="X62" s="22">
        <f t="shared" ca="1" si="101"/>
        <v>6.213297533434535E-2</v>
      </c>
      <c r="Y62" s="22">
        <f t="shared" ca="1" si="102"/>
        <v>4.1559653531251128E-2</v>
      </c>
      <c r="DR62">
        <f t="shared" ca="1" si="109"/>
        <v>179</v>
      </c>
      <c r="DS62" s="169">
        <f t="shared" ca="1" si="114"/>
        <v>46022</v>
      </c>
      <c r="DT62" s="1">
        <f t="shared" ca="1" si="115"/>
        <v>-5.0948326786837334E-4</v>
      </c>
      <c r="DU62" s="1">
        <f t="shared" ca="1" si="116"/>
        <v>-1.3073768602683152E-3</v>
      </c>
      <c r="DV62" s="1">
        <f t="shared" ca="1" si="117"/>
        <v>-2.1869409999999999E-2</v>
      </c>
      <c r="DW62" s="1">
        <f t="shared" ca="1" si="118"/>
        <v>5.9176080000000004E-4</v>
      </c>
      <c r="DX62" s="1" t="e">
        <f t="shared" ca="1" si="119"/>
        <v>#N/A</v>
      </c>
      <c r="DY62" s="1" t="e">
        <f t="shared" ca="1" si="120"/>
        <v>#N/A</v>
      </c>
      <c r="DZ62" s="1" t="e">
        <f t="shared" ca="1" si="121"/>
        <v>#N/A</v>
      </c>
      <c r="EA62" s="1">
        <f t="shared" ca="1" si="122"/>
        <v>-5.8173470000000005E-3</v>
      </c>
      <c r="EB62" s="1">
        <f t="shared" ca="1" si="123"/>
        <v>3.5737099999999999E-3</v>
      </c>
      <c r="EC62" s="1">
        <f t="shared" ca="1" si="124"/>
        <v>2.8737099999999998E-3</v>
      </c>
      <c r="ED62" s="1">
        <f t="shared" ca="1" si="125"/>
        <v>-6.8503060000000005E-3</v>
      </c>
      <c r="EE62" s="1">
        <f t="shared" ca="1" si="126"/>
        <v>1.0703000000000001E-2</v>
      </c>
      <c r="EF62" s="1">
        <f t="shared" ca="1" si="127"/>
        <v>9.5060539999999999E-3</v>
      </c>
      <c r="EG62" s="1">
        <f t="shared" ca="1" si="128"/>
        <v>8.481054E-3</v>
      </c>
      <c r="EH62" s="1">
        <f t="shared" ca="1" si="129"/>
        <v>-5.8173470000000005E-3</v>
      </c>
      <c r="EJ62">
        <f t="shared" ca="1" si="110"/>
        <v>119</v>
      </c>
      <c r="EK62" s="169">
        <f t="shared" ca="1" si="130"/>
        <v>44196</v>
      </c>
      <c r="EL62" s="1">
        <f t="shared" ca="1" si="131"/>
        <v>3.8374999999999999E-2</v>
      </c>
      <c r="EM62" s="1">
        <f t="shared" ca="1" si="132"/>
        <v>3.7768000000000003E-2</v>
      </c>
      <c r="EN62" s="1">
        <f t="shared" ca="1" si="133"/>
        <v>2.1268625970688407E-2</v>
      </c>
      <c r="EO62" s="1">
        <f t="shared" ca="1" si="134"/>
        <v>3.8413089999999997E-2</v>
      </c>
      <c r="EP62" s="1">
        <f t="shared" ca="1" si="135"/>
        <v>6.0671999999999997E-2</v>
      </c>
      <c r="EQ62" s="1">
        <f t="shared" ca="1" si="136"/>
        <v>6.0034000000000004E-2</v>
      </c>
      <c r="ER62" s="1">
        <f t="shared" ca="1" si="137"/>
        <v>7.3711903894004449E-2</v>
      </c>
      <c r="ES62" s="1">
        <f t="shared" ca="1" si="138"/>
        <v>8.647821E-2</v>
      </c>
      <c r="ET62" s="1">
        <f t="shared" ca="1" si="139"/>
        <v>3.1328999999999996E-2</v>
      </c>
      <c r="EU62" s="1">
        <f t="shared" ca="1" si="140"/>
        <v>3.0719E-2</v>
      </c>
      <c r="EV62" s="1">
        <f t="shared" ca="1" si="141"/>
        <v>2.4457747215660863E-2</v>
      </c>
      <c r="EW62" s="1">
        <f t="shared" ca="1" si="142"/>
        <v>4.6630419999999999E-2</v>
      </c>
      <c r="EX62" s="1">
        <f t="shared" ca="1" si="143"/>
        <v>0</v>
      </c>
      <c r="EY62" s="1">
        <f t="shared" ca="1" si="144"/>
        <v>0</v>
      </c>
      <c r="EZ62" s="1">
        <f t="shared" ca="1" si="145"/>
        <v>8.647821E-2</v>
      </c>
    </row>
    <row r="63" spans="1:156" x14ac:dyDescent="0.25">
      <c r="A63">
        <f t="shared" ca="1" si="103"/>
        <v>61</v>
      </c>
      <c r="B63" s="169">
        <f ca="1">IF('LC (Gross)'!A210="","",IF('LC (Gross)'!A210&gt;$AC$9,"",'LC (Gross)'!A210))</f>
        <v>42429</v>
      </c>
      <c r="C63" s="1">
        <f ca="1">IF(B63="","",(VLOOKUP(B63,'LC (Gross)'!A:D,4,FALSE)/100))</f>
        <v>2.0731000000000003E-2</v>
      </c>
      <c r="D63" s="1">
        <f ca="1">IF(B63="","",(VLOOKUP(B63,'SC (Gross)'!A:D,4,FALSE))/100)</f>
        <v>1.67E-2</v>
      </c>
      <c r="E63" s="1">
        <f ca="1">IF(B63="","",(VLOOKUP(B63,'Global (Gross)'!A:D,4,FALSE)/100))</f>
        <v>4.7999999999999996E-3</v>
      </c>
      <c r="F63" s="1"/>
      <c r="G63" s="1">
        <f ca="1">IF(B63="","",(VLOOKUP(B63,'LC (Net)'!A:D,4,FALSE)/100))</f>
        <v>2.0267E-2</v>
      </c>
      <c r="H63" s="1">
        <f ca="1">IF(B63="","",(VLOOKUP(B63,'SC (Net)'!A:D,4,FALSE))/100)</f>
        <v>1.67E-2</v>
      </c>
      <c r="I63" s="1">
        <f ca="1">IF(B63="","",(VLOOKUP(B63,'Global (Net)'!A:D,4,FALSE)/100))</f>
        <v>4.7999999999999996E-3</v>
      </c>
      <c r="J63" s="1"/>
      <c r="K63" s="1">
        <f ca="1">IF(B63="","",VLOOKUP(Website!B63,'LC (Gross)'!W:X,2,FALSE)/100)</f>
        <v>1.0310401745849809E-2</v>
      </c>
      <c r="L63" s="1">
        <f ca="1">IF(B63="","",VLOOKUP(Website!B63,'SC (Gross)'!P:Q,2,FALSE)/100)</f>
        <v>2.6831381536655007E-3</v>
      </c>
      <c r="M63" s="1">
        <f ca="1">IF(B63="","",VLOOKUP(Website!B63,'Global (Gross)'!P:Q,2,FALSE)/100)</f>
        <v>1.9544215669783559E-2</v>
      </c>
      <c r="O63" s="1">
        <f ca="1">IF(B63="","",VLOOKUP(Website!B63,'LC (Gross)'!J:K,2,FALSE)/100)</f>
        <v>-1.347500848582405E-3</v>
      </c>
      <c r="P63" s="233">
        <f ca="1">IF(B63="","",(VLOOKUP(B63,'SC (Gross)'!J:K,2,FALSE))/100)</f>
        <v>-1.125449271752009E-4</v>
      </c>
      <c r="Q63" s="233">
        <f ca="1">IF(B63="","",(VLOOKUP(B63,'Global (Gross)'!J:K,2,FALSE)/100))</f>
        <v>-6.2960539338588169E-3</v>
      </c>
      <c r="S63" s="22">
        <f t="shared" ca="1" si="0"/>
        <v>2.2078500848582407E-2</v>
      </c>
      <c r="T63" s="22">
        <f t="shared" ca="1" si="1"/>
        <v>1.68125449271752E-2</v>
      </c>
      <c r="U63" s="22">
        <f t="shared" ca="1" si="2"/>
        <v>1.1096053933858816E-2</v>
      </c>
      <c r="V63" s="22"/>
      <c r="W63" s="22">
        <f t="shared" ca="1" si="100"/>
        <v>1.1657902594432215E-2</v>
      </c>
      <c r="X63" s="22">
        <f t="shared" ca="1" si="101"/>
        <v>2.7956830808407015E-3</v>
      </c>
      <c r="Y63" s="22">
        <f t="shared" ca="1" si="102"/>
        <v>2.5840269603642375E-2</v>
      </c>
      <c r="EJ63">
        <f t="shared" ca="1" si="110"/>
        <v>120</v>
      </c>
      <c r="EK63" s="169">
        <f t="shared" ca="1" si="130"/>
        <v>44227</v>
      </c>
      <c r="EL63" s="1">
        <f t="shared" ca="1" si="131"/>
        <v>-3.0198999999999997E-2</v>
      </c>
      <c r="EM63" s="1">
        <f t="shared" ca="1" si="132"/>
        <v>-3.0828000000000001E-2</v>
      </c>
      <c r="EN63" s="1">
        <f t="shared" ca="1" si="133"/>
        <v>-1.7796389521386662E-2</v>
      </c>
      <c r="EO63" s="1">
        <f t="shared" ca="1" si="134"/>
        <v>-1.0177430000000001E-2</v>
      </c>
      <c r="EP63" s="1">
        <f t="shared" ca="1" si="135"/>
        <v>2.3052000000000003E-2</v>
      </c>
      <c r="EQ63" s="1">
        <f t="shared" ca="1" si="136"/>
        <v>2.2425999999999998E-2</v>
      </c>
      <c r="ER63" s="1">
        <f t="shared" ca="1" si="137"/>
        <v>8.0199169471176154E-3</v>
      </c>
      <c r="ES63" s="1">
        <f t="shared" ca="1" si="138"/>
        <v>5.0320150000000001E-2</v>
      </c>
      <c r="ET63" s="1">
        <f t="shared" ca="1" si="139"/>
        <v>-1.9450000000000002E-2</v>
      </c>
      <c r="EU63" s="1">
        <f t="shared" ca="1" si="140"/>
        <v>-2.0243000000000001E-2</v>
      </c>
      <c r="EV63" s="1">
        <f t="shared" ca="1" si="141"/>
        <v>-1.5846854121498177E-2</v>
      </c>
      <c r="EW63" s="1">
        <f t="shared" ca="1" si="142"/>
        <v>-4.4216029999999996E-3</v>
      </c>
      <c r="EX63" s="1">
        <f t="shared" ca="1" si="143"/>
        <v>0</v>
      </c>
      <c r="EY63" s="1">
        <f t="shared" ca="1" si="144"/>
        <v>0</v>
      </c>
      <c r="EZ63" s="1">
        <f t="shared" ca="1" si="145"/>
        <v>5.0320150000000001E-2</v>
      </c>
    </row>
    <row r="64" spans="1:156" x14ac:dyDescent="0.25">
      <c r="A64">
        <f t="shared" ca="1" si="103"/>
        <v>62</v>
      </c>
      <c r="B64" s="169">
        <f ca="1">IF('LC (Gross)'!A211="","",IF('LC (Gross)'!A211&gt;$AC$9,"",'LC (Gross)'!A211))</f>
        <v>42460</v>
      </c>
      <c r="C64" s="1">
        <f ca="1">IF(B64="","",(VLOOKUP(B64,'LC (Gross)'!A:D,4,FALSE)/100))</f>
        <v>6.2297999999999999E-2</v>
      </c>
      <c r="D64" s="1">
        <f ca="1">IF(B64="","",(VLOOKUP(B64,'SC (Gross)'!A:D,4,FALSE))/100)</f>
        <v>5.6100000000000004E-2</v>
      </c>
      <c r="E64" s="1">
        <f ca="1">IF(B64="","",(VLOOKUP(B64,'Global (Gross)'!A:D,4,FALSE)/100))</f>
        <v>6.6353999999999996E-2</v>
      </c>
      <c r="F64" s="1"/>
      <c r="G64" s="1">
        <f ca="1">IF(B64="","",(VLOOKUP(B64,'LC (Net)'!A:D,4,FALSE)/100))</f>
        <v>6.1807999999999995E-2</v>
      </c>
      <c r="H64" s="1">
        <f ca="1">IF(B64="","",(VLOOKUP(B64,'SC (Net)'!A:D,4,FALSE))/100)</f>
        <v>5.6100000000000004E-2</v>
      </c>
      <c r="I64" s="1">
        <f ca="1">IF(B64="","",(VLOOKUP(B64,'Global (Net)'!A:D,4,FALSE)/100))</f>
        <v>6.6353999999999996E-2</v>
      </c>
      <c r="J64" s="1"/>
      <c r="K64" s="1">
        <f ca="1">IF(B64="","",VLOOKUP(Website!B64,'LC (Gross)'!W:X,2,FALSE)/100)</f>
        <v>5.9656666340923231E-2</v>
      </c>
      <c r="L64" s="1">
        <f ca="1">IF(B64="","",VLOOKUP(Website!B64,'SC (Gross)'!P:Q,2,FALSE)/100)</f>
        <v>6.6620209059233382E-2</v>
      </c>
      <c r="M64" s="1">
        <f ca="1">IF(B64="","",VLOOKUP(Website!B64,'Global (Gross)'!P:Q,2,FALSE)/100)</f>
        <v>5.9798204895968821E-2</v>
      </c>
      <c r="O64" s="1">
        <f ca="1">IF(B64="","",VLOOKUP(Website!B64,'LC (Gross)'!J:K,2,FALSE)/100)</f>
        <v>6.783559084936909E-2</v>
      </c>
      <c r="P64" s="233">
        <f ca="1">IF(B64="","",(VLOOKUP(B64,'SC (Gross)'!J:K,2,FALSE))/100)</f>
        <v>7.9811016800056062E-2</v>
      </c>
      <c r="Q64" s="233">
        <f ca="1">IF(B64="","",(VLOOKUP(B64,'Global (Gross)'!J:K,2,FALSE)/100))</f>
        <v>7.4820108129513271E-2</v>
      </c>
      <c r="S64" s="22">
        <f t="shared" ca="1" si="0"/>
        <v>-5.5375908493690909E-3</v>
      </c>
      <c r="T64" s="22">
        <f t="shared" ca="1" si="1"/>
        <v>-2.3711016800056058E-2</v>
      </c>
      <c r="U64" s="22">
        <f t="shared" ca="1" si="2"/>
        <v>-8.4661081295132751E-3</v>
      </c>
      <c r="V64" s="22"/>
      <c r="W64" s="22">
        <f t="shared" ca="1" si="100"/>
        <v>-8.1789245084458589E-3</v>
      </c>
      <c r="X64" s="22">
        <f t="shared" ca="1" si="101"/>
        <v>-1.319080774082268E-2</v>
      </c>
      <c r="Y64" s="22">
        <f t="shared" ca="1" si="102"/>
        <v>-1.5021903233544451E-2</v>
      </c>
      <c r="EJ64">
        <f t="shared" ca="1" si="110"/>
        <v>121</v>
      </c>
      <c r="EK64" s="169">
        <f t="shared" ca="1" si="130"/>
        <v>44255</v>
      </c>
      <c r="EL64" s="1">
        <f t="shared" ca="1" si="131"/>
        <v>2.16E-3</v>
      </c>
      <c r="EM64" s="1">
        <f t="shared" ca="1" si="132"/>
        <v>1.3930000000000001E-3</v>
      </c>
      <c r="EN64" s="1">
        <f t="shared" ca="1" si="133"/>
        <v>-1.102733E-2</v>
      </c>
      <c r="EO64" s="1">
        <f t="shared" ca="1" si="134"/>
        <v>2.757573E-2</v>
      </c>
      <c r="EP64" s="1">
        <f t="shared" ca="1" si="135"/>
        <v>1.6141000000000003E-2</v>
      </c>
      <c r="EQ64" s="1">
        <f t="shared" ca="1" si="136"/>
        <v>1.525E-2</v>
      </c>
      <c r="ER64" s="1">
        <f t="shared" ca="1" si="137"/>
        <v>8.4144400000000008E-2</v>
      </c>
      <c r="ES64" s="1">
        <f t="shared" ca="1" si="138"/>
        <v>6.2316390000000006E-2</v>
      </c>
      <c r="ET64" s="1">
        <f t="shared" ca="1" si="139"/>
        <v>2.1870000000000001E-3</v>
      </c>
      <c r="EU64" s="1">
        <f t="shared" ca="1" si="140"/>
        <v>1.5429999999999999E-3</v>
      </c>
      <c r="EV64" s="1">
        <f t="shared" ca="1" si="141"/>
        <v>-1.1630529999999998E-2</v>
      </c>
      <c r="EW64" s="1">
        <f t="shared" ca="1" si="142"/>
        <v>2.3482360000000001E-2</v>
      </c>
      <c r="EX64" s="1">
        <f t="shared" ca="1" si="143"/>
        <v>0</v>
      </c>
      <c r="EY64" s="1">
        <f t="shared" ca="1" si="144"/>
        <v>0</v>
      </c>
      <c r="EZ64" s="1">
        <f t="shared" ca="1" si="145"/>
        <v>6.2316390000000006E-2</v>
      </c>
    </row>
    <row r="65" spans="1:156" x14ac:dyDescent="0.25">
      <c r="A65">
        <f t="shared" ca="1" si="103"/>
        <v>63</v>
      </c>
      <c r="B65" s="169">
        <f ca="1">IF('LC (Gross)'!A212="","",IF('LC (Gross)'!A212&gt;$AC$9,"",'LC (Gross)'!A212))</f>
        <v>42490</v>
      </c>
      <c r="C65" s="1">
        <f ca="1">IF(B65="","",(VLOOKUP(B65,'LC (Gross)'!A:D,4,FALSE)/100))</f>
        <v>-1.3212999999999999E-2</v>
      </c>
      <c r="D65" s="1">
        <f ca="1">IF(B65="","",(VLOOKUP(B65,'SC (Gross)'!A:D,4,FALSE))/100)</f>
        <v>1.0139E-2</v>
      </c>
      <c r="E65" s="1">
        <f ca="1">IF(B65="","",(VLOOKUP(B65,'Global (Gross)'!A:D,4,FALSE)/100))</f>
        <v>2.2070000000000002E-3</v>
      </c>
      <c r="F65" s="1"/>
      <c r="G65" s="1">
        <f ca="1">IF(B65="","",(VLOOKUP(B65,'LC (Net)'!A:D,4,FALSE)/100))</f>
        <v>-1.3619000000000001E-2</v>
      </c>
      <c r="H65" s="1">
        <f ca="1">IF(B65="","",(VLOOKUP(B65,'SC (Net)'!A:D,4,FALSE))/100)</f>
        <v>1.0126999999999999E-2</v>
      </c>
      <c r="I65" s="1">
        <f ca="1">IF(B65="","",(VLOOKUP(B65,'Global (Net)'!A:D,4,FALSE)/100))</f>
        <v>2.2070000000000002E-3</v>
      </c>
      <c r="J65" s="1"/>
      <c r="K65" s="1">
        <f ca="1">IF(B65="","",VLOOKUP(Website!B65,'LC (Gross)'!W:X,2,FALSE)/100)</f>
        <v>-7.03615353296882E-3</v>
      </c>
      <c r="L65" s="1">
        <f ca="1">IF(B65="","",VLOOKUP(Website!B65,'SC (Gross)'!P:Q,2,FALSE)/100)</f>
        <v>6.2916503332027373E-3</v>
      </c>
      <c r="M65" s="1">
        <f ca="1">IF(B65="","",VLOOKUP(Website!B65,'Global (Gross)'!P:Q,2,FALSE)/100)</f>
        <v>6.8696619835551366E-3</v>
      </c>
      <c r="O65" s="1">
        <f ca="1">IF(B65="","",VLOOKUP(Website!B65,'LC (Gross)'!J:K,2,FALSE)/100)</f>
        <v>3.8791035526038221E-3</v>
      </c>
      <c r="P65" s="233">
        <f ca="1">IF(B65="","",(VLOOKUP(B65,'SC (Gross)'!J:K,2,FALSE))/100)</f>
        <v>1.5694968610604175E-2</v>
      </c>
      <c r="Q65" s="233">
        <f ca="1">IF(B65="","",(VLOOKUP(B65,'Global (Gross)'!J:K,2,FALSE)/100))</f>
        <v>1.5259663378262284E-2</v>
      </c>
      <c r="S65" s="22">
        <f t="shared" ca="1" si="0"/>
        <v>-1.7092103552603821E-2</v>
      </c>
      <c r="T65" s="22">
        <f t="shared" ca="1" si="1"/>
        <v>-5.5559686106041745E-3</v>
      </c>
      <c r="U65" s="22">
        <f t="shared" ca="1" si="2"/>
        <v>-1.3052663378262283E-2</v>
      </c>
      <c r="V65" s="22"/>
      <c r="W65" s="22">
        <f t="shared" ca="1" si="100"/>
        <v>-1.0915257085572642E-2</v>
      </c>
      <c r="X65" s="22">
        <f t="shared" ca="1" si="101"/>
        <v>-9.4033182774014377E-3</v>
      </c>
      <c r="Y65" s="22">
        <f t="shared" ca="1" si="102"/>
        <v>-8.3900013947071465E-3</v>
      </c>
      <c r="EJ65">
        <f t="shared" ca="1" si="110"/>
        <v>122</v>
      </c>
      <c r="EK65" s="169">
        <f t="shared" ca="1" si="130"/>
        <v>44286</v>
      </c>
      <c r="EL65" s="1">
        <f t="shared" ca="1" si="131"/>
        <v>2.4340999999999998E-2</v>
      </c>
      <c r="EM65" s="1">
        <f t="shared" ca="1" si="132"/>
        <v>2.3746999999999997E-2</v>
      </c>
      <c r="EN65" s="1">
        <f t="shared" ca="1" si="133"/>
        <v>6.8093779999999993E-2</v>
      </c>
      <c r="EO65" s="1">
        <f t="shared" ca="1" si="134"/>
        <v>4.3791500000000004E-2</v>
      </c>
      <c r="EP65" s="1">
        <f t="shared" ca="1" si="135"/>
        <v>1.0835999999999998E-2</v>
      </c>
      <c r="EQ65" s="1">
        <f t="shared" ca="1" si="136"/>
        <v>1.0323000000000001E-2</v>
      </c>
      <c r="ER65" s="1">
        <f t="shared" ca="1" si="137"/>
        <v>3.3645040000000001E-2</v>
      </c>
      <c r="ES65" s="1">
        <f t="shared" ca="1" si="138"/>
        <v>1.0008870000000001E-2</v>
      </c>
      <c r="ET65" s="1">
        <f t="shared" ca="1" si="139"/>
        <v>2.6608E-2</v>
      </c>
      <c r="EU65" s="1">
        <f t="shared" ca="1" si="140"/>
        <v>2.596E-2</v>
      </c>
      <c r="EV65" s="1">
        <f t="shared" ca="1" si="141"/>
        <v>4.7067930000000001E-2</v>
      </c>
      <c r="EW65" s="1">
        <f t="shared" ca="1" si="142"/>
        <v>2.7345459999999999E-2</v>
      </c>
      <c r="EX65" s="1">
        <f t="shared" ca="1" si="143"/>
        <v>2.2485746666666664E-2</v>
      </c>
      <c r="EY65" s="1">
        <f t="shared" ca="1" si="144"/>
        <v>2.1444079999999997E-2</v>
      </c>
      <c r="EZ65" s="1">
        <f t="shared" ca="1" si="145"/>
        <v>1.0008870000000001E-2</v>
      </c>
    </row>
    <row r="66" spans="1:156" x14ac:dyDescent="0.25">
      <c r="A66">
        <f t="shared" ca="1" si="103"/>
        <v>64</v>
      </c>
      <c r="B66" s="169">
        <f ca="1">IF('LC (Gross)'!A213="","",IF('LC (Gross)'!A213&gt;$AC$9,"",'LC (Gross)'!A213))</f>
        <v>42521</v>
      </c>
      <c r="C66" s="1">
        <f ca="1">IF(B66="","",(VLOOKUP(B66,'LC (Gross)'!A:D,4,FALSE)/100))</f>
        <v>1.9955000000000001E-2</v>
      </c>
      <c r="D66" s="1">
        <f ca="1">IF(B66="","",(VLOOKUP(B66,'SC (Gross)'!A:D,4,FALSE))/100)</f>
        <v>2.5308999999999998E-2</v>
      </c>
      <c r="E66" s="1">
        <f ca="1">IF(B66="","",(VLOOKUP(B66,'Global (Gross)'!A:D,4,FALSE)/100))</f>
        <v>1.6200000000000003E-2</v>
      </c>
      <c r="F66" s="1"/>
      <c r="G66" s="1">
        <f ca="1">IF(B66="","",(VLOOKUP(B66,'LC (Net)'!A:D,4,FALSE)/100))</f>
        <v>1.9543999999999999E-2</v>
      </c>
      <c r="H66" s="1">
        <f ca="1">IF(B66="","",(VLOOKUP(B66,'SC (Net)'!A:D,4,FALSE))/100)</f>
        <v>2.5299000000000002E-2</v>
      </c>
      <c r="I66" s="1">
        <f ca="1">IF(B66="","",(VLOOKUP(B66,'Global (Net)'!A:D,4,FALSE)/100))</f>
        <v>1.6200000000000003E-2</v>
      </c>
      <c r="J66" s="1"/>
      <c r="K66" s="1">
        <f ca="1">IF(B66="","",VLOOKUP(Website!B66,'LC (Gross)'!W:X,2,FALSE)/100)</f>
        <v>1.6645936069038334E-2</v>
      </c>
      <c r="L66" s="1">
        <f ca="1">IF(B66="","",VLOOKUP(Website!B66,'SC (Gross)'!P:Q,2,FALSE)/100)</f>
        <v>3.1514773767554176E-2</v>
      </c>
      <c r="M66" s="1">
        <f ca="1">IF(B66="","",VLOOKUP(Website!B66,'Global (Gross)'!P:Q,2,FALSE)/100)</f>
        <v>-2.6524910088377139E-3</v>
      </c>
      <c r="O66" s="1">
        <f ca="1">IF(B66="","",VLOOKUP(Website!B66,'LC (Gross)'!J:K,2,FALSE)/100)</f>
        <v>1.7954286499449398E-2</v>
      </c>
      <c r="P66" s="233">
        <f ca="1">IF(B66="","",(VLOOKUP(B66,'SC (Gross)'!J:K,2,FALSE))/100)</f>
        <v>2.2518361605255558E-2</v>
      </c>
      <c r="Q66" s="233">
        <f ca="1">IF(B66="","",(VLOOKUP(B66,'Global (Gross)'!J:K,2,FALSE)/100))</f>
        <v>2.0647800641014065E-3</v>
      </c>
      <c r="S66" s="22">
        <f t="shared" ca="1" si="0"/>
        <v>2.0007135005506022E-3</v>
      </c>
      <c r="T66" s="22">
        <f t="shared" ca="1" si="1"/>
        <v>2.7906383947444401E-3</v>
      </c>
      <c r="U66" s="22">
        <f t="shared" ca="1" si="2"/>
        <v>1.4135219935898596E-2</v>
      </c>
      <c r="V66" s="22"/>
      <c r="W66" s="22">
        <f t="shared" ca="1" si="100"/>
        <v>-1.3083504304110642E-3</v>
      </c>
      <c r="X66" s="22">
        <f t="shared" ca="1" si="101"/>
        <v>8.9964121622986178E-3</v>
      </c>
      <c r="Y66" s="22">
        <f t="shared" ca="1" si="102"/>
        <v>-4.7172710729391203E-3</v>
      </c>
      <c r="EJ66">
        <f t="shared" ca="1" si="110"/>
        <v>123</v>
      </c>
      <c r="EK66" s="169">
        <f t="shared" ca="1" si="130"/>
        <v>44316</v>
      </c>
      <c r="EL66" s="1">
        <f t="shared" ca="1" si="131"/>
        <v>4.8381E-2</v>
      </c>
      <c r="EM66" s="1">
        <f t="shared" ca="1" si="132"/>
        <v>4.7775999999999999E-2</v>
      </c>
      <c r="EN66" s="1">
        <f t="shared" ca="1" si="133"/>
        <v>4.1895179999999997E-2</v>
      </c>
      <c r="EO66" s="1">
        <f t="shared" ca="1" si="134"/>
        <v>5.3368119999999998E-2</v>
      </c>
      <c r="EP66" s="1">
        <f t="shared" ca="1" si="135"/>
        <v>2.4963000000000003E-2</v>
      </c>
      <c r="EQ66" s="1">
        <f t="shared" ca="1" si="136"/>
        <v>2.4445999999999999E-2</v>
      </c>
      <c r="ER66" s="1">
        <f t="shared" ca="1" si="137"/>
        <v>7.9752250000000007E-3</v>
      </c>
      <c r="ES66" s="1">
        <f t="shared" ca="1" si="138"/>
        <v>2.0999029999999998E-2</v>
      </c>
      <c r="ET66" s="1">
        <f t="shared" ca="1" si="139"/>
        <v>4.1872999999999994E-2</v>
      </c>
      <c r="EU66" s="1">
        <f t="shared" ca="1" si="140"/>
        <v>4.1095E-2</v>
      </c>
      <c r="EV66" s="1">
        <f t="shared" ca="1" si="141"/>
        <v>2.767054E-2</v>
      </c>
      <c r="EW66" s="1">
        <f t="shared" ca="1" si="142"/>
        <v>4.40901E-2</v>
      </c>
      <c r="EX66" s="1">
        <f t="shared" ca="1" si="143"/>
        <v>2.5473579999999999E-2</v>
      </c>
      <c r="EY66" s="1">
        <f t="shared" ca="1" si="144"/>
        <v>2.4448580000000001E-2</v>
      </c>
      <c r="EZ66" s="1">
        <f t="shared" ca="1" si="145"/>
        <v>2.0999029999999998E-2</v>
      </c>
    </row>
    <row r="67" spans="1:156" x14ac:dyDescent="0.25">
      <c r="A67">
        <f t="shared" ca="1" si="103"/>
        <v>65</v>
      </c>
      <c r="B67" s="169">
        <f ca="1">IF('LC (Gross)'!A214="","",IF('LC (Gross)'!A214&gt;$AC$9,"",'LC (Gross)'!A214))</f>
        <v>42551</v>
      </c>
      <c r="C67" s="1">
        <f ca="1">IF(B67="","",(VLOOKUP(B67,'LC (Gross)'!A:D,4,FALSE)/100))</f>
        <v>2.9489999999999999E-2</v>
      </c>
      <c r="D67" s="1">
        <f ca="1">IF(B67="","",(VLOOKUP(B67,'SC (Gross)'!A:D,4,FALSE))/100)</f>
        <v>2.5323000000000002E-2</v>
      </c>
      <c r="E67" s="1">
        <f ca="1">IF(B67="","",(VLOOKUP(B67,'Global (Gross)'!A:D,4,FALSE)/100))</f>
        <v>4.2500000000000003E-2</v>
      </c>
      <c r="F67" s="1"/>
      <c r="G67" s="1">
        <f ca="1">IF(B67="","",(VLOOKUP(B67,'LC (Net)'!A:D,4,FALSE)/100))</f>
        <v>2.8815E-2</v>
      </c>
      <c r="H67" s="1">
        <f ca="1">IF(B67="","",(VLOOKUP(B67,'SC (Net)'!A:D,4,FALSE))/100)</f>
        <v>2.5017000000000001E-2</v>
      </c>
      <c r="I67" s="1">
        <f ca="1">IF(B67="","",(VLOOKUP(B67,'Global (Net)'!A:D,4,FALSE)/100))</f>
        <v>4.2500000000000003E-2</v>
      </c>
      <c r="J67" s="1"/>
      <c r="K67" s="1">
        <f ca="1">IF(B67="","",VLOOKUP(Website!B67,'LC (Gross)'!W:X,2,FALSE)/100)</f>
        <v>5.7451663459117966E-2</v>
      </c>
      <c r="L67" s="1">
        <f ca="1">IF(B67="","",VLOOKUP(Website!B67,'SC (Gross)'!P:Q,2,FALSE)/100)</f>
        <v>2.3200337367901037E-2</v>
      </c>
      <c r="M67" s="1">
        <f ca="1">IF(B67="","",VLOOKUP(Website!B67,'Global (Gross)'!P:Q,2,FALSE)/100)</f>
        <v>4.5319740433686952E-2</v>
      </c>
      <c r="O67" s="1">
        <f ca="1">IF(B67="","",VLOOKUP(Website!B67,'LC (Gross)'!J:K,2,FALSE)/100)</f>
        <v>2.5953603335601978E-3</v>
      </c>
      <c r="P67" s="233">
        <f ca="1">IF(B67="","",(VLOOKUP(B67,'SC (Gross)'!J:K,2,FALSE))/100)</f>
        <v>-6.3906032296119186E-4</v>
      </c>
      <c r="Q67" s="233">
        <f ca="1">IF(B67="","",(VLOOKUP(B67,'Global (Gross)'!J:K,2,FALSE)/100))</f>
        <v>-5.5098852259972938E-3</v>
      </c>
      <c r="S67" s="22">
        <f t="shared" ref="S67:S130" ca="1" si="147">IF(C67="","",C67-O67)</f>
        <v>2.6894639666439801E-2</v>
      </c>
      <c r="T67" s="22">
        <f t="shared" ref="T67:T130" ca="1" si="148">IF(D67="","",D67-P67)</f>
        <v>2.5962060322961195E-2</v>
      </c>
      <c r="U67" s="22">
        <f t="shared" ref="U67:U130" ca="1" si="149">IF(E67="","",E67-Q67)</f>
        <v>4.8009885225997299E-2</v>
      </c>
      <c r="V67" s="22"/>
      <c r="W67" s="22">
        <f t="shared" ca="1" si="100"/>
        <v>5.4856303125557768E-2</v>
      </c>
      <c r="X67" s="22">
        <f t="shared" ca="1" si="101"/>
        <v>2.383939769086223E-2</v>
      </c>
      <c r="Y67" s="22">
        <f t="shared" ca="1" si="102"/>
        <v>5.0829625659684248E-2</v>
      </c>
      <c r="EJ67">
        <f t="shared" ca="1" si="110"/>
        <v>124</v>
      </c>
      <c r="EK67" s="169">
        <f t="shared" ref="EK67:EK98" ca="1" si="150">VLOOKUP(EJ67,$A:$B,2,FALSE)</f>
        <v>44347</v>
      </c>
      <c r="EL67" s="1">
        <f t="shared" ref="EL67:EL98" ca="1" si="151">IF(EJ67="",0,VLOOKUP(EJ67,$A:$Q,3,FALSE))</f>
        <v>1.2439999999999999E-3</v>
      </c>
      <c r="EM67" s="1">
        <f t="shared" ref="EM67:EM98" ca="1" si="152">IF(EJ67="",0,VLOOKUP(EJ67,$A:$Q,7,FALSE))</f>
        <v>4.8300000000000003E-4</v>
      </c>
      <c r="EN67" s="1">
        <f t="shared" ref="EN67:EN98" ca="1" si="153">IF(EJ67="",0,VLOOKUP(EJ67,$A:$Q,11,FALSE))</f>
        <v>1.1587460000000001E-2</v>
      </c>
      <c r="EO67" s="1">
        <f t="shared" ref="EO67:EO98" ca="1" si="154">IF(EJ67="",0,VLOOKUP(EJ67,$A:$Q,15,FALSE))</f>
        <v>6.9815649999999995E-3</v>
      </c>
      <c r="EP67" s="1">
        <f t="shared" ref="EP67:EP98" ca="1" si="155">IF(EJ67="",0,VLOOKUP(EJ67,$A:$Q,4,FALSE))</f>
        <v>-3.9110000000000004E-3</v>
      </c>
      <c r="EQ67" s="1">
        <f t="shared" ref="EQ67:EQ98" ca="1" si="156">IF(EJ67="",0,VLOOKUP(EJ67,$A:$Q,8,FALSE))</f>
        <v>-4.7780000000000001E-3</v>
      </c>
      <c r="ER67" s="1">
        <f t="shared" ref="ER67:ER98" ca="1" si="157">IF(EJ67="",0,VLOOKUP(EJ67,$A:$Q,12,FALSE))</f>
        <v>2.4864210000000001E-2</v>
      </c>
      <c r="ES67" s="1">
        <f t="shared" ref="ES67:ES98" ca="1" si="158">IF(EJ67="",0,VLOOKUP(EJ67,$A:$Q,16,FALSE))</f>
        <v>2.0599759999999998E-3</v>
      </c>
      <c r="ET67" s="1">
        <f t="shared" ref="ET67:ET98" ca="1" si="159">IF(EJ67="",0,VLOOKUP(EJ67,$A:$Q,5,FALSE))</f>
        <v>1.1787000000000001E-2</v>
      </c>
      <c r="EU67" s="1">
        <f t="shared" ref="EU67:EU98" ca="1" si="160">IF(EJ67="",0,VLOOKUP(EJ67,$A:$Q,9,FALSE))</f>
        <v>1.1136E-2</v>
      </c>
      <c r="EV67" s="1">
        <f t="shared" ref="EV67:EV98" ca="1" si="161">IF(EJ67="",0,VLOOKUP(EJ67,$A:$Q,13,FALSE))</f>
        <v>1.8857821167551705E-2</v>
      </c>
      <c r="EW67" s="1">
        <f t="shared" ref="EW67:EW98" ca="1" si="162">IF(EJ67="",0,VLOOKUP(EJ67,$A:$Q,17,FALSE))</f>
        <v>1.6038460000000001E-2</v>
      </c>
      <c r="EX67" s="1">
        <f t="shared" ref="EX67:EX98" ca="1" si="163">IF(EJ67="",0,VLOOKUP(EJ67,$A:$Q,6,FALSE))</f>
        <v>1.6329800000000002E-2</v>
      </c>
      <c r="EY67" s="1">
        <f t="shared" ref="EY67:EY98" ca="1" si="164">IF(EJ67="",0,VLOOKUP(EJ67,$A:$Q,10,FALSE))</f>
        <v>1.53048E-2</v>
      </c>
      <c r="EZ67" s="1">
        <f t="shared" ref="EZ67:EZ98" ca="1" si="165">IF(EJ67="",0,VLOOKUP(EJ67,$A:$Q,16,FALSE))</f>
        <v>2.0599759999999998E-3</v>
      </c>
    </row>
    <row r="68" spans="1:156" x14ac:dyDescent="0.25">
      <c r="A68">
        <f t="shared" ca="1" si="103"/>
        <v>66</v>
      </c>
      <c r="B68" s="169">
        <f ca="1">IF('LC (Gross)'!A215="","",IF('LC (Gross)'!A215&gt;$AC$9,"",'LC (Gross)'!A215))</f>
        <v>42582</v>
      </c>
      <c r="C68" s="1">
        <f ca="1">IF(B68="","",(VLOOKUP(B68,'LC (Gross)'!A:D,4,FALSE)/100))</f>
        <v>1.6184E-2</v>
      </c>
      <c r="D68" s="1">
        <f ca="1">IF(B68="","",(VLOOKUP(B68,'SC (Gross)'!A:D,4,FALSE))/100)</f>
        <v>2.963E-2</v>
      </c>
      <c r="E68" s="1">
        <f ca="1">IF(B68="","",(VLOOKUP(B68,'Global (Gross)'!A:D,4,FALSE)/100))</f>
        <v>1.3450999999999999E-2</v>
      </c>
      <c r="F68" s="1"/>
      <c r="G68" s="1">
        <f ca="1">IF(B68="","",(VLOOKUP(B68,'LC (Net)'!A:D,4,FALSE)/100))</f>
        <v>1.5397000000000001E-2</v>
      </c>
      <c r="H68" s="1">
        <f ca="1">IF(B68="","",(VLOOKUP(B68,'SC (Net)'!A:D,4,FALSE))/100)</f>
        <v>2.8793000000000003E-2</v>
      </c>
      <c r="I68" s="1">
        <f ca="1">IF(B68="","",(VLOOKUP(B68,'Global (Net)'!A:D,4,FALSE)/100))</f>
        <v>1.3450999999999999E-2</v>
      </c>
      <c r="J68" s="1"/>
      <c r="K68" s="1">
        <f ca="1">IF(B68="","",VLOOKUP(Website!B68,'LC (Gross)'!W:X,2,FALSE)/100)</f>
        <v>3.3481285804241802E-3</v>
      </c>
      <c r="L68" s="1">
        <f ca="1">IF(B68="","",VLOOKUP(Website!B68,'SC (Gross)'!P:Q,2,FALSE)/100)</f>
        <v>3.4202124714725925E-2</v>
      </c>
      <c r="M68" s="1">
        <f ca="1">IF(B68="","",VLOOKUP(Website!B68,'Global (Gross)'!P:Q,2,FALSE)/100)</f>
        <v>2.0357905288696923E-2</v>
      </c>
      <c r="O68" s="1">
        <f ca="1">IF(B68="","",VLOOKUP(Website!B68,'LC (Gross)'!J:K,2,FALSE)/100)</f>
        <v>3.6864546457923149E-2</v>
      </c>
      <c r="P68" s="233">
        <f ca="1">IF(B68="","",(VLOOKUP(B68,'SC (Gross)'!J:K,2,FALSE))/100)</f>
        <v>5.9706867954982139E-2</v>
      </c>
      <c r="Q68" s="233">
        <f ca="1">IF(B68="","",(VLOOKUP(B68,'Global (Gross)'!J:K,2,FALSE)/100))</f>
        <v>4.3578224690770717E-2</v>
      </c>
      <c r="S68" s="22">
        <f t="shared" ca="1" si="147"/>
        <v>-2.0680546457923148E-2</v>
      </c>
      <c r="T68" s="22">
        <f t="shared" ca="1" si="148"/>
        <v>-3.0076867954982139E-2</v>
      </c>
      <c r="U68" s="22">
        <f t="shared" ca="1" si="149"/>
        <v>-3.0127224690770719E-2</v>
      </c>
      <c r="V68" s="22"/>
      <c r="W68" s="22">
        <f t="shared" ref="W68:W131" ca="1" si="166">IF(O68="","",K68-O68)</f>
        <v>-3.3516417877498969E-2</v>
      </c>
      <c r="X68" s="22">
        <f t="shared" ref="X68:X131" ca="1" si="167">IF(P68="","",L68-P68)</f>
        <v>-2.5504743240256214E-2</v>
      </c>
      <c r="Y68" s="22">
        <f t="shared" ref="Y68:Y131" ca="1" si="168">IF(Q68="","",M68-Q68)</f>
        <v>-2.3220319402073794E-2</v>
      </c>
      <c r="EJ68">
        <f t="shared" ca="1" si="110"/>
        <v>125</v>
      </c>
      <c r="EK68" s="169">
        <f t="shared" ca="1" si="150"/>
        <v>44377</v>
      </c>
      <c r="EL68" s="1">
        <f t="shared" ca="1" si="151"/>
        <v>3.3105999999999997E-2</v>
      </c>
      <c r="EM68" s="1">
        <f t="shared" ca="1" si="152"/>
        <v>3.2516999999999997E-2</v>
      </c>
      <c r="EN68" s="1">
        <f t="shared" ca="1" si="153"/>
        <v>2.8556060000000001E-4</v>
      </c>
      <c r="EO68" s="1">
        <f t="shared" ca="1" si="154"/>
        <v>2.3341850000000001E-2</v>
      </c>
      <c r="EP68" s="1">
        <f t="shared" ca="1" si="155"/>
        <v>2.8210000000000002E-3</v>
      </c>
      <c r="EQ68" s="1">
        <f t="shared" ca="1" si="156"/>
        <v>2.287E-3</v>
      </c>
      <c r="ER68" s="1">
        <f t="shared" ca="1" si="157"/>
        <v>-6.8136490000000006E-3</v>
      </c>
      <c r="ES68" s="1">
        <f t="shared" ca="1" si="158"/>
        <v>1.9373029999999999E-2</v>
      </c>
      <c r="ET68" s="1">
        <f t="shared" ca="1" si="159"/>
        <v>1.7763999999999999E-2</v>
      </c>
      <c r="EU68" s="1">
        <f t="shared" ca="1" si="160"/>
        <v>1.7113E-2</v>
      </c>
      <c r="EV68" s="1">
        <f t="shared" ca="1" si="161"/>
        <v>6.9622417643923351E-3</v>
      </c>
      <c r="EW68" s="1">
        <f t="shared" ca="1" si="162"/>
        <v>1.35379E-2</v>
      </c>
      <c r="EX68" s="1">
        <f t="shared" ca="1" si="163"/>
        <v>1.1755710000000001E-2</v>
      </c>
      <c r="EY68" s="1">
        <f t="shared" ca="1" si="164"/>
        <v>1.0730710000000001E-2</v>
      </c>
      <c r="EZ68" s="1">
        <f t="shared" ca="1" si="165"/>
        <v>1.9373029999999999E-2</v>
      </c>
    </row>
    <row r="69" spans="1:156" x14ac:dyDescent="0.25">
      <c r="A69">
        <f t="shared" ref="A69:A132" ca="1" si="169">IF(B69="","",A68+1)</f>
        <v>67</v>
      </c>
      <c r="B69" s="169">
        <f ca="1">IF('LC (Gross)'!A216="","",IF('LC (Gross)'!A216&gt;$AC$9,"",'LC (Gross)'!A216))</f>
        <v>42613</v>
      </c>
      <c r="C69" s="1">
        <f ca="1">IF(B69="","",(VLOOKUP(B69,'LC (Gross)'!A:D,4,FALSE)/100))</f>
        <v>-1.6608999999999999E-2</v>
      </c>
      <c r="D69" s="1">
        <f ca="1">IF(B69="","",(VLOOKUP(B69,'SC (Gross)'!A:D,4,FALSE))/100)</f>
        <v>1.8649999999999999E-3</v>
      </c>
      <c r="E69" s="1">
        <f ca="1">IF(B69="","",(VLOOKUP(B69,'Global (Gross)'!A:D,4,FALSE)/100))</f>
        <v>-1.55E-2</v>
      </c>
      <c r="F69" s="1"/>
      <c r="G69" s="1">
        <f ca="1">IF(B69="","",(VLOOKUP(B69,'LC (Net)'!A:D,4,FALSE)/100))</f>
        <v>-1.7051E-2</v>
      </c>
      <c r="H69" s="1">
        <f ca="1">IF(B69="","",(VLOOKUP(B69,'SC (Net)'!A:D,4,FALSE))/100)</f>
        <v>1.5640000000000001E-3</v>
      </c>
      <c r="I69" s="1">
        <f ca="1">IF(B69="","",(VLOOKUP(B69,'Global (Net)'!A:D,4,FALSE)/100))</f>
        <v>-1.55E-2</v>
      </c>
      <c r="J69" s="1"/>
      <c r="K69" s="1">
        <f ca="1">IF(B69="","",VLOOKUP(Website!B69,'LC (Gross)'!W:X,2,FALSE)/100)</f>
        <v>-1.8827779393531134E-2</v>
      </c>
      <c r="L69" s="1">
        <f ca="1">IF(B69="","",VLOOKUP(Website!B69,'SC (Gross)'!P:Q,2,FALSE)/100)</f>
        <v>2.0068640221742422E-2</v>
      </c>
      <c r="M69" s="1">
        <f ca="1">IF(B69="","",VLOOKUP(Website!B69,'Global (Gross)'!P:Q,2,FALSE)/100)</f>
        <v>-2.4016955553767955E-2</v>
      </c>
      <c r="O69" s="1">
        <f ca="1">IF(B69="","",VLOOKUP(Website!B69,'LC (Gross)'!J:K,2,FALSE)/100)</f>
        <v>1.4072129967986941E-3</v>
      </c>
      <c r="P69" s="233">
        <f ca="1">IF(B69="","",(VLOOKUP(B69,'SC (Gross)'!J:K,2,FALSE))/100)</f>
        <v>1.7677409666168632E-2</v>
      </c>
      <c r="Q69" s="233">
        <f ca="1">IF(B69="","",(VLOOKUP(B69,'Global (Gross)'!J:K,2,FALSE)/100))</f>
        <v>3.9014406351650334E-3</v>
      </c>
      <c r="S69" s="22">
        <f t="shared" ca="1" si="147"/>
        <v>-1.8016212996798692E-2</v>
      </c>
      <c r="T69" s="22">
        <f t="shared" ca="1" si="148"/>
        <v>-1.5812409666168634E-2</v>
      </c>
      <c r="U69" s="22">
        <f t="shared" ca="1" si="149"/>
        <v>-1.9401440635165034E-2</v>
      </c>
      <c r="V69" s="22"/>
      <c r="W69" s="22">
        <f t="shared" ca="1" si="166"/>
        <v>-2.0234992390329828E-2</v>
      </c>
      <c r="X69" s="22">
        <f t="shared" ca="1" si="167"/>
        <v>2.3912305555737895E-3</v>
      </c>
      <c r="Y69" s="22">
        <f t="shared" ca="1" si="168"/>
        <v>-2.7918396188932989E-2</v>
      </c>
      <c r="EJ69">
        <f t="shared" ref="EJ69:EJ122" ca="1" si="170">EJ68+1</f>
        <v>126</v>
      </c>
      <c r="EK69" s="169">
        <f t="shared" ca="1" si="150"/>
        <v>44408</v>
      </c>
      <c r="EL69" s="1">
        <f t="shared" ca="1" si="151"/>
        <v>2.8786999999999997E-2</v>
      </c>
      <c r="EM69" s="1">
        <f t="shared" ca="1" si="152"/>
        <v>2.8003999999999998E-2</v>
      </c>
      <c r="EN69" s="1">
        <f t="shared" ca="1" si="153"/>
        <v>3.7171284999999998E-2</v>
      </c>
      <c r="EO69" s="1">
        <f t="shared" ca="1" si="154"/>
        <v>2.3753170000000001E-2</v>
      </c>
      <c r="EP69" s="1">
        <f t="shared" ca="1" si="155"/>
        <v>1.8425E-2</v>
      </c>
      <c r="EQ69" s="1">
        <f t="shared" ca="1" si="156"/>
        <v>1.7547E-2</v>
      </c>
      <c r="ER69" s="1">
        <f t="shared" ca="1" si="157"/>
        <v>1.004436E-2</v>
      </c>
      <c r="ES69" s="1">
        <f t="shared" ca="1" si="158"/>
        <v>-3.6109000000000002E-2</v>
      </c>
      <c r="ET69" s="1">
        <f t="shared" ca="1" si="159"/>
        <v>1.4047E-2</v>
      </c>
      <c r="EU69" s="1">
        <f t="shared" ca="1" si="160"/>
        <v>1.3266E-2</v>
      </c>
      <c r="EV69" s="1">
        <f t="shared" ca="1" si="161"/>
        <v>1.6058762145677741E-2</v>
      </c>
      <c r="EW69" s="1">
        <f t="shared" ca="1" si="162"/>
        <v>7.1776589999999994E-3</v>
      </c>
      <c r="EX69" s="1">
        <f t="shared" ca="1" si="163"/>
        <v>-1.869188574317495E-2</v>
      </c>
      <c r="EY69" s="1">
        <f t="shared" ca="1" si="164"/>
        <v>-1.9716885743174952E-2</v>
      </c>
      <c r="EZ69" s="1">
        <f t="shared" ca="1" si="165"/>
        <v>-3.6109000000000002E-2</v>
      </c>
    </row>
    <row r="70" spans="1:156" x14ac:dyDescent="0.25">
      <c r="A70">
        <f t="shared" ca="1" si="169"/>
        <v>68</v>
      </c>
      <c r="B70" s="169">
        <f ca="1">IF('LC (Gross)'!A217="","",IF('LC (Gross)'!A217&gt;$AC$9,"",'LC (Gross)'!A217))</f>
        <v>42643</v>
      </c>
      <c r="C70" s="1">
        <f ca="1">IF(B70="","",(VLOOKUP(B70,'LC (Gross)'!A:D,4,FALSE)/100))</f>
        <v>-1.2156999999999999E-2</v>
      </c>
      <c r="D70" s="1">
        <f ca="1">IF(B70="","",(VLOOKUP(B70,'SC (Gross)'!A:D,4,FALSE))/100)</f>
        <v>5.202E-3</v>
      </c>
      <c r="E70" s="1">
        <f ca="1">IF(B70="","",(VLOOKUP(B70,'Global (Gross)'!A:D,4,FALSE)/100))</f>
        <v>-4.4000000000000003E-3</v>
      </c>
      <c r="F70" s="1"/>
      <c r="G70" s="1">
        <f ca="1">IF(B70="","",(VLOOKUP(B70,'LC (Net)'!A:D,4,FALSE)/100))</f>
        <v>-1.2599000000000001E-2</v>
      </c>
      <c r="H70" s="1">
        <f ca="1">IF(B70="","",(VLOOKUP(B70,'SC (Net)'!A:D,4,FALSE))/100)</f>
        <v>4.8980000000000004E-3</v>
      </c>
      <c r="I70" s="1">
        <f ca="1">IF(B70="","",(VLOOKUP(B70,'Global (Net)'!A:D,4,FALSE)/100))</f>
        <v>-4.4000000000000003E-3</v>
      </c>
      <c r="J70" s="1"/>
      <c r="K70" s="1">
        <f ca="1">IF(B70="","",VLOOKUP(Website!B70,'LC (Gross)'!W:X,2,FALSE)/100)</f>
        <v>-9.7297409735981506E-3</v>
      </c>
      <c r="L70" s="1">
        <f ca="1">IF(B70="","",VLOOKUP(Website!B70,'SC (Gross)'!P:Q,2,FALSE)/100)</f>
        <v>-3.3353353119879806E-3</v>
      </c>
      <c r="M70" s="1">
        <f ca="1">IF(B70="","",VLOOKUP(Website!B70,'Global (Gross)'!P:Q,2,FALSE)/100)</f>
        <v>2.96863876489457E-3</v>
      </c>
      <c r="O70" s="1">
        <f ca="1">IF(B70="","",VLOOKUP(Website!B70,'LC (Gross)'!J:K,2,FALSE)/100)</f>
        <v>1.867100831628743E-4</v>
      </c>
      <c r="P70" s="233">
        <f ca="1">IF(B70="","",(VLOOKUP(B70,'SC (Gross)'!J:K,2,FALSE))/100)</f>
        <v>1.1138247744474569E-2</v>
      </c>
      <c r="Q70" s="233">
        <f ca="1">IF(B70="","",(VLOOKUP(B70,'Global (Gross)'!J:K,2,FALSE)/100))</f>
        <v>6.5793906038007308E-3</v>
      </c>
      <c r="S70" s="22">
        <f t="shared" ca="1" si="147"/>
        <v>-1.2343710083162873E-2</v>
      </c>
      <c r="T70" s="22">
        <f t="shared" ca="1" si="148"/>
        <v>-5.9362477444745692E-3</v>
      </c>
      <c r="U70" s="22">
        <f t="shared" ca="1" si="149"/>
        <v>-1.097939060380073E-2</v>
      </c>
      <c r="V70" s="22"/>
      <c r="W70" s="22">
        <f t="shared" ca="1" si="166"/>
        <v>-9.9164510567610244E-3</v>
      </c>
      <c r="X70" s="22">
        <f t="shared" ca="1" si="167"/>
        <v>-1.447358305646255E-2</v>
      </c>
      <c r="Y70" s="22">
        <f t="shared" ca="1" si="168"/>
        <v>-3.6107518389061608E-3</v>
      </c>
      <c r="EJ70">
        <f t="shared" ca="1" si="170"/>
        <v>127</v>
      </c>
      <c r="EK70" s="169">
        <f t="shared" ca="1" si="150"/>
        <v>44439</v>
      </c>
      <c r="EL70" s="1">
        <f t="shared" ca="1" si="151"/>
        <v>2.2487E-2</v>
      </c>
      <c r="EM70" s="1">
        <f t="shared" ca="1" si="152"/>
        <v>2.1901E-2</v>
      </c>
      <c r="EN70" s="1">
        <f t="shared" ca="1" si="153"/>
        <v>1.7447090000000002E-2</v>
      </c>
      <c r="EO70" s="1">
        <f t="shared" ca="1" si="154"/>
        <v>3.0406559999999999E-2</v>
      </c>
      <c r="EP70" s="1">
        <f t="shared" ca="1" si="155"/>
        <v>7.5290000000000001E-3</v>
      </c>
      <c r="EQ70" s="1">
        <f t="shared" ca="1" si="156"/>
        <v>7.0550000000000005E-3</v>
      </c>
      <c r="ER70" s="1">
        <f t="shared" ca="1" si="157"/>
        <v>3.0405049999999999E-2</v>
      </c>
      <c r="ES70" s="1">
        <f t="shared" ca="1" si="158"/>
        <v>2.2345830000000001E-2</v>
      </c>
      <c r="ET70" s="1">
        <f t="shared" ca="1" si="159"/>
        <v>2.5014999999999999E-2</v>
      </c>
      <c r="EU70" s="1">
        <f t="shared" ca="1" si="160"/>
        <v>2.4364E-2</v>
      </c>
      <c r="EV70" s="1">
        <f t="shared" ca="1" si="161"/>
        <v>2.2169819999999996E-2</v>
      </c>
      <c r="EW70" s="1">
        <f t="shared" ca="1" si="162"/>
        <v>2.535803E-2</v>
      </c>
      <c r="EX70" s="1">
        <f t="shared" ca="1" si="163"/>
        <v>-2.5851080000000005E-3</v>
      </c>
      <c r="EY70" s="1">
        <f t="shared" ca="1" si="164"/>
        <v>-3.6101080000000003E-3</v>
      </c>
      <c r="EZ70" s="1">
        <f t="shared" ca="1" si="165"/>
        <v>2.2345830000000001E-2</v>
      </c>
    </row>
    <row r="71" spans="1:156" x14ac:dyDescent="0.25">
      <c r="A71">
        <f t="shared" ca="1" si="169"/>
        <v>69</v>
      </c>
      <c r="B71" s="169">
        <f ca="1">IF('LC (Gross)'!A218="","",IF('LC (Gross)'!A218&gt;$AC$9,"",'LC (Gross)'!A218))</f>
        <v>42674</v>
      </c>
      <c r="C71" s="1">
        <f ca="1">IF(B71="","",(VLOOKUP(B71,'LC (Gross)'!A:D,4,FALSE)/100))</f>
        <v>-2.4225E-2</v>
      </c>
      <c r="D71" s="1">
        <f ca="1">IF(B71="","",(VLOOKUP(B71,'SC (Gross)'!A:D,4,FALSE))/100)</f>
        <v>-1.2204999999999999E-2</v>
      </c>
      <c r="E71" s="1">
        <f ca="1">IF(B71="","",(VLOOKUP(B71,'Global (Gross)'!A:D,4,FALSE)/100))</f>
        <v>-2.8500000000000001E-2</v>
      </c>
      <c r="F71" s="1"/>
      <c r="G71" s="1">
        <f ca="1">IF(B71="","",(VLOOKUP(B71,'LC (Net)'!A:D,4,FALSE)/100))</f>
        <v>-2.4656999999999998E-2</v>
      </c>
      <c r="H71" s="1">
        <f ca="1">IF(B71="","",(VLOOKUP(B71,'SC (Net)'!A:D,4,FALSE))/100)</f>
        <v>-1.2514000000000001E-2</v>
      </c>
      <c r="I71" s="1">
        <f ca="1">IF(B71="","",(VLOOKUP(B71,'Global (Net)'!A:D,4,FALSE)/100))</f>
        <v>-2.8500000000000001E-2</v>
      </c>
      <c r="J71" s="1"/>
      <c r="K71" s="1">
        <f ca="1">IF(B71="","",VLOOKUP(Website!B71,'LC (Gross)'!W:X,2,FALSE)/100)</f>
        <v>-2.2460824677302472E-2</v>
      </c>
      <c r="L71" s="1">
        <f ca="1">IF(B71="","",VLOOKUP(Website!B71,'SC (Gross)'!P:Q,2,FALSE)/100)</f>
        <v>-2.0254497586660754E-2</v>
      </c>
      <c r="M71" s="1">
        <f ca="1">IF(B71="","",VLOOKUP(Website!B71,'Global (Gross)'!P:Q,2,FALSE)/100)</f>
        <v>-2.9743388892292218E-2</v>
      </c>
      <c r="O71" s="1">
        <f ca="1">IF(B71="","",VLOOKUP(Website!B71,'LC (Gross)'!J:K,2,FALSE)/100)</f>
        <v>-1.8241743085794966E-2</v>
      </c>
      <c r="P71" s="233">
        <f ca="1">IF(B71="","",(VLOOKUP(B71,'SC (Gross)'!J:K,2,FALSE))/100)</f>
        <v>-4.7540048686390585E-2</v>
      </c>
      <c r="Q71" s="233">
        <f ca="1">IF(B71="","",(VLOOKUP(B71,'Global (Gross)'!J:K,2,FALSE)/100))</f>
        <v>-1.6692833411041334E-2</v>
      </c>
      <c r="S71" s="22">
        <f t="shared" ca="1" si="147"/>
        <v>-5.9832569142050339E-3</v>
      </c>
      <c r="T71" s="22">
        <f t="shared" ca="1" si="148"/>
        <v>3.5335048686390584E-2</v>
      </c>
      <c r="U71" s="22">
        <f t="shared" ca="1" si="149"/>
        <v>-1.1807166588958667E-2</v>
      </c>
      <c r="V71" s="22"/>
      <c r="W71" s="22">
        <f t="shared" ca="1" si="166"/>
        <v>-4.2190815915075057E-3</v>
      </c>
      <c r="X71" s="22">
        <f t="shared" ca="1" si="167"/>
        <v>2.728555109972983E-2</v>
      </c>
      <c r="Y71" s="22">
        <f t="shared" ca="1" si="168"/>
        <v>-1.3050555481250885E-2</v>
      </c>
      <c r="EJ71">
        <f t="shared" ca="1" si="170"/>
        <v>128</v>
      </c>
      <c r="EK71" s="169">
        <f t="shared" ca="1" si="150"/>
        <v>44469</v>
      </c>
      <c r="EL71" s="1">
        <f t="shared" ca="1" si="151"/>
        <v>-5.7928E-2</v>
      </c>
      <c r="EM71" s="1">
        <f t="shared" ca="1" si="152"/>
        <v>-5.8513000000000003E-2</v>
      </c>
      <c r="EN71" s="1">
        <f t="shared" ca="1" si="153"/>
        <v>-4.8769060000000003E-2</v>
      </c>
      <c r="EO71" s="1">
        <f t="shared" ca="1" si="154"/>
        <v>-4.6523870000000002E-2</v>
      </c>
      <c r="EP71" s="1">
        <f t="shared" ca="1" si="155"/>
        <v>-3.1543000000000002E-2</v>
      </c>
      <c r="EQ71" s="1">
        <f t="shared" ca="1" si="156"/>
        <v>-3.2017999999999998E-2</v>
      </c>
      <c r="ER71" s="1">
        <f t="shared" ca="1" si="157"/>
        <v>-3.1253700000000002E-2</v>
      </c>
      <c r="ES71" s="1">
        <f t="shared" ca="1" si="158"/>
        <v>-2.948974E-2</v>
      </c>
      <c r="ET71" s="1">
        <f t="shared" ca="1" si="159"/>
        <v>-3.7179000000000004E-2</v>
      </c>
      <c r="EU71" s="1">
        <f t="shared" ca="1" si="160"/>
        <v>-3.7831000000000004E-2</v>
      </c>
      <c r="EV71" s="1">
        <f t="shared" ca="1" si="161"/>
        <v>-3.5062980000000001E-2</v>
      </c>
      <c r="EW71" s="1">
        <f t="shared" ca="1" si="162"/>
        <v>-4.080425E-2</v>
      </c>
      <c r="EX71" s="1">
        <f t="shared" ca="1" si="163"/>
        <v>-2.5372510000000001E-2</v>
      </c>
      <c r="EY71" s="1">
        <f t="shared" ca="1" si="164"/>
        <v>-2.6397509999999999E-2</v>
      </c>
      <c r="EZ71" s="1">
        <f t="shared" ca="1" si="165"/>
        <v>-2.948974E-2</v>
      </c>
    </row>
    <row r="72" spans="1:156" x14ac:dyDescent="0.25">
      <c r="A72">
        <f t="shared" ca="1" si="169"/>
        <v>70</v>
      </c>
      <c r="B72" s="169">
        <f ca="1">IF('LC (Gross)'!A219="","",IF('LC (Gross)'!A219&gt;$AC$9,"",'LC (Gross)'!A219))</f>
        <v>42704</v>
      </c>
      <c r="C72" s="1">
        <f ca="1">IF(B72="","",(VLOOKUP(B72,'LC (Gross)'!A:D,4,FALSE)/100))</f>
        <v>2.4836E-2</v>
      </c>
      <c r="D72" s="1">
        <f ca="1">IF(B72="","",(VLOOKUP(B72,'SC (Gross)'!A:D,4,FALSE))/100)</f>
        <v>8.7833000000000008E-2</v>
      </c>
      <c r="E72" s="1">
        <f ca="1">IF(B72="","",(VLOOKUP(B72,'Global (Gross)'!A:D,4,FALSE)/100))</f>
        <v>-5.3E-3</v>
      </c>
      <c r="F72" s="1"/>
      <c r="G72" s="1">
        <f ca="1">IF(B72="","",(VLOOKUP(B72,'LC (Net)'!A:D,4,FALSE)/100))</f>
        <v>2.4029999999999999E-2</v>
      </c>
      <c r="H72" s="1">
        <f ca="1">IF(B72="","",(VLOOKUP(B72,'SC (Net)'!A:D,4,FALSE))/100)</f>
        <v>8.698800000000001E-2</v>
      </c>
      <c r="I72" s="1">
        <f ca="1">IF(B72="","",(VLOOKUP(B72,'Global (Net)'!A:D,4,FALSE)/100))</f>
        <v>-5.3E-3</v>
      </c>
      <c r="J72" s="1"/>
      <c r="K72" s="1">
        <f ca="1">IF(B72="","",VLOOKUP(Website!B72,'LC (Gross)'!W:X,2,FALSE)/100)</f>
        <v>5.3532421294514498E-3</v>
      </c>
      <c r="L72" s="1">
        <f ca="1">IF(B72="","",VLOOKUP(Website!B72,'SC (Gross)'!P:Q,2,FALSE)/100)</f>
        <v>0.10598759128882188</v>
      </c>
      <c r="M72" s="1">
        <f ca="1">IF(B72="","",VLOOKUP(Website!B72,'Global (Gross)'!P:Q,2,FALSE)/100)</f>
        <v>-1.6182767557452012E-2</v>
      </c>
      <c r="O72" s="1">
        <f ca="1">IF(B72="","",VLOOKUP(Website!B72,'LC (Gross)'!J:K,2,FALSE)/100)</f>
        <v>3.7036267290456192E-2</v>
      </c>
      <c r="P72" s="233">
        <f ca="1">IF(B72="","",(VLOOKUP(B72,'SC (Gross)'!J:K,2,FALSE))/100)</f>
        <v>0.11137505370213507</v>
      </c>
      <c r="Q72" s="233">
        <f ca="1">IF(B72="","",(VLOOKUP(B72,'Global (Gross)'!J:K,2,FALSE)/100))</f>
        <v>8.2294324170858399E-3</v>
      </c>
      <c r="S72" s="22">
        <f t="shared" ca="1" si="147"/>
        <v>-1.2200267290456191E-2</v>
      </c>
      <c r="T72" s="22">
        <f t="shared" ca="1" si="148"/>
        <v>-2.3542053702135066E-2</v>
      </c>
      <c r="U72" s="22">
        <f t="shared" ca="1" si="149"/>
        <v>-1.3529432417085839E-2</v>
      </c>
      <c r="V72" s="22"/>
      <c r="W72" s="22">
        <f t="shared" ca="1" si="166"/>
        <v>-3.1683025161004741E-2</v>
      </c>
      <c r="X72" s="22">
        <f t="shared" ca="1" si="167"/>
        <v>-5.3874624133131988E-3</v>
      </c>
      <c r="Y72" s="22">
        <f t="shared" ca="1" si="168"/>
        <v>-2.4412199974537852E-2</v>
      </c>
      <c r="EJ72">
        <f t="shared" ca="1" si="170"/>
        <v>129</v>
      </c>
      <c r="EK72" s="169">
        <f t="shared" ca="1" si="150"/>
        <v>44500</v>
      </c>
      <c r="EL72" s="1">
        <f t="shared" ca="1" si="151"/>
        <v>8.2568000000000003E-2</v>
      </c>
      <c r="EM72" s="1">
        <f t="shared" ca="1" si="152"/>
        <v>8.1766000000000005E-2</v>
      </c>
      <c r="EN72" s="1">
        <f t="shared" ca="1" si="153"/>
        <v>4.7223910000000001E-2</v>
      </c>
      <c r="EO72" s="1">
        <f t="shared" ca="1" si="154"/>
        <v>7.0051260000000004E-2</v>
      </c>
      <c r="EP72" s="1">
        <f t="shared" ca="1" si="155"/>
        <v>4.7294000000000003E-2</v>
      </c>
      <c r="EQ72" s="1">
        <f t="shared" ca="1" si="156"/>
        <v>4.6417E-2</v>
      </c>
      <c r="ER72" s="1">
        <f t="shared" ca="1" si="157"/>
        <v>4.4607630000000002E-2</v>
      </c>
      <c r="ES72" s="1">
        <f t="shared" ca="1" si="158"/>
        <v>4.2539100000000003E-2</v>
      </c>
      <c r="ET72" s="1">
        <f t="shared" ca="1" si="159"/>
        <v>5.9665999999999997E-2</v>
      </c>
      <c r="EU72" s="1">
        <f t="shared" ca="1" si="160"/>
        <v>5.8882000000000004E-2</v>
      </c>
      <c r="EV72" s="1">
        <f t="shared" ca="1" si="161"/>
        <v>2.5486770000000002E-2</v>
      </c>
      <c r="EW72" s="1">
        <f t="shared" ca="1" si="162"/>
        <v>5.1259629999999994E-2</v>
      </c>
      <c r="EX72" s="1">
        <f t="shared" ca="1" si="163"/>
        <v>3.132803E-2</v>
      </c>
      <c r="EY72" s="1">
        <f t="shared" ca="1" si="164"/>
        <v>3.0303029999999998E-2</v>
      </c>
      <c r="EZ72" s="1">
        <f t="shared" ca="1" si="165"/>
        <v>4.2539100000000003E-2</v>
      </c>
    </row>
    <row r="73" spans="1:156" x14ac:dyDescent="0.25">
      <c r="A73">
        <f t="shared" ca="1" si="169"/>
        <v>71</v>
      </c>
      <c r="B73" s="169">
        <f ca="1">IF('LC (Gross)'!A220="","",IF('LC (Gross)'!A220&gt;$AC$9,"",'LC (Gross)'!A220))</f>
        <v>42735</v>
      </c>
      <c r="C73" s="1">
        <f ca="1">IF(B73="","",(VLOOKUP(B73,'LC (Gross)'!A:D,4,FALSE)/100))</f>
        <v>1.6786000000000002E-2</v>
      </c>
      <c r="D73" s="1">
        <f ca="1">IF(B73="","",(VLOOKUP(B73,'SC (Gross)'!A:D,4,FALSE))/100)</f>
        <v>5.0953999999999999E-2</v>
      </c>
      <c r="E73" s="1">
        <f ca="1">IF(B73="","",(VLOOKUP(B73,'Global (Gross)'!A:D,4,FALSE)/100))</f>
        <v>1.7399999999999999E-2</v>
      </c>
      <c r="F73" s="1"/>
      <c r="G73" s="1">
        <f ca="1">IF(B73="","",(VLOOKUP(B73,'LC (Net)'!A:D,4,FALSE)/100))</f>
        <v>1.6361000000000001E-2</v>
      </c>
      <c r="H73" s="1">
        <f ca="1">IF(B73="","",(VLOOKUP(B73,'SC (Net)'!A:D,4,FALSE))/100)</f>
        <v>5.0644000000000002E-2</v>
      </c>
      <c r="I73" s="1">
        <f ca="1">IF(B73="","",(VLOOKUP(B73,'Global (Net)'!A:D,4,FALSE)/100))</f>
        <v>1.7399999999999999E-2</v>
      </c>
      <c r="J73" s="1"/>
      <c r="K73" s="1">
        <f ca="1">IF(B73="","",VLOOKUP(Website!B73,'LC (Gross)'!W:X,2,FALSE)/100)</f>
        <v>2.5687917748434885E-2</v>
      </c>
      <c r="L73" s="1">
        <f ca="1">IF(B73="","",VLOOKUP(Website!B73,'SC (Gross)'!P:Q,2,FALSE)/100)</f>
        <v>4.4813511003606685E-2</v>
      </c>
      <c r="M73" s="1">
        <f ca="1">IF(B73="","",VLOOKUP(Website!B73,'Global (Gross)'!P:Q,2,FALSE)/100)</f>
        <v>1.8563886692055137E-2</v>
      </c>
      <c r="O73" s="1">
        <f ca="1">IF(B73="","",VLOOKUP(Website!B73,'LC (Gross)'!J:K,2,FALSE)/100)</f>
        <v>1.9699106132464748E-2</v>
      </c>
      <c r="P73" s="233">
        <f ca="1">IF(B73="","",(VLOOKUP(B73,'SC (Gross)'!J:K,2,FALSE))/100)</f>
        <v>2.800542828420069E-2</v>
      </c>
      <c r="Q73" s="233">
        <f ca="1">IF(B73="","",(VLOOKUP(B73,'Global (Gross)'!J:K,2,FALSE)/100))</f>
        <v>2.2033787761807404E-2</v>
      </c>
      <c r="S73" s="22">
        <f t="shared" ca="1" si="147"/>
        <v>-2.9131061324647461E-3</v>
      </c>
      <c r="T73" s="22">
        <f t="shared" ca="1" si="148"/>
        <v>2.294857171579931E-2</v>
      </c>
      <c r="U73" s="22">
        <f t="shared" ca="1" si="149"/>
        <v>-4.6337877618074057E-3</v>
      </c>
      <c r="V73" s="22"/>
      <c r="W73" s="22">
        <f t="shared" ca="1" si="166"/>
        <v>5.9888116159701361E-3</v>
      </c>
      <c r="X73" s="22">
        <f t="shared" ca="1" si="167"/>
        <v>1.6808082719405995E-2</v>
      </c>
      <c r="Y73" s="22">
        <f t="shared" ca="1" si="168"/>
        <v>-3.4699010697522674E-3</v>
      </c>
      <c r="EJ73">
        <f t="shared" ca="1" si="170"/>
        <v>130</v>
      </c>
      <c r="EK73" s="169">
        <f t="shared" ca="1" si="150"/>
        <v>44530</v>
      </c>
      <c r="EL73" s="1">
        <f t="shared" ca="1" si="151"/>
        <v>-1.6644000000000003E-2</v>
      </c>
      <c r="EM73" s="1">
        <f t="shared" ca="1" si="152"/>
        <v>-1.7231E-2</v>
      </c>
      <c r="EN73" s="1">
        <f t="shared" ca="1" si="153"/>
        <v>-1.3369279999999999E-2</v>
      </c>
      <c r="EO73" s="1">
        <f t="shared" ca="1" si="154"/>
        <v>-6.9502620000000005E-3</v>
      </c>
      <c r="EP73" s="1">
        <f t="shared" ca="1" si="155"/>
        <v>-5.195E-3</v>
      </c>
      <c r="EQ73" s="1">
        <f t="shared" ca="1" si="156"/>
        <v>-5.6649999999999999E-3</v>
      </c>
      <c r="ER73" s="1">
        <f t="shared" ca="1" si="157"/>
        <v>-1.0367329999999999E-2</v>
      </c>
      <c r="ES73" s="1">
        <f t="shared" ca="1" si="158"/>
        <v>-4.1879010000000001E-2</v>
      </c>
      <c r="ET73" s="1">
        <f t="shared" ca="1" si="159"/>
        <v>-1.9826E-2</v>
      </c>
      <c r="EU73" s="1">
        <f t="shared" ca="1" si="160"/>
        <v>-2.0478E-2</v>
      </c>
      <c r="EV73" s="1">
        <f t="shared" ca="1" si="161"/>
        <v>-1.904134E-2</v>
      </c>
      <c r="EW73" s="1">
        <f t="shared" ca="1" si="162"/>
        <v>-2.3772950000000001E-2</v>
      </c>
      <c r="EX73" s="1">
        <f t="shared" ca="1" si="163"/>
        <v>-4.3092649999999996E-2</v>
      </c>
      <c r="EY73" s="1">
        <f t="shared" ca="1" si="164"/>
        <v>-4.4117650000000001E-2</v>
      </c>
      <c r="EZ73" s="1">
        <f t="shared" ca="1" si="165"/>
        <v>-4.1879010000000001E-2</v>
      </c>
    </row>
    <row r="74" spans="1:156" x14ac:dyDescent="0.25">
      <c r="A74">
        <f t="shared" ca="1" si="169"/>
        <v>72</v>
      </c>
      <c r="B74" s="169">
        <f ca="1">IF('LC (Gross)'!A221="","",IF('LC (Gross)'!A221&gt;$AC$9,"",'LC (Gross)'!A221))</f>
        <v>42766</v>
      </c>
      <c r="C74" s="1">
        <f ca="1">IF(B74="","",(VLOOKUP(B74,'LC (Gross)'!A:D,4,FALSE)/100))</f>
        <v>1.5690000000000001E-3</v>
      </c>
      <c r="D74" s="1">
        <f ca="1">IF(B74="","",(VLOOKUP(B74,'SC (Gross)'!A:D,4,FALSE))/100)</f>
        <v>-1.9387000000000001E-2</v>
      </c>
      <c r="E74" s="1">
        <f ca="1">IF(B74="","",(VLOOKUP(B74,'Global (Gross)'!A:D,4,FALSE)/100))</f>
        <v>1.6621999999999998E-2</v>
      </c>
      <c r="F74" s="1"/>
      <c r="G74" s="1">
        <f ca="1">IF(B74="","",(VLOOKUP(B74,'LC (Net)'!A:D,4,FALSE)/100))</f>
        <v>1.1440000000000001E-3</v>
      </c>
      <c r="H74" s="1">
        <f ca="1">IF(B74="","",(VLOOKUP(B74,'SC (Net)'!A:D,4,FALSE))/100)</f>
        <v>-1.9701E-2</v>
      </c>
      <c r="I74" s="1">
        <f ca="1">IF(B74="","",(VLOOKUP(B74,'Global (Net)'!A:D,4,FALSE)/100))</f>
        <v>1.6621999999999998E-2</v>
      </c>
      <c r="J74" s="1"/>
      <c r="K74" s="1">
        <f ca="1">IF(B74="","",VLOOKUP(Website!B74,'LC (Gross)'!W:X,2,FALSE)/100)</f>
        <v>7.3983050516338387E-3</v>
      </c>
      <c r="L74" s="1">
        <f ca="1">IF(B74="","",VLOOKUP(Website!B74,'SC (Gross)'!P:Q,2,FALSE)/100)</f>
        <v>-1.8593162181156617E-2</v>
      </c>
      <c r="M74" s="1">
        <f ca="1">IF(B74="","",VLOOKUP(Website!B74,'Global (Gross)'!P:Q,2,FALSE)/100)</f>
        <v>1.7552513044008611E-2</v>
      </c>
      <c r="O74" s="1">
        <f ca="1">IF(B74="","",VLOOKUP(Website!B74,'LC (Gross)'!J:K,2,FALSE)/100)</f>
        <v>1.8966324399677482E-2</v>
      </c>
      <c r="P74" s="233">
        <f ca="1">IF(B74="","",(VLOOKUP(B74,'SC (Gross)'!J:K,2,FALSE))/100)</f>
        <v>3.9328651542358019E-3</v>
      </c>
      <c r="Q74" s="233">
        <f ca="1">IF(B74="","",(VLOOKUP(B74,'Global (Gross)'!J:K,2,FALSE)/100))</f>
        <v>2.7574400329489566E-2</v>
      </c>
      <c r="S74" s="22">
        <f t="shared" ca="1" si="147"/>
        <v>-1.7397324399677481E-2</v>
      </c>
      <c r="T74" s="22">
        <f t="shared" ca="1" si="148"/>
        <v>-2.3319865154235803E-2</v>
      </c>
      <c r="U74" s="22">
        <f t="shared" ca="1" si="149"/>
        <v>-1.0952400329489569E-2</v>
      </c>
      <c r="V74" s="22"/>
      <c r="W74" s="22">
        <f t="shared" ca="1" si="166"/>
        <v>-1.1568019348043643E-2</v>
      </c>
      <c r="X74" s="22">
        <f t="shared" ca="1" si="167"/>
        <v>-2.2526027335392419E-2</v>
      </c>
      <c r="Y74" s="22">
        <f t="shared" ca="1" si="168"/>
        <v>-1.0021887285480955E-2</v>
      </c>
      <c r="EJ74">
        <f t="shared" ca="1" si="170"/>
        <v>131</v>
      </c>
      <c r="EK74" s="169">
        <f t="shared" ca="1" si="150"/>
        <v>44561</v>
      </c>
      <c r="EL74" s="1">
        <f t="shared" ca="1" si="151"/>
        <v>4.0716999999999996E-2</v>
      </c>
      <c r="EM74" s="1">
        <f t="shared" ca="1" si="152"/>
        <v>4.0131E-2</v>
      </c>
      <c r="EN74" s="1">
        <f t="shared" ca="1" si="153"/>
        <v>9.6724069999999995E-2</v>
      </c>
      <c r="EO74" s="1">
        <f t="shared" ca="1" si="154"/>
        <v>4.474181E-2</v>
      </c>
      <c r="EP74" s="1">
        <f t="shared" ca="1" si="155"/>
        <v>6.8807000000000007E-2</v>
      </c>
      <c r="EQ74" s="1">
        <f t="shared" ca="1" si="156"/>
        <v>6.8329000000000001E-2</v>
      </c>
      <c r="ER74" s="1">
        <f t="shared" ca="1" si="157"/>
        <v>7.4826389999999993E-2</v>
      </c>
      <c r="ES74" s="1">
        <f t="shared" ca="1" si="158"/>
        <v>2.2329729999999999E-2</v>
      </c>
      <c r="ET74" s="1">
        <f t="shared" ca="1" si="159"/>
        <v>3.9641999999999997E-2</v>
      </c>
      <c r="EU74" s="1">
        <f t="shared" ca="1" si="160"/>
        <v>3.8989999999999997E-2</v>
      </c>
      <c r="EV74" s="1">
        <f t="shared" ca="1" si="161"/>
        <v>5.7531400000000003E-2</v>
      </c>
      <c r="EW74" s="1">
        <f t="shared" ca="1" si="162"/>
        <v>4.0393689999999996E-2</v>
      </c>
      <c r="EX74" s="1">
        <f t="shared" ca="1" si="163"/>
        <v>5.262327E-2</v>
      </c>
      <c r="EY74" s="1">
        <f t="shared" ca="1" si="164"/>
        <v>5.1598270000000002E-2</v>
      </c>
      <c r="EZ74" s="1">
        <f t="shared" ca="1" si="165"/>
        <v>2.2329729999999999E-2</v>
      </c>
    </row>
    <row r="75" spans="1:156" x14ac:dyDescent="0.25">
      <c r="A75">
        <f t="shared" ca="1" si="169"/>
        <v>73</v>
      </c>
      <c r="B75" s="169">
        <f ca="1">IF('LC (Gross)'!A222="","",IF('LC (Gross)'!A222&gt;$AC$9,"",'LC (Gross)'!A222))</f>
        <v>42794</v>
      </c>
      <c r="C75" s="1">
        <f ca="1">IF(B75="","",(VLOOKUP(B75,'LC (Gross)'!A:D,4,FALSE)/100))</f>
        <v>4.0064000000000002E-2</v>
      </c>
      <c r="D75" s="1">
        <f ca="1">IF(B75="","",(VLOOKUP(B75,'SC (Gross)'!A:D,4,FALSE))/100)</f>
        <v>4.993E-3</v>
      </c>
      <c r="E75" s="1">
        <f ca="1">IF(B75="","",(VLOOKUP(B75,'Global (Gross)'!A:D,4,FALSE)/100))</f>
        <v>3.7386000000000003E-2</v>
      </c>
      <c r="F75" s="1"/>
      <c r="G75" s="1">
        <f ca="1">IF(B75="","",(VLOOKUP(B75,'LC (Net)'!A:D,4,FALSE)/100))</f>
        <v>3.9276999999999999E-2</v>
      </c>
      <c r="H75" s="1">
        <f ca="1">IF(B75="","",(VLOOKUP(B75,'SC (Net)'!A:D,4,FALSE))/100)</f>
        <v>4.1700000000000001E-3</v>
      </c>
      <c r="I75" s="1">
        <f ca="1">IF(B75="","",(VLOOKUP(B75,'Global (Net)'!A:D,4,FALSE)/100))</f>
        <v>3.6686000000000003E-2</v>
      </c>
      <c r="J75" s="1"/>
      <c r="K75" s="1">
        <f ca="1">IF(B75="","",VLOOKUP(Website!B75,'LC (Gross)'!W:X,2,FALSE)/100)</f>
        <v>4.4950073788787653E-2</v>
      </c>
      <c r="L75" s="1">
        <f ca="1">IF(B75="","",VLOOKUP(Website!B75,'SC (Gross)'!P:Q,2,FALSE)/100)</f>
        <v>1.3658813989489888E-2</v>
      </c>
      <c r="M75" s="1">
        <f ca="1">IF(B75="","",VLOOKUP(Website!B75,'Global (Gross)'!P:Q,2,FALSE)/100)</f>
        <v>3.4158431247981069E-2</v>
      </c>
      <c r="O75" s="1">
        <f ca="1">IF(B75="","",VLOOKUP(Website!B75,'LC (Gross)'!J:K,2,FALSE)/100)</f>
        <v>3.9705270262314359E-2</v>
      </c>
      <c r="P75" s="233">
        <f ca="1">IF(B75="","",(VLOOKUP(B75,'SC (Gross)'!J:K,2,FALSE))/100)</f>
        <v>1.925907515637346E-2</v>
      </c>
      <c r="Q75" s="233">
        <f ca="1">IF(B75="","",(VLOOKUP(B75,'Global (Gross)'!J:K,2,FALSE)/100))</f>
        <v>2.8537898269149212E-2</v>
      </c>
      <c r="S75" s="22">
        <f t="shared" ca="1" si="147"/>
        <v>3.5872973768564381E-4</v>
      </c>
      <c r="T75" s="22">
        <f t="shared" ca="1" si="148"/>
        <v>-1.4266075156373459E-2</v>
      </c>
      <c r="U75" s="22">
        <f t="shared" ca="1" si="149"/>
        <v>8.8481017308507902E-3</v>
      </c>
      <c r="V75" s="22"/>
      <c r="W75" s="22">
        <f t="shared" ca="1" si="166"/>
        <v>5.2448035264732948E-3</v>
      </c>
      <c r="X75" s="22">
        <f t="shared" ca="1" si="167"/>
        <v>-5.6002611668835717E-3</v>
      </c>
      <c r="Y75" s="22">
        <f t="shared" ca="1" si="168"/>
        <v>5.6205329788318568E-3</v>
      </c>
      <c r="EJ75">
        <f t="shared" ca="1" si="170"/>
        <v>132</v>
      </c>
      <c r="EK75" s="169">
        <f t="shared" ca="1" si="150"/>
        <v>44592</v>
      </c>
      <c r="EL75" s="1">
        <f t="shared" ca="1" si="151"/>
        <v>-7.0940000000000003E-2</v>
      </c>
      <c r="EM75" s="1">
        <f t="shared" ca="1" si="152"/>
        <v>-7.1719000000000005E-2</v>
      </c>
      <c r="EN75" s="1">
        <f t="shared" ca="1" si="153"/>
        <v>-4.5388330000000005E-2</v>
      </c>
      <c r="EO75" s="1">
        <f t="shared" ca="1" si="154"/>
        <v>-5.1748589999999997E-2</v>
      </c>
      <c r="EP75" s="1">
        <f t="shared" ca="1" si="155"/>
        <v>-6.7496E-2</v>
      </c>
      <c r="EQ75" s="1">
        <f t="shared" ca="1" si="156"/>
        <v>-6.8339999999999998E-2</v>
      </c>
      <c r="ER75" s="1">
        <f t="shared" ca="1" si="157"/>
        <v>-6.7802009999999996E-2</v>
      </c>
      <c r="ES75" s="1">
        <f t="shared" ca="1" si="158"/>
        <v>-9.6280569999999996E-2</v>
      </c>
      <c r="ET75" s="1">
        <f t="shared" ca="1" si="159"/>
        <v>-2.2762999999999999E-2</v>
      </c>
      <c r="EU75" s="1">
        <f t="shared" ca="1" si="160"/>
        <v>-2.3536000000000001E-2</v>
      </c>
      <c r="EV75" s="1">
        <f t="shared" ca="1" si="161"/>
        <v>-4.8988990000000003E-2</v>
      </c>
      <c r="EW75" s="1">
        <f t="shared" ca="1" si="162"/>
        <v>-4.8918509999999998E-2</v>
      </c>
      <c r="EX75" s="1">
        <f t="shared" ca="1" si="163"/>
        <v>-6.9303900000000002E-2</v>
      </c>
      <c r="EY75" s="1">
        <f t="shared" ca="1" si="164"/>
        <v>-7.03289E-2</v>
      </c>
      <c r="EZ75" s="1">
        <f t="shared" ca="1" si="165"/>
        <v>-9.6280569999999996E-2</v>
      </c>
    </row>
    <row r="76" spans="1:156" x14ac:dyDescent="0.25">
      <c r="A76">
        <f t="shared" ca="1" si="169"/>
        <v>74</v>
      </c>
      <c r="B76" s="169">
        <f ca="1">IF('LC (Gross)'!A223="","",IF('LC (Gross)'!A223&gt;$AC$9,"",'LC (Gross)'!A223))</f>
        <v>42825</v>
      </c>
      <c r="C76" s="1">
        <f ca="1">IF(B76="","",(VLOOKUP(B76,'LC (Gross)'!A:D,4,FALSE)/100))</f>
        <v>-3.3079999999999997E-3</v>
      </c>
      <c r="D76" s="1">
        <f ca="1">IF(B76="","",(VLOOKUP(B76,'SC (Gross)'!A:D,4,FALSE))/100)</f>
        <v>4.3300000000000001E-4</v>
      </c>
      <c r="E76" s="1">
        <f ca="1">IF(B76="","",(VLOOKUP(B76,'Global (Gross)'!A:D,4,FALSE)/100))</f>
        <v>1.5809E-2</v>
      </c>
      <c r="F76" s="1"/>
      <c r="G76" s="1">
        <f ca="1">IF(B76="","",(VLOOKUP(B76,'LC (Net)'!A:D,4,FALSE)/100))</f>
        <v>-3.7209999999999999E-3</v>
      </c>
      <c r="H76" s="1">
        <f ca="1">IF(B76="","",(VLOOKUP(B76,'SC (Net)'!A:D,4,FALSE))/100)</f>
        <v>1.1900000000000001E-4</v>
      </c>
      <c r="I76" s="1">
        <f ca="1">IF(B76="","",(VLOOKUP(B76,'Global (Net)'!A:D,4,FALSE)/100))</f>
        <v>1.5108999999999999E-2</v>
      </c>
      <c r="J76" s="1"/>
      <c r="K76" s="1">
        <f ca="1">IF(B76="","",VLOOKUP(Website!B76,'LC (Gross)'!W:X,2,FALSE)/100)</f>
        <v>-5.0849974018268645E-4</v>
      </c>
      <c r="L76" s="1">
        <f ca="1">IF(B76="","",VLOOKUP(Website!B76,'SC (Gross)'!P:Q,2,FALSE)/100)</f>
        <v>-5.2257568516632788E-3</v>
      </c>
      <c r="M76" s="1">
        <f ca="1">IF(B76="","",VLOOKUP(Website!B76,'Global (Gross)'!P:Q,2,FALSE)/100)</f>
        <v>6.9398072699482054E-3</v>
      </c>
      <c r="O76" s="1">
        <f ca="1">IF(B76="","",VLOOKUP(Website!B76,'LC (Gross)'!J:K,2,FALSE)/100)</f>
        <v>1.1664881162675512E-3</v>
      </c>
      <c r="P76" s="233">
        <f ca="1">IF(B76="","",(VLOOKUP(B76,'SC (Gross)'!J:K,2,FALSE))/100)</f>
        <v>1.3084916475280836E-3</v>
      </c>
      <c r="Q76" s="233">
        <f ca="1">IF(B76="","",(VLOOKUP(B76,'Global (Gross)'!J:K,2,FALSE)/100))</f>
        <v>1.2979841265386129E-2</v>
      </c>
      <c r="S76" s="22">
        <f t="shared" ca="1" si="147"/>
        <v>-4.4744881162675507E-3</v>
      </c>
      <c r="T76" s="22">
        <f t="shared" ca="1" si="148"/>
        <v>-8.7549164752808361E-4</v>
      </c>
      <c r="U76" s="22">
        <f t="shared" ca="1" si="149"/>
        <v>2.8291587346138715E-3</v>
      </c>
      <c r="V76" s="22"/>
      <c r="W76" s="22">
        <f t="shared" ca="1" si="166"/>
        <v>-1.6749878564502377E-3</v>
      </c>
      <c r="X76" s="22">
        <f t="shared" ca="1" si="167"/>
        <v>-6.5342484991913622E-3</v>
      </c>
      <c r="Y76" s="22">
        <f t="shared" ca="1" si="168"/>
        <v>-6.0400339954379233E-3</v>
      </c>
      <c r="EJ76">
        <f t="shared" ca="1" si="170"/>
        <v>133</v>
      </c>
      <c r="EK76" s="169">
        <f t="shared" ca="1" si="150"/>
        <v>44620</v>
      </c>
      <c r="EL76" s="1">
        <f t="shared" ca="1" si="151"/>
        <v>-4.1609E-2</v>
      </c>
      <c r="EM76" s="1">
        <f t="shared" ca="1" si="152"/>
        <v>-4.2194000000000002E-2</v>
      </c>
      <c r="EN76" s="1">
        <f t="shared" ca="1" si="153"/>
        <v>-2.3047249999999998E-2</v>
      </c>
      <c r="EO76" s="1">
        <f t="shared" ca="1" si="154"/>
        <v>-2.9970180000000003E-2</v>
      </c>
      <c r="EP76" s="1">
        <f t="shared" ca="1" si="155"/>
        <v>-1.4066E-2</v>
      </c>
      <c r="EQ76" s="1">
        <f t="shared" ca="1" si="156"/>
        <v>-1.4561999999999999E-2</v>
      </c>
      <c r="ER76" s="1">
        <f t="shared" ca="1" si="157"/>
        <v>-5.5163949999999995E-3</v>
      </c>
      <c r="ES76" s="1">
        <f t="shared" ca="1" si="158"/>
        <v>1.0656110000000002E-2</v>
      </c>
      <c r="ET76" s="1">
        <f t="shared" ca="1" si="159"/>
        <v>-2.9018000000000002E-2</v>
      </c>
      <c r="EU76" s="1">
        <f t="shared" ca="1" si="160"/>
        <v>-2.9672999999999998E-2</v>
      </c>
      <c r="EV76" s="1">
        <f t="shared" ca="1" si="161"/>
        <v>-1.5370600000000002E-2</v>
      </c>
      <c r="EW76" s="1">
        <f t="shared" ca="1" si="162"/>
        <v>-2.5484659999999999E-2</v>
      </c>
      <c r="EX76" s="1">
        <f t="shared" ca="1" si="163"/>
        <v>8.928651000000001E-3</v>
      </c>
      <c r="EY76" s="1">
        <f t="shared" ca="1" si="164"/>
        <v>7.9036510000000011E-3</v>
      </c>
      <c r="EZ76" s="1">
        <f t="shared" ca="1" si="165"/>
        <v>1.0656110000000002E-2</v>
      </c>
    </row>
    <row r="77" spans="1:156" x14ac:dyDescent="0.25">
      <c r="A77">
        <f t="shared" ca="1" si="169"/>
        <v>75</v>
      </c>
      <c r="B77" s="169">
        <f ca="1">IF('LC (Gross)'!A224="","",IF('LC (Gross)'!A224&gt;$AC$9,"",'LC (Gross)'!A224))</f>
        <v>42855</v>
      </c>
      <c r="C77" s="1">
        <f ca="1">IF(B77="","",(VLOOKUP(B77,'LC (Gross)'!A:D,4,FALSE)/100))</f>
        <v>8.7760000000000008E-3</v>
      </c>
      <c r="D77" s="1">
        <f ca="1">IF(B77="","",(VLOOKUP(B77,'SC (Gross)'!A:D,4,FALSE))/100)</f>
        <v>3.2566999999999999E-2</v>
      </c>
      <c r="E77" s="1">
        <f ca="1">IF(B77="","",(VLOOKUP(B77,'Global (Gross)'!A:D,4,FALSE)/100))</f>
        <v>1.0492E-2</v>
      </c>
      <c r="F77" s="1"/>
      <c r="G77" s="1">
        <f ca="1">IF(B77="","",(VLOOKUP(B77,'LC (Net)'!A:D,4,FALSE)/100))</f>
        <v>8.3990000000000002E-3</v>
      </c>
      <c r="H77" s="1">
        <f ca="1">IF(B77="","",(VLOOKUP(B77,'SC (Net)'!A:D,4,FALSE))/100)</f>
        <v>3.2252999999999997E-2</v>
      </c>
      <c r="I77" s="1">
        <f ca="1">IF(B77="","",(VLOOKUP(B77,'Global (Net)'!A:D,4,FALSE)/100))</f>
        <v>9.7920000000000004E-3</v>
      </c>
      <c r="J77" s="1"/>
      <c r="K77" s="1">
        <f ca="1">IF(B77="","",VLOOKUP(Website!B77,'LC (Gross)'!W:X,2,FALSE)/100)</f>
        <v>1.0873319147513971E-2</v>
      </c>
      <c r="L77" s="1">
        <f ca="1">IF(B77="","",VLOOKUP(Website!B77,'SC (Gross)'!P:Q,2,FALSE)/100)</f>
        <v>1.3858863092813634E-2</v>
      </c>
      <c r="M77" s="1">
        <f ca="1">IF(B77="","",VLOOKUP(Website!B77,'Global (Gross)'!P:Q,2,FALSE)/100)</f>
        <v>1.1772501596689244E-2</v>
      </c>
      <c r="O77" s="1">
        <f ca="1">IF(B77="","",VLOOKUP(Website!B77,'LC (Gross)'!J:K,2,FALSE)/100)</f>
        <v>1.0271052392714737E-2</v>
      </c>
      <c r="P77" s="233">
        <f ca="1">IF(B77="","",(VLOOKUP(B77,'SC (Gross)'!J:K,2,FALSE))/100)</f>
        <v>1.0966058849237991E-2</v>
      </c>
      <c r="Q77" s="233">
        <f ca="1">IF(B77="","",(VLOOKUP(B77,'Global (Gross)'!J:K,2,FALSE)/100))</f>
        <v>1.6037847096030913E-2</v>
      </c>
      <c r="S77" s="22">
        <f t="shared" ca="1" si="147"/>
        <v>-1.4950523927147359E-3</v>
      </c>
      <c r="T77" s="22">
        <f t="shared" ca="1" si="148"/>
        <v>2.1600941150762006E-2</v>
      </c>
      <c r="U77" s="22">
        <f t="shared" ca="1" si="149"/>
        <v>-5.5458470960309137E-3</v>
      </c>
      <c r="V77" s="22"/>
      <c r="W77" s="22">
        <f t="shared" ca="1" si="166"/>
        <v>6.0226675479923414E-4</v>
      </c>
      <c r="X77" s="22">
        <f t="shared" ca="1" si="167"/>
        <v>2.8928042435756429E-3</v>
      </c>
      <c r="Y77" s="22">
        <f t="shared" ca="1" si="168"/>
        <v>-4.265345499341669E-3</v>
      </c>
      <c r="EJ77">
        <f t="shared" ca="1" si="170"/>
        <v>134</v>
      </c>
      <c r="EK77" s="169">
        <f t="shared" ca="1" si="150"/>
        <v>44651</v>
      </c>
      <c r="EL77" s="1">
        <f t="shared" ca="1" si="151"/>
        <v>4.9621000000000005E-2</v>
      </c>
      <c r="EM77" s="1">
        <f t="shared" ca="1" si="152"/>
        <v>4.904E-2</v>
      </c>
      <c r="EN77" s="1">
        <f t="shared" ca="1" si="153"/>
        <v>5.3825909999999998E-2</v>
      </c>
      <c r="EO77" s="1">
        <f t="shared" ca="1" si="154"/>
        <v>3.7118120000000004E-2</v>
      </c>
      <c r="EP77" s="1">
        <f t="shared" ca="1" si="155"/>
        <v>1.3996999999999999E-2</v>
      </c>
      <c r="EQ77" s="1">
        <f t="shared" ca="1" si="156"/>
        <v>1.3502E-2</v>
      </c>
      <c r="ER77" s="1">
        <f t="shared" ca="1" si="157"/>
        <v>2.0299459999999998E-2</v>
      </c>
      <c r="ES77" s="1">
        <f t="shared" ca="1" si="158"/>
        <v>1.2401329999999999E-2</v>
      </c>
      <c r="ET77" s="1">
        <f t="shared" ca="1" si="159"/>
        <v>2.6631999999999999E-2</v>
      </c>
      <c r="EU77" s="1">
        <f t="shared" ca="1" si="160"/>
        <v>2.5977E-2</v>
      </c>
      <c r="EV77" s="1">
        <f t="shared" ca="1" si="161"/>
        <v>3.7015510000000001E-2</v>
      </c>
      <c r="EW77" s="1">
        <f t="shared" ca="1" si="162"/>
        <v>2.23217E-2</v>
      </c>
      <c r="EX77" s="1">
        <f t="shared" ca="1" si="163"/>
        <v>1.771826E-3</v>
      </c>
      <c r="EY77" s="1">
        <f t="shared" ca="1" si="164"/>
        <v>7.4682600000000002E-4</v>
      </c>
      <c r="EZ77" s="1">
        <f t="shared" ca="1" si="165"/>
        <v>1.2401329999999999E-2</v>
      </c>
    </row>
    <row r="78" spans="1:156" x14ac:dyDescent="0.25">
      <c r="A78">
        <f t="shared" ca="1" si="169"/>
        <v>76</v>
      </c>
      <c r="B78" s="169">
        <f ca="1">IF('LC (Gross)'!A225="","",IF('LC (Gross)'!A225&gt;$AC$9,"",'LC (Gross)'!A225))</f>
        <v>42886</v>
      </c>
      <c r="C78" s="1">
        <f ca="1">IF(B78="","",(VLOOKUP(B78,'LC (Gross)'!A:D,4,FALSE)/100))</f>
        <v>1.2832E-2</v>
      </c>
      <c r="D78" s="1">
        <f ca="1">IF(B78="","",(VLOOKUP(B78,'SC (Gross)'!A:D,4,FALSE))/100)</f>
        <v>-7.3499999999999998E-4</v>
      </c>
      <c r="E78" s="1">
        <f ca="1">IF(B78="","",(VLOOKUP(B78,'Global (Gross)'!A:D,4,FALSE)/100))</f>
        <v>2.8241000000000002E-2</v>
      </c>
      <c r="F78" s="1"/>
      <c r="G78" s="1">
        <f ca="1">IF(B78="","",(VLOOKUP(B78,'LC (Net)'!A:D,4,FALSE)/100))</f>
        <v>1.2131000000000001E-2</v>
      </c>
      <c r="H78" s="1">
        <f ca="1">IF(B78="","",(VLOOKUP(B78,'SC (Net)'!A:D,4,FALSE))/100)</f>
        <v>-1.555E-3</v>
      </c>
      <c r="I78" s="1">
        <f ca="1">IF(B78="","",(VLOOKUP(B78,'Global (Net)'!A:D,4,FALSE)/100))</f>
        <v>2.7541000000000003E-2</v>
      </c>
      <c r="J78" s="1"/>
      <c r="K78" s="1">
        <f ca="1">IF(B78="","",VLOOKUP(Website!B78,'LC (Gross)'!W:X,2,FALSE)/100)</f>
        <v>2.6960703277971877E-2</v>
      </c>
      <c r="L78" s="1">
        <f ca="1">IF(B78="","",VLOOKUP(Website!B78,'SC (Gross)'!P:Q,2,FALSE)/100)</f>
        <v>-1.2299388120892419E-2</v>
      </c>
      <c r="M78" s="1">
        <f ca="1">IF(B78="","",VLOOKUP(Website!B78,'Global (Gross)'!P:Q,2,FALSE)/100)</f>
        <v>2.9279350623437277E-2</v>
      </c>
      <c r="O78" s="1">
        <f ca="1">IF(B78="","",VLOOKUP(Website!B78,'LC (Gross)'!J:K,2,FALSE)/100)</f>
        <v>1.4072016778941637E-2</v>
      </c>
      <c r="P78" s="233">
        <f ca="1">IF(B78="","",(VLOOKUP(B78,'SC (Gross)'!J:K,2,FALSE))/100)</f>
        <v>-2.0343905575018348E-2</v>
      </c>
      <c r="Q78" s="233">
        <f ca="1">IF(B78="","",(VLOOKUP(B78,'Global (Gross)'!J:K,2,FALSE)/100))</f>
        <v>2.2794300798517918E-2</v>
      </c>
      <c r="S78" s="22">
        <f t="shared" ca="1" si="147"/>
        <v>-1.2400167789416369E-3</v>
      </c>
      <c r="T78" s="22">
        <f t="shared" ca="1" si="148"/>
        <v>1.9608905575018348E-2</v>
      </c>
      <c r="U78" s="22">
        <f t="shared" ca="1" si="149"/>
        <v>5.4466992014820838E-3</v>
      </c>
      <c r="V78" s="22"/>
      <c r="W78" s="22">
        <f t="shared" ca="1" si="166"/>
        <v>1.2888686499030241E-2</v>
      </c>
      <c r="X78" s="22">
        <f t="shared" ca="1" si="167"/>
        <v>8.0445174541259289E-3</v>
      </c>
      <c r="Y78" s="22">
        <f t="shared" ca="1" si="168"/>
        <v>6.4850498249193582E-3</v>
      </c>
      <c r="EJ78">
        <f t="shared" ca="1" si="170"/>
        <v>135</v>
      </c>
      <c r="EK78" s="169">
        <f t="shared" ca="1" si="150"/>
        <v>44681</v>
      </c>
      <c r="EL78" s="1">
        <f t="shared" ca="1" si="151"/>
        <v>-3.5798999999999997E-2</v>
      </c>
      <c r="EM78" s="1">
        <f t="shared" ca="1" si="152"/>
        <v>-3.6573000000000001E-2</v>
      </c>
      <c r="EN78" s="1">
        <f t="shared" ca="1" si="153"/>
        <v>-2.303798E-2</v>
      </c>
      <c r="EO78" s="1">
        <f t="shared" ca="1" si="154"/>
        <v>-8.7200340000000001E-2</v>
      </c>
      <c r="EP78" s="1">
        <f t="shared" ca="1" si="155"/>
        <v>-5.4001E-2</v>
      </c>
      <c r="EQ78" s="1">
        <f t="shared" ca="1" si="156"/>
        <v>-5.4848000000000001E-2</v>
      </c>
      <c r="ER78" s="1">
        <f t="shared" ca="1" si="157"/>
        <v>-6.9286029999999998E-2</v>
      </c>
      <c r="ES78" s="1">
        <f t="shared" ca="1" si="158"/>
        <v>-9.910925000000001E-2</v>
      </c>
      <c r="ET78" s="1">
        <f t="shared" ca="1" si="159"/>
        <v>-5.9966999999999999E-2</v>
      </c>
      <c r="EU78" s="1">
        <f t="shared" ca="1" si="160"/>
        <v>-6.0736999999999999E-2</v>
      </c>
      <c r="EV78" s="1">
        <f t="shared" ca="1" si="161"/>
        <v>-4.2598269999999994E-2</v>
      </c>
      <c r="EW78" s="1">
        <f t="shared" ca="1" si="162"/>
        <v>-7.9712140000000001E-2</v>
      </c>
      <c r="EX78" s="1">
        <f t="shared" ca="1" si="163"/>
        <v>-6.1288429999999998E-2</v>
      </c>
      <c r="EY78" s="1">
        <f t="shared" ca="1" si="164"/>
        <v>-6.2313429999999996E-2</v>
      </c>
      <c r="EZ78" s="1">
        <f t="shared" ca="1" si="165"/>
        <v>-9.910925000000001E-2</v>
      </c>
    </row>
    <row r="79" spans="1:156" x14ac:dyDescent="0.25">
      <c r="A79">
        <f t="shared" ca="1" si="169"/>
        <v>77</v>
      </c>
      <c r="B79" s="169">
        <f ca="1">IF('LC (Gross)'!A226="","",IF('LC (Gross)'!A226&gt;$AC$9,"",'LC (Gross)'!A226))</f>
        <v>42916</v>
      </c>
      <c r="C79" s="1">
        <f ca="1">IF(B79="","",(VLOOKUP(B79,'LC (Gross)'!A:D,4,FALSE)/100))</f>
        <v>1.7480000000000002E-3</v>
      </c>
      <c r="D79" s="1">
        <f ca="1">IF(B79="","",(VLOOKUP(B79,'SC (Gross)'!A:D,4,FALSE))/100)</f>
        <v>1.4237E-2</v>
      </c>
      <c r="E79" s="1">
        <f ca="1">IF(B79="","",(VLOOKUP(B79,'Global (Gross)'!A:D,4,FALSE)/100))</f>
        <v>-2.32E-3</v>
      </c>
      <c r="F79" s="1"/>
      <c r="G79" s="1">
        <f ca="1">IF(B79="","",(VLOOKUP(B79,'LC (Net)'!A:D,4,FALSE)/100))</f>
        <v>1.3800000000000002E-3</v>
      </c>
      <c r="H79" s="1">
        <f ca="1">IF(B79="","",(VLOOKUP(B79,'SC (Net)'!A:D,4,FALSE))/100)</f>
        <v>1.3897999999999999E-2</v>
      </c>
      <c r="I79" s="1">
        <f ca="1">IF(B79="","",(VLOOKUP(B79,'Global (Net)'!A:D,4,FALSE)/100))</f>
        <v>-3.0200000000000001E-3</v>
      </c>
      <c r="J79" s="1"/>
      <c r="K79" s="1">
        <f ca="1">IF(B79="","",VLOOKUP(Website!B79,'LC (Gross)'!W:X,2,FALSE)/100)</f>
        <v>-3.2260180051273224E-3</v>
      </c>
      <c r="L79" s="1">
        <f ca="1">IF(B79="","",VLOOKUP(Website!B79,'SC (Gross)'!P:Q,2,FALSE)/100)</f>
        <v>2.2652371615702216E-2</v>
      </c>
      <c r="M79" s="1">
        <f ca="1">IF(B79="","",VLOOKUP(Website!B79,'Global (Gross)'!P:Q,2,FALSE)/100)</f>
        <v>-4.223298679484371E-3</v>
      </c>
      <c r="O79" s="1">
        <f ca="1">IF(B79="","",VLOOKUP(Website!B79,'LC (Gross)'!J:K,2,FALSE)/100)</f>
        <v>6.2408740693053544E-3</v>
      </c>
      <c r="P79" s="233">
        <f ca="1">IF(B79="","",(VLOOKUP(B79,'SC (Gross)'!J:K,2,FALSE))/100)</f>
        <v>3.4550215532803123E-2</v>
      </c>
      <c r="Q79" s="233">
        <f ca="1">IF(B79="","",(VLOOKUP(B79,'Global (Gross)'!J:K,2,FALSE)/100))</f>
        <v>4.9756434216776E-3</v>
      </c>
      <c r="S79" s="22">
        <f t="shared" ca="1" si="147"/>
        <v>-4.492874069305354E-3</v>
      </c>
      <c r="T79" s="22">
        <f t="shared" ca="1" si="148"/>
        <v>-2.0313215532803124E-2</v>
      </c>
      <c r="U79" s="22">
        <f t="shared" ca="1" si="149"/>
        <v>-7.2956434216776E-3</v>
      </c>
      <c r="V79" s="22"/>
      <c r="W79" s="22">
        <f t="shared" ca="1" si="166"/>
        <v>-9.4668920744326764E-3</v>
      </c>
      <c r="X79" s="22">
        <f t="shared" ca="1" si="167"/>
        <v>-1.1897843917100907E-2</v>
      </c>
      <c r="Y79" s="22">
        <f t="shared" ca="1" si="168"/>
        <v>-9.198942101161971E-3</v>
      </c>
      <c r="EJ79">
        <f t="shared" ca="1" si="170"/>
        <v>136</v>
      </c>
      <c r="EK79" s="169">
        <f t="shared" ca="1" si="150"/>
        <v>44712</v>
      </c>
      <c r="EL79" s="1">
        <f t="shared" ca="1" si="151"/>
        <v>4.9849999999999998E-3</v>
      </c>
      <c r="EM79" s="1">
        <f t="shared" ca="1" si="152"/>
        <v>4.4080000000000005E-3</v>
      </c>
      <c r="EN79" s="1">
        <f t="shared" ca="1" si="153"/>
        <v>-5.4373320000000004E-3</v>
      </c>
      <c r="EO79" s="1">
        <f t="shared" ca="1" si="154"/>
        <v>1.8353E-3</v>
      </c>
      <c r="EP79" s="1">
        <f t="shared" ca="1" si="155"/>
        <v>1.7857999999999999E-2</v>
      </c>
      <c r="EQ79" s="1">
        <f t="shared" ca="1" si="156"/>
        <v>1.7351000000000002E-2</v>
      </c>
      <c r="ER79" s="1">
        <f t="shared" ca="1" si="157"/>
        <v>2.3163109999999997E-2</v>
      </c>
      <c r="ES79" s="1">
        <f t="shared" ca="1" si="158"/>
        <v>1.4378990000000001E-3</v>
      </c>
      <c r="ET79" s="1">
        <f t="shared" ca="1" si="159"/>
        <v>1.0449999999999999E-2</v>
      </c>
      <c r="EU79" s="1">
        <f t="shared" ca="1" si="160"/>
        <v>9.7940000000000006E-3</v>
      </c>
      <c r="EV79" s="1">
        <f t="shared" ca="1" si="161"/>
        <v>-1.0626459999999999E-2</v>
      </c>
      <c r="EW79" s="1">
        <f t="shared" ca="1" si="162"/>
        <v>1.8357740000000001E-3</v>
      </c>
      <c r="EX79" s="1">
        <f t="shared" ca="1" si="163"/>
        <v>3.0471880000000003E-2</v>
      </c>
      <c r="EY79" s="1">
        <f t="shared" ca="1" si="164"/>
        <v>2.9446880000000002E-2</v>
      </c>
      <c r="EZ79" s="1">
        <f t="shared" ca="1" si="165"/>
        <v>1.4378990000000001E-3</v>
      </c>
    </row>
    <row r="80" spans="1:156" x14ac:dyDescent="0.25">
      <c r="A80">
        <f t="shared" ca="1" si="169"/>
        <v>78</v>
      </c>
      <c r="B80" s="169">
        <f ca="1">IF('LC (Gross)'!A227="","",IF('LC (Gross)'!A227&gt;$AC$9,"",'LC (Gross)'!A227))</f>
        <v>42947</v>
      </c>
      <c r="C80" s="1">
        <f ca="1">IF(B80="","",(VLOOKUP(B80,'LC (Gross)'!A:D,4,FALSE)/100))</f>
        <v>1.5465E-2</v>
      </c>
      <c r="D80" s="1">
        <f ca="1">IF(B80="","",(VLOOKUP(B80,'SC (Gross)'!A:D,4,FALSE))/100)</f>
        <v>1.1075999999999999E-2</v>
      </c>
      <c r="E80" s="1">
        <f ca="1">IF(B80="","",(VLOOKUP(B80,'Global (Gross)'!A:D,4,FALSE)/100))</f>
        <v>1.1594999999999999E-2</v>
      </c>
      <c r="F80" s="1"/>
      <c r="G80" s="1">
        <f ca="1">IF(B80="","",(VLOOKUP(B80,'LC (Net)'!A:D,4,FALSE)/100))</f>
        <v>1.5096E-2</v>
      </c>
      <c r="H80" s="1">
        <f ca="1">IF(B80="","",(VLOOKUP(B80,'SC (Net)'!A:D,4,FALSE))/100)</f>
        <v>1.0736000000000001E-2</v>
      </c>
      <c r="I80" s="1">
        <f ca="1">IF(B80="","",(VLOOKUP(B80,'Global (Net)'!A:D,4,FALSE)/100))</f>
        <v>1.1109000000000001E-2</v>
      </c>
      <c r="J80" s="1"/>
      <c r="K80" s="1">
        <f ca="1">IF(B80="","",VLOOKUP(Website!B80,'LC (Gross)'!W:X,2,FALSE)/100)</f>
        <v>1.37873985653355E-2</v>
      </c>
      <c r="L80" s="1">
        <f ca="1">IF(B80="","",VLOOKUP(Website!B80,'SC (Gross)'!P:Q,2,FALSE)/100)</f>
        <v>1.3553479644284978E-2</v>
      </c>
      <c r="M80" s="1">
        <f ca="1">IF(B80="","",VLOOKUP(Website!B80,'Global (Gross)'!P:Q,2,FALSE)/100)</f>
        <v>1.84907757794061E-2</v>
      </c>
      <c r="O80" s="1">
        <f ca="1">IF(B80="","",VLOOKUP(Website!B80,'LC (Gross)'!J:K,2,FALSE)/100)</f>
        <v>2.0562208301688933E-2</v>
      </c>
      <c r="P80" s="233">
        <f ca="1">IF(B80="","",(VLOOKUP(B80,'SC (Gross)'!J:K,2,FALSE))/100)</f>
        <v>7.4206765933175203E-3</v>
      </c>
      <c r="Q80" s="233">
        <f ca="1">IF(B80="","",(VLOOKUP(B80,'Global (Gross)'!J:K,2,FALSE)/100))</f>
        <v>2.8323498003446274E-2</v>
      </c>
      <c r="S80" s="22">
        <f t="shared" ca="1" si="147"/>
        <v>-5.0972083016889332E-3</v>
      </c>
      <c r="T80" s="22">
        <f t="shared" ca="1" si="148"/>
        <v>3.6553234066824787E-3</v>
      </c>
      <c r="U80" s="22">
        <f t="shared" ca="1" si="149"/>
        <v>-1.6728498003446272E-2</v>
      </c>
      <c r="V80" s="22"/>
      <c r="W80" s="22">
        <f t="shared" ca="1" si="166"/>
        <v>-6.7748097363534328E-3</v>
      </c>
      <c r="X80" s="22">
        <f t="shared" ca="1" si="167"/>
        <v>6.1328030509674577E-3</v>
      </c>
      <c r="Y80" s="22">
        <f t="shared" ca="1" si="168"/>
        <v>-9.8327222240401739E-3</v>
      </c>
      <c r="EJ80">
        <f t="shared" ca="1" si="170"/>
        <v>137</v>
      </c>
      <c r="EK80" s="169">
        <f t="shared" ca="1" si="150"/>
        <v>44742</v>
      </c>
      <c r="EL80" s="1">
        <f t="shared" ca="1" si="151"/>
        <v>-6.5273999999999999E-2</v>
      </c>
      <c r="EM80" s="1">
        <f t="shared" ca="1" si="152"/>
        <v>-6.5845000000000001E-2</v>
      </c>
      <c r="EN80" s="1">
        <f t="shared" ca="1" si="153"/>
        <v>-4.271896E-2</v>
      </c>
      <c r="EO80" s="1">
        <f t="shared" ca="1" si="154"/>
        <v>-8.2601279999999999E-2</v>
      </c>
      <c r="EP80" s="1">
        <f t="shared" ca="1" si="155"/>
        <v>-2.3344E-2</v>
      </c>
      <c r="EQ80" s="1">
        <f t="shared" ca="1" si="156"/>
        <v>-2.3847999999999998E-2</v>
      </c>
      <c r="ER80" s="1">
        <f t="shared" ca="1" si="157"/>
        <v>-3.703563E-2</v>
      </c>
      <c r="ES80" s="1">
        <f t="shared" ca="1" si="158"/>
        <v>-8.2253300000000001E-2</v>
      </c>
      <c r="ET80" s="1">
        <f t="shared" ca="1" si="159"/>
        <v>-5.6927000000000005E-2</v>
      </c>
      <c r="EU80" s="1">
        <f t="shared" ca="1" si="160"/>
        <v>-5.7583999999999996E-2</v>
      </c>
      <c r="EV80" s="1">
        <f t="shared" ca="1" si="161"/>
        <v>-4.070174E-2</v>
      </c>
      <c r="EW80" s="1">
        <f t="shared" ca="1" si="162"/>
        <v>-8.3909459999999991E-2</v>
      </c>
      <c r="EX80" s="1">
        <f t="shared" ca="1" si="163"/>
        <v>-8.3242490000000002E-2</v>
      </c>
      <c r="EY80" s="1">
        <f t="shared" ca="1" si="164"/>
        <v>-8.4267489999999987E-2</v>
      </c>
      <c r="EZ80" s="1">
        <f t="shared" ca="1" si="165"/>
        <v>-8.2253300000000001E-2</v>
      </c>
    </row>
    <row r="81" spans="1:156" x14ac:dyDescent="0.25">
      <c r="A81">
        <f t="shared" ca="1" si="169"/>
        <v>79</v>
      </c>
      <c r="B81" s="169">
        <f ca="1">IF('LC (Gross)'!A228="","",IF('LC (Gross)'!A228&gt;$AC$9,"",'LC (Gross)'!A228))</f>
        <v>42978</v>
      </c>
      <c r="C81" s="1">
        <f ca="1">IF(B81="","",(VLOOKUP(B81,'LC (Gross)'!A:D,4,FALSE)/100))</f>
        <v>7.85E-4</v>
      </c>
      <c r="D81" s="1">
        <f ca="1">IF(B81="","",(VLOOKUP(B81,'SC (Gross)'!A:D,4,FALSE))/100)</f>
        <v>-1.7017999999999998E-2</v>
      </c>
      <c r="E81" s="1">
        <f ca="1">IF(B81="","",(VLOOKUP(B81,'Global (Gross)'!A:D,4,FALSE)/100))</f>
        <v>1.8672000000000001E-2</v>
      </c>
      <c r="F81" s="1"/>
      <c r="G81" s="1">
        <f ca="1">IF(B81="","",(VLOOKUP(B81,'LC (Net)'!A:D,4,FALSE)/100))</f>
        <v>4.1599999999999997E-4</v>
      </c>
      <c r="H81" s="1">
        <f ca="1">IF(B81="","",(VLOOKUP(B81,'SC (Net)'!A:D,4,FALSE))/100)</f>
        <v>-1.7353E-2</v>
      </c>
      <c r="I81" s="1">
        <f ca="1">IF(B81="","",(VLOOKUP(B81,'Global (Net)'!A:D,4,FALSE)/100))</f>
        <v>1.8186999999999998E-2</v>
      </c>
      <c r="J81" s="1"/>
      <c r="K81" s="1">
        <f ca="1">IF(B81="","",VLOOKUP(Website!B81,'LC (Gross)'!W:X,2,FALSE)/100)</f>
        <v>8.5165256587252953E-3</v>
      </c>
      <c r="L81" s="1">
        <f ca="1">IF(B81="","",VLOOKUP(Website!B81,'SC (Gross)'!P:Q,2,FALSE)/100)</f>
        <v>-1.8921366403380855E-2</v>
      </c>
      <c r="M81" s="1">
        <f ca="1">IF(B81="","",VLOOKUP(Website!B81,'Global (Gross)'!P:Q,2,FALSE)/100)</f>
        <v>9.2712679387554967E-3</v>
      </c>
      <c r="O81" s="1">
        <f ca="1">IF(B81="","",VLOOKUP(Website!B81,'LC (Gross)'!J:K,2,FALSE)/100)</f>
        <v>3.0611160404652787E-3</v>
      </c>
      <c r="P81" s="233">
        <f ca="1">IF(B81="","",(VLOOKUP(B81,'SC (Gross)'!J:K,2,FALSE))/100)</f>
        <v>-1.2722891480434002E-2</v>
      </c>
      <c r="Q81" s="233">
        <f ca="1">IF(B81="","",(VLOOKUP(B81,'Global (Gross)'!J:K,2,FALSE)/100))</f>
        <v>4.3875833640838495E-3</v>
      </c>
      <c r="S81" s="22">
        <f t="shared" ca="1" si="147"/>
        <v>-2.2761160404652786E-3</v>
      </c>
      <c r="T81" s="22">
        <f t="shared" ca="1" si="148"/>
        <v>-4.2951085195659967E-3</v>
      </c>
      <c r="U81" s="22">
        <f t="shared" ca="1" si="149"/>
        <v>1.4284416635916151E-2</v>
      </c>
      <c r="V81" s="22"/>
      <c r="W81" s="22">
        <f t="shared" ca="1" si="166"/>
        <v>5.4554096182600166E-3</v>
      </c>
      <c r="X81" s="22">
        <f t="shared" ca="1" si="167"/>
        <v>-6.1984749229468533E-3</v>
      </c>
      <c r="Y81" s="22">
        <f t="shared" ca="1" si="168"/>
        <v>4.8836845746716472E-3</v>
      </c>
      <c r="EJ81">
        <f t="shared" ca="1" si="170"/>
        <v>138</v>
      </c>
      <c r="EK81" s="169">
        <f t="shared" ca="1" si="150"/>
        <v>44773</v>
      </c>
      <c r="EL81" s="1">
        <f t="shared" ca="1" si="151"/>
        <v>4.5183000000000001E-2</v>
      </c>
      <c r="EM81" s="1">
        <f t="shared" ca="1" si="152"/>
        <v>4.4377000000000007E-2</v>
      </c>
      <c r="EN81" s="1">
        <f t="shared" ca="1" si="153"/>
        <v>4.2321570000000003E-2</v>
      </c>
      <c r="EO81" s="1">
        <f t="shared" ca="1" si="154"/>
        <v>9.2206969999999999E-2</v>
      </c>
      <c r="EP81" s="1">
        <f t="shared" ca="1" si="155"/>
        <v>5.8745000000000006E-2</v>
      </c>
      <c r="EQ81" s="1">
        <f t="shared" ca="1" si="156"/>
        <v>5.7869999999999998E-2</v>
      </c>
      <c r="ER81" s="1">
        <f t="shared" ca="1" si="157"/>
        <v>7.0628739999999995E-2</v>
      </c>
      <c r="ES81" s="1">
        <f t="shared" ca="1" si="158"/>
        <v>0.10440250000000001</v>
      </c>
      <c r="ET81" s="1">
        <f t="shared" ca="1" si="159"/>
        <v>5.2363999999999994E-2</v>
      </c>
      <c r="EU81" s="1">
        <f t="shared" ca="1" si="160"/>
        <v>5.1584999999999999E-2</v>
      </c>
      <c r="EV81" s="1">
        <f t="shared" ca="1" si="161"/>
        <v>3.0760469999999998E-2</v>
      </c>
      <c r="EW81" s="1">
        <f t="shared" ca="1" si="162"/>
        <v>7.0209170000000001E-2</v>
      </c>
      <c r="EX81" s="1">
        <f t="shared" ca="1" si="163"/>
        <v>0.10824319999999998</v>
      </c>
      <c r="EY81" s="1">
        <f t="shared" ca="1" si="164"/>
        <v>0.10721819999999999</v>
      </c>
      <c r="EZ81" s="1">
        <f t="shared" ca="1" si="165"/>
        <v>0.10440250000000001</v>
      </c>
    </row>
    <row r="82" spans="1:156" x14ac:dyDescent="0.25">
      <c r="A82">
        <f t="shared" ca="1" si="169"/>
        <v>80</v>
      </c>
      <c r="B82" s="169">
        <f ca="1">IF('LC (Gross)'!A229="","",IF('LC (Gross)'!A229&gt;$AC$9,"",'LC (Gross)'!A229))</f>
        <v>43008</v>
      </c>
      <c r="C82" s="1">
        <f ca="1">IF(B82="","",(VLOOKUP(B82,'LC (Gross)'!A:D,4,FALSE)/100))</f>
        <v>1.3939E-2</v>
      </c>
      <c r="D82" s="1">
        <f ca="1">IF(B82="","",(VLOOKUP(B82,'SC (Gross)'!A:D,4,FALSE))/100)</f>
        <v>6.1718000000000002E-2</v>
      </c>
      <c r="E82" s="1">
        <f ca="1">IF(B82="","",(VLOOKUP(B82,'Global (Gross)'!A:D,4,FALSE)/100))</f>
        <v>1.4859000000000001E-2</v>
      </c>
      <c r="F82" s="1"/>
      <c r="G82" s="1">
        <f ca="1">IF(B82="","",(VLOOKUP(B82,'LC (Net)'!A:D,4,FALSE)/100))</f>
        <v>1.3157E-2</v>
      </c>
      <c r="H82" s="1">
        <f ca="1">IF(B82="","",(VLOOKUP(B82,'SC (Net)'!A:D,4,FALSE))/100)</f>
        <v>6.0856E-2</v>
      </c>
      <c r="I82" s="1">
        <f ca="1">IF(B82="","",(VLOOKUP(B82,'Global (Net)'!A:D,4,FALSE)/100))</f>
        <v>1.4439E-2</v>
      </c>
      <c r="J82" s="1"/>
      <c r="K82" s="1">
        <f ca="1">IF(B82="","",VLOOKUP(Website!B82,'LC (Gross)'!W:X,2,FALSE)/100)</f>
        <v>7.8794881170017525E-3</v>
      </c>
      <c r="L82" s="1">
        <f ca="1">IF(B82="","",VLOOKUP(Website!B82,'SC (Gross)'!P:Q,2,FALSE)/100)</f>
        <v>6.4330364239599216E-2</v>
      </c>
      <c r="M82" s="1">
        <f ca="1">IF(B82="","",VLOOKUP(Website!B82,'Global (Gross)'!P:Q,2,FALSE)/100)</f>
        <v>1.437095668807288E-3</v>
      </c>
      <c r="O82" s="1">
        <f ca="1">IF(B82="","",VLOOKUP(Website!B82,'LC (Gross)'!J:K,2,FALSE)/100)</f>
        <v>2.062837167180839E-2</v>
      </c>
      <c r="P82" s="233">
        <f ca="1">IF(B82="","",(VLOOKUP(B82,'SC (Gross)'!J:K,2,FALSE))/100)</f>
        <v>6.239825368400366E-2</v>
      </c>
      <c r="Q82" s="233">
        <f ca="1">IF(B82="","",(VLOOKUP(B82,'Global (Gross)'!J:K,2,FALSE)/100))</f>
        <v>1.9743600083037331E-2</v>
      </c>
      <c r="S82" s="22">
        <f t="shared" ca="1" si="147"/>
        <v>-6.6893716718083897E-3</v>
      </c>
      <c r="T82" s="22">
        <f t="shared" ca="1" si="148"/>
        <v>-6.8025368400365799E-4</v>
      </c>
      <c r="U82" s="22">
        <f t="shared" ca="1" si="149"/>
        <v>-4.8846000830373298E-3</v>
      </c>
      <c r="V82" s="22"/>
      <c r="W82" s="22">
        <f t="shared" ca="1" si="166"/>
        <v>-1.2748883554806637E-2</v>
      </c>
      <c r="X82" s="22">
        <f t="shared" ca="1" si="167"/>
        <v>1.9321105555955564E-3</v>
      </c>
      <c r="Y82" s="22">
        <f t="shared" ca="1" si="168"/>
        <v>-1.8306504414230044E-2</v>
      </c>
      <c r="EJ82">
        <f t="shared" ca="1" si="170"/>
        <v>139</v>
      </c>
      <c r="EK82" s="169">
        <f t="shared" ca="1" si="150"/>
        <v>44804</v>
      </c>
      <c r="EL82" s="1">
        <f t="shared" ca="1" si="151"/>
        <v>-2.4843E-2</v>
      </c>
      <c r="EM82" s="1">
        <f t="shared" ca="1" si="152"/>
        <v>-2.5412000000000001E-2</v>
      </c>
      <c r="EN82" s="1">
        <f t="shared" ca="1" si="153"/>
        <v>-1.8139220000000001E-2</v>
      </c>
      <c r="EO82" s="1">
        <f t="shared" ca="1" si="154"/>
        <v>-4.0782619999999999E-2</v>
      </c>
      <c r="EP82" s="1">
        <f t="shared" ca="1" si="155"/>
        <v>-4.0937000000000001E-2</v>
      </c>
      <c r="EQ82" s="1">
        <f t="shared" ca="1" si="156"/>
        <v>-4.1440000000000005E-2</v>
      </c>
      <c r="ER82" s="1">
        <f t="shared" ca="1" si="157"/>
        <v>-5.4935049999999999E-2</v>
      </c>
      <c r="ES82" s="1">
        <f t="shared" ca="1" si="158"/>
        <v>-2.0463059999999998E-2</v>
      </c>
      <c r="ET82" s="1">
        <f t="shared" ca="1" si="159"/>
        <v>-4.0896000000000002E-2</v>
      </c>
      <c r="EU82" s="1">
        <f t="shared" ca="1" si="160"/>
        <v>-4.1554000000000001E-2</v>
      </c>
      <c r="EV82" s="1">
        <f t="shared" ca="1" si="161"/>
        <v>-2.1229930000000001E-2</v>
      </c>
      <c r="EW82" s="1">
        <f t="shared" ca="1" si="162"/>
        <v>-3.639303E-2</v>
      </c>
      <c r="EX82" s="1">
        <f t="shared" ca="1" si="163"/>
        <v>-2.5661999999999997E-2</v>
      </c>
      <c r="EY82" s="1">
        <f t="shared" ca="1" si="164"/>
        <v>-2.6686999999999999E-2</v>
      </c>
      <c r="EZ82" s="1">
        <f t="shared" ca="1" si="165"/>
        <v>-2.0463059999999998E-2</v>
      </c>
    </row>
    <row r="83" spans="1:156" x14ac:dyDescent="0.25">
      <c r="A83">
        <f t="shared" ca="1" si="169"/>
        <v>81</v>
      </c>
      <c r="B83" s="169">
        <f ca="1">IF('LC (Gross)'!A230="","",IF('LC (Gross)'!A230&gt;$AC$9,"",'LC (Gross)'!A230))</f>
        <v>43039</v>
      </c>
      <c r="C83" s="1">
        <f ca="1">IF(B83="","",(VLOOKUP(B83,'LC (Gross)'!A:D,4,FALSE)/100))</f>
        <v>7.1250000000000003E-3</v>
      </c>
      <c r="D83" s="1">
        <f ca="1">IF(B83="","",(VLOOKUP(B83,'SC (Gross)'!A:D,4,FALSE))/100)</f>
        <v>1.2041999999999999E-2</v>
      </c>
      <c r="E83" s="1">
        <f ca="1">IF(B83="","",(VLOOKUP(B83,'Global (Gross)'!A:D,4,FALSE)/100))</f>
        <v>1.3911E-2</v>
      </c>
      <c r="F83" s="1"/>
      <c r="G83" s="1">
        <f ca="1">IF(B83="","",(VLOOKUP(B83,'LC (Net)'!A:D,4,FALSE)/100))</f>
        <v>6.7159999999999997E-3</v>
      </c>
      <c r="H83" s="1">
        <f ca="1">IF(B83="","",(VLOOKUP(B83,'SC (Net)'!A:D,4,FALSE))/100)</f>
        <v>1.1702999999999998E-2</v>
      </c>
      <c r="I83" s="1">
        <f ca="1">IF(B83="","",(VLOOKUP(B83,'Global (Net)'!A:D,4,FALSE)/100))</f>
        <v>1.3496999999999999E-2</v>
      </c>
      <c r="J83" s="1"/>
      <c r="K83" s="1">
        <f ca="1">IF(B83="","",VLOOKUP(Website!B83,'LC (Gross)'!W:X,2,FALSE)/100)</f>
        <v>1.9045253081532782E-2</v>
      </c>
      <c r="L83" s="1">
        <f ca="1">IF(B83="","",VLOOKUP(Website!B83,'SC (Gross)'!P:Q,2,FALSE)/100)</f>
        <v>1.1052545361689032E-2</v>
      </c>
      <c r="M83" s="1">
        <f ca="1">IF(B83="","",VLOOKUP(Website!B83,'Global (Gross)'!P:Q,2,FALSE)/100)</f>
        <v>1.6313814819777707E-2</v>
      </c>
      <c r="O83" s="1">
        <f ca="1">IF(B83="","",VLOOKUP(Website!B83,'LC (Gross)'!J:K,2,FALSE)/100)</f>
        <v>2.3333760755019292E-2</v>
      </c>
      <c r="P83" s="233">
        <f ca="1">IF(B83="","",(VLOOKUP(B83,'SC (Gross)'!J:K,2,FALSE))/100)</f>
        <v>8.5147616539708124E-3</v>
      </c>
      <c r="Q83" s="233">
        <f ca="1">IF(B83="","",(VLOOKUP(B83,'Global (Gross)'!J:K,2,FALSE)/100))</f>
        <v>2.1003109407469803E-2</v>
      </c>
      <c r="S83" s="22">
        <f t="shared" ca="1" si="147"/>
        <v>-1.6208760755019293E-2</v>
      </c>
      <c r="T83" s="22">
        <f t="shared" ca="1" si="148"/>
        <v>3.5272383460291865E-3</v>
      </c>
      <c r="U83" s="22">
        <f t="shared" ca="1" si="149"/>
        <v>-7.0921094074698036E-3</v>
      </c>
      <c r="V83" s="22"/>
      <c r="W83" s="22">
        <f t="shared" ca="1" si="166"/>
        <v>-4.28850767348651E-3</v>
      </c>
      <c r="X83" s="22">
        <f t="shared" ca="1" si="167"/>
        <v>2.5377837077182192E-3</v>
      </c>
      <c r="Y83" s="22">
        <f t="shared" ca="1" si="168"/>
        <v>-4.6892945876920965E-3</v>
      </c>
      <c r="EJ83">
        <f t="shared" ca="1" si="170"/>
        <v>140</v>
      </c>
      <c r="EK83" s="169">
        <f t="shared" ca="1" si="150"/>
        <v>44834</v>
      </c>
      <c r="EL83" s="1">
        <f t="shared" ca="1" si="151"/>
        <v>-7.6560000000000003E-2</v>
      </c>
      <c r="EM83" s="1">
        <f t="shared" ca="1" si="152"/>
        <v>-7.7127000000000001E-2</v>
      </c>
      <c r="EN83" s="1">
        <f t="shared" ca="1" si="153"/>
        <v>-8.3408360000000001E-2</v>
      </c>
      <c r="EO83" s="1">
        <f t="shared" ca="1" si="154"/>
        <v>-9.2175670000000001E-2</v>
      </c>
      <c r="EP83" s="1">
        <f t="shared" ca="1" si="155"/>
        <v>-6.8723000000000006E-2</v>
      </c>
      <c r="EQ83" s="1">
        <f t="shared" ca="1" si="156"/>
        <v>-6.9222999999999993E-2</v>
      </c>
      <c r="ER83" s="1">
        <f t="shared" ca="1" si="157"/>
        <v>-8.8647659999999989E-2</v>
      </c>
      <c r="ES83" s="1">
        <f t="shared" ca="1" si="158"/>
        <v>-9.5742590000000002E-2</v>
      </c>
      <c r="ET83" s="1">
        <f t="shared" ca="1" si="159"/>
        <v>-7.7400999999999998E-2</v>
      </c>
      <c r="EU83" s="1">
        <f t="shared" ca="1" si="160"/>
        <v>-7.8059000000000003E-2</v>
      </c>
      <c r="EV83" s="1">
        <f t="shared" ca="1" si="161"/>
        <v>-6.7019080000000009E-2</v>
      </c>
      <c r="EW83" s="1">
        <f t="shared" ca="1" si="162"/>
        <v>-9.5221459999999994E-2</v>
      </c>
      <c r="EX83" s="1">
        <f t="shared" ca="1" si="163"/>
        <v>-9.3373750000000019E-2</v>
      </c>
      <c r="EY83" s="1">
        <f t="shared" ca="1" si="164"/>
        <v>-9.4398750000000003E-2</v>
      </c>
      <c r="EZ83" s="1">
        <f t="shared" ca="1" si="165"/>
        <v>-9.5742590000000002E-2</v>
      </c>
    </row>
    <row r="84" spans="1:156" x14ac:dyDescent="0.25">
      <c r="A84">
        <f t="shared" ca="1" si="169"/>
        <v>82</v>
      </c>
      <c r="B84" s="169">
        <f ca="1">IF('LC (Gross)'!A231="","",IF('LC (Gross)'!A231&gt;$AC$9,"",'LC (Gross)'!A231))</f>
        <v>43069</v>
      </c>
      <c r="C84" s="1">
        <f ca="1">IF(B84="","",(VLOOKUP(B84,'LC (Gross)'!A:D,4,FALSE)/100))</f>
        <v>5.0007000000000003E-2</v>
      </c>
      <c r="D84" s="1">
        <f ca="1">IF(B84="","",(VLOOKUP(B84,'SC (Gross)'!A:D,4,FALSE))/100)</f>
        <v>1.5989E-2</v>
      </c>
      <c r="E84" s="1">
        <f ca="1">IF(B84="","",(VLOOKUP(B84,'Global (Gross)'!A:D,4,FALSE)/100))</f>
        <v>2.3616000000000002E-2</v>
      </c>
      <c r="F84" s="1"/>
      <c r="G84" s="1">
        <f ca="1">IF(B84="","",(VLOOKUP(B84,'LC (Net)'!A:D,4,FALSE)/100))</f>
        <v>4.9181999999999997E-2</v>
      </c>
      <c r="H84" s="1">
        <f ca="1">IF(B84="","",(VLOOKUP(B84,'SC (Net)'!A:D,4,FALSE))/100)</f>
        <v>1.5157E-2</v>
      </c>
      <c r="I84" s="1">
        <f ca="1">IF(B84="","",(VLOOKUP(B84,'Global (Net)'!A:D,4,FALSE)/100))</f>
        <v>2.3206000000000001E-2</v>
      </c>
      <c r="J84" s="1"/>
      <c r="K84" s="1">
        <f ca="1">IF(B84="","",VLOOKUP(Website!B84,'LC (Gross)'!W:X,2,FALSE)/100)</f>
        <v>3.856791991141767E-2</v>
      </c>
      <c r="L84" s="1">
        <f ca="1">IF(B84="","",VLOOKUP(Website!B84,'SC (Gross)'!P:Q,2,FALSE)/100)</f>
        <v>3.1460866913194302E-2</v>
      </c>
      <c r="M84" s="1">
        <f ca="1">IF(B84="","",VLOOKUP(Website!B84,'Global (Gross)'!P:Q,2,FALSE)/100)</f>
        <v>2.5247935599578653E-2</v>
      </c>
      <c r="O84" s="1">
        <f ca="1">IF(B84="","",VLOOKUP(Website!B84,'LC (Gross)'!J:K,2,FALSE)/100)</f>
        <v>3.067134936751429E-2</v>
      </c>
      <c r="P84" s="233">
        <f ca="1">IF(B84="","",(VLOOKUP(B84,'SC (Gross)'!J:K,2,FALSE))/100)</f>
        <v>2.8792520157457955E-2</v>
      </c>
      <c r="Q84" s="233">
        <f ca="1">IF(B84="","",(VLOOKUP(B84,'Global (Gross)'!J:K,2,FALSE)/100))</f>
        <v>1.9861009226556731E-2</v>
      </c>
      <c r="S84" s="22">
        <f t="shared" ca="1" si="147"/>
        <v>1.9335650632485712E-2</v>
      </c>
      <c r="T84" s="22">
        <f t="shared" ca="1" si="148"/>
        <v>-1.2803520157457955E-2</v>
      </c>
      <c r="U84" s="22">
        <f t="shared" ca="1" si="149"/>
        <v>3.754990773443271E-3</v>
      </c>
      <c r="V84" s="22"/>
      <c r="W84" s="22">
        <f t="shared" ca="1" si="166"/>
        <v>7.8965705439033793E-3</v>
      </c>
      <c r="X84" s="22">
        <f t="shared" ca="1" si="167"/>
        <v>2.668346755736347E-3</v>
      </c>
      <c r="Y84" s="22">
        <f t="shared" ca="1" si="168"/>
        <v>5.3869263730219226E-3</v>
      </c>
      <c r="EJ84">
        <f t="shared" ca="1" si="170"/>
        <v>141</v>
      </c>
      <c r="EK84" s="169">
        <f t="shared" ca="1" si="150"/>
        <v>44865</v>
      </c>
      <c r="EL84" s="1">
        <f t="shared" ca="1" si="151"/>
        <v>0.10510899999999999</v>
      </c>
      <c r="EM84" s="1">
        <f t="shared" ca="1" si="152"/>
        <v>0.104503</v>
      </c>
      <c r="EN84" s="1">
        <f t="shared" ca="1" si="153"/>
        <v>6.9835320000000006E-2</v>
      </c>
      <c r="EO84" s="1">
        <f t="shared" ca="1" si="154"/>
        <v>8.0963370000000007E-2</v>
      </c>
      <c r="EP84" s="1">
        <f t="shared" ca="1" si="155"/>
        <v>0.104299</v>
      </c>
      <c r="EQ84" s="1">
        <f t="shared" ca="1" si="156"/>
        <v>0.103797</v>
      </c>
      <c r="ER84" s="1">
        <f t="shared" ca="1" si="157"/>
        <v>0.1298677</v>
      </c>
      <c r="ES84" s="1">
        <f t="shared" ca="1" si="158"/>
        <v>0.1100892</v>
      </c>
      <c r="ET84" s="1">
        <f t="shared" ca="1" si="159"/>
        <v>6.9131999999999999E-2</v>
      </c>
      <c r="EU84" s="1">
        <f t="shared" ca="1" si="160"/>
        <v>6.8349999999999994E-2</v>
      </c>
      <c r="EV84" s="1">
        <f t="shared" ca="1" si="161"/>
        <v>4.1803640000000003E-2</v>
      </c>
      <c r="EW84" s="1">
        <f t="shared" ca="1" si="162"/>
        <v>6.0588070000000001E-2</v>
      </c>
      <c r="EX84" s="1">
        <f t="shared" ca="1" si="163"/>
        <v>0.11088659999999999</v>
      </c>
      <c r="EY84" s="1">
        <f t="shared" ca="1" si="164"/>
        <v>0.1098616</v>
      </c>
      <c r="EZ84" s="1">
        <f t="shared" ca="1" si="165"/>
        <v>0.1100892</v>
      </c>
    </row>
    <row r="85" spans="1:156" x14ac:dyDescent="0.25">
      <c r="A85">
        <f t="shared" ca="1" si="169"/>
        <v>83</v>
      </c>
      <c r="B85" s="169">
        <f ca="1">IF('LC (Gross)'!A232="","",IF('LC (Gross)'!A232&gt;$AC$9,"",'LC (Gross)'!A232))</f>
        <v>43100</v>
      </c>
      <c r="C85" s="1">
        <f ca="1">IF(B85="","",(VLOOKUP(B85,'LC (Gross)'!A:D,4,FALSE)/100))</f>
        <v>1.5900000000000001E-2</v>
      </c>
      <c r="D85" s="1">
        <f ca="1">IF(B85="","",(VLOOKUP(B85,'SC (Gross)'!A:D,4,FALSE))/100)</f>
        <v>-1.7410000000000002E-2</v>
      </c>
      <c r="E85" s="1">
        <f ca="1">IF(B85="","",(VLOOKUP(B85,'Global (Gross)'!A:D,4,FALSE)/100))</f>
        <v>8.2179999999999996E-3</v>
      </c>
      <c r="F85" s="1"/>
      <c r="G85" s="1">
        <f ca="1">IF(B85="","",(VLOOKUP(B85,'LC (Net)'!A:D,4,FALSE)/100))</f>
        <v>1.5505999999999999E-2</v>
      </c>
      <c r="H85" s="1">
        <f ca="1">IF(B85="","",(VLOOKUP(B85,'SC (Net)'!A:D,4,FALSE))/100)</f>
        <v>-1.7787999999999998E-2</v>
      </c>
      <c r="I85" s="1">
        <f ca="1">IF(B85="","",(VLOOKUP(B85,'Global (Net)'!A:D,4,FALSE)/100))</f>
        <v>7.4050000000000001E-3</v>
      </c>
      <c r="J85" s="1"/>
      <c r="K85" s="1">
        <f ca="1">IF(B85="","",VLOOKUP(Website!B85,'LC (Gross)'!W:X,2,FALSE)/100)</f>
        <v>-1.1197410506272014E-2</v>
      </c>
      <c r="L85" s="1">
        <f ca="1">IF(B85="","",VLOOKUP(Website!B85,'SC (Gross)'!P:Q,2,FALSE)/100)</f>
        <v>-2.6250866250866325E-2</v>
      </c>
      <c r="M85" s="1">
        <f ca="1">IF(B85="","",VLOOKUP(Website!B85,'Global (Gross)'!P:Q,2,FALSE)/100)</f>
        <v>6.5633884452345158E-3</v>
      </c>
      <c r="O85" s="1">
        <f ca="1">IF(B85="","",VLOOKUP(Website!B85,'LC (Gross)'!J:K,2,FALSE)/100)</f>
        <v>1.1047152674964622E-2</v>
      </c>
      <c r="P85" s="233">
        <f ca="1">IF(B85="","",(VLOOKUP(B85,'SC (Gross)'!J:K,2,FALSE))/100)</f>
        <v>-4.0824535940505941E-3</v>
      </c>
      <c r="Q85" s="233">
        <f ca="1">IF(B85="","",(VLOOKUP(B85,'Global (Gross)'!J:K,2,FALSE)/100))</f>
        <v>1.6544917851371833E-2</v>
      </c>
      <c r="S85" s="22">
        <f t="shared" ca="1" si="147"/>
        <v>4.8528473250353792E-3</v>
      </c>
      <c r="T85" s="22">
        <f t="shared" ca="1" si="148"/>
        <v>-1.3327546405949409E-2</v>
      </c>
      <c r="U85" s="22">
        <f t="shared" ca="1" si="149"/>
        <v>-8.3269178513718338E-3</v>
      </c>
      <c r="V85" s="22"/>
      <c r="W85" s="22">
        <f t="shared" ca="1" si="166"/>
        <v>-2.2244563181236635E-2</v>
      </c>
      <c r="X85" s="22">
        <f t="shared" ca="1" si="167"/>
        <v>-2.2168412656815732E-2</v>
      </c>
      <c r="Y85" s="22">
        <f t="shared" ca="1" si="168"/>
        <v>-9.9815294061373176E-3</v>
      </c>
      <c r="EJ85">
        <f t="shared" ca="1" si="170"/>
        <v>142</v>
      </c>
      <c r="EK85" s="169">
        <f t="shared" ca="1" si="150"/>
        <v>44895</v>
      </c>
      <c r="EL85" s="1">
        <f t="shared" ca="1" si="151"/>
        <v>4.9164000000000006E-2</v>
      </c>
      <c r="EM85" s="1">
        <f t="shared" ca="1" si="152"/>
        <v>4.8590000000000001E-2</v>
      </c>
      <c r="EN85" s="1">
        <f t="shared" ca="1" si="153"/>
        <v>5.8284179999999998E-2</v>
      </c>
      <c r="EO85" s="1">
        <f t="shared" ca="1" si="154"/>
        <v>5.5884159999999995E-2</v>
      </c>
      <c r="EP85" s="1">
        <f t="shared" ca="1" si="155"/>
        <v>3.1566000000000004E-2</v>
      </c>
      <c r="EQ85" s="1">
        <f t="shared" ca="1" si="156"/>
        <v>3.1067000000000001E-2</v>
      </c>
      <c r="ER85" s="1">
        <f t="shared" ca="1" si="157"/>
        <v>3.3580600000000002E-2</v>
      </c>
      <c r="ES85" s="1">
        <f t="shared" ca="1" si="158"/>
        <v>2.3137370000000001E-2</v>
      </c>
      <c r="ET85" s="1">
        <f t="shared" ca="1" si="159"/>
        <v>6.2511999999999998E-2</v>
      </c>
      <c r="EU85" s="1">
        <f t="shared" ca="1" si="160"/>
        <v>6.1849999999999995E-2</v>
      </c>
      <c r="EV85" s="1">
        <f t="shared" ca="1" si="161"/>
        <v>6.2926999999999997E-2</v>
      </c>
      <c r="EW85" s="1">
        <f t="shared" ca="1" si="162"/>
        <v>7.8056330000000007E-2</v>
      </c>
      <c r="EX85" s="1">
        <f t="shared" ca="1" si="163"/>
        <v>3.1812220000000002E-2</v>
      </c>
      <c r="EY85" s="1">
        <f t="shared" ca="1" si="164"/>
        <v>3.0787220000000001E-2</v>
      </c>
      <c r="EZ85" s="1">
        <f t="shared" ca="1" si="165"/>
        <v>2.3137370000000001E-2</v>
      </c>
    </row>
    <row r="86" spans="1:156" x14ac:dyDescent="0.25">
      <c r="A86">
        <f t="shared" ca="1" si="169"/>
        <v>84</v>
      </c>
      <c r="B86" s="169">
        <f ca="1">IF('LC (Gross)'!A233="","",IF('LC (Gross)'!A233&gt;$AC$9,"",'LC (Gross)'!A233))</f>
        <v>43131</v>
      </c>
      <c r="C86" s="1">
        <f ca="1">IF(B86="","",(VLOOKUP(B86,'LC (Gross)'!A:D,4,FALSE)/100))</f>
        <v>4.8395000000000001E-2</v>
      </c>
      <c r="D86" s="1">
        <f ca="1">IF(B86="","",(VLOOKUP(B86,'SC (Gross)'!A:D,4,FALSE))/100)</f>
        <v>6.0289999999999996E-3</v>
      </c>
      <c r="E86" s="1">
        <f ca="1">IF(B86="","",(VLOOKUP(B86,'Global (Gross)'!A:D,4,FALSE)/100))</f>
        <v>3.9889000000000001E-2</v>
      </c>
      <c r="F86" s="1"/>
      <c r="G86" s="1">
        <f ca="1">IF(B86="","",(VLOOKUP(B86,'LC (Net)'!A:D,4,FALSE)/100))</f>
        <v>4.8006E-2</v>
      </c>
      <c r="H86" s="1">
        <f ca="1">IF(B86="","",(VLOOKUP(B86,'SC (Net)'!A:D,4,FALSE))/100)</f>
        <v>5.6470000000000001E-3</v>
      </c>
      <c r="I86" s="1">
        <f ca="1">IF(B86="","",(VLOOKUP(B86,'Global (Net)'!A:D,4,FALSE)/100))</f>
        <v>3.9064999999999996E-2</v>
      </c>
      <c r="J86" s="1"/>
      <c r="K86" s="1">
        <f ca="1">IF(B86="","",VLOOKUP(Website!B86,'LC (Gross)'!W:X,2,FALSE)/100)</f>
        <v>2.6513754394878311E-2</v>
      </c>
      <c r="L86" s="1">
        <f ca="1">IF(B86="","",VLOOKUP(Website!B86,'SC (Gross)'!P:Q,2,FALSE)/100)</f>
        <v>-5.3755788354968156E-3</v>
      </c>
      <c r="M86" s="1">
        <f ca="1">IF(B86="","",VLOOKUP(Website!B86,'Global (Gross)'!P:Q,2,FALSE)/100)</f>
        <v>3.3185323770554123E-2</v>
      </c>
      <c r="O86" s="1">
        <f ca="1">IF(B86="","",VLOOKUP(Website!B86,'LC (Gross)'!J:K,2,FALSE)/100)</f>
        <v>5.7232165786512031E-2</v>
      </c>
      <c r="P86" s="233">
        <f ca="1">IF(B86="","",(VLOOKUP(B86,'SC (Gross)'!J:K,2,FALSE))/100)</f>
        <v>2.6110313010553322E-2</v>
      </c>
      <c r="Q86" s="233">
        <f ca="1">IF(B86="","",(VLOOKUP(B86,'Global (Gross)'!J:K,2,FALSE)/100))</f>
        <v>5.6627213245823899E-2</v>
      </c>
      <c r="S86" s="22">
        <f t="shared" ca="1" si="147"/>
        <v>-8.8371657865120301E-3</v>
      </c>
      <c r="T86" s="22">
        <f t="shared" ca="1" si="148"/>
        <v>-2.0081313010553322E-2</v>
      </c>
      <c r="U86" s="22">
        <f t="shared" ca="1" si="149"/>
        <v>-1.6738213245823898E-2</v>
      </c>
      <c r="V86" s="22"/>
      <c r="W86" s="22">
        <f t="shared" ca="1" si="166"/>
        <v>-3.071841139163372E-2</v>
      </c>
      <c r="X86" s="22">
        <f t="shared" ca="1" si="167"/>
        <v>-3.1485891846050135E-2</v>
      </c>
      <c r="Y86" s="22">
        <f t="shared" ca="1" si="168"/>
        <v>-2.3441889475269775E-2</v>
      </c>
      <c r="EJ86">
        <f t="shared" ca="1" si="170"/>
        <v>143</v>
      </c>
      <c r="EK86" s="169">
        <f t="shared" ca="1" si="150"/>
        <v>44926</v>
      </c>
      <c r="EL86" s="1">
        <f t="shared" ca="1" si="151"/>
        <v>-3.8737095221647637E-2</v>
      </c>
      <c r="EM86" s="1">
        <f t="shared" ca="1" si="152"/>
        <v>-3.93096E-2</v>
      </c>
      <c r="EN86" s="1">
        <f t="shared" ca="1" si="153"/>
        <v>-1.723247E-2</v>
      </c>
      <c r="EO86" s="1">
        <f t="shared" ca="1" si="154"/>
        <v>-5.7714730000000006E-2</v>
      </c>
      <c r="EP86" s="1">
        <f t="shared" ca="1" si="155"/>
        <v>-5.6477398393485485E-2</v>
      </c>
      <c r="EQ86" s="1">
        <f t="shared" ca="1" si="156"/>
        <v>-5.6978229064758794E-2</v>
      </c>
      <c r="ER86" s="1">
        <f t="shared" ca="1" si="157"/>
        <v>-5.2475059999999997E-2</v>
      </c>
      <c r="ES86" s="1">
        <f t="shared" ca="1" si="158"/>
        <v>-6.4934729999999996E-2</v>
      </c>
      <c r="ET86" s="1">
        <f t="shared" ca="1" si="159"/>
        <v>-5.0053468376241722E-2</v>
      </c>
      <c r="EU86" s="1">
        <f t="shared" ca="1" si="160"/>
        <v>-5.0713382839088154E-2</v>
      </c>
      <c r="EV86" s="1">
        <f t="shared" ca="1" si="161"/>
        <v>-1.9438750000000001E-2</v>
      </c>
      <c r="EW86" s="1">
        <f t="shared" ca="1" si="162"/>
        <v>-3.8958050000000001E-2</v>
      </c>
      <c r="EX86" s="1">
        <f t="shared" ca="1" si="163"/>
        <v>-6.1367430000000001E-2</v>
      </c>
      <c r="EY86" s="1">
        <f t="shared" ca="1" si="164"/>
        <v>-6.2392429999999999E-2</v>
      </c>
      <c r="EZ86" s="1">
        <f t="shared" ca="1" si="165"/>
        <v>-6.4934729999999996E-2</v>
      </c>
    </row>
    <row r="87" spans="1:156" x14ac:dyDescent="0.25">
      <c r="A87">
        <f t="shared" ca="1" si="169"/>
        <v>85</v>
      </c>
      <c r="B87" s="169">
        <f ca="1">IF('LC (Gross)'!A234="","",IF('LC (Gross)'!A234&gt;$AC$9,"",'LC (Gross)'!A234))</f>
        <v>43159</v>
      </c>
      <c r="C87" s="1">
        <f ca="1">IF(B87="","",(VLOOKUP(B87,'LC (Gross)'!A:D,4,FALSE)/100))</f>
        <v>-2.9588999999999997E-2</v>
      </c>
      <c r="D87" s="1">
        <f ca="1">IF(B87="","",(VLOOKUP(B87,'SC (Gross)'!A:D,4,FALSE))/100)</f>
        <v>-4.1345E-2</v>
      </c>
      <c r="E87" s="1">
        <f ca="1">IF(B87="","",(VLOOKUP(B87,'Global (Gross)'!A:D,4,FALSE)/100))</f>
        <v>-3.6088000000000002E-2</v>
      </c>
      <c r="F87" s="1"/>
      <c r="G87" s="1">
        <f ca="1">IF(B87="","",(VLOOKUP(B87,'LC (Net)'!A:D,4,FALSE)/100))</f>
        <v>-3.0344000000000003E-2</v>
      </c>
      <c r="H87" s="1">
        <f ca="1">IF(B87="","",(VLOOKUP(B87,'SC (Net)'!A:D,4,FALSE))/100)</f>
        <v>-4.2178000000000007E-2</v>
      </c>
      <c r="I87" s="1">
        <f ca="1">IF(B87="","",(VLOOKUP(B87,'Global (Net)'!A:D,4,FALSE)/100))</f>
        <v>-3.6490000000000002E-2</v>
      </c>
      <c r="J87" s="1"/>
      <c r="K87" s="1">
        <f ca="1">IF(B87="","",VLOOKUP(Website!B87,'LC (Gross)'!W:X,2,FALSE)/100)</f>
        <v>-4.2397855144443844E-2</v>
      </c>
      <c r="L87" s="1">
        <f ca="1">IF(B87="","",VLOOKUP(Website!B87,'SC (Gross)'!P:Q,2,FALSE)/100)</f>
        <v>-5.0788274858682855E-2</v>
      </c>
      <c r="M87" s="1">
        <f ca="1">IF(B87="","",VLOOKUP(Website!B87,'Global (Gross)'!P:Q,2,FALSE)/100)</f>
        <v>-3.8988633215172368E-2</v>
      </c>
      <c r="O87" s="1">
        <f ca="1">IF(B87="","",VLOOKUP(Website!B87,'LC (Gross)'!J:K,2,FALSE)/100)</f>
        <v>-3.6859753386859775E-2</v>
      </c>
      <c r="P87" s="233">
        <f ca="1">IF(B87="","",(VLOOKUP(B87,'SC (Gross)'!J:K,2,FALSE))/100)</f>
        <v>-3.8603870929858515E-2</v>
      </c>
      <c r="Q87" s="233">
        <f ca="1">IF(B87="","",(VLOOKUP(B87,'Global (Gross)'!J:K,2,FALSE)/100))</f>
        <v>-4.1599596242029996E-2</v>
      </c>
      <c r="S87" s="22">
        <f t="shared" ca="1" si="147"/>
        <v>7.2707533868597782E-3</v>
      </c>
      <c r="T87" s="22">
        <f t="shared" ca="1" si="148"/>
        <v>-2.7411290701414848E-3</v>
      </c>
      <c r="U87" s="22">
        <f t="shared" ca="1" si="149"/>
        <v>5.5115962420299938E-3</v>
      </c>
      <c r="V87" s="22"/>
      <c r="W87" s="22">
        <f t="shared" ca="1" si="166"/>
        <v>-5.5381017575840685E-3</v>
      </c>
      <c r="X87" s="22">
        <f t="shared" ca="1" si="167"/>
        <v>-1.218440392882434E-2</v>
      </c>
      <c r="Y87" s="22">
        <f t="shared" ca="1" si="168"/>
        <v>2.6109630268576281E-3</v>
      </c>
      <c r="EJ87">
        <f t="shared" ca="1" si="170"/>
        <v>144</v>
      </c>
      <c r="EK87" s="169">
        <f t="shared" ca="1" si="150"/>
        <v>44957</v>
      </c>
      <c r="EL87" s="1">
        <f t="shared" ca="1" si="151"/>
        <v>2.8497283152063436E-2</v>
      </c>
      <c r="EM87" s="1">
        <f t="shared" ca="1" si="152"/>
        <v>2.7903141978001429E-2</v>
      </c>
      <c r="EN87" s="1">
        <f t="shared" ca="1" si="153"/>
        <v>3.4753330000000002E-4</v>
      </c>
      <c r="EO87" s="1">
        <f t="shared" ca="1" si="154"/>
        <v>6.2828720000000005E-2</v>
      </c>
      <c r="EP87" s="1">
        <f t="shared" ca="1" si="155"/>
        <v>5.0683174382068347E-2</v>
      </c>
      <c r="EQ87" s="1">
        <f t="shared" ca="1" si="156"/>
        <v>5.0181820262223037E-2</v>
      </c>
      <c r="ER87" s="1">
        <f t="shared" ca="1" si="157"/>
        <v>4.7549720000000004E-2</v>
      </c>
      <c r="ES87" s="1">
        <f t="shared" ca="1" si="158"/>
        <v>9.7465889999999999E-2</v>
      </c>
      <c r="ET87" s="1">
        <f t="shared" ca="1" si="159"/>
        <v>6.6684536521078724E-2</v>
      </c>
      <c r="EU87" s="1">
        <f t="shared" ca="1" si="160"/>
        <v>6.591489653176609E-2</v>
      </c>
      <c r="EV87" s="1">
        <f t="shared" ca="1" si="161"/>
        <v>1.7564E-2</v>
      </c>
      <c r="EW87" s="1">
        <f t="shared" ca="1" si="162"/>
        <v>7.1952000000000002E-2</v>
      </c>
      <c r="EX87" s="1">
        <f t="shared" ca="1" si="163"/>
        <v>9.1491529999999988E-2</v>
      </c>
      <c r="EY87" s="1">
        <f t="shared" ca="1" si="164"/>
        <v>9.0466529999999989E-2</v>
      </c>
      <c r="EZ87" s="1">
        <f t="shared" ca="1" si="165"/>
        <v>9.7465889999999999E-2</v>
      </c>
    </row>
    <row r="88" spans="1:156" x14ac:dyDescent="0.25">
      <c r="A88">
        <f t="shared" ca="1" si="169"/>
        <v>86</v>
      </c>
      <c r="B88" s="169">
        <f ca="1">IF('LC (Gross)'!A235="","",IF('LC (Gross)'!A235&gt;$AC$9,"",'LC (Gross)'!A235))</f>
        <v>43190</v>
      </c>
      <c r="C88" s="1">
        <f ca="1">IF(B88="","",(VLOOKUP(B88,'LC (Gross)'!A:D,4,FALSE)/100))</f>
        <v>-8.2730000000000008E-3</v>
      </c>
      <c r="D88" s="1">
        <f ca="1">IF(B88="","",(VLOOKUP(B88,'SC (Gross)'!A:D,4,FALSE))/100)</f>
        <v>2.7175999999999999E-2</v>
      </c>
      <c r="E88" s="1">
        <f ca="1">IF(B88="","",(VLOOKUP(B88,'Global (Gross)'!A:D,4,FALSE)/100))</f>
        <v>-4.3540000000000002E-3</v>
      </c>
      <c r="F88" s="1"/>
      <c r="G88" s="1">
        <f ca="1">IF(B88="","",(VLOOKUP(B88,'LC (Net)'!A:D,4,FALSE)/100))</f>
        <v>-8.6449999999999999E-3</v>
      </c>
      <c r="H88" s="1">
        <f ca="1">IF(B88="","",(VLOOKUP(B88,'SC (Net)'!A:D,4,FALSE))/100)</f>
        <v>2.6790999999999999E-2</v>
      </c>
      <c r="I88" s="1">
        <f ca="1">IF(B88="","",(VLOOKUP(B88,'Global (Net)'!A:D,4,FALSE)/100))</f>
        <v>-4.7520000000000001E-3</v>
      </c>
      <c r="J88" s="1"/>
      <c r="K88" s="1">
        <f ca="1">IF(B88="","",VLOOKUP(Website!B88,'LC (Gross)'!W:X,2,FALSE)/100)</f>
        <v>8.5099131855693559E-3</v>
      </c>
      <c r="L88" s="1">
        <f ca="1">IF(B88="","",VLOOKUP(Website!B88,'SC (Gross)'!P:Q,2,FALSE)/100)</f>
        <v>3.4358855810400574E-2</v>
      </c>
      <c r="M88" s="1">
        <f ca="1">IF(B88="","",VLOOKUP(Website!B88,'Global (Gross)'!P:Q,2,FALSE)/100)</f>
        <v>1.1478450789224664E-3</v>
      </c>
      <c r="O88" s="1">
        <f ca="1">IF(B88="","",VLOOKUP(Website!B88,'LC (Gross)'!J:K,2,FALSE)/100)</f>
        <v>-2.5411590560710545E-2</v>
      </c>
      <c r="P88" s="233">
        <f ca="1">IF(B88="","",(VLOOKUP(B88,'SC (Gross)'!J:K,2,FALSE))/100)</f>
        <v>1.2925838628987631E-2</v>
      </c>
      <c r="Q88" s="233">
        <f ca="1">IF(B88="","",(VLOOKUP(B88,'Global (Gross)'!J:K,2,FALSE)/100))</f>
        <v>-2.0704953594466228E-2</v>
      </c>
      <c r="S88" s="22">
        <f t="shared" ca="1" si="147"/>
        <v>1.7138590560710543E-2</v>
      </c>
      <c r="T88" s="22">
        <f t="shared" ca="1" si="148"/>
        <v>1.4250161371012367E-2</v>
      </c>
      <c r="U88" s="22">
        <f t="shared" ca="1" si="149"/>
        <v>1.6350953594466228E-2</v>
      </c>
      <c r="V88" s="22"/>
      <c r="W88" s="22">
        <f t="shared" ca="1" si="166"/>
        <v>3.3921503746279905E-2</v>
      </c>
      <c r="X88" s="22">
        <f t="shared" ca="1" si="167"/>
        <v>2.1433017181412942E-2</v>
      </c>
      <c r="Y88" s="22">
        <f t="shared" ca="1" si="168"/>
        <v>2.1852798673388695E-2</v>
      </c>
      <c r="EJ88">
        <f t="shared" ca="1" si="170"/>
        <v>145</v>
      </c>
      <c r="EK88" s="169">
        <f t="shared" ca="1" si="150"/>
        <v>44985</v>
      </c>
      <c r="EL88" s="1">
        <f t="shared" ca="1" si="151"/>
        <v>-2.7952823047861813E-2</v>
      </c>
      <c r="EM88" s="1">
        <f t="shared" ca="1" si="152"/>
        <v>-2.8517419938387648E-2</v>
      </c>
      <c r="EN88" s="1">
        <f t="shared" ca="1" si="153"/>
        <v>-3.2838199999999998E-2</v>
      </c>
      <c r="EO88" s="1">
        <f t="shared" ca="1" si="154"/>
        <v>-2.4490709999999999E-2</v>
      </c>
      <c r="EP88" s="1">
        <f t="shared" ca="1" si="155"/>
        <v>-1.7211992568556815E-2</v>
      </c>
      <c r="EQ88" s="1">
        <f t="shared" ca="1" si="156"/>
        <v>-1.7713006518090983E-2</v>
      </c>
      <c r="ER88" s="1">
        <f t="shared" ca="1" si="157"/>
        <v>-6.000409E-3</v>
      </c>
      <c r="ES88" s="1">
        <f t="shared" ca="1" si="158"/>
        <v>-1.692691E-2</v>
      </c>
      <c r="ET88" s="1">
        <f t="shared" ca="1" si="159"/>
        <v>-3.1415559766686876E-2</v>
      </c>
      <c r="EU88" s="1">
        <f t="shared" ca="1" si="160"/>
        <v>-3.2075639342745009E-2</v>
      </c>
      <c r="EV88" s="1">
        <f t="shared" ca="1" si="161"/>
        <v>-3.7379999999999997E-2</v>
      </c>
      <c r="EW88" s="1">
        <f t="shared" ca="1" si="162"/>
        <v>-2.8328000000000002E-2</v>
      </c>
      <c r="EX88" s="1">
        <f t="shared" ca="1" si="163"/>
        <v>1.3301790000000001E-2</v>
      </c>
      <c r="EY88" s="1">
        <f t="shared" ca="1" si="164"/>
        <v>1.2276789999999999E-2</v>
      </c>
      <c r="EZ88" s="1">
        <f t="shared" ca="1" si="165"/>
        <v>-1.692691E-2</v>
      </c>
    </row>
    <row r="89" spans="1:156" x14ac:dyDescent="0.25">
      <c r="A89">
        <f t="shared" ca="1" si="169"/>
        <v>87</v>
      </c>
      <c r="B89" s="169">
        <f ca="1">IF('LC (Gross)'!A236="","",IF('LC (Gross)'!A236&gt;$AC$9,"",'LC (Gross)'!A236))</f>
        <v>43220</v>
      </c>
      <c r="C89" s="1">
        <f ca="1">IF(B89="","",(VLOOKUP(B89,'LC (Gross)'!A:D,4,FALSE)/100))</f>
        <v>1.5746E-2</v>
      </c>
      <c r="D89" s="1">
        <f ca="1">IF(B89="","",(VLOOKUP(B89,'SC (Gross)'!A:D,4,FALSE))/100)</f>
        <v>1.4121999999999999E-2</v>
      </c>
      <c r="E89" s="1">
        <f ca="1">IF(B89="","",(VLOOKUP(B89,'Global (Gross)'!A:D,4,FALSE)/100))</f>
        <v>-7.8790000000000006E-3</v>
      </c>
      <c r="F89" s="1"/>
      <c r="G89" s="1">
        <f ca="1">IF(B89="","",(VLOOKUP(B89,'LC (Net)'!A:D,4,FALSE)/100))</f>
        <v>1.4954E-2</v>
      </c>
      <c r="H89" s="1">
        <f ca="1">IF(B89="","",(VLOOKUP(B89,'SC (Net)'!A:D,4,FALSE))/100)</f>
        <v>1.3265000000000001E-2</v>
      </c>
      <c r="I89" s="1">
        <f ca="1">IF(B89="","",(VLOOKUP(B89,'Global (Net)'!A:D,4,FALSE)/100))</f>
        <v>-8.6219999999999995E-3</v>
      </c>
      <c r="J89" s="1"/>
      <c r="K89" s="1">
        <f ca="1">IF(B89="","",VLOOKUP(Website!B89,'LC (Gross)'!W:X,2,FALSE)/100)</f>
        <v>-5.668110875880138E-3</v>
      </c>
      <c r="L89" s="1">
        <f ca="1">IF(B89="","",VLOOKUP(Website!B89,'SC (Gross)'!P:Q,2,FALSE)/100)</f>
        <v>6.6221304506255841E-3</v>
      </c>
      <c r="M89" s="1">
        <f ca="1">IF(B89="","",VLOOKUP(Website!B89,'Global (Gross)'!P:Q,2,FALSE)/100)</f>
        <v>6.4423968697948004E-4</v>
      </c>
      <c r="O89" s="1">
        <f ca="1">IF(B89="","",VLOOKUP(Website!B89,'LC (Gross)'!J:K,2,FALSE)/100)</f>
        <v>3.8357610779871302E-3</v>
      </c>
      <c r="P89" s="233">
        <f ca="1">IF(B89="","",(VLOOKUP(B89,'SC (Gross)'!J:K,2,FALSE))/100)</f>
        <v>8.6466776426594189E-3</v>
      </c>
      <c r="Q89" s="233">
        <f ca="1">IF(B89="","",(VLOOKUP(B89,'Global (Gross)'!J:K,2,FALSE)/100))</f>
        <v>1.0052949511522167E-2</v>
      </c>
      <c r="S89" s="22">
        <f t="shared" ca="1" si="147"/>
        <v>1.1910238922012869E-2</v>
      </c>
      <c r="T89" s="22">
        <f t="shared" ca="1" si="148"/>
        <v>5.4753223573405802E-3</v>
      </c>
      <c r="U89" s="22">
        <f t="shared" ca="1" si="149"/>
        <v>-1.7931949511522167E-2</v>
      </c>
      <c r="V89" s="22"/>
      <c r="W89" s="22">
        <f t="shared" ca="1" si="166"/>
        <v>-9.5038719538672687E-3</v>
      </c>
      <c r="X89" s="22">
        <f t="shared" ca="1" si="167"/>
        <v>-2.0245471920338348E-3</v>
      </c>
      <c r="Y89" s="22">
        <f t="shared" ca="1" si="168"/>
        <v>-9.4087098245426871E-3</v>
      </c>
      <c r="EJ89">
        <f t="shared" ca="1" si="170"/>
        <v>146</v>
      </c>
      <c r="EK89" s="169">
        <f t="shared" ca="1" si="150"/>
        <v>45016</v>
      </c>
      <c r="EL89" s="1">
        <f t="shared" ca="1" si="151"/>
        <v>1.2561934295472017E-2</v>
      </c>
      <c r="EM89" s="1">
        <f t="shared" ca="1" si="152"/>
        <v>1.1997793736767013E-2</v>
      </c>
      <c r="EN89" s="1">
        <f t="shared" ca="1" si="153"/>
        <v>1.559139E-2</v>
      </c>
      <c r="EO89" s="1">
        <f t="shared" ca="1" si="154"/>
        <v>3.669584E-2</v>
      </c>
      <c r="EP89" s="1">
        <f t="shared" ca="1" si="155"/>
        <v>-2.1568557176685134E-2</v>
      </c>
      <c r="EQ89" s="1">
        <f t="shared" ca="1" si="156"/>
        <v>-2.2071729154978473E-2</v>
      </c>
      <c r="ER89" s="1">
        <f t="shared" ca="1" si="157"/>
        <v>-8.1971530000000001E-2</v>
      </c>
      <c r="ES89" s="1">
        <f t="shared" ca="1" si="158"/>
        <v>-4.782989E-2</v>
      </c>
      <c r="ET89" s="1">
        <f t="shared" ca="1" si="159"/>
        <v>1.9567662266374103E-2</v>
      </c>
      <c r="EU89" s="1">
        <f t="shared" ca="1" si="160"/>
        <v>1.8907131180832367E-2</v>
      </c>
      <c r="EV89" s="1">
        <f t="shared" ca="1" si="161"/>
        <v>3.8073999999999997E-2</v>
      </c>
      <c r="EW89" s="1">
        <f t="shared" ca="1" si="162"/>
        <v>3.1548E-2</v>
      </c>
      <c r="EX89" s="1">
        <f t="shared" ca="1" si="163"/>
        <v>-4.8221600000000003E-2</v>
      </c>
      <c r="EY89" s="1">
        <f t="shared" ca="1" si="164"/>
        <v>-4.9246600000000001E-2</v>
      </c>
      <c r="EZ89" s="1">
        <f t="shared" ca="1" si="165"/>
        <v>-4.782989E-2</v>
      </c>
    </row>
    <row r="90" spans="1:156" x14ac:dyDescent="0.25">
      <c r="A90">
        <f t="shared" ca="1" si="169"/>
        <v>88</v>
      </c>
      <c r="B90" s="169">
        <f ca="1">IF('LC (Gross)'!A237="","",IF('LC (Gross)'!A237&gt;$AC$9,"",'LC (Gross)'!A237))</f>
        <v>43251</v>
      </c>
      <c r="C90" s="1">
        <f ca="1">IF(B90="","",(VLOOKUP(B90,'LC (Gross)'!A:D,4,FALSE)/100))</f>
        <v>2.3361E-2</v>
      </c>
      <c r="D90" s="1">
        <f ca="1">IF(B90="","",(VLOOKUP(B90,'SC (Gross)'!A:D,4,FALSE))/100)</f>
        <v>5.1650999999999996E-2</v>
      </c>
      <c r="E90" s="1">
        <f ca="1">IF(B90="","",(VLOOKUP(B90,'Global (Gross)'!A:D,4,FALSE)/100))</f>
        <v>1.2399E-2</v>
      </c>
      <c r="F90" s="1"/>
      <c r="G90" s="1">
        <f ca="1">IF(B90="","",(VLOOKUP(B90,'LC (Net)'!A:D,4,FALSE)/100))</f>
        <v>2.281E-2</v>
      </c>
      <c r="H90" s="1">
        <f ca="1">IF(B90="","",(VLOOKUP(B90,'SC (Net)'!A:D,4,FALSE))/100)</f>
        <v>5.1241000000000002E-2</v>
      </c>
      <c r="I90" s="1">
        <f ca="1">IF(B90="","",(VLOOKUP(B90,'Global (Net)'!A:D,4,FALSE)/100))</f>
        <v>1.2008000000000001E-2</v>
      </c>
      <c r="J90" s="1"/>
      <c r="K90" s="1">
        <f ca="1">IF(B90="","",VLOOKUP(Website!B90,'LC (Gross)'!W:X,2,FALSE)/100)</f>
        <v>7.2798394361585439E-3</v>
      </c>
      <c r="L90" s="1">
        <f ca="1">IF(B90="","",VLOOKUP(Website!B90,'SC (Gross)'!P:Q,2,FALSE)/100)</f>
        <v>5.6108461880031657E-2</v>
      </c>
      <c r="M90" s="1">
        <f ca="1">IF(B90="","",VLOOKUP(Website!B90,'Global (Gross)'!P:Q,2,FALSE)/100)</f>
        <v>1.5923735596586983E-3</v>
      </c>
      <c r="O90" s="1">
        <f ca="1">IF(B90="","",VLOOKUP(Website!B90,'LC (Gross)'!J:K,2,FALSE)/100)</f>
        <v>2.4079922263254429E-2</v>
      </c>
      <c r="P90" s="233">
        <f ca="1">IF(B90="","",(VLOOKUP(B90,'SC (Gross)'!J:K,2,FALSE))/100)</f>
        <v>6.0699700580171656E-2</v>
      </c>
      <c r="Q90" s="233">
        <f ca="1">IF(B90="","",(VLOOKUP(B90,'Global (Gross)'!J:K,2,FALSE)/100))</f>
        <v>1.9171716559374258E-3</v>
      </c>
      <c r="S90" s="22">
        <f t="shared" ca="1" si="147"/>
        <v>-7.1892226325442898E-4</v>
      </c>
      <c r="T90" s="22">
        <f t="shared" ca="1" si="148"/>
        <v>-9.0487005801716605E-3</v>
      </c>
      <c r="U90" s="22">
        <f t="shared" ca="1" si="149"/>
        <v>1.0481828344062574E-2</v>
      </c>
      <c r="V90" s="22"/>
      <c r="W90" s="22">
        <f t="shared" ca="1" si="166"/>
        <v>-1.6800082827095886E-2</v>
      </c>
      <c r="X90" s="22">
        <f t="shared" ca="1" si="167"/>
        <v>-4.591238700139999E-3</v>
      </c>
      <c r="Y90" s="22">
        <f t="shared" ca="1" si="168"/>
        <v>-3.2479809627872745E-4</v>
      </c>
      <c r="EJ90">
        <f t="shared" ca="1" si="170"/>
        <v>147</v>
      </c>
      <c r="EK90" s="169">
        <f t="shared" ca="1" si="150"/>
        <v>45046</v>
      </c>
      <c r="EL90" s="1">
        <f t="shared" ca="1" si="151"/>
        <v>1.1585569287576312E-2</v>
      </c>
      <c r="EM90" s="1">
        <f t="shared" ca="1" si="152"/>
        <v>1.099480071381295E-2</v>
      </c>
      <c r="EN90" s="1">
        <f t="shared" ca="1" si="153"/>
        <v>2.6588349999999997E-2</v>
      </c>
      <c r="EO90" s="1">
        <f t="shared" ca="1" si="154"/>
        <v>1.560872E-2</v>
      </c>
      <c r="EP90" s="1">
        <f t="shared" ca="1" si="155"/>
        <v>-1.0251083133536065E-2</v>
      </c>
      <c r="EQ90" s="1">
        <f t="shared" ca="1" si="156"/>
        <v>-1.0752694708132025E-2</v>
      </c>
      <c r="ER90" s="1">
        <f t="shared" ca="1" si="157"/>
        <v>-4.1581559999999997E-2</v>
      </c>
      <c r="ES90" s="1">
        <f t="shared" ca="1" si="158"/>
        <v>-1.7983370000000002E-2</v>
      </c>
      <c r="ET90" s="1">
        <f t="shared" ca="1" si="159"/>
        <v>1.5725506870097283E-2</v>
      </c>
      <c r="EU90" s="1">
        <f t="shared" ca="1" si="160"/>
        <v>1.4958007552858209E-2</v>
      </c>
      <c r="EV90" s="1">
        <f t="shared" ca="1" si="161"/>
        <v>2.8603E-2</v>
      </c>
      <c r="EW90" s="1">
        <f t="shared" ca="1" si="162"/>
        <v>1.4809000000000001E-2</v>
      </c>
      <c r="EX90" s="1">
        <f t="shared" ca="1" si="163"/>
        <v>-1.4823469999999998E-2</v>
      </c>
      <c r="EY90" s="1">
        <f t="shared" ca="1" si="164"/>
        <v>-1.584847E-2</v>
      </c>
      <c r="EZ90" s="1">
        <f t="shared" ca="1" si="165"/>
        <v>-1.7983370000000002E-2</v>
      </c>
    </row>
    <row r="91" spans="1:156" x14ac:dyDescent="0.25">
      <c r="A91">
        <f t="shared" ca="1" si="169"/>
        <v>89</v>
      </c>
      <c r="B91" s="169">
        <f ca="1">IF('LC (Gross)'!A238="","",IF('LC (Gross)'!A238&gt;$AC$9,"",'LC (Gross)'!A238))</f>
        <v>43281</v>
      </c>
      <c r="C91" s="1">
        <f ca="1">IF(B91="","",(VLOOKUP(B91,'LC (Gross)'!A:D,4,FALSE)/100))</f>
        <v>2.0266000000000003E-2</v>
      </c>
      <c r="D91" s="1">
        <f ca="1">IF(B91="","",(VLOOKUP(B91,'SC (Gross)'!A:D,4,FALSE))/100)</f>
        <v>1.4079E-2</v>
      </c>
      <c r="E91" s="1">
        <f ca="1">IF(B91="","",(VLOOKUP(B91,'Global (Gross)'!A:D,4,FALSE)/100))</f>
        <v>1.0020000000000001E-3</v>
      </c>
      <c r="F91" s="1"/>
      <c r="G91" s="1">
        <f ca="1">IF(B91="","",(VLOOKUP(B91,'LC (Net)'!A:D,4,FALSE)/100))</f>
        <v>1.9642E-2</v>
      </c>
      <c r="H91" s="1">
        <f ca="1">IF(B91="","",(VLOOKUP(B91,'SC (Net)'!A:D,4,FALSE))/100)</f>
        <v>1.3654999999999999E-2</v>
      </c>
      <c r="I91" s="1">
        <f ca="1">IF(B91="","",(VLOOKUP(B91,'Global (Net)'!A:D,4,FALSE)/100))</f>
        <v>6.1800000000000006E-4</v>
      </c>
      <c r="J91" s="1"/>
      <c r="K91" s="1">
        <f ca="1">IF(B91="","",VLOOKUP(Website!B91,'LC (Gross)'!W:X,2,FALSE)/100)</f>
        <v>1.4332118368315931E-2</v>
      </c>
      <c r="L91" s="1">
        <f ca="1">IF(B91="","",VLOOKUP(Website!B91,'SC (Gross)'!P:Q,2,FALSE)/100)</f>
        <v>1.5680055572566506E-2</v>
      </c>
      <c r="M91" s="1">
        <f ca="1">IF(B91="","",VLOOKUP(Website!B91,'Global (Gross)'!P:Q,2,FALSE)/100)</f>
        <v>3.5740493042246703E-3</v>
      </c>
      <c r="O91" s="1">
        <f ca="1">IF(B91="","",VLOOKUP(Website!B91,'LC (Gross)'!J:K,2,FALSE)/100)</f>
        <v>6.1554178695228754E-3</v>
      </c>
      <c r="P91" s="233">
        <f ca="1">IF(B91="","",(VLOOKUP(B91,'SC (Gross)'!J:K,2,FALSE))/100)</f>
        <v>7.1507127323460476E-3</v>
      </c>
      <c r="Q91" s="233">
        <f ca="1">IF(B91="","",(VLOOKUP(B91,'Global (Gross)'!J:K,2,FALSE)/100))</f>
        <v>-4.9960137775330741E-3</v>
      </c>
      <c r="S91" s="22">
        <f t="shared" ca="1" si="147"/>
        <v>1.4110582130477127E-2</v>
      </c>
      <c r="T91" s="22">
        <f t="shared" ca="1" si="148"/>
        <v>6.9282872676539519E-3</v>
      </c>
      <c r="U91" s="22">
        <f t="shared" ca="1" si="149"/>
        <v>5.9980137775330743E-3</v>
      </c>
      <c r="V91" s="22"/>
      <c r="W91" s="22">
        <f t="shared" ca="1" si="166"/>
        <v>8.1767004987930558E-3</v>
      </c>
      <c r="X91" s="22">
        <f t="shared" ca="1" si="167"/>
        <v>8.529342840220458E-3</v>
      </c>
      <c r="Y91" s="22">
        <f t="shared" ca="1" si="168"/>
        <v>8.570063081757744E-3</v>
      </c>
      <c r="EJ91">
        <f t="shared" ca="1" si="170"/>
        <v>148</v>
      </c>
      <c r="EK91" s="169">
        <f t="shared" ca="1" si="150"/>
        <v>45077</v>
      </c>
      <c r="EL91" s="1">
        <f t="shared" ca="1" si="151"/>
        <v>-2.7888501293758621E-2</v>
      </c>
      <c r="EM91" s="1">
        <f t="shared" ca="1" si="152"/>
        <v>-2.845058157139423E-2</v>
      </c>
      <c r="EN91" s="1">
        <f t="shared" ca="1" si="153"/>
        <v>-5.2391259999999995E-2</v>
      </c>
      <c r="EO91" s="1">
        <f t="shared" ca="1" si="154"/>
        <v>4.3486430000000001E-3</v>
      </c>
      <c r="EP91" s="1">
        <f t="shared" ca="1" si="155"/>
        <v>-2.7328037455045976E-2</v>
      </c>
      <c r="EQ91" s="1">
        <f t="shared" ca="1" si="156"/>
        <v>-2.7833622509883173E-2</v>
      </c>
      <c r="ER91" s="1">
        <f t="shared" ca="1" si="157"/>
        <v>-4.1118870000000002E-2</v>
      </c>
      <c r="ES91" s="1">
        <f t="shared" ca="1" si="158"/>
        <v>-9.3249360000000007E-3</v>
      </c>
      <c r="ET91" s="1">
        <f t="shared" ca="1" si="159"/>
        <v>-2.6831842464369489E-2</v>
      </c>
      <c r="EU91" s="1">
        <f t="shared" ca="1" si="160"/>
        <v>-2.7492766843027362E-2</v>
      </c>
      <c r="EV91" s="1">
        <f t="shared" ca="1" si="161"/>
        <v>-3.1490999999999998E-2</v>
      </c>
      <c r="EW91" s="1">
        <f t="shared" ca="1" si="162"/>
        <v>-1.0115000000000001E-2</v>
      </c>
      <c r="EX91" s="1">
        <f t="shared" ca="1" si="163"/>
        <v>-2.2148609999999999E-2</v>
      </c>
      <c r="EY91" s="1">
        <f t="shared" ca="1" si="164"/>
        <v>-2.3173610000000001E-2</v>
      </c>
      <c r="EZ91" s="1">
        <f t="shared" ca="1" si="165"/>
        <v>-9.3249360000000007E-3</v>
      </c>
    </row>
    <row r="92" spans="1:156" x14ac:dyDescent="0.25">
      <c r="A92">
        <f t="shared" ca="1" si="169"/>
        <v>90</v>
      </c>
      <c r="B92" s="169">
        <f ca="1">IF('LC (Gross)'!A239="","",IF('LC (Gross)'!A239&gt;$AC$9,"",'LC (Gross)'!A239))</f>
        <v>43312</v>
      </c>
      <c r="C92" s="1">
        <f ca="1">IF(B92="","",(VLOOKUP(B92,'LC (Gross)'!A:D,4,FALSE)/100))</f>
        <v>3.6717E-2</v>
      </c>
      <c r="D92" s="1">
        <f ca="1">IF(B92="","",(VLOOKUP(B92,'SC (Gross)'!A:D,4,FALSE))/100)</f>
        <v>2.4182000000000002E-2</v>
      </c>
      <c r="E92" s="1">
        <f ca="1">IF(B92="","",(VLOOKUP(B92,'Global (Gross)'!A:D,4,FALSE)/100))</f>
        <v>3.6761000000000002E-2</v>
      </c>
      <c r="F92" s="1"/>
      <c r="G92" s="1">
        <f ca="1">IF(B92="","",(VLOOKUP(B92,'LC (Net)'!A:D,4,FALSE)/100))</f>
        <v>3.6091999999999999E-2</v>
      </c>
      <c r="H92" s="1">
        <f ca="1">IF(B92="","",(VLOOKUP(B92,'SC (Net)'!A:D,4,FALSE))/100)</f>
        <v>2.3740999999999998E-2</v>
      </c>
      <c r="I92" s="1">
        <f ca="1">IF(B92="","",(VLOOKUP(B92,'Global (Net)'!A:D,4,FALSE)/100))</f>
        <v>3.6378000000000001E-2</v>
      </c>
      <c r="J92" s="1"/>
      <c r="K92" s="1">
        <f ca="1">IF(B92="","",VLOOKUP(Website!B92,'LC (Gross)'!W:X,2,FALSE)/100)</f>
        <v>3.5258768432322021E-2</v>
      </c>
      <c r="L92" s="1">
        <f ca="1">IF(B92="","",VLOOKUP(Website!B92,'SC (Gross)'!P:Q,2,FALSE)/100)</f>
        <v>2.7267327801875373E-2</v>
      </c>
      <c r="M92" s="1">
        <f ca="1">IF(B92="","",VLOOKUP(Website!B92,'Global (Gross)'!P:Q,2,FALSE)/100)</f>
        <v>3.12008798790544E-2</v>
      </c>
      <c r="O92" s="1">
        <f ca="1">IF(B92="","",VLOOKUP(Website!B92,'LC (Gross)'!J:K,2,FALSE)/100)</f>
        <v>3.7219699000503731E-2</v>
      </c>
      <c r="P92" s="233">
        <f ca="1">IF(B92="","",(VLOOKUP(B92,'SC (Gross)'!J:K,2,FALSE))/100)</f>
        <v>1.739588816414506E-2</v>
      </c>
      <c r="Q92" s="233">
        <f ca="1">IF(B92="","",(VLOOKUP(B92,'Global (Gross)'!J:K,2,FALSE)/100))</f>
        <v>3.0499640500831336E-2</v>
      </c>
      <c r="S92" s="22">
        <f t="shared" ca="1" si="147"/>
        <v>-5.0269900050373129E-4</v>
      </c>
      <c r="T92" s="22">
        <f t="shared" ca="1" si="148"/>
        <v>6.7861118358549417E-3</v>
      </c>
      <c r="U92" s="22">
        <f t="shared" ca="1" si="149"/>
        <v>6.2613594991686658E-3</v>
      </c>
      <c r="V92" s="22"/>
      <c r="W92" s="22">
        <f t="shared" ca="1" si="166"/>
        <v>-1.9609305681817096E-3</v>
      </c>
      <c r="X92" s="22">
        <f t="shared" ca="1" si="167"/>
        <v>9.8714396377303122E-3</v>
      </c>
      <c r="Y92" s="22">
        <f t="shared" ca="1" si="168"/>
        <v>7.0123937822306331E-4</v>
      </c>
      <c r="EJ92">
        <f t="shared" ca="1" si="170"/>
        <v>149</v>
      </c>
      <c r="EK92" s="169">
        <f t="shared" ca="1" si="150"/>
        <v>45107</v>
      </c>
      <c r="EL92" s="1">
        <f t="shared" ca="1" si="151"/>
        <v>4.9628988125141299E-2</v>
      </c>
      <c r="EM92" s="1">
        <f t="shared" ca="1" si="152"/>
        <v>4.9069800185492826E-2</v>
      </c>
      <c r="EN92" s="1">
        <f t="shared" ca="1" si="153"/>
        <v>4.1423719999999997E-2</v>
      </c>
      <c r="EO92" s="1">
        <f t="shared" ca="1" si="154"/>
        <v>6.6073800000000002E-2</v>
      </c>
      <c r="EP92" s="1">
        <f t="shared" ca="1" si="155"/>
        <v>6.1854490000000005E-2</v>
      </c>
      <c r="EQ92" s="1">
        <f t="shared" ca="1" si="156"/>
        <v>6.082949E-2</v>
      </c>
      <c r="ER92" s="1">
        <f t="shared" ca="1" si="157"/>
        <v>2.888866E-2</v>
      </c>
      <c r="ES92" s="1">
        <f t="shared" ca="1" si="158"/>
        <v>8.125694E-2</v>
      </c>
      <c r="ET92" s="1">
        <f t="shared" ca="1" si="159"/>
        <v>4.4193750973587818E-2</v>
      </c>
      <c r="EU92" s="1">
        <f t="shared" ca="1" si="160"/>
        <v>4.3532564540588764E-2</v>
      </c>
      <c r="EV92" s="1">
        <f t="shared" ca="1" si="161"/>
        <v>2.7199000000000001E-2</v>
      </c>
      <c r="EW92" s="1">
        <f t="shared" ca="1" si="162"/>
        <v>5.8438999999999998E-2</v>
      </c>
      <c r="EX92" s="1">
        <f t="shared" ca="1" si="163"/>
        <v>0.10958949999999999</v>
      </c>
      <c r="EY92" s="1">
        <f t="shared" ca="1" si="164"/>
        <v>0.10856450000000001</v>
      </c>
      <c r="EZ92" s="1">
        <f t="shared" ca="1" si="165"/>
        <v>8.125694E-2</v>
      </c>
    </row>
    <row r="93" spans="1:156" x14ac:dyDescent="0.25">
      <c r="A93">
        <f t="shared" ca="1" si="169"/>
        <v>91</v>
      </c>
      <c r="B93" s="169">
        <f ca="1">IF('LC (Gross)'!A240="","",IF('LC (Gross)'!A240&gt;$AC$9,"",'LC (Gross)'!A240))</f>
        <v>43343</v>
      </c>
      <c r="C93" s="1">
        <f ca="1">IF(B93="","",(VLOOKUP(B93,'LC (Gross)'!A:D,4,FALSE)/100))</f>
        <v>4.3539000000000001E-2</v>
      </c>
      <c r="D93" s="1">
        <f ca="1">IF(B93="","",(VLOOKUP(B93,'SC (Gross)'!A:D,4,FALSE))/100)</f>
        <v>5.8044999999999999E-2</v>
      </c>
      <c r="E93" s="1">
        <f ca="1">IF(B93="","",(VLOOKUP(B93,'Global (Gross)'!A:D,4,FALSE)/100))</f>
        <v>1.5966000000000001E-2</v>
      </c>
      <c r="F93" s="1"/>
      <c r="G93" s="1">
        <f ca="1">IF(B93="","",(VLOOKUP(B93,'LC (Net)'!A:D,4,FALSE)/100))</f>
        <v>4.2913E-2</v>
      </c>
      <c r="H93" s="1">
        <f ca="1">IF(B93="","",(VLOOKUP(B93,'SC (Net)'!A:D,4,FALSE))/100)</f>
        <v>5.7590000000000002E-2</v>
      </c>
      <c r="I93" s="1">
        <f ca="1">IF(B93="","",(VLOOKUP(B93,'Global (Net)'!A:D,4,FALSE)/100))</f>
        <v>1.4927999999999999E-2</v>
      </c>
      <c r="J93" s="1"/>
      <c r="K93" s="1">
        <f ca="1">IF(B93="","",VLOOKUP(Website!B93,'LC (Gross)'!W:X,2,FALSE)/100)</f>
        <v>1.821788477415278E-2</v>
      </c>
      <c r="L93" s="1">
        <f ca="1">IF(B93="","",VLOOKUP(Website!B93,'SC (Gross)'!P:Q,2,FALSE)/100)</f>
        <v>3.0555750227766586E-2</v>
      </c>
      <c r="M93" s="1">
        <f ca="1">IF(B93="","",VLOOKUP(Website!B93,'Global (Gross)'!P:Q,2,FALSE)/100)</f>
        <v>1.5884201489315783E-2</v>
      </c>
      <c r="O93" s="1">
        <f ca="1">IF(B93="","",VLOOKUP(Website!B93,'LC (Gross)'!J:K,2,FALSE)/100)</f>
        <v>3.2583139999999997E-2</v>
      </c>
      <c r="P93" s="233">
        <f ca="1">IF(B93="","",(VLOOKUP(B93,'SC (Gross)'!J:K,2,FALSE))/100)</f>
        <v>4.3072100000000002E-2</v>
      </c>
      <c r="Q93" s="233">
        <f ca="1">IF(B93="","",(VLOOKUP(B93,'Global (Gross)'!J:K,2,FALSE)/100))</f>
        <v>8.361648385214672E-3</v>
      </c>
      <c r="S93" s="22">
        <f t="shared" ca="1" si="147"/>
        <v>1.0955860000000005E-2</v>
      </c>
      <c r="T93" s="22">
        <f t="shared" ca="1" si="148"/>
        <v>1.4972899999999997E-2</v>
      </c>
      <c r="U93" s="22">
        <f t="shared" ca="1" si="149"/>
        <v>7.6043516147853291E-3</v>
      </c>
      <c r="V93" s="22"/>
      <c r="W93" s="22">
        <f t="shared" ca="1" si="166"/>
        <v>-1.4365255225847216E-2</v>
      </c>
      <c r="X93" s="22">
        <f t="shared" ca="1" si="167"/>
        <v>-1.2516349772233416E-2</v>
      </c>
      <c r="Y93" s="22">
        <f t="shared" ca="1" si="168"/>
        <v>7.5225531041011109E-3</v>
      </c>
      <c r="EJ93">
        <f t="shared" ca="1" si="170"/>
        <v>150</v>
      </c>
      <c r="EK93" s="169">
        <f t="shared" ca="1" si="150"/>
        <v>45138</v>
      </c>
      <c r="EL93" s="1">
        <f t="shared" ca="1" si="151"/>
        <v>1.6975906447378512E-2</v>
      </c>
      <c r="EM93" s="1">
        <f t="shared" ca="1" si="152"/>
        <v>1.6373723154375863E-2</v>
      </c>
      <c r="EN93" s="1">
        <f t="shared" ca="1" si="153"/>
        <v>9.4963560000000009E-3</v>
      </c>
      <c r="EO93" s="1">
        <f t="shared" ca="1" si="154"/>
        <v>3.2125000000000001E-2</v>
      </c>
      <c r="EP93" s="1">
        <f t="shared" ca="1" si="155"/>
        <v>3.4908580000000002E-2</v>
      </c>
      <c r="EQ93" s="1">
        <f t="shared" ca="1" si="156"/>
        <v>3.3883580000000003E-2</v>
      </c>
      <c r="ER93" s="1">
        <f t="shared" ca="1" si="157"/>
        <v>7.1115239999999996E-2</v>
      </c>
      <c r="ES93" s="1">
        <f t="shared" ca="1" si="158"/>
        <v>6.114903E-2</v>
      </c>
      <c r="ET93" s="1">
        <f t="shared" ca="1" si="159"/>
        <v>1.1483673688421965E-2</v>
      </c>
      <c r="EU93" s="1">
        <f t="shared" ca="1" si="160"/>
        <v>1.0720313867897895E-2</v>
      </c>
      <c r="EV93" s="1">
        <f t="shared" ca="1" si="161"/>
        <v>1.6834999999999999E-2</v>
      </c>
      <c r="EW93" s="1">
        <f t="shared" ca="1" si="162"/>
        <v>3.6906000000000001E-2</v>
      </c>
      <c r="EX93" s="1">
        <f t="shared" ca="1" si="163"/>
        <v>4.5275999999999997E-2</v>
      </c>
      <c r="EY93" s="1">
        <f t="shared" ca="1" si="164"/>
        <v>4.4250999999999999E-2</v>
      </c>
      <c r="EZ93" s="1">
        <f t="shared" ca="1" si="165"/>
        <v>6.114903E-2</v>
      </c>
    </row>
    <row r="94" spans="1:156" x14ac:dyDescent="0.25">
      <c r="A94">
        <f t="shared" ca="1" si="169"/>
        <v>92</v>
      </c>
      <c r="B94" s="169">
        <f ca="1">IF('LC (Gross)'!A241="","",IF('LC (Gross)'!A241&gt;$AC$9,"",'LC (Gross)'!A241))</f>
        <v>43373</v>
      </c>
      <c r="C94" s="1">
        <f ca="1">IF(B94="","",(VLOOKUP(B94,'LC (Gross)'!A:D,4,FALSE)/100))</f>
        <v>3.2829999999999999E-3</v>
      </c>
      <c r="D94" s="1">
        <f ca="1">IF(B94="","",(VLOOKUP(B94,'SC (Gross)'!A:D,4,FALSE))/100)</f>
        <v>-2.2879E-2</v>
      </c>
      <c r="E94" s="1">
        <f ca="1">IF(B94="","",(VLOOKUP(B94,'Global (Gross)'!A:D,4,FALSE)/100))</f>
        <v>1.5073000000000001E-2</v>
      </c>
      <c r="F94" s="1"/>
      <c r="G94" s="1">
        <f ca="1">IF(B94="","",(VLOOKUP(B94,'LC (Net)'!A:D,4,FALSE)/100))</f>
        <v>2.4979999999999998E-3</v>
      </c>
      <c r="H94" s="1">
        <f ca="1">IF(B94="","",(VLOOKUP(B94,'SC (Net)'!A:D,4,FALSE))/100)</f>
        <v>-2.3706999999999999E-2</v>
      </c>
      <c r="I94" s="1">
        <f ca="1">IF(B94="","",(VLOOKUP(B94,'Global (Net)'!A:D,4,FALSE)/100))</f>
        <v>1.4697999999999999E-2</v>
      </c>
      <c r="J94" s="1"/>
      <c r="K94" s="1">
        <f ca="1">IF(B94="","",VLOOKUP(Website!B94,'LC (Gross)'!W:X,2,FALSE)/100)</f>
        <v>-3.5452637606231529E-3</v>
      </c>
      <c r="L94" s="1">
        <f ca="1">IF(B94="","",VLOOKUP(Website!B94,'SC (Gross)'!P:Q,2,FALSE)/100)</f>
        <v>-2.7091125467528152E-2</v>
      </c>
      <c r="M94" s="1">
        <f ca="1">IF(B94="","",VLOOKUP(Website!B94,'Global (Gross)'!P:Q,2,FALSE)/100)</f>
        <v>1.1218585068382076E-2</v>
      </c>
      <c r="O94" s="1">
        <f ca="1">IF(B94="","",VLOOKUP(Website!B94,'LC (Gross)'!J:K,2,FALSE)/100)</f>
        <v>5.6832280000000002E-3</v>
      </c>
      <c r="P94" s="233">
        <f ca="1">IF(B94="","",(VLOOKUP(B94,'SC (Gross)'!J:K,2,FALSE))/100)</f>
        <v>-2.4049999999999998E-2</v>
      </c>
      <c r="Q94" s="233">
        <f ca="1">IF(B94="","",(VLOOKUP(B94,'Global (Gross)'!J:K,2,FALSE)/100))</f>
        <v>4.7908212501488806E-3</v>
      </c>
      <c r="S94" s="22">
        <f t="shared" ca="1" si="147"/>
        <v>-2.4002280000000003E-3</v>
      </c>
      <c r="T94" s="22">
        <f t="shared" ca="1" si="148"/>
        <v>1.1709999999999984E-3</v>
      </c>
      <c r="U94" s="22">
        <f t="shared" ca="1" si="149"/>
        <v>1.0282178749851122E-2</v>
      </c>
      <c r="V94" s="22"/>
      <c r="W94" s="22">
        <f t="shared" ca="1" si="166"/>
        <v>-9.2284917606231531E-3</v>
      </c>
      <c r="X94" s="22">
        <f t="shared" ca="1" si="167"/>
        <v>-3.0411254675281538E-3</v>
      </c>
      <c r="Y94" s="22">
        <f t="shared" ca="1" si="168"/>
        <v>6.4277638182331951E-3</v>
      </c>
      <c r="EJ94">
        <f t="shared" ca="1" si="170"/>
        <v>151</v>
      </c>
      <c r="EK94" s="169">
        <f t="shared" ca="1" si="150"/>
        <v>45169</v>
      </c>
      <c r="EL94" s="1">
        <f t="shared" ca="1" si="151"/>
        <v>-2.1062522896691166E-2</v>
      </c>
      <c r="EM94" s="1">
        <f t="shared" ca="1" si="152"/>
        <v>-2.1652389652342074E-2</v>
      </c>
      <c r="EN94" s="1">
        <f t="shared" ca="1" si="153"/>
        <v>-2.9815350000000001E-2</v>
      </c>
      <c r="EO94" s="1">
        <f t="shared" ca="1" si="154"/>
        <v>-1.5921680000000001E-2</v>
      </c>
      <c r="EP94" s="1">
        <f t="shared" ca="1" si="155"/>
        <v>-3.510945E-2</v>
      </c>
      <c r="EQ94" s="1">
        <f t="shared" ca="1" si="156"/>
        <v>-3.6134449999999999E-2</v>
      </c>
      <c r="ER94" s="1">
        <f t="shared" ca="1" si="157"/>
        <v>-3.0401669999999999E-2</v>
      </c>
      <c r="ES94" s="1">
        <f t="shared" ca="1" si="158"/>
        <v>-5.0064710000000005E-2</v>
      </c>
      <c r="ET94" s="1">
        <f t="shared" ca="1" si="159"/>
        <v>-2.0007244223140173E-2</v>
      </c>
      <c r="EU94" s="1">
        <f t="shared" ca="1" si="160"/>
        <v>-2.0673644510230765E-2</v>
      </c>
      <c r="EV94" s="1">
        <f t="shared" ca="1" si="161"/>
        <v>-1.8962E-2</v>
      </c>
      <c r="EW94" s="1">
        <f t="shared" ca="1" si="162"/>
        <v>-2.7650000000000001E-2</v>
      </c>
      <c r="EX94" s="1">
        <f t="shared" ca="1" si="163"/>
        <v>-4.3782220000000004E-2</v>
      </c>
      <c r="EY94" s="1">
        <f t="shared" ca="1" si="164"/>
        <v>-4.4807220000000002E-2</v>
      </c>
      <c r="EZ94" s="1">
        <f t="shared" ca="1" si="165"/>
        <v>-5.0064710000000005E-2</v>
      </c>
    </row>
    <row r="95" spans="1:156" x14ac:dyDescent="0.25">
      <c r="A95">
        <f t="shared" ca="1" si="169"/>
        <v>93</v>
      </c>
      <c r="B95" s="169">
        <f ca="1">IF('LC (Gross)'!A242="","",IF('LC (Gross)'!A242&gt;$AC$9,"",'LC (Gross)'!A242))</f>
        <v>43404</v>
      </c>
      <c r="C95" s="1">
        <f ca="1">IF(B95="","",(VLOOKUP(B95,'LC (Gross)'!A:D,4,FALSE)/100))</f>
        <v>-7.307000000000001E-2</v>
      </c>
      <c r="D95" s="1">
        <f ca="1">IF(B95="","",(VLOOKUP(B95,'SC (Gross)'!A:D,4,FALSE))/100)</f>
        <v>-0.107766</v>
      </c>
      <c r="E95" s="1">
        <f ca="1">IF(B95="","",(VLOOKUP(B95,'Global (Gross)'!A:D,4,FALSE)/100))</f>
        <v>-5.5579999999999997E-2</v>
      </c>
      <c r="F95" s="1"/>
      <c r="G95" s="1">
        <f ca="1">IF(B95="","",(VLOOKUP(B95,'LC (Net)'!A:D,4,FALSE)/100))</f>
        <v>-7.3866000000000001E-2</v>
      </c>
      <c r="H95" s="1">
        <f ca="1">IF(B95="","",(VLOOKUP(B95,'SC (Net)'!A:D,4,FALSE))/100)</f>
        <v>-0.108636</v>
      </c>
      <c r="I95" s="1">
        <f ca="1">IF(B95="","",(VLOOKUP(B95,'Global (Net)'!A:D,4,FALSE)/100))</f>
        <v>-5.6405999999999998E-2</v>
      </c>
      <c r="J95" s="1"/>
      <c r="K95" s="1">
        <f ca="1">IF(B95="","",VLOOKUP(Website!B95,'LC (Gross)'!W:X,2,FALSE)/100)</f>
        <v>-2.8728837419264713E-2</v>
      </c>
      <c r="L95" s="1">
        <f ca="1">IF(B95="","",VLOOKUP(Website!B95,'SC (Gross)'!P:Q,2,FALSE)/100)</f>
        <v>-7.0435025731086134E-2</v>
      </c>
      <c r="M95" s="1">
        <f ca="1">IF(B95="","",VLOOKUP(Website!B95,'Global (Gross)'!P:Q,2,FALSE)/100)</f>
        <v>-4.6730824974907444E-2</v>
      </c>
      <c r="O95" s="1">
        <f ca="1">IF(B95="","",VLOOKUP(Website!B95,'LC (Gross)'!J:K,2,FALSE)/100)</f>
        <v>-6.8352242584879389E-2</v>
      </c>
      <c r="P95" s="233">
        <f ca="1">IF(B95="","",(VLOOKUP(B95,'SC (Gross)'!J:K,2,FALSE))/100)</f>
        <v>-0.10861624881516924</v>
      </c>
      <c r="Q95" s="233">
        <f ca="1">IF(B95="","",(VLOOKUP(B95,'Global (Gross)'!J:K,2,FALSE)/100))</f>
        <v>-7.4721107219412733E-2</v>
      </c>
      <c r="S95" s="22">
        <f t="shared" ca="1" si="147"/>
        <v>-4.7177574151206214E-3</v>
      </c>
      <c r="T95" s="22">
        <f t="shared" ca="1" si="148"/>
        <v>8.5024881516923556E-4</v>
      </c>
      <c r="U95" s="22">
        <f t="shared" ca="1" si="149"/>
        <v>1.9141107219412735E-2</v>
      </c>
      <c r="V95" s="22"/>
      <c r="W95" s="22">
        <f t="shared" ca="1" si="166"/>
        <v>3.9623405165614675E-2</v>
      </c>
      <c r="X95" s="22">
        <f t="shared" ca="1" si="167"/>
        <v>3.8181223084083102E-2</v>
      </c>
      <c r="Y95" s="22">
        <f t="shared" ca="1" si="168"/>
        <v>2.7990282244505289E-2</v>
      </c>
      <c r="EJ95">
        <f t="shared" ca="1" si="170"/>
        <v>152</v>
      </c>
      <c r="EK95" s="169">
        <f t="shared" ca="1" si="150"/>
        <v>45199</v>
      </c>
      <c r="EL95" s="1">
        <f t="shared" ca="1" si="151"/>
        <v>-2.2848957873521945E-2</v>
      </c>
      <c r="EM95" s="1">
        <f t="shared" ca="1" si="152"/>
        <v>-2.342679022940369E-2</v>
      </c>
      <c r="EN95" s="1">
        <f t="shared" ca="1" si="153"/>
        <v>-3.7838289999999997E-2</v>
      </c>
      <c r="EO95" s="1">
        <f t="shared" ca="1" si="154"/>
        <v>-4.7678450000000004E-2</v>
      </c>
      <c r="EP95" s="1">
        <f t="shared" ca="1" si="155"/>
        <v>-3.9951460000000001E-2</v>
      </c>
      <c r="EQ95" s="1">
        <f t="shared" ca="1" si="156"/>
        <v>-4.0976459999999999E-2</v>
      </c>
      <c r="ER95" s="1">
        <f t="shared" ca="1" si="157"/>
        <v>-4.2968180000000002E-2</v>
      </c>
      <c r="ES95" s="1">
        <f t="shared" ca="1" si="158"/>
        <v>-5.8905890000000002E-2</v>
      </c>
      <c r="ET95" s="1">
        <f t="shared" ca="1" si="159"/>
        <v>-2.2444274492501616E-2</v>
      </c>
      <c r="EU95" s="1">
        <f t="shared" ca="1" si="160"/>
        <v>-2.3112636895573732E-2</v>
      </c>
      <c r="EV95" s="1">
        <f t="shared" ca="1" si="161"/>
        <v>-2.1179999999999997E-2</v>
      </c>
      <c r="EW95" s="1">
        <f t="shared" ca="1" si="162"/>
        <v>-4.0971E-2</v>
      </c>
      <c r="EX95" s="1">
        <f t="shared" ca="1" si="163"/>
        <v>-4.8793179999999998E-2</v>
      </c>
      <c r="EY95" s="1">
        <f t="shared" ca="1" si="164"/>
        <v>-4.9818179999999997E-2</v>
      </c>
      <c r="EZ95" s="1">
        <f t="shared" ca="1" si="165"/>
        <v>-5.8905890000000002E-2</v>
      </c>
    </row>
    <row r="96" spans="1:156" x14ac:dyDescent="0.25">
      <c r="A96">
        <f t="shared" ca="1" si="169"/>
        <v>94</v>
      </c>
      <c r="B96" s="169">
        <f ca="1">IF('LC (Gross)'!A243="","",IF('LC (Gross)'!A243&gt;$AC$9,"",'LC (Gross)'!A243))</f>
        <v>43434</v>
      </c>
      <c r="C96" s="1">
        <f ca="1">IF(B96="","",(VLOOKUP(B96,'LC (Gross)'!A:D,4,FALSE)/100))</f>
        <v>1.67E-2</v>
      </c>
      <c r="D96" s="1">
        <f ca="1">IF(B96="","",(VLOOKUP(B96,'SC (Gross)'!A:D,4,FALSE))/100)</f>
        <v>8.6479999999999994E-3</v>
      </c>
      <c r="E96" s="1">
        <f ca="1">IF(B96="","",(VLOOKUP(B96,'Global (Gross)'!A:D,4,FALSE)/100))</f>
        <v>3.6338000000000002E-2</v>
      </c>
      <c r="F96" s="1"/>
      <c r="G96" s="1">
        <f ca="1">IF(B96="","",(VLOOKUP(B96,'LC (Net)'!A:D,4,FALSE)/100))</f>
        <v>1.6066E-2</v>
      </c>
      <c r="H96" s="1">
        <f ca="1">IF(B96="","",(VLOOKUP(B96,'SC (Net)'!A:D,4,FALSE))/100)</f>
        <v>8.1519999999999995E-3</v>
      </c>
      <c r="I96" s="1">
        <f ca="1">IF(B96="","",(VLOOKUP(B96,'Global (Net)'!A:D,4,FALSE)/100))</f>
        <v>3.5961E-2</v>
      </c>
      <c r="J96" s="1"/>
      <c r="K96" s="1">
        <f ca="1">IF(B96="","",VLOOKUP(Website!B96,'LC (Gross)'!W:X,2,FALSE)/100)</f>
        <v>4.849551044468025E-2</v>
      </c>
      <c r="L96" s="1">
        <f ca="1">IF(B96="","",VLOOKUP(Website!B96,'SC (Gross)'!P:Q,2,FALSE)/100)</f>
        <v>3.6469078826785933E-2</v>
      </c>
      <c r="M96" s="1">
        <f ca="1">IF(B96="","",VLOOKUP(Website!B96,'Global (Gross)'!P:Q,2,FALSE)/100)</f>
        <v>3.1622251975296889E-2</v>
      </c>
      <c r="O96" s="1">
        <f ca="1">IF(B96="","",VLOOKUP(Website!B96,'LC (Gross)'!J:K,2,FALSE)/100)</f>
        <v>2.037537162221471E-2</v>
      </c>
      <c r="P96" s="233">
        <f ca="1">IF(B96="","",(VLOOKUP(B96,'SC (Gross)'!J:K,2,FALSE))/100)</f>
        <v>1.5799600677700532E-2</v>
      </c>
      <c r="Q96" s="233">
        <f ca="1">IF(B96="","",(VLOOKUP(B96,'Global (Gross)'!J:K,2,FALSE)/100))</f>
        <v>1.5142311215893968E-2</v>
      </c>
      <c r="S96" s="22">
        <f t="shared" ca="1" si="147"/>
        <v>-3.6753716222147105E-3</v>
      </c>
      <c r="T96" s="22">
        <f t="shared" ca="1" si="148"/>
        <v>-7.1516006777005321E-3</v>
      </c>
      <c r="U96" s="22">
        <f t="shared" ca="1" si="149"/>
        <v>2.1195688784106034E-2</v>
      </c>
      <c r="V96" s="22"/>
      <c r="W96" s="22">
        <f t="shared" ca="1" si="166"/>
        <v>2.812013882246554E-2</v>
      </c>
      <c r="X96" s="22">
        <f t="shared" ca="1" si="167"/>
        <v>2.0669478149085402E-2</v>
      </c>
      <c r="Y96" s="22">
        <f t="shared" ca="1" si="168"/>
        <v>1.6479940759402921E-2</v>
      </c>
      <c r="EJ96">
        <f t="shared" ca="1" si="170"/>
        <v>153</v>
      </c>
      <c r="EK96" s="169">
        <f t="shared" ca="1" si="150"/>
        <v>45230</v>
      </c>
      <c r="EL96" s="1">
        <f t="shared" ca="1" si="151"/>
        <v>-9.4426173619984125E-3</v>
      </c>
      <c r="EM96" s="1">
        <f t="shared" ca="1" si="152"/>
        <v>-1.0039554517785295E-2</v>
      </c>
      <c r="EN96" s="1">
        <f t="shared" ca="1" si="153"/>
        <v>-4.116817E-3</v>
      </c>
      <c r="EO96" s="1">
        <f t="shared" ca="1" si="154"/>
        <v>-2.1025820000000001E-2</v>
      </c>
      <c r="EP96" s="1">
        <f t="shared" ca="1" si="155"/>
        <v>-1.8065910000000001E-2</v>
      </c>
      <c r="EQ96" s="1">
        <f t="shared" ca="1" si="156"/>
        <v>-1.9090910000000003E-2</v>
      </c>
      <c r="ER96" s="1">
        <f t="shared" ca="1" si="157"/>
        <v>-2.5646769999999999E-2</v>
      </c>
      <c r="ES96" s="1">
        <f t="shared" ca="1" si="158"/>
        <v>-6.8217509999999995E-2</v>
      </c>
      <c r="ET96" s="1">
        <f t="shared" ca="1" si="159"/>
        <v>-1.2443623587775126E-2</v>
      </c>
      <c r="EU96" s="1">
        <f t="shared" ca="1" si="160"/>
        <v>-1.3198598656500818E-2</v>
      </c>
      <c r="EV96" s="1">
        <f t="shared" ca="1" si="161"/>
        <v>-1.6892000000000001E-2</v>
      </c>
      <c r="EW96" s="1">
        <f t="shared" ca="1" si="162"/>
        <v>-2.9870000000000001E-2</v>
      </c>
      <c r="EX96" s="1">
        <f t="shared" ca="1" si="163"/>
        <v>-6.2120810000000005E-2</v>
      </c>
      <c r="EY96" s="1">
        <f t="shared" ca="1" si="164"/>
        <v>-6.3145810000000011E-2</v>
      </c>
      <c r="EZ96" s="1">
        <f t="shared" ca="1" si="165"/>
        <v>-6.8217509999999995E-2</v>
      </c>
    </row>
    <row r="97" spans="1:156" x14ac:dyDescent="0.25">
      <c r="A97">
        <f t="shared" ca="1" si="169"/>
        <v>95</v>
      </c>
      <c r="B97" s="169">
        <f ca="1">IF('LC (Gross)'!A244="","",IF('LC (Gross)'!A244&gt;$AC$9,"",'LC (Gross)'!A244))</f>
        <v>43465</v>
      </c>
      <c r="C97" s="1">
        <f ca="1">IF(B97="","",(VLOOKUP(B97,'LC (Gross)'!A:D,4,FALSE)/100))</f>
        <v>-7.6059000000000002E-2</v>
      </c>
      <c r="D97" s="1">
        <f ca="1">IF(B97="","",(VLOOKUP(B97,'SC (Gross)'!A:D,4,FALSE))/100)</f>
        <v>-0.106695</v>
      </c>
      <c r="E97" s="1">
        <f ca="1">IF(B97="","",(VLOOKUP(B97,'Global (Gross)'!A:D,4,FALSE)/100))</f>
        <v>-6.8103999999999998E-2</v>
      </c>
      <c r="F97" s="1"/>
      <c r="G97" s="1">
        <f ca="1">IF(B97="","",(VLOOKUP(B97,'LC (Net)'!A:D,4,FALSE)/100))</f>
        <v>-7.6698000000000002E-2</v>
      </c>
      <c r="H97" s="1">
        <f ca="1">IF(B97="","",(VLOOKUP(B97,'SC (Net)'!A:D,4,FALSE))/100)</f>
        <v>-0.107194</v>
      </c>
      <c r="I97" s="1">
        <f ca="1">IF(B97="","",(VLOOKUP(B97,'Global (Net)'!A:D,4,FALSE)/100))</f>
        <v>-6.8482000000000001E-2</v>
      </c>
      <c r="J97" s="1"/>
      <c r="K97" s="1">
        <f ca="1">IF(B97="","",VLOOKUP(Website!B97,'LC (Gross)'!W:X,2,FALSE)/100)</f>
        <v>-6.9267247437525853E-2</v>
      </c>
      <c r="L97" s="1">
        <f ca="1">IF(B97="","",VLOOKUP(Website!B97,'SC (Gross)'!P:Q,2,FALSE)/100)</f>
        <v>-9.3306067297533699E-2</v>
      </c>
      <c r="M97" s="1">
        <f ca="1">IF(B97="","",VLOOKUP(Website!B97,'Global (Gross)'!P:Q,2,FALSE)/100)</f>
        <v>-4.935832481040528E-2</v>
      </c>
      <c r="O97" s="1">
        <f ca="1">IF(B97="","",VLOOKUP(Website!B97,'LC (Gross)'!J:K,2,FALSE)/100)</f>
        <v>-9.0331682593467147E-2</v>
      </c>
      <c r="P97" s="233">
        <f ca="1">IF(B97="","",(VLOOKUP(B97,'SC (Gross)'!J:K,2,FALSE))/100)</f>
        <v>-0.1188434454640741</v>
      </c>
      <c r="Q97" s="233">
        <f ca="1">IF(B97="","",(VLOOKUP(B97,'Global (Gross)'!J:K,2,FALSE)/100))</f>
        <v>-6.9989559159407536E-2</v>
      </c>
      <c r="S97" s="22">
        <f t="shared" ca="1" si="147"/>
        <v>1.4272682593467145E-2</v>
      </c>
      <c r="T97" s="22">
        <f t="shared" ca="1" si="148"/>
        <v>1.2148445464074106E-2</v>
      </c>
      <c r="U97" s="22">
        <f t="shared" ca="1" si="149"/>
        <v>1.8855591594075377E-3</v>
      </c>
      <c r="V97" s="22"/>
      <c r="W97" s="22">
        <f t="shared" ca="1" si="166"/>
        <v>2.1064435155941294E-2</v>
      </c>
      <c r="X97" s="22">
        <f t="shared" ca="1" si="167"/>
        <v>2.5537378166540406E-2</v>
      </c>
      <c r="Y97" s="22">
        <f t="shared" ca="1" si="168"/>
        <v>2.0631234349002256E-2</v>
      </c>
      <c r="EJ97">
        <f t="shared" ca="1" si="170"/>
        <v>154</v>
      </c>
      <c r="EK97" s="169">
        <f t="shared" ca="1" si="150"/>
        <v>45260</v>
      </c>
      <c r="EL97" s="1">
        <f t="shared" ca="1" si="151"/>
        <v>6.8032830611097633E-2</v>
      </c>
      <c r="EM97" s="1">
        <f t="shared" ca="1" si="152"/>
        <v>6.7473040628722156E-2</v>
      </c>
      <c r="EN97" s="1">
        <f t="shared" ca="1" si="153"/>
        <v>5.3373739999999996E-2</v>
      </c>
      <c r="EO97" s="1">
        <f t="shared" ca="1" si="154"/>
        <v>9.1325980000000001E-2</v>
      </c>
      <c r="EP97" s="1">
        <f t="shared" ca="1" si="155"/>
        <v>6.779694E-2</v>
      </c>
      <c r="EQ97" s="1">
        <f t="shared" ca="1" si="156"/>
        <v>6.6771940000000002E-2</v>
      </c>
      <c r="ER97" s="1">
        <f t="shared" ca="1" si="157"/>
        <v>6.0607249999999994E-2</v>
      </c>
      <c r="ES97" s="1">
        <f t="shared" ca="1" si="158"/>
        <v>9.0285180000000007E-2</v>
      </c>
      <c r="ET97" s="1">
        <f t="shared" ca="1" si="159"/>
        <v>5.9887544830788321E-2</v>
      </c>
      <c r="EU97" s="1">
        <f t="shared" ca="1" si="160"/>
        <v>5.9218905451178604E-2</v>
      </c>
      <c r="EV97" s="1">
        <f t="shared" ca="1" si="161"/>
        <v>5.0140749999999998E-2</v>
      </c>
      <c r="EW97" s="1">
        <f t="shared" ca="1" si="162"/>
        <v>9.2788260000000011E-2</v>
      </c>
      <c r="EX97" s="1">
        <f t="shared" ca="1" si="163"/>
        <v>8.5992319999999983E-2</v>
      </c>
      <c r="EY97" s="1">
        <f t="shared" ca="1" si="164"/>
        <v>8.4967319999999999E-2</v>
      </c>
      <c r="EZ97" s="1">
        <f t="shared" ca="1" si="165"/>
        <v>9.0285180000000007E-2</v>
      </c>
    </row>
    <row r="98" spans="1:156" x14ac:dyDescent="0.25">
      <c r="A98">
        <f t="shared" ca="1" si="169"/>
        <v>96</v>
      </c>
      <c r="B98" s="169">
        <f ca="1">IF('LC (Gross)'!A245="","",IF('LC (Gross)'!A245&gt;$AC$9,"",'LC (Gross)'!A245))</f>
        <v>43496</v>
      </c>
      <c r="C98" s="1">
        <f ca="1">IF(B98="","",(VLOOKUP(B98,'LC (Gross)'!A:D,4,FALSE)/100))</f>
        <v>7.2218999999999992E-2</v>
      </c>
      <c r="D98" s="1">
        <f ca="1">IF(B98="","",(VLOOKUP(B98,'SC (Gross)'!A:D,4,FALSE))/100)</f>
        <v>8.6816999999999991E-2</v>
      </c>
      <c r="E98" s="1">
        <f ca="1">IF(B98="","",(VLOOKUP(B98,'Global (Gross)'!A:D,4,FALSE)/100))</f>
        <v>5.5792000000000001E-2</v>
      </c>
      <c r="F98" s="1"/>
      <c r="G98" s="1">
        <f ca="1">IF(B98="","",(VLOOKUP(B98,'LC (Net)'!A:D,4,FALSE)/100))</f>
        <v>7.1584999999999996E-2</v>
      </c>
      <c r="H98" s="1">
        <f ca="1">IF(B98="","",(VLOOKUP(B98,'SC (Net)'!A:D,4,FALSE))/100)</f>
        <v>8.6317000000000005E-2</v>
      </c>
      <c r="I98" s="1">
        <f ca="1">IF(B98="","",(VLOOKUP(B98,'Global (Net)'!A:D,4,FALSE)/100))</f>
        <v>5.4931000000000001E-2</v>
      </c>
      <c r="J98" s="1"/>
      <c r="K98" s="1">
        <f ca="1">IF(B98="","",VLOOKUP(Website!B98,'LC (Gross)'!W:X,2,FALSE)/100)</f>
        <v>6.6371135605943002E-2</v>
      </c>
      <c r="L98" s="1">
        <f ca="1">IF(B98="","",VLOOKUP(Website!B98,'SC (Gross)'!P:Q,2,FALSE)/100)</f>
        <v>8.6290100767634173E-2</v>
      </c>
      <c r="M98" s="1">
        <f ca="1">IF(B98="","",VLOOKUP(Website!B98,'Global (Gross)'!P:Q,2,FALSE)/100)</f>
        <v>4.9648972923875767E-2</v>
      </c>
      <c r="O98" s="1">
        <f ca="1">IF(B98="","",VLOOKUP(Website!B98,'LC (Gross)'!J:K,2,FALSE)/100)</f>
        <v>8.0134375796410834E-2</v>
      </c>
      <c r="P98" s="233">
        <f ca="1">IF(B98="","",(VLOOKUP(B98,'SC (Gross)'!J:K,2,FALSE))/100)</f>
        <v>0.11246632927110163</v>
      </c>
      <c r="Q98" s="233">
        <f ca="1">IF(B98="","",(VLOOKUP(B98,'Global (Gross)'!J:K,2,FALSE)/100))</f>
        <v>7.9321416466241371E-2</v>
      </c>
      <c r="S98" s="22">
        <f t="shared" ca="1" si="147"/>
        <v>-7.9153757964108423E-3</v>
      </c>
      <c r="T98" s="22">
        <f t="shared" ca="1" si="148"/>
        <v>-2.564932927110164E-2</v>
      </c>
      <c r="U98" s="22">
        <f t="shared" ca="1" si="149"/>
        <v>-2.3529416466241369E-2</v>
      </c>
      <c r="V98" s="22"/>
      <c r="W98" s="22">
        <f t="shared" ca="1" si="166"/>
        <v>-1.3763240190467832E-2</v>
      </c>
      <c r="X98" s="22">
        <f t="shared" ca="1" si="167"/>
        <v>-2.6176228503467458E-2</v>
      </c>
      <c r="Y98" s="22">
        <f t="shared" ca="1" si="168"/>
        <v>-2.9672443542365604E-2</v>
      </c>
      <c r="EJ98">
        <f t="shared" ca="1" si="170"/>
        <v>155</v>
      </c>
      <c r="EK98" s="169">
        <f t="shared" ca="1" si="150"/>
        <v>45291</v>
      </c>
      <c r="EL98" s="1">
        <f t="shared" ca="1" si="151"/>
        <v>3.6510591214129487E-2</v>
      </c>
      <c r="EM98" s="1">
        <f t="shared" ca="1" si="152"/>
        <v>3.5955201526564111E-2</v>
      </c>
      <c r="EN98" s="1">
        <f t="shared" ca="1" si="153"/>
        <v>2.3474210000000002E-2</v>
      </c>
      <c r="EO98" s="1">
        <f t="shared" ca="1" si="154"/>
        <v>4.5311299999999999E-2</v>
      </c>
      <c r="EP98" s="1">
        <f t="shared" ca="1" si="155"/>
        <v>9.408496999999999E-2</v>
      </c>
      <c r="EQ98" s="1">
        <f t="shared" ca="1" si="156"/>
        <v>9.3059969999999992E-2</v>
      </c>
      <c r="ER98" s="1">
        <f t="shared" ca="1" si="157"/>
        <v>9.2551000000000008E-2</v>
      </c>
      <c r="ES98" s="1">
        <f t="shared" ca="1" si="158"/>
        <v>0.1223072</v>
      </c>
      <c r="ET98" s="1">
        <f t="shared" ca="1" si="159"/>
        <v>3.7169089155897908E-2</v>
      </c>
      <c r="EU98" s="1">
        <f t="shared" ca="1" si="160"/>
        <v>3.6500408411167203E-2</v>
      </c>
      <c r="EV98" s="1">
        <f t="shared" ca="1" si="161"/>
        <v>3.2473839999999997E-2</v>
      </c>
      <c r="EW98" s="1">
        <f t="shared" ca="1" si="162"/>
        <v>4.8394820000000005E-2</v>
      </c>
      <c r="EX98" s="1">
        <f t="shared" ca="1" si="163"/>
        <v>0.12527199999999999</v>
      </c>
      <c r="EY98" s="1">
        <f t="shared" ca="1" si="164"/>
        <v>0.124247</v>
      </c>
      <c r="EZ98" s="1">
        <f t="shared" ca="1" si="165"/>
        <v>0.1223072</v>
      </c>
    </row>
    <row r="99" spans="1:156" x14ac:dyDescent="0.25">
      <c r="A99">
        <f t="shared" ca="1" si="169"/>
        <v>97</v>
      </c>
      <c r="B99" s="169">
        <f ca="1">IF('LC (Gross)'!A246="","",IF('LC (Gross)'!A246&gt;$AC$9,"",'LC (Gross)'!A246))</f>
        <v>43524</v>
      </c>
      <c r="C99" s="1">
        <f ca="1">IF(B99="","",(VLOOKUP(B99,'LC (Gross)'!A:D,4,FALSE)/100))</f>
        <v>4.3503E-2</v>
      </c>
      <c r="D99" s="1">
        <f ca="1">IF(B99="","",(VLOOKUP(B99,'SC (Gross)'!A:D,4,FALSE))/100)</f>
        <v>4.4736000000000005E-2</v>
      </c>
      <c r="E99" s="1">
        <f ca="1">IF(B99="","",(VLOOKUP(B99,'Global (Gross)'!A:D,4,FALSE)/100))</f>
        <v>3.9452000000000001E-2</v>
      </c>
      <c r="F99" s="1"/>
      <c r="G99" s="1">
        <f ca="1">IF(B99="","",(VLOOKUP(B99,'LC (Net)'!A:D,4,FALSE)/100))</f>
        <v>4.2697000000000006E-2</v>
      </c>
      <c r="H99" s="1">
        <f ca="1">IF(B99="","",(VLOOKUP(B99,'SC (Net)'!A:D,4,FALSE))/100)</f>
        <v>4.3859000000000002E-2</v>
      </c>
      <c r="I99" s="1">
        <f ca="1">IF(B99="","",(VLOOKUP(B99,'Global (Net)'!A:D,4,FALSE)/100))</f>
        <v>3.9076E-2</v>
      </c>
      <c r="J99" s="1"/>
      <c r="K99" s="1">
        <f ca="1">IF(B99="","",VLOOKUP(Website!B99,'LC (Gross)'!W:X,2,FALSE)/100)</f>
        <v>4.1204872274492273E-2</v>
      </c>
      <c r="L99" s="1">
        <f ca="1">IF(B99="","",VLOOKUP(Website!B99,'SC (Gross)'!P:Q,2,FALSE)/100)</f>
        <v>3.6870453917687208E-2</v>
      </c>
      <c r="M99" s="1">
        <f ca="1">IF(B99="","",VLOOKUP(Website!B99,'Global (Gross)'!P:Q,2,FALSE)/100)</f>
        <v>2.7657101815265102E-2</v>
      </c>
      <c r="O99" s="1">
        <f ca="1">IF(B99="","",VLOOKUP(Website!B99,'LC (Gross)'!J:K,2,FALSE)/100)</f>
        <v>3.2105470754573096E-2</v>
      </c>
      <c r="P99" s="233">
        <f ca="1">IF(B99="","",(VLOOKUP(B99,'SC (Gross)'!J:K,2,FALSE))/100)</f>
        <v>5.1894965863048863E-2</v>
      </c>
      <c r="Q99" s="233">
        <f ca="1">IF(B99="","",(VLOOKUP(B99,'Global (Gross)'!J:K,2,FALSE)/100))</f>
        <v>2.725567285567429E-2</v>
      </c>
      <c r="S99" s="22">
        <f t="shared" ca="1" si="147"/>
        <v>1.1397529245426904E-2</v>
      </c>
      <c r="T99" s="22">
        <f t="shared" ca="1" si="148"/>
        <v>-7.1589658630488578E-3</v>
      </c>
      <c r="U99" s="22">
        <f t="shared" ca="1" si="149"/>
        <v>1.2196327144325711E-2</v>
      </c>
      <c r="V99" s="22"/>
      <c r="W99" s="22">
        <f t="shared" ca="1" si="166"/>
        <v>9.0994015199191772E-3</v>
      </c>
      <c r="X99" s="22">
        <f t="shared" ca="1" si="167"/>
        <v>-1.5024511945361654E-2</v>
      </c>
      <c r="Y99" s="22">
        <f t="shared" ca="1" si="168"/>
        <v>4.0142895959081187E-4</v>
      </c>
      <c r="EJ99">
        <f t="shared" ca="1" si="170"/>
        <v>156</v>
      </c>
      <c r="EK99" s="169">
        <f t="shared" ref="EK99:EK122" ca="1" si="171">VLOOKUP(EJ99,$A:$B,2,FALSE)</f>
        <v>45322</v>
      </c>
      <c r="EL99" s="1">
        <f t="shared" ref="EL99:EL122" ca="1" si="172">IF(EJ99="",0,VLOOKUP(EJ99,$A:$Q,3,FALSE))</f>
        <v>2.631801198476685E-2</v>
      </c>
      <c r="EM99" s="1">
        <f t="shared" ref="EM99:EM122" ca="1" si="173">IF(EJ99="",0,VLOOKUP(EJ99,$A:$Q,7,FALSE))</f>
        <v>2.5760914411812247E-2</v>
      </c>
      <c r="EN99" s="1">
        <f t="shared" ref="EN99:EN122" ca="1" si="174">IF(EJ99="",0,VLOOKUP(EJ99,$A:$Q,11,FALSE))</f>
        <v>9.9222289999999994E-3</v>
      </c>
      <c r="EO99" s="1">
        <f t="shared" ref="EO99:EO122" ca="1" si="175">IF(EJ99="",0,VLOOKUP(EJ99,$A:$Q,15,FALSE))</f>
        <v>1.679361E-2</v>
      </c>
      <c r="EP99" s="1">
        <f t="shared" ref="EP99:EP122" ca="1" si="176">IF(EJ99="",0,VLOOKUP(EJ99,$A:$Q,4,FALSE))</f>
        <v>0</v>
      </c>
      <c r="EQ99" s="1">
        <f t="shared" ref="EQ99:EQ122" ca="1" si="177">IF(EJ99="",0,VLOOKUP(EJ99,$A:$Q,8,FALSE))</f>
        <v>0</v>
      </c>
      <c r="ER99" s="1" t="e">
        <f t="shared" ref="ER99:ER122" ca="1" si="178">IF(EJ99="",0,VLOOKUP(EJ99,$A:$Q,12,FALSE))</f>
        <v>#N/A</v>
      </c>
      <c r="ES99" s="1">
        <f t="shared" ref="ES99:ES122" ca="1" si="179">IF(EJ99="",0,VLOOKUP(EJ99,$A:$Q,16,FALSE))</f>
        <v>-3.8897680000000004E-2</v>
      </c>
      <c r="ET99" s="1">
        <f t="shared" ref="ET99:ET122" ca="1" si="180">IF(EJ99="",0,VLOOKUP(EJ99,$A:$Q,5,FALSE))</f>
        <v>9.978642695839526E-3</v>
      </c>
      <c r="EU99" s="1">
        <f t="shared" ref="EU99:EU122" ca="1" si="181">IF(EJ99="",0,VLOOKUP(EJ99,$A:$Q,9,FALSE))</f>
        <v>9.2289443191436414E-3</v>
      </c>
      <c r="EV99" s="1">
        <f t="shared" ref="EV99:EV122" ca="1" si="182">IF(EJ99="",0,VLOOKUP(EJ99,$A:$Q,13,FALSE))</f>
        <v>1.3183180000000001E-2</v>
      </c>
      <c r="EW99" s="1">
        <f t="shared" ref="EW99:EW122" ca="1" si="183">IF(EJ99="",0,VLOOKUP(EJ99,$A:$Q,17,FALSE))</f>
        <v>6.0940530000000003E-3</v>
      </c>
      <c r="EX99" s="1">
        <f t="shared" ref="EX99:EX122" ca="1" si="184">IF(EJ99="",0,VLOOKUP(EJ99,$A:$Q,6,FALSE))</f>
        <v>-1.5050019999999999E-2</v>
      </c>
      <c r="EY99" s="1">
        <f t="shared" ref="EY99:EY122" ca="1" si="185">IF(EJ99="",0,VLOOKUP(EJ99,$A:$Q,10,FALSE))</f>
        <v>-1.6075019999999999E-2</v>
      </c>
      <c r="EZ99" s="1">
        <f t="shared" ref="EZ99:EZ122" ca="1" si="186">IF(EJ99="",0,VLOOKUP(EJ99,$A:$Q,16,FALSE))</f>
        <v>-3.8897680000000004E-2</v>
      </c>
    </row>
    <row r="100" spans="1:156" x14ac:dyDescent="0.25">
      <c r="A100">
        <f t="shared" ca="1" si="169"/>
        <v>98</v>
      </c>
      <c r="B100" s="169">
        <f ca="1">IF('LC (Gross)'!A247="","",IF('LC (Gross)'!A247&gt;$AC$9,"",'LC (Gross)'!A247))</f>
        <v>43555</v>
      </c>
      <c r="C100" s="1">
        <f ca="1">IF(B100="","",(VLOOKUP(B100,'LC (Gross)'!A:D,4,FALSE)/100))</f>
        <v>1.6475E-2</v>
      </c>
      <c r="D100" s="1">
        <f ca="1">IF(B100="","",(VLOOKUP(B100,'SC (Gross)'!A:D,4,FALSE))/100)</f>
        <v>-1.9113999999999999E-2</v>
      </c>
      <c r="E100" s="1">
        <f ca="1">IF(B100="","",(VLOOKUP(B100,'Global (Gross)'!A:D,4,FALSE)/100))</f>
        <v>1.8436999999999999E-2</v>
      </c>
      <c r="F100" s="1"/>
      <c r="G100" s="1">
        <f ca="1">IF(B100="","",(VLOOKUP(B100,'LC (Net)'!A:D,4,FALSE)/100))</f>
        <v>1.5852999999999999E-2</v>
      </c>
      <c r="H100" s="1">
        <f ca="1">IF(B100="","",(VLOOKUP(B100,'SC (Net)'!A:D,4,FALSE))/100)</f>
        <v>-1.9612000000000001E-2</v>
      </c>
      <c r="I100" s="1">
        <f ca="1">IF(B100="","",(VLOOKUP(B100,'Global (Net)'!A:D,4,FALSE)/100))</f>
        <v>1.8062000000000002E-2</v>
      </c>
      <c r="J100" s="1"/>
      <c r="K100" s="1">
        <f ca="1">IF(B100="","",VLOOKUP(Website!B100,'LC (Gross)'!W:X,2,FALSE)/100)</f>
        <v>2.3280213985266383E-2</v>
      </c>
      <c r="L100" s="1">
        <f ca="1">IF(B100="","",VLOOKUP(Website!B100,'SC (Gross)'!P:Q,2,FALSE)/100)</f>
        <v>-2.0974208472265908E-2</v>
      </c>
      <c r="M100" s="1">
        <f ca="1">IF(B100="","",VLOOKUP(Website!B100,'Global (Gross)'!P:Q,2,FALSE)/100)</f>
        <v>2.0997431422921688E-2</v>
      </c>
      <c r="O100" s="1">
        <f ca="1">IF(B100="","",VLOOKUP(Website!B100,'LC (Gross)'!J:K,2,FALSE)/100)</f>
        <v>1.9411095029969693E-2</v>
      </c>
      <c r="P100" s="233">
        <f ca="1">IF(B100="","",(VLOOKUP(B100,'SC (Gross)'!J:K,2,FALSE))/100)</f>
        <v>-2.0937400864579223E-2</v>
      </c>
      <c r="Q100" s="233">
        <f ca="1">IF(B100="","",(VLOOKUP(B100,'Global (Gross)'!J:K,2,FALSE)/100))</f>
        <v>1.3291747259706461E-2</v>
      </c>
      <c r="S100" s="22">
        <f t="shared" ca="1" si="147"/>
        <v>-2.9360950299696931E-3</v>
      </c>
      <c r="T100" s="22">
        <f t="shared" ca="1" si="148"/>
        <v>1.8234008645792235E-3</v>
      </c>
      <c r="U100" s="22">
        <f t="shared" ca="1" si="149"/>
        <v>5.1452527402935377E-3</v>
      </c>
      <c r="V100" s="22"/>
      <c r="W100" s="22">
        <f t="shared" ca="1" si="166"/>
        <v>3.8691189552966902E-3</v>
      </c>
      <c r="X100" s="22">
        <f t="shared" ca="1" si="167"/>
        <v>-3.6807607686685506E-5</v>
      </c>
      <c r="Y100" s="22">
        <f t="shared" ca="1" si="168"/>
        <v>7.7056841632152269E-3</v>
      </c>
      <c r="EJ100">
        <f t="shared" ca="1" si="170"/>
        <v>157</v>
      </c>
      <c r="EK100" s="169">
        <f t="shared" ca="1" si="171"/>
        <v>45351</v>
      </c>
      <c r="EL100" s="1">
        <f t="shared" ca="1" si="172"/>
        <v>3.3854661954757725E-2</v>
      </c>
      <c r="EM100" s="1">
        <f t="shared" ca="1" si="173"/>
        <v>3.3854661954757725E-2</v>
      </c>
      <c r="EN100" s="1">
        <f t="shared" ca="1" si="174"/>
        <v>1.656612E-2</v>
      </c>
      <c r="EO100" s="1">
        <f t="shared" ca="1" si="175"/>
        <v>5.3395100000000001E-2</v>
      </c>
      <c r="EP100" s="1">
        <f t="shared" ca="1" si="176"/>
        <v>0</v>
      </c>
      <c r="EQ100" s="1">
        <f t="shared" ca="1" si="177"/>
        <v>0</v>
      </c>
      <c r="ER100" s="1" t="e">
        <f t="shared" ca="1" si="178"/>
        <v>#N/A</v>
      </c>
      <c r="ES100" s="1">
        <f t="shared" ca="1" si="179"/>
        <v>5.6506040000000007E-2</v>
      </c>
      <c r="ET100" s="1">
        <f t="shared" ca="1" si="180"/>
        <v>2.7640462105890041E-2</v>
      </c>
      <c r="EU100" s="1">
        <f t="shared" ca="1" si="181"/>
        <v>2.6971585671766499E-2</v>
      </c>
      <c r="EV100" s="1">
        <f t="shared" ca="1" si="182"/>
        <v>1.509868E-2</v>
      </c>
      <c r="EW100" s="1">
        <f t="shared" ca="1" si="183"/>
        <v>4.3309620000000007E-2</v>
      </c>
      <c r="EX100" s="1">
        <f t="shared" ca="1" si="184"/>
        <v>3.1658080000000005E-2</v>
      </c>
      <c r="EY100" s="1">
        <f t="shared" ca="1" si="185"/>
        <v>3.063308E-2</v>
      </c>
      <c r="EZ100" s="1">
        <f t="shared" ca="1" si="186"/>
        <v>5.6506040000000007E-2</v>
      </c>
    </row>
    <row r="101" spans="1:156" x14ac:dyDescent="0.25">
      <c r="A101">
        <f t="shared" ca="1" si="169"/>
        <v>99</v>
      </c>
      <c r="B101" s="169">
        <f ca="1">IF('LC (Gross)'!A248="","",IF('LC (Gross)'!A248&gt;$AC$9,"",'LC (Gross)'!A248))</f>
        <v>43585</v>
      </c>
      <c r="C101" s="1">
        <f ca="1">IF(B101="","",(VLOOKUP(B101,'LC (Gross)'!A:D,4,FALSE)/100))</f>
        <v>3.6074000000000002E-2</v>
      </c>
      <c r="D101" s="1">
        <f ca="1">IF(B101="","",(VLOOKUP(B101,'SC (Gross)'!A:D,4,FALSE))/100)</f>
        <v>3.04E-2</v>
      </c>
      <c r="E101" s="1">
        <f ca="1">IF(B101="","",(VLOOKUP(B101,'Global (Gross)'!A:D,4,FALSE)/100))</f>
        <v>2.954E-2</v>
      </c>
      <c r="F101" s="1"/>
      <c r="G101" s="1">
        <f ca="1">IF(B101="","",(VLOOKUP(B101,'LC (Net)'!A:D,4,FALSE)/100))</f>
        <v>3.5436999999999996E-2</v>
      </c>
      <c r="H101" s="1">
        <f ca="1">IF(B101="","",(VLOOKUP(B101,'SC (Net)'!A:D,4,FALSE))/100)</f>
        <v>2.9891999999999998E-2</v>
      </c>
      <c r="I101" s="1">
        <f ca="1">IF(B101="","",(VLOOKUP(B101,'Global (Net)'!A:D,4,FALSE)/100))</f>
        <v>2.8711E-2</v>
      </c>
      <c r="J101" s="1"/>
      <c r="K101" s="1">
        <f ca="1">IF(B101="","",VLOOKUP(Website!B101,'LC (Gross)'!W:X,2,FALSE)/100)</f>
        <v>2.3496935203532621E-2</v>
      </c>
      <c r="L101" s="1">
        <f ca="1">IF(B101="","",VLOOKUP(Website!B101,'SC (Gross)'!P:Q,2,FALSE)/100)</f>
        <v>3.0248747193941095E-2</v>
      </c>
      <c r="M101" s="1">
        <f ca="1">IF(B101="","",VLOOKUP(Website!B101,'Global (Gross)'!P:Q,2,FALSE)/100)</f>
        <v>9.3638366927838654E-3</v>
      </c>
      <c r="O101" s="1">
        <f ca="1">IF(B101="","",VLOOKUP(Website!B101,'LC (Gross)'!J:K,2,FALSE)/100)</f>
        <v>4.0489294581786031E-2</v>
      </c>
      <c r="P101" s="233">
        <f ca="1">IF(B101="","",(VLOOKUP(B101,'SC (Gross)'!J:K,2,FALSE))/100)</f>
        <v>3.39703741675896E-2</v>
      </c>
      <c r="Q101" s="233">
        <f ca="1">IF(B101="","",(VLOOKUP(B101,'Global (Gross)'!J:K,2,FALSE)/100))</f>
        <v>3.4239396443720135E-2</v>
      </c>
      <c r="S101" s="22">
        <f t="shared" ca="1" si="147"/>
        <v>-4.4152945817860292E-3</v>
      </c>
      <c r="T101" s="22">
        <f t="shared" ca="1" si="148"/>
        <v>-3.5703741675895996E-3</v>
      </c>
      <c r="U101" s="22">
        <f t="shared" ca="1" si="149"/>
        <v>-4.6993964437201351E-3</v>
      </c>
      <c r="V101" s="22"/>
      <c r="W101" s="22">
        <f t="shared" ca="1" si="166"/>
        <v>-1.699235937825341E-2</v>
      </c>
      <c r="X101" s="22">
        <f t="shared" ca="1" si="167"/>
        <v>-3.7216269736485043E-3</v>
      </c>
      <c r="Y101" s="22">
        <f t="shared" ca="1" si="168"/>
        <v>-2.487555975093627E-2</v>
      </c>
      <c r="EJ101">
        <f t="shared" ca="1" si="170"/>
        <v>158</v>
      </c>
      <c r="EK101" s="169">
        <f t="shared" ca="1" si="171"/>
        <v>45382</v>
      </c>
      <c r="EL101" s="1">
        <f t="shared" ca="1" si="172"/>
        <v>3.4650632662020259E-2</v>
      </c>
      <c r="EM101" s="1">
        <f t="shared" ca="1" si="173"/>
        <v>3.4274537616093212E-2</v>
      </c>
      <c r="EN101" s="1">
        <f t="shared" ca="1" si="174"/>
        <v>3.0912850000000002E-2</v>
      </c>
      <c r="EO101" s="1">
        <f t="shared" ca="1" si="175"/>
        <v>3.2173630000000002E-2</v>
      </c>
      <c r="EP101" s="1">
        <f t="shared" ca="1" si="176"/>
        <v>0</v>
      </c>
      <c r="EQ101" s="1">
        <f t="shared" ca="1" si="177"/>
        <v>0</v>
      </c>
      <c r="ER101" s="1" t="e">
        <f t="shared" ca="1" si="178"/>
        <v>#N/A</v>
      </c>
      <c r="ES101" s="1">
        <f t="shared" ca="1" si="179"/>
        <v>3.5787600000000003E-2</v>
      </c>
      <c r="ET101" s="1">
        <f t="shared" ca="1" si="180"/>
        <v>3.1532220903994573E-2</v>
      </c>
      <c r="EU101" s="1">
        <f t="shared" ca="1" si="181"/>
        <v>3.0864815180447321E-2</v>
      </c>
      <c r="EV101" s="1">
        <f t="shared" ca="1" si="182"/>
        <v>1.9413100000000003E-2</v>
      </c>
      <c r="EW101" s="1">
        <f t="shared" ca="1" si="183"/>
        <v>3.2044410000000002E-2</v>
      </c>
      <c r="EX101" s="1">
        <f t="shared" ca="1" si="184"/>
        <v>4.1645870000000001E-2</v>
      </c>
      <c r="EY101" s="1">
        <f t="shared" ca="1" si="185"/>
        <v>4.0620870000000003E-2</v>
      </c>
      <c r="EZ101" s="1">
        <f t="shared" ca="1" si="186"/>
        <v>3.5787600000000003E-2</v>
      </c>
    </row>
    <row r="102" spans="1:156" x14ac:dyDescent="0.25">
      <c r="A102">
        <f t="shared" ca="1" si="169"/>
        <v>100</v>
      </c>
      <c r="B102" s="169">
        <f ca="1">IF('LC (Gross)'!A249="","",IF('LC (Gross)'!A249&gt;$AC$9,"",'LC (Gross)'!A249))</f>
        <v>43616</v>
      </c>
      <c r="C102" s="1">
        <f ca="1">IF(B102="","",(VLOOKUP(B102,'LC (Gross)'!A:D,4,FALSE)/100))</f>
        <v>-4.8585000000000003E-2</v>
      </c>
      <c r="D102" s="1">
        <f ca="1">IF(B102="","",(VLOOKUP(B102,'SC (Gross)'!A:D,4,FALSE))/100)</f>
        <v>-5.7443000000000001E-2</v>
      </c>
      <c r="E102" s="1">
        <f ca="1">IF(B102="","",(VLOOKUP(B102,'Global (Gross)'!A:D,4,FALSE)/100))</f>
        <v>-1.7284000000000001E-2</v>
      </c>
      <c r="F102" s="1"/>
      <c r="G102" s="1">
        <f ca="1">IF(B102="","",(VLOOKUP(B102,'LC (Net)'!A:D,4,FALSE)/100))</f>
        <v>-4.9218999999999999E-2</v>
      </c>
      <c r="H102" s="1">
        <f ca="1">IF(B102="","",(VLOOKUP(B102,'SC (Net)'!A:D,4,FALSE))/100)</f>
        <v>-5.7957999999999996E-2</v>
      </c>
      <c r="I102" s="1">
        <f ca="1">IF(B102="","",(VLOOKUP(B102,'Global (Net)'!A:D,4,FALSE)/100))</f>
        <v>-1.7662000000000001E-2</v>
      </c>
      <c r="J102" s="1"/>
      <c r="K102" s="1">
        <f ca="1">IF(B102="","",VLOOKUP(Website!B102,'LC (Gross)'!W:X,2,FALSE)/100)</f>
        <v>-9.3319861937217335E-3</v>
      </c>
      <c r="L102" s="1">
        <f ca="1">IF(B102="","",VLOOKUP(Website!B102,'SC (Gross)'!P:Q,2,FALSE)/100)</f>
        <v>-4.5374711125784055E-2</v>
      </c>
      <c r="M102" s="1">
        <f ca="1">IF(B102="","",VLOOKUP(Website!B102,'Global (Gross)'!P:Q,2,FALSE)/100)</f>
        <v>-1.031372198788378E-2</v>
      </c>
      <c r="O102" s="1">
        <f ca="1">IF(B102="","",VLOOKUP(Website!B102,'LC (Gross)'!J:K,2,FALSE)/100)</f>
        <v>-6.3548857349396443E-2</v>
      </c>
      <c r="P102" s="233">
        <f ca="1">IF(B102="","",(VLOOKUP(B102,'SC (Gross)'!J:K,2,FALSE))/100)</f>
        <v>-7.7772522689384602E-2</v>
      </c>
      <c r="Q102" s="233">
        <f ca="1">IF(B102="","",(VLOOKUP(B102,'Global (Gross)'!J:K,2,FALSE)/100))</f>
        <v>-5.8564212488350378E-2</v>
      </c>
      <c r="S102" s="22">
        <f t="shared" ca="1" si="147"/>
        <v>1.4963857349396439E-2</v>
      </c>
      <c r="T102" s="22">
        <f t="shared" ca="1" si="148"/>
        <v>2.0329522689384601E-2</v>
      </c>
      <c r="U102" s="22">
        <f t="shared" ca="1" si="149"/>
        <v>4.1280212488350378E-2</v>
      </c>
      <c r="V102" s="22"/>
      <c r="W102" s="22">
        <f t="shared" ca="1" si="166"/>
        <v>5.4216871155674709E-2</v>
      </c>
      <c r="X102" s="22">
        <f t="shared" ca="1" si="167"/>
        <v>3.2397811563600547E-2</v>
      </c>
      <c r="Y102" s="22">
        <f t="shared" ca="1" si="168"/>
        <v>4.8250490500466599E-2</v>
      </c>
      <c r="EJ102">
        <f t="shared" ca="1" si="170"/>
        <v>159</v>
      </c>
      <c r="EK102" s="169">
        <f t="shared" ca="1" si="171"/>
        <v>45412</v>
      </c>
      <c r="EL102" s="1">
        <f t="shared" ca="1" si="172"/>
        <v>-3.9984913813974933E-2</v>
      </c>
      <c r="EM102" s="1">
        <f t="shared" ca="1" si="173"/>
        <v>-4.0443709388205719E-2</v>
      </c>
      <c r="EN102" s="1">
        <f t="shared" ca="1" si="174"/>
        <v>-3.0440480000000002E-2</v>
      </c>
      <c r="EO102" s="1">
        <f t="shared" ca="1" si="175"/>
        <v>-4.0844069999999996E-2</v>
      </c>
      <c r="EP102" s="1">
        <f t="shared" ca="1" si="176"/>
        <v>0</v>
      </c>
      <c r="EQ102" s="1">
        <f t="shared" ca="1" si="177"/>
        <v>0</v>
      </c>
      <c r="ER102" s="1" t="e">
        <f t="shared" ca="1" si="178"/>
        <v>#N/A</v>
      </c>
      <c r="ES102" s="1">
        <f t="shared" ca="1" si="179"/>
        <v>-7.038266E-2</v>
      </c>
      <c r="ET102" s="1">
        <f t="shared" ca="1" si="180"/>
        <v>-2.5710239003672513E-2</v>
      </c>
      <c r="EU102" s="1">
        <f t="shared" ca="1" si="181"/>
        <v>-2.6488353266014744E-2</v>
      </c>
      <c r="EV102" s="1">
        <f t="shared" ca="1" si="182"/>
        <v>-2.5968499999999999E-2</v>
      </c>
      <c r="EW102" s="1">
        <f t="shared" ca="1" si="183"/>
        <v>-3.2620160000000002E-2</v>
      </c>
      <c r="EX102" s="1">
        <f t="shared" ca="1" si="184"/>
        <v>-6.8794110000000006E-2</v>
      </c>
      <c r="EY102" s="1">
        <f t="shared" ca="1" si="185"/>
        <v>-6.9819110000000004E-2</v>
      </c>
      <c r="EZ102" s="1">
        <f t="shared" ca="1" si="186"/>
        <v>-7.038266E-2</v>
      </c>
    </row>
    <row r="103" spans="1:156" x14ac:dyDescent="0.25">
      <c r="A103">
        <f t="shared" ca="1" si="169"/>
        <v>101</v>
      </c>
      <c r="B103" s="169">
        <f ca="1">IF('LC (Gross)'!A250="","",IF('LC (Gross)'!A250&gt;$AC$9,"",'LC (Gross)'!A250))</f>
        <v>43646</v>
      </c>
      <c r="C103" s="1">
        <f ca="1">IF(B103="","",(VLOOKUP(B103,'LC (Gross)'!A:D,4,FALSE)/100))</f>
        <v>5.8181000000000004E-2</v>
      </c>
      <c r="D103" s="1">
        <f ca="1">IF(B103="","",(VLOOKUP(B103,'SC (Gross)'!A:D,4,FALSE))/100)</f>
        <v>5.3159999999999999E-2</v>
      </c>
      <c r="E103" s="1">
        <f ca="1">IF(B103="","",(VLOOKUP(B103,'Global (Gross)'!A:D,4,FALSE)/100))</f>
        <v>4.564E-2</v>
      </c>
      <c r="F103" s="1"/>
      <c r="G103" s="1">
        <f ca="1">IF(B103="","",(VLOOKUP(B103,'LC (Net)'!A:D,4,FALSE)/100))</f>
        <v>5.74E-2</v>
      </c>
      <c r="H103" s="1">
        <f ca="1">IF(B103="","",(VLOOKUP(B103,'SC (Net)'!A:D,4,FALSE))/100)</f>
        <v>5.2248000000000003E-2</v>
      </c>
      <c r="I103" s="1">
        <f ca="1">IF(B103="","",(VLOOKUP(B103,'Global (Net)'!A:D,4,FALSE)/100))</f>
        <v>4.5270999999999999E-2</v>
      </c>
      <c r="J103" s="1"/>
      <c r="K103" s="1">
        <f ca="1">IF(B103="","",VLOOKUP(Website!B103,'LC (Gross)'!W:X,2,FALSE)/100)</f>
        <v>3.7568651704060374E-2</v>
      </c>
      <c r="L103" s="1">
        <f ca="1">IF(B103="","",VLOOKUP(Website!B103,'SC (Gross)'!P:Q,2,FALSE)/100)</f>
        <v>5.1238777684018258E-2</v>
      </c>
      <c r="M103" s="1">
        <f ca="1">IF(B103="","",VLOOKUP(Website!B103,'Global (Gross)'!P:Q,2,FALSE)/100)</f>
        <v>4.3560455235483159E-2</v>
      </c>
      <c r="O103" s="1">
        <f ca="1">IF(B103="","",VLOOKUP(Website!B103,'LC (Gross)'!J:K,2,FALSE)/100)</f>
        <v>7.0477169999999992E-2</v>
      </c>
      <c r="P103" s="233">
        <f ca="1">IF(B103="","",(VLOOKUP(B103,'SC (Gross)'!J:K,2,FALSE))/100)</f>
        <v>7.065914262433097E-2</v>
      </c>
      <c r="Q103" s="233">
        <f ca="1">IF(B103="","",(VLOOKUP(B103,'Global (Gross)'!J:K,2,FALSE)/100))</f>
        <v>6.5977240000000006E-2</v>
      </c>
      <c r="S103" s="22">
        <f t="shared" ca="1" si="147"/>
        <v>-1.2296169999999988E-2</v>
      </c>
      <c r="T103" s="22">
        <f t="shared" ca="1" si="148"/>
        <v>-1.7499142624330971E-2</v>
      </c>
      <c r="U103" s="22">
        <f t="shared" ca="1" si="149"/>
        <v>-2.0337240000000006E-2</v>
      </c>
      <c r="V103" s="22"/>
      <c r="W103" s="22">
        <f t="shared" ca="1" si="166"/>
        <v>-3.2908518295939618E-2</v>
      </c>
      <c r="X103" s="22">
        <f t="shared" ca="1" si="167"/>
        <v>-1.9420364940312712E-2</v>
      </c>
      <c r="Y103" s="22">
        <f t="shared" ca="1" si="168"/>
        <v>-2.2416784764516848E-2</v>
      </c>
      <c r="EJ103">
        <f t="shared" ca="1" si="170"/>
        <v>160</v>
      </c>
      <c r="EK103" s="169">
        <f t="shared" ca="1" si="171"/>
        <v>45443</v>
      </c>
      <c r="EL103" s="1">
        <f t="shared" ca="1" si="172"/>
        <v>3.6816566581423862E-2</v>
      </c>
      <c r="EM103" s="1">
        <f t="shared" ca="1" si="173"/>
        <v>3.6378928867356414E-2</v>
      </c>
      <c r="EN103" s="1">
        <f t="shared" ca="1" si="174"/>
        <v>2.4779700000000002E-2</v>
      </c>
      <c r="EO103" s="1">
        <f t="shared" ca="1" si="175"/>
        <v>4.9585549999999999E-2</v>
      </c>
      <c r="EP103" s="1">
        <f t="shared" ca="1" si="176"/>
        <v>0</v>
      </c>
      <c r="EQ103" s="1">
        <f t="shared" ca="1" si="177"/>
        <v>0</v>
      </c>
      <c r="ER103" s="1" t="e">
        <f t="shared" ca="1" si="178"/>
        <v>#N/A</v>
      </c>
      <c r="ES103" s="1">
        <f t="shared" ca="1" si="179"/>
        <v>5.0208769999999993E-2</v>
      </c>
      <c r="ET103" s="1">
        <f t="shared" ca="1" si="180"/>
        <v>2.3062300727677544E-2</v>
      </c>
      <c r="EU103" s="1">
        <f t="shared" ca="1" si="181"/>
        <v>2.241124428223196E-2</v>
      </c>
      <c r="EV103" s="1">
        <f t="shared" ca="1" si="182"/>
        <v>1.8897520000000001E-2</v>
      </c>
      <c r="EW103" s="1">
        <f t="shared" ca="1" si="183"/>
        <v>4.1195639999999999E-2</v>
      </c>
      <c r="EX103" s="1">
        <f t="shared" ca="1" si="184"/>
        <v>4.8790269999999997E-2</v>
      </c>
      <c r="EY103" s="1">
        <f t="shared" ca="1" si="185"/>
        <v>4.7765269999999999E-2</v>
      </c>
      <c r="EZ103" s="1">
        <f t="shared" ca="1" si="186"/>
        <v>5.0208769999999993E-2</v>
      </c>
    </row>
    <row r="104" spans="1:156" x14ac:dyDescent="0.25">
      <c r="A104">
        <f t="shared" ca="1" si="169"/>
        <v>102</v>
      </c>
      <c r="B104" s="169">
        <f ca="1">IF('LC (Gross)'!A251="","",IF('LC (Gross)'!A251&gt;$AC$9,"",'LC (Gross)'!A251))</f>
        <v>43677</v>
      </c>
      <c r="C104" s="1">
        <f ca="1">IF(B104="","",(VLOOKUP(B104,'LC (Gross)'!A:D,4,FALSE)/100))</f>
        <v>2.1686E-2</v>
      </c>
      <c r="D104" s="1">
        <f ca="1">IF(B104="","",(VLOOKUP(B104,'SC (Gross)'!A:D,4,FALSE))/100)</f>
        <v>2.1333999999999999E-2</v>
      </c>
      <c r="E104" s="1">
        <f ca="1">IF(B104="","",(VLOOKUP(B104,'Global (Gross)'!A:D,4,FALSE)/100))</f>
        <v>5.1599999999999997E-4</v>
      </c>
      <c r="F104" s="1"/>
      <c r="G104" s="1">
        <f ca="1">IF(B104="","",(VLOOKUP(B104,'LC (Net)'!A:D,4,FALSE)/100))</f>
        <v>2.0898E-2</v>
      </c>
      <c r="H104" s="1">
        <f ca="1">IF(B104="","",(VLOOKUP(B104,'SC (Net)'!A:D,4,FALSE))/100)</f>
        <v>2.0453000000000002E-2</v>
      </c>
      <c r="I104" s="1">
        <f ca="1">IF(B104="","",(VLOOKUP(B104,'Global (Net)'!A:D,4,FALSE)/100))</f>
        <v>-5.0599999999999994E-4</v>
      </c>
      <c r="J104" s="1"/>
      <c r="K104" s="1">
        <f ca="1">IF(B104="","",VLOOKUP(Website!B104,'LC (Gross)'!W:X,2,FALSE)/100)</f>
        <v>1.0579608534584718E-2</v>
      </c>
      <c r="L104" s="1">
        <f ca="1">IF(B104="","",VLOOKUP(Website!B104,'SC (Gross)'!P:Q,2,FALSE)/100)</f>
        <v>1.683049754582654E-2</v>
      </c>
      <c r="M104" s="1">
        <f ca="1">IF(B104="","",VLOOKUP(Website!B104,'Global (Gross)'!P:Q,2,FALSE)/100)</f>
        <v>2.4967827718830275E-3</v>
      </c>
      <c r="O104" s="1">
        <f ca="1">IF(B104="","",VLOOKUP(Website!B104,'LC (Gross)'!J:K,2,FALSE)/100)</f>
        <v>1.437272E-2</v>
      </c>
      <c r="P104" s="233">
        <f ca="1">IF(B104="","",(VLOOKUP(B104,'SC (Gross)'!J:K,2,FALSE))/100)</f>
        <v>5.7276328251731319E-3</v>
      </c>
      <c r="Q104" s="233">
        <f ca="1">IF(B104="","",(VLOOKUP(B104,'Global (Gross)'!J:K,2,FALSE)/100))</f>
        <v>3.2810790000000001E-3</v>
      </c>
      <c r="S104" s="22">
        <f t="shared" ca="1" si="147"/>
        <v>7.3132800000000001E-3</v>
      </c>
      <c r="T104" s="22">
        <f t="shared" ca="1" si="148"/>
        <v>1.5606367174826868E-2</v>
      </c>
      <c r="U104" s="22">
        <f t="shared" ca="1" si="149"/>
        <v>-2.7650790000000001E-3</v>
      </c>
      <c r="V104" s="22"/>
      <c r="W104" s="22">
        <f t="shared" ca="1" si="166"/>
        <v>-3.7931114654152828E-3</v>
      </c>
      <c r="X104" s="22">
        <f t="shared" ca="1" si="167"/>
        <v>1.1102864720653409E-2</v>
      </c>
      <c r="Y104" s="22">
        <f t="shared" ca="1" si="168"/>
        <v>-7.8429622811697266E-4</v>
      </c>
      <c r="EJ104">
        <f t="shared" ca="1" si="170"/>
        <v>161</v>
      </c>
      <c r="EK104" s="169">
        <f t="shared" ca="1" si="171"/>
        <v>45473</v>
      </c>
      <c r="EL104" s="1">
        <f t="shared" ca="1" si="172"/>
        <v>1.9618040202060379E-2</v>
      </c>
      <c r="EM104" s="1">
        <f t="shared" ca="1" si="173"/>
        <v>1.9181031885381162E-2</v>
      </c>
      <c r="EN104" s="1">
        <f t="shared" ca="1" si="174"/>
        <v>-1.6201969999999999E-3</v>
      </c>
      <c r="EO104" s="1">
        <f t="shared" ca="1" si="175"/>
        <v>3.5878790000000001E-2</v>
      </c>
      <c r="EP104" s="1">
        <f t="shared" ca="1" si="176"/>
        <v>0</v>
      </c>
      <c r="EQ104" s="1">
        <f t="shared" ca="1" si="177"/>
        <v>0</v>
      </c>
      <c r="ER104" s="1" t="e">
        <f t="shared" ca="1" si="178"/>
        <v>#N/A</v>
      </c>
      <c r="ES104" s="1">
        <f t="shared" ca="1" si="179"/>
        <v>-9.264521999999999E-3</v>
      </c>
      <c r="ET104" s="1">
        <f t="shared" ca="1" si="180"/>
        <v>2.9304903650030998E-3</v>
      </c>
      <c r="EU104" s="1">
        <f t="shared" ca="1" si="181"/>
        <v>2.2657466972229178E-3</v>
      </c>
      <c r="EV104" s="1">
        <f t="shared" ca="1" si="182"/>
        <v>1.229474E-2</v>
      </c>
      <c r="EW104" s="1">
        <f t="shared" ca="1" si="183"/>
        <v>2.2624209999999999E-2</v>
      </c>
      <c r="EX104" s="1">
        <f t="shared" ca="1" si="184"/>
        <v>-2.372264E-2</v>
      </c>
      <c r="EY104" s="1">
        <f t="shared" ca="1" si="185"/>
        <v>-2.4747640000000001E-2</v>
      </c>
      <c r="EZ104" s="1">
        <f t="shared" ca="1" si="186"/>
        <v>-9.264521999999999E-3</v>
      </c>
    </row>
    <row r="105" spans="1:156" x14ac:dyDescent="0.25">
      <c r="A105">
        <f t="shared" ca="1" si="169"/>
        <v>103</v>
      </c>
      <c r="B105" s="169">
        <f ca="1">IF('LC (Gross)'!A252="","",IF('LC (Gross)'!A252&gt;$AC$9,"",'LC (Gross)'!A252))</f>
        <v>43708</v>
      </c>
      <c r="C105" s="1">
        <f ca="1">IF(B105="","",(VLOOKUP(B105,'LC (Gross)'!A:D,4,FALSE)/100))</f>
        <v>9.077E-3</v>
      </c>
      <c r="D105" s="1">
        <f ca="1">IF(B105="","",(VLOOKUP(B105,'SC (Gross)'!A:D,4,FALSE))/100)</f>
        <v>-3.4944000000000003E-2</v>
      </c>
      <c r="E105" s="1">
        <f ca="1">IF(B105="","",(VLOOKUP(B105,'Global (Gross)'!A:D,4,FALSE)/100))</f>
        <v>4.2570000000000004E-3</v>
      </c>
      <c r="F105" s="1"/>
      <c r="G105" s="1">
        <f ca="1">IF(B105="","",(VLOOKUP(B105,'LC (Net)'!A:D,4,FALSE)/100))</f>
        <v>8.4580000000000002E-3</v>
      </c>
      <c r="H105" s="1">
        <f ca="1">IF(B105="","",(VLOOKUP(B105,'SC (Net)'!A:D,4,FALSE))/100)</f>
        <v>-3.5466999999999999E-2</v>
      </c>
      <c r="I105" s="1">
        <f ca="1">IF(B105="","",(VLOOKUP(B105,'Global (Net)'!A:D,4,FALSE)/100))</f>
        <v>3.8890000000000001E-3</v>
      </c>
      <c r="J105" s="1"/>
      <c r="K105" s="1">
        <f ca="1">IF(B105="","",VLOOKUP(Website!B105,'LC (Gross)'!W:X,2,FALSE)/100)</f>
        <v>2.4347946344671131E-2</v>
      </c>
      <c r="L105" s="1">
        <f ca="1">IF(B105="","",VLOOKUP(Website!B105,'SC (Gross)'!P:Q,2,FALSE)/100)</f>
        <v>-2.5231217862442534E-2</v>
      </c>
      <c r="M105" s="1">
        <f ca="1">IF(B105="","",VLOOKUP(Website!B105,'Global (Gross)'!P:Q,2,FALSE)/100)</f>
        <v>1.4560961806742698E-2</v>
      </c>
      <c r="O105" s="1">
        <f ca="1">IF(B105="","",VLOOKUP(Website!B105,'LC (Gross)'!J:K,2,FALSE)/100)</f>
        <v>-1.5840069999999998E-2</v>
      </c>
      <c r="P105" s="233">
        <f ca="1">IF(B105="","",(VLOOKUP(B105,'SC (Gross)'!J:K,2,FALSE))/100)</f>
        <v>-4.9388228429049989E-2</v>
      </c>
      <c r="Q105" s="233">
        <f ca="1">IF(B105="","",(VLOOKUP(B105,'Global (Gross)'!J:K,2,FALSE)/100))</f>
        <v>-2.3207909999999998E-2</v>
      </c>
      <c r="S105" s="22">
        <f t="shared" ca="1" si="147"/>
        <v>2.4917069999999999E-2</v>
      </c>
      <c r="T105" s="22">
        <f t="shared" ca="1" si="148"/>
        <v>1.4444228429049986E-2</v>
      </c>
      <c r="U105" s="22">
        <f t="shared" ca="1" si="149"/>
        <v>2.7464909999999999E-2</v>
      </c>
      <c r="V105" s="22"/>
      <c r="W105" s="22">
        <f t="shared" ca="1" si="166"/>
        <v>4.0188016344671132E-2</v>
      </c>
      <c r="X105" s="22">
        <f t="shared" ca="1" si="167"/>
        <v>2.4157010566607455E-2</v>
      </c>
      <c r="Y105" s="22">
        <f t="shared" ca="1" si="168"/>
        <v>3.7768871806742696E-2</v>
      </c>
      <c r="EJ105">
        <f t="shared" ca="1" si="170"/>
        <v>162</v>
      </c>
      <c r="EK105" s="169">
        <f t="shared" ca="1" si="171"/>
        <v>45504</v>
      </c>
      <c r="EL105" s="1">
        <f t="shared" ca="1" si="172"/>
        <v>2.831799119855178E-2</v>
      </c>
      <c r="EM105" s="1">
        <f t="shared" ca="1" si="173"/>
        <v>2.7279068047180388E-2</v>
      </c>
      <c r="EN105" s="1">
        <f t="shared" ca="1" si="174"/>
        <v>4.4021290000000005E-2</v>
      </c>
      <c r="EO105" s="1">
        <f t="shared" ca="1" si="175"/>
        <v>1.2172529999999999E-2</v>
      </c>
      <c r="EP105" s="1">
        <f t="shared" ca="1" si="176"/>
        <v>0</v>
      </c>
      <c r="EQ105" s="1" t="e">
        <f t="shared" ca="1" si="177"/>
        <v>#N/A</v>
      </c>
      <c r="ER105" s="1" t="e">
        <f t="shared" ca="1" si="178"/>
        <v>#N/A</v>
      </c>
      <c r="ES105" s="1">
        <f t="shared" ca="1" si="179"/>
        <v>0.1015991</v>
      </c>
      <c r="ET105" s="1">
        <f t="shared" ca="1" si="180"/>
        <v>2.6325542624837085E-2</v>
      </c>
      <c r="EU105" s="1">
        <f t="shared" ca="1" si="181"/>
        <v>2.5553737156955223E-2</v>
      </c>
      <c r="EV105" s="1">
        <f t="shared" ca="1" si="182"/>
        <v>4.0605929999999998E-2</v>
      </c>
      <c r="EW105" s="1">
        <f t="shared" ca="1" si="183"/>
        <v>1.6436079999999999E-2</v>
      </c>
      <c r="EX105" s="1">
        <f t="shared" ca="1" si="184"/>
        <v>9.95225E-2</v>
      </c>
      <c r="EY105" s="1">
        <f t="shared" ca="1" si="185"/>
        <v>9.8497500000000002E-2</v>
      </c>
      <c r="EZ105" s="1">
        <f t="shared" ca="1" si="186"/>
        <v>0.1015991</v>
      </c>
    </row>
    <row r="106" spans="1:156" x14ac:dyDescent="0.25">
      <c r="A106">
        <f t="shared" ca="1" si="169"/>
        <v>104</v>
      </c>
      <c r="B106" s="169">
        <f ca="1">IF('LC (Gross)'!A253="","",IF('LC (Gross)'!A253&gt;$AC$9,"",'LC (Gross)'!A253))</f>
        <v>43738</v>
      </c>
      <c r="C106" s="1">
        <f ca="1">IF(B106="","",(VLOOKUP(B106,'LC (Gross)'!A:D,4,FALSE)/100))</f>
        <v>1.0305E-2</v>
      </c>
      <c r="D106" s="1">
        <f ca="1">IF(B106="","",(VLOOKUP(B106,'SC (Gross)'!A:D,4,FALSE))/100)</f>
        <v>4.1382000000000002E-2</v>
      </c>
      <c r="E106" s="1">
        <f ca="1">IF(B106="","",(VLOOKUP(B106,'Global (Gross)'!A:D,4,FALSE)/100))</f>
        <v>1.5269999999999999E-2</v>
      </c>
      <c r="F106" s="1"/>
      <c r="G106" s="1">
        <f ca="1">IF(B106="","",(VLOOKUP(B106,'LC (Net)'!A:D,4,FALSE)/100))</f>
        <v>9.6699999999999998E-3</v>
      </c>
      <c r="H106" s="1">
        <f ca="1">IF(B106="","",(VLOOKUP(B106,'SC (Net)'!A:D,4,FALSE))/100)</f>
        <v>4.0861999999999996E-2</v>
      </c>
      <c r="I106" s="1">
        <f ca="1">IF(B106="","",(VLOOKUP(B106,'Global (Net)'!A:D,4,FALSE)/100))</f>
        <v>1.4902E-2</v>
      </c>
      <c r="J106" s="1"/>
      <c r="K106" s="1">
        <f ca="1">IF(B106="","",VLOOKUP(Website!B106,'LC (Gross)'!W:X,2,FALSE)/100)</f>
        <v>2.2043600810949165E-2</v>
      </c>
      <c r="L106" s="1">
        <f ca="1">IF(B106="","",VLOOKUP(Website!B106,'SC (Gross)'!P:Q,2,FALSE)/100)</f>
        <v>3.37305889798067E-2</v>
      </c>
      <c r="M106" s="1">
        <f ca="1">IF(B106="","",VLOOKUP(Website!B106,'Global (Gross)'!P:Q,2,FALSE)/100)</f>
        <v>1.1785595046831587E-2</v>
      </c>
      <c r="O106" s="1">
        <f ca="1">IF(B106="","",VLOOKUP(Website!B106,'LC (Gross)'!J:K,2,FALSE)/100)</f>
        <v>1.871072E-2</v>
      </c>
      <c r="P106" s="233">
        <f ca="1">IF(B106="","",(VLOOKUP(B106,'SC (Gross)'!J:K,2,FALSE))/100)</f>
        <v>2.0805680904424927E-2</v>
      </c>
      <c r="Q106" s="233">
        <f ca="1">IF(B106="","",(VLOOKUP(B106,'Global (Gross)'!J:K,2,FALSE)/100))</f>
        <v>2.1464979999999998E-2</v>
      </c>
      <c r="S106" s="22">
        <f t="shared" ca="1" si="147"/>
        <v>-8.4057200000000002E-3</v>
      </c>
      <c r="T106" s="22">
        <f t="shared" ca="1" si="148"/>
        <v>2.0576319095575075E-2</v>
      </c>
      <c r="U106" s="22">
        <f t="shared" ca="1" si="149"/>
        <v>-6.1949799999999992E-3</v>
      </c>
      <c r="V106" s="22"/>
      <c r="W106" s="22">
        <f t="shared" ca="1" si="166"/>
        <v>3.3328808109491653E-3</v>
      </c>
      <c r="X106" s="22">
        <f t="shared" ca="1" si="167"/>
        <v>1.2924908075381773E-2</v>
      </c>
      <c r="Y106" s="22">
        <f t="shared" ca="1" si="168"/>
        <v>-9.6793849531684115E-3</v>
      </c>
      <c r="EJ106">
        <f t="shared" ca="1" si="170"/>
        <v>163</v>
      </c>
      <c r="EK106" s="169">
        <f t="shared" ca="1" si="171"/>
        <v>45535</v>
      </c>
      <c r="EL106" s="1">
        <f t="shared" ca="1" si="172"/>
        <v>5.0407000699022798E-2</v>
      </c>
      <c r="EM106" s="1">
        <f t="shared" ca="1" si="173"/>
        <v>4.9884144927988247E-2</v>
      </c>
      <c r="EN106" s="1">
        <f t="shared" ca="1" si="174"/>
        <v>5.2126460000000006E-2</v>
      </c>
      <c r="EO106" s="1">
        <f t="shared" ca="1" si="175"/>
        <v>2.4257540000000001E-2</v>
      </c>
      <c r="EP106" s="1">
        <f t="shared" ca="1" si="176"/>
        <v>0</v>
      </c>
      <c r="EQ106" s="1" t="e">
        <f t="shared" ca="1" si="177"/>
        <v>#N/A</v>
      </c>
      <c r="ER106" s="1" t="e">
        <f t="shared" ca="1" si="178"/>
        <v>#N/A</v>
      </c>
      <c r="ES106" s="1">
        <f t="shared" ca="1" si="179"/>
        <v>-1.4953719999999998E-2</v>
      </c>
      <c r="ET106" s="1">
        <f t="shared" ca="1" si="180"/>
        <v>3.7140227881264122E-2</v>
      </c>
      <c r="EU106" s="1">
        <f t="shared" ca="1" si="181"/>
        <v>3.6476639369329274E-2</v>
      </c>
      <c r="EV106" s="1">
        <f t="shared" ca="1" si="182"/>
        <v>4.6167090000000001E-2</v>
      </c>
      <c r="EW106" s="1">
        <f t="shared" ca="1" si="183"/>
        <v>2.5737969999999999E-2</v>
      </c>
      <c r="EX106" s="1">
        <f t="shared" ca="1" si="184"/>
        <v>-1.7819979999999999E-2</v>
      </c>
      <c r="EY106" s="1">
        <f t="shared" ca="1" si="185"/>
        <v>-1.8844980000000001E-2</v>
      </c>
      <c r="EZ106" s="1">
        <f t="shared" ca="1" si="186"/>
        <v>-1.4953719999999998E-2</v>
      </c>
    </row>
    <row r="107" spans="1:156" x14ac:dyDescent="0.25">
      <c r="A107">
        <f t="shared" ca="1" si="169"/>
        <v>105</v>
      </c>
      <c r="B107" s="169">
        <f ca="1">IF('LC (Gross)'!A254="","",IF('LC (Gross)'!A254&gt;$AC$9,"",'LC (Gross)'!A254))</f>
        <v>43769</v>
      </c>
      <c r="C107" s="1">
        <f ca="1">IF(B107="","",(VLOOKUP(B107,'LC (Gross)'!A:D,4,FALSE)/100))</f>
        <v>-3.055E-3</v>
      </c>
      <c r="D107" s="1">
        <f ca="1">IF(B107="","",(VLOOKUP(B107,'SC (Gross)'!A:D,4,FALSE))/100)</f>
        <v>1.6278000000000001E-2</v>
      </c>
      <c r="E107" s="1">
        <f ca="1">IF(B107="","",(VLOOKUP(B107,'Global (Gross)'!A:D,4,FALSE)/100))</f>
        <v>7.6000000000000004E-5</v>
      </c>
      <c r="F107" s="1"/>
      <c r="G107" s="1">
        <f ca="1">IF(B107="","",(VLOOKUP(B107,'LC (Net)'!A:D,4,FALSE)/100))</f>
        <v>-3.7000000000000002E-3</v>
      </c>
      <c r="H107" s="1">
        <f ca="1">IF(B107="","",(VLOOKUP(B107,'SC (Net)'!A:D,4,FALSE))/100)</f>
        <v>1.5744999999999999E-2</v>
      </c>
      <c r="I107" s="1">
        <f ca="1">IF(B107="","",(VLOOKUP(B107,'Global (Net)'!A:D,4,FALSE)/100))</f>
        <v>-9.2700000000000009E-4</v>
      </c>
      <c r="J107" s="1"/>
      <c r="K107" s="1">
        <f ca="1">IF(B107="","",VLOOKUP(Website!B107,'LC (Gross)'!W:X,2,FALSE)/100)</f>
        <v>-3.7818312881583598E-3</v>
      </c>
      <c r="L107" s="1">
        <f ca="1">IF(B107="","",VLOOKUP(Website!B107,'SC (Gross)'!P:Q,2,FALSE)/100)</f>
        <v>2.6747834872361292E-2</v>
      </c>
      <c r="M107" s="1">
        <f ca="1">IF(B107="","",VLOOKUP(Website!B107,'Global (Gross)'!P:Q,2,FALSE)/100)</f>
        <v>1.0793504400695297E-2</v>
      </c>
      <c r="O107" s="1">
        <f ca="1">IF(B107="","",VLOOKUP(Website!B107,'LC (Gross)'!J:K,2,FALSE)/100)</f>
        <v>2.1657300000000001E-2</v>
      </c>
      <c r="P107" s="233">
        <f ca="1">IF(B107="","",(VLOOKUP(B107,'SC (Gross)'!J:K,2,FALSE))/100)</f>
        <v>2.633634E-2</v>
      </c>
      <c r="Q107" s="233">
        <f ca="1">IF(B107="","",(VLOOKUP(B107,'Global (Gross)'!J:K,2,FALSE)/100))</f>
        <v>2.7620949999999998E-2</v>
      </c>
      <c r="S107" s="22">
        <f t="shared" ca="1" si="147"/>
        <v>-2.47123E-2</v>
      </c>
      <c r="T107" s="22">
        <f t="shared" ca="1" si="148"/>
        <v>-1.0058339999999999E-2</v>
      </c>
      <c r="U107" s="22">
        <f t="shared" ca="1" si="149"/>
        <v>-2.7544949999999999E-2</v>
      </c>
      <c r="V107" s="22"/>
      <c r="W107" s="22">
        <f t="shared" ca="1" si="166"/>
        <v>-2.5439131288158362E-2</v>
      </c>
      <c r="X107" s="22">
        <f t="shared" ca="1" si="167"/>
        <v>4.1149487236129267E-4</v>
      </c>
      <c r="Y107" s="22">
        <f t="shared" ca="1" si="168"/>
        <v>-1.68274455993047E-2</v>
      </c>
      <c r="EJ107">
        <f t="shared" ca="1" si="170"/>
        <v>164</v>
      </c>
      <c r="EK107" s="169">
        <f t="shared" ca="1" si="171"/>
        <v>45565</v>
      </c>
      <c r="EL107" s="1">
        <f t="shared" ca="1" si="172"/>
        <v>4.1410713689470063E-3</v>
      </c>
      <c r="EM107" s="1">
        <f t="shared" ca="1" si="173"/>
        <v>3.6247302426418125E-3</v>
      </c>
      <c r="EN107" s="1">
        <f t="shared" ca="1" si="174"/>
        <v>1.059823E-2</v>
      </c>
      <c r="EO107" s="1">
        <f t="shared" ca="1" si="175"/>
        <v>2.1354150000000002E-2</v>
      </c>
      <c r="EP107" s="1">
        <f t="shared" ca="1" si="176"/>
        <v>0</v>
      </c>
      <c r="EQ107" s="1" t="e">
        <f t="shared" ca="1" si="177"/>
        <v>#N/A</v>
      </c>
      <c r="ER107" s="1" t="e">
        <f t="shared" ca="1" si="178"/>
        <v>#N/A</v>
      </c>
      <c r="ES107" s="1">
        <f t="shared" ca="1" si="179"/>
        <v>6.9889100000000001E-3</v>
      </c>
      <c r="ET107" s="1">
        <f t="shared" ca="1" si="180"/>
        <v>2.0445989999999992E-4</v>
      </c>
      <c r="EU107" s="1">
        <f t="shared" ca="1" si="181"/>
        <v>-4.9554010000000008E-4</v>
      </c>
      <c r="EV107" s="1">
        <f t="shared" ca="1" si="182"/>
        <v>1.028713E-2</v>
      </c>
      <c r="EW107" s="1">
        <f t="shared" ca="1" si="183"/>
        <v>2.3676279999999997E-2</v>
      </c>
      <c r="EX107" s="1">
        <f t="shared" ca="1" si="184"/>
        <v>1.3416570000000001E-2</v>
      </c>
      <c r="EY107" s="1">
        <f t="shared" ca="1" si="185"/>
        <v>1.2391570000000001E-2</v>
      </c>
      <c r="EZ107" s="1">
        <f t="shared" ca="1" si="186"/>
        <v>6.9889100000000001E-3</v>
      </c>
    </row>
    <row r="108" spans="1:156" x14ac:dyDescent="0.25">
      <c r="A108">
        <f t="shared" ca="1" si="169"/>
        <v>106</v>
      </c>
      <c r="B108" s="169">
        <f ca="1">IF('LC (Gross)'!A255="","",IF('LC (Gross)'!A255&gt;$AC$9,"",'LC (Gross)'!A255))</f>
        <v>43799</v>
      </c>
      <c r="C108" s="1">
        <f ca="1">IF(B108="","",(VLOOKUP(B108,'LC (Gross)'!A:D,4,FALSE)/100))</f>
        <v>2.0211E-2</v>
      </c>
      <c r="D108" s="1">
        <f ca="1">IF(B108="","",(VLOOKUP(B108,'SC (Gross)'!A:D,4,FALSE))/100)</f>
        <v>1.2399E-2</v>
      </c>
      <c r="E108" s="1">
        <f ca="1">IF(B108="","",(VLOOKUP(B108,'Global (Gross)'!A:D,4,FALSE)/100))</f>
        <v>1.6138E-2</v>
      </c>
      <c r="F108" s="1"/>
      <c r="G108" s="1">
        <f ca="1">IF(B108="","",(VLOOKUP(B108,'LC (Net)'!A:D,4,FALSE)/100))</f>
        <v>1.9436999999999999E-2</v>
      </c>
      <c r="H108" s="1">
        <f ca="1">IF(B108="","",(VLOOKUP(B108,'SC (Net)'!A:D,4,FALSE))/100)</f>
        <v>1.1524000000000001E-2</v>
      </c>
      <c r="I108" s="1">
        <f ca="1">IF(B108="","",(VLOOKUP(B108,'Global (Net)'!A:D,4,FALSE)/100))</f>
        <v>1.5698E-2</v>
      </c>
      <c r="J108" s="1"/>
      <c r="K108" s="1">
        <f ca="1">IF(B108="","",VLOOKUP(Website!B108,'LC (Gross)'!W:X,2,FALSE)/100)</f>
        <v>4.5487515521080491E-4</v>
      </c>
      <c r="L108" s="1">
        <f ca="1">IF(B108="","",VLOOKUP(Website!B108,'SC (Gross)'!P:Q,2,FALSE)/100)</f>
        <v>7.4425547350908785E-3</v>
      </c>
      <c r="M108" s="1">
        <f ca="1">IF(B108="","",VLOOKUP(Website!B108,'Global (Gross)'!P:Q,2,FALSE)/100)</f>
        <v>9.2091176881414728E-4</v>
      </c>
      <c r="O108" s="1">
        <f ca="1">IF(B108="","",VLOOKUP(Website!B108,'LC (Gross)'!J:K,2,FALSE)/100)</f>
        <v>3.6299899999999996E-2</v>
      </c>
      <c r="P108" s="233">
        <f ca="1">IF(B108="","",(VLOOKUP(B108,'SC (Gross)'!J:K,2,FALSE))/100)</f>
        <v>4.1039970911143836E-2</v>
      </c>
      <c r="Q108" s="233">
        <f ca="1">IF(B108="","",(VLOOKUP(B108,'Global (Gross)'!J:K,2,FALSE)/100))</f>
        <v>2.4884491648913109E-2</v>
      </c>
      <c r="S108" s="22">
        <f t="shared" ca="1" si="147"/>
        <v>-1.6088899999999996E-2</v>
      </c>
      <c r="T108" s="22">
        <f t="shared" ca="1" si="148"/>
        <v>-2.8640970911143836E-2</v>
      </c>
      <c r="U108" s="22">
        <f t="shared" ca="1" si="149"/>
        <v>-8.7464916489131093E-3</v>
      </c>
      <c r="V108" s="22"/>
      <c r="W108" s="22">
        <f t="shared" ca="1" si="166"/>
        <v>-3.5845024844789193E-2</v>
      </c>
      <c r="X108" s="22">
        <f t="shared" ca="1" si="167"/>
        <v>-3.3597416176052955E-2</v>
      </c>
      <c r="Y108" s="22">
        <f t="shared" ca="1" si="168"/>
        <v>-2.3963579880098961E-2</v>
      </c>
      <c r="EJ108">
        <f t="shared" ca="1" si="170"/>
        <v>165</v>
      </c>
      <c r="EK108" s="169">
        <f t="shared" ca="1" si="171"/>
        <v>45596</v>
      </c>
      <c r="EL108" s="1">
        <f t="shared" ca="1" si="172"/>
        <v>-2.837943522339902E-2</v>
      </c>
      <c r="EM108" s="1">
        <f t="shared" ca="1" si="173"/>
        <v>-2.8920142538052706E-2</v>
      </c>
      <c r="EN108" s="1">
        <f t="shared" ca="1" si="174"/>
        <v>-8.7954690000000002E-3</v>
      </c>
      <c r="EO108" s="1">
        <f t="shared" ca="1" si="175"/>
        <v>-9.1531749999999995E-3</v>
      </c>
      <c r="EP108" s="1">
        <f t="shared" ca="1" si="176"/>
        <v>0</v>
      </c>
      <c r="EQ108" s="1" t="e">
        <f t="shared" ca="1" si="177"/>
        <v>#N/A</v>
      </c>
      <c r="ER108" s="1" t="e">
        <f t="shared" ca="1" si="178"/>
        <v>#N/A</v>
      </c>
      <c r="ES108" s="1">
        <f t="shared" ca="1" si="179"/>
        <v>-1.444409E-2</v>
      </c>
      <c r="ET108" s="1">
        <f t="shared" ca="1" si="180"/>
        <v>-3.4005010000000002E-2</v>
      </c>
      <c r="EU108" s="1">
        <f t="shared" ca="1" si="181"/>
        <v>-3.4705010000000001E-2</v>
      </c>
      <c r="EV108" s="1">
        <f t="shared" ca="1" si="182"/>
        <v>-2.4867189999999997E-2</v>
      </c>
      <c r="EW108" s="1">
        <f t="shared" ca="1" si="183"/>
        <v>-2.211631E-2</v>
      </c>
      <c r="EX108" s="1">
        <f t="shared" ca="1" si="184"/>
        <v>-2.8962759999999997E-2</v>
      </c>
      <c r="EY108" s="1">
        <f t="shared" ca="1" si="185"/>
        <v>-2.9987759999999999E-2</v>
      </c>
      <c r="EZ108" s="1">
        <f t="shared" ca="1" si="186"/>
        <v>-1.444409E-2</v>
      </c>
    </row>
    <row r="109" spans="1:156" x14ac:dyDescent="0.25">
      <c r="A109">
        <f t="shared" ca="1" si="169"/>
        <v>107</v>
      </c>
      <c r="B109" s="169">
        <f ca="1">IF('LC (Gross)'!A256="","",IF('LC (Gross)'!A256&gt;$AC$9,"",'LC (Gross)'!A256))</f>
        <v>43830</v>
      </c>
      <c r="C109" s="1">
        <f ca="1">IF(B109="","",(VLOOKUP(B109,'LC (Gross)'!A:D,4,FALSE)/100))</f>
        <v>2.0333E-2</v>
      </c>
      <c r="D109" s="1">
        <f ca="1">IF(B109="","",(VLOOKUP(B109,'SC (Gross)'!A:D,4,FALSE))/100)</f>
        <v>1.6506E-2</v>
      </c>
      <c r="E109" s="1">
        <f ca="1">IF(B109="","",(VLOOKUP(B109,'Global (Gross)'!A:D,4,FALSE)/100))</f>
        <v>2.2049610000000001E-2</v>
      </c>
      <c r="F109" s="1"/>
      <c r="G109" s="1">
        <f ca="1">IF(B109="","",(VLOOKUP(B109,'LC (Net)'!A:D,4,FALSE)/100))</f>
        <v>1.9689999999999999E-2</v>
      </c>
      <c r="H109" s="1">
        <f ca="1">IF(B109="","",(VLOOKUP(B109,'SC (Net)'!A:D,4,FALSE))/100)</f>
        <v>1.5955999999999998E-2</v>
      </c>
      <c r="I109" s="1">
        <f ca="1">IF(B109="","",(VLOOKUP(B109,'Global (Net)'!A:D,4,FALSE)/100))</f>
        <v>2.1569999999999999E-2</v>
      </c>
      <c r="J109" s="1"/>
      <c r="K109" s="1">
        <f ca="1">IF(B109="","",VLOOKUP(Website!B109,'LC (Gross)'!W:X,2,FALSE)/100)</f>
        <v>1.7599526723614332E-2</v>
      </c>
      <c r="L109" s="1">
        <f ca="1">IF(B109="","",VLOOKUP(Website!B109,'SC (Gross)'!P:Q,2,FALSE)/100)</f>
        <v>1.597122778554939E-2</v>
      </c>
      <c r="M109" s="1">
        <f ca="1">IF(B109="","",VLOOKUP(Website!B109,'Global (Gross)'!P:Q,2,FALSE)/100)</f>
        <v>1.8871198089818231E-2</v>
      </c>
      <c r="O109" s="1">
        <f ca="1">IF(B109="","",VLOOKUP(Website!B109,'LC (Gross)'!J:K,2,FALSE)/100)</f>
        <v>3.0115039999999999E-2</v>
      </c>
      <c r="P109" s="233">
        <f ca="1">IF(B109="","",(VLOOKUP(B109,'SC (Gross)'!J:K,2,FALSE))/100)</f>
        <v>2.8824800000000001E-2</v>
      </c>
      <c r="Q109" s="233">
        <f ca="1">IF(B109="","",(VLOOKUP(B109,'Global (Gross)'!J:K,2,FALSE)/100))</f>
        <v>3.5623201575041646E-2</v>
      </c>
      <c r="S109" s="22">
        <f t="shared" ca="1" si="147"/>
        <v>-9.7820399999999988E-3</v>
      </c>
      <c r="T109" s="22">
        <f t="shared" ca="1" si="148"/>
        <v>-1.2318800000000001E-2</v>
      </c>
      <c r="U109" s="22">
        <f t="shared" ca="1" si="149"/>
        <v>-1.3573591575041646E-2</v>
      </c>
      <c r="V109" s="22"/>
      <c r="W109" s="22">
        <f t="shared" ca="1" si="166"/>
        <v>-1.2515513276385667E-2</v>
      </c>
      <c r="X109" s="22">
        <f t="shared" ca="1" si="167"/>
        <v>-1.2853572214450611E-2</v>
      </c>
      <c r="Y109" s="22">
        <f t="shared" ca="1" si="168"/>
        <v>-1.6752003485223415E-2</v>
      </c>
      <c r="EJ109">
        <f t="shared" ca="1" si="170"/>
        <v>166</v>
      </c>
      <c r="EK109" s="169">
        <f t="shared" ca="1" si="171"/>
        <v>45626</v>
      </c>
      <c r="EL109" s="1">
        <f t="shared" ca="1" si="172"/>
        <v>7.127046480052722E-2</v>
      </c>
      <c r="EM109" s="1">
        <f t="shared" ca="1" si="173"/>
        <v>7.0755668790189269E-2</v>
      </c>
      <c r="EN109" s="1">
        <f t="shared" ca="1" si="174"/>
        <v>5.5308940000000001E-2</v>
      </c>
      <c r="EO109" s="1">
        <f t="shared" ca="1" si="175"/>
        <v>5.8699979999999999E-2</v>
      </c>
      <c r="EP109" s="1">
        <f t="shared" ca="1" si="176"/>
        <v>0</v>
      </c>
      <c r="EQ109" s="1" t="e">
        <f t="shared" ca="1" si="177"/>
        <v>#N/A</v>
      </c>
      <c r="ER109" s="1" t="e">
        <f t="shared" ca="1" si="178"/>
        <v>#N/A</v>
      </c>
      <c r="ES109" s="1">
        <f t="shared" ca="1" si="179"/>
        <v>0.10966110000000001</v>
      </c>
      <c r="ET109" s="1">
        <f t="shared" ca="1" si="180"/>
        <v>4.0504829999999999E-2</v>
      </c>
      <c r="EU109" s="1">
        <f t="shared" ca="1" si="181"/>
        <v>3.9804829999999999E-2</v>
      </c>
      <c r="EV109" s="1">
        <f t="shared" ca="1" si="182"/>
        <v>2.9571960000000001E-2</v>
      </c>
      <c r="EW109" s="1">
        <f t="shared" ca="1" si="183"/>
        <v>3.7734209999999997E-2</v>
      </c>
      <c r="EX109" s="1">
        <f t="shared" ca="1" si="184"/>
        <v>8.9668529999999982E-2</v>
      </c>
      <c r="EY109" s="1">
        <f t="shared" ca="1" si="185"/>
        <v>8.8643529999999998E-2</v>
      </c>
      <c r="EZ109" s="1">
        <f t="shared" ca="1" si="186"/>
        <v>0.10966110000000001</v>
      </c>
    </row>
    <row r="110" spans="1:156" x14ac:dyDescent="0.25">
      <c r="A110">
        <f t="shared" ca="1" si="169"/>
        <v>108</v>
      </c>
      <c r="B110" s="169">
        <f ca="1">IF('LC (Gross)'!A257="","",IF('LC (Gross)'!A257&gt;$AC$9,"",'LC (Gross)'!A257))</f>
        <v>43861</v>
      </c>
      <c r="C110" s="1">
        <f ca="1">IF(B110="","",(VLOOKUP(B110,'LC (Gross)'!A:D,4,FALSE)/100))</f>
        <v>1.7665E-2</v>
      </c>
      <c r="D110" s="1">
        <f ca="1">IF(B110="","",(VLOOKUP(B110,'SC (Gross)'!A:D,4,FALSE))/100)</f>
        <v>-3.0228000000000001E-2</v>
      </c>
      <c r="E110" s="1">
        <f ca="1">IF(B110="","",(VLOOKUP(B110,'Global (Gross)'!A:D,4,FALSE)/100))</f>
        <v>1.0735E-2</v>
      </c>
      <c r="F110" s="1"/>
      <c r="G110" s="1">
        <f ca="1">IF(B110="","",(VLOOKUP(B110,'LC (Net)'!A:D,4,FALSE)/100))</f>
        <v>1.7004999999999999E-2</v>
      </c>
      <c r="H110" s="1">
        <f ca="1">IF(B110="","",(VLOOKUP(B110,'SC (Net)'!A:D,4,FALSE))/100)</f>
        <v>-3.0786999999999998E-2</v>
      </c>
      <c r="I110" s="1">
        <f ca="1">IF(B110="","",(VLOOKUP(B110,'Global (Net)'!A:D,4,FALSE)/100))</f>
        <v>9.6460000000000001E-3</v>
      </c>
      <c r="J110" s="1"/>
      <c r="K110" s="1">
        <f ca="1">IF(B110="","",VLOOKUP(Website!B110,'LC (Gross)'!W:X,2,FALSE)/100)</f>
        <v>3.0699283991019038E-2</v>
      </c>
      <c r="L110" s="1">
        <f ca="1">IF(B110="","",VLOOKUP(Website!B110,'SC (Gross)'!P:Q,2,FALSE)/100)</f>
        <v>-2.464141827677082E-2</v>
      </c>
      <c r="M110" s="1">
        <f ca="1">IF(B110="","",VLOOKUP(Website!B110,'Global (Gross)'!P:Q,2,FALSE)/100)</f>
        <v>1.4263776849507243E-2</v>
      </c>
      <c r="O110" s="1">
        <f ca="1">IF(B110="","",VLOOKUP(Website!B110,'LC (Gross)'!J:K,2,FALSE)/100)</f>
        <v>-4.393706E-4</v>
      </c>
      <c r="P110" s="233">
        <f ca="1">IF(B110="","",(VLOOKUP(B110,'SC (Gross)'!J:K,2,FALSE))/100)</f>
        <v>-3.2096710000000001E-2</v>
      </c>
      <c r="Q110" s="233">
        <f ca="1">IF(B110="","",(VLOOKUP(B110,'Global (Gross)'!J:K,2,FALSE)/100))</f>
        <v>-1.0770090000000001E-2</v>
      </c>
      <c r="S110" s="22">
        <f t="shared" ca="1" si="147"/>
        <v>1.8104370599999999E-2</v>
      </c>
      <c r="T110" s="22">
        <f t="shared" ca="1" si="148"/>
        <v>1.8687099999999991E-3</v>
      </c>
      <c r="U110" s="22">
        <f t="shared" ca="1" si="149"/>
        <v>2.1505090000000001E-2</v>
      </c>
      <c r="V110" s="22"/>
      <c r="W110" s="22">
        <f t="shared" ca="1" si="166"/>
        <v>3.1138654591019038E-2</v>
      </c>
      <c r="X110" s="22">
        <f t="shared" ca="1" si="167"/>
        <v>7.4552917232291807E-3</v>
      </c>
      <c r="Y110" s="22">
        <f t="shared" ca="1" si="168"/>
        <v>2.5033866849507244E-2</v>
      </c>
      <c r="EJ110">
        <f t="shared" ca="1" si="170"/>
        <v>167</v>
      </c>
      <c r="EK110" s="169">
        <f t="shared" ca="1" si="171"/>
        <v>45657</v>
      </c>
      <c r="EL110" s="1">
        <f t="shared" ca="1" si="172"/>
        <v>-4.7396585490156309E-2</v>
      </c>
      <c r="EM110" s="1">
        <f t="shared" ca="1" si="173"/>
        <v>-4.7917593802191495E-2</v>
      </c>
      <c r="EN110" s="1">
        <f t="shared" ca="1" si="174"/>
        <v>-6.2797260000000008E-2</v>
      </c>
      <c r="EO110" s="1">
        <f t="shared" ca="1" si="175"/>
        <v>-2.3912279999999998E-2</v>
      </c>
      <c r="EP110" s="1">
        <f t="shared" ca="1" si="176"/>
        <v>0</v>
      </c>
      <c r="EQ110" s="1" t="e">
        <f t="shared" ca="1" si="177"/>
        <v>#N/A</v>
      </c>
      <c r="ER110" s="1" t="e">
        <f t="shared" ca="1" si="178"/>
        <v>#N/A</v>
      </c>
      <c r="ES110" s="1">
        <f t="shared" ca="1" si="179"/>
        <v>-8.2611580000000004E-2</v>
      </c>
      <c r="ET110" s="1">
        <f t="shared" ca="1" si="180"/>
        <v>-3.837873E-2</v>
      </c>
      <c r="EU110" s="1">
        <f t="shared" ca="1" si="181"/>
        <v>-3.9078729999999999E-2</v>
      </c>
      <c r="EV110" s="1">
        <f t="shared" ca="1" si="182"/>
        <v>-3.7643549999999998E-2</v>
      </c>
      <c r="EW110" s="1">
        <f t="shared" ca="1" si="183"/>
        <v>-2.3337799999999999E-2</v>
      </c>
      <c r="EX110" s="1">
        <f t="shared" ca="1" si="184"/>
        <v>-8.7122210000000019E-2</v>
      </c>
      <c r="EY110" s="1">
        <f t="shared" ca="1" si="185"/>
        <v>-8.8147210000000004E-2</v>
      </c>
      <c r="EZ110" s="1">
        <f t="shared" ca="1" si="186"/>
        <v>-8.2611580000000004E-2</v>
      </c>
    </row>
    <row r="111" spans="1:156" x14ac:dyDescent="0.25">
      <c r="A111">
        <f t="shared" ca="1" si="169"/>
        <v>109</v>
      </c>
      <c r="B111" s="169">
        <f ca="1">IF('LC (Gross)'!A258="","",IF('LC (Gross)'!A258&gt;$AC$9,"",'LC (Gross)'!A258))</f>
        <v>43890</v>
      </c>
      <c r="C111" s="1">
        <f ca="1">IF(B111="","",(VLOOKUP(B111,'LC (Gross)'!A:D,4,FALSE)/100))</f>
        <v>-7.6582999999999998E-2</v>
      </c>
      <c r="D111" s="1">
        <f ca="1">IF(B111="","",(VLOOKUP(B111,'SC (Gross)'!A:D,4,FALSE))/100)</f>
        <v>-9.7119999999999998E-2</v>
      </c>
      <c r="E111" s="1">
        <f ca="1">IF(B111="","",(VLOOKUP(B111,'Global (Gross)'!A:D,4,FALSE)/100))</f>
        <v>-7.3333999999999996E-2</v>
      </c>
      <c r="F111" s="1"/>
      <c r="G111" s="1">
        <f ca="1">IF(B111="","",(VLOOKUP(B111,'LC (Net)'!A:D,4,FALSE)/100))</f>
        <v>-7.7355000000000007E-2</v>
      </c>
      <c r="H111" s="1">
        <f ca="1">IF(B111="","",(VLOOKUP(B111,'SC (Net)'!A:D,4,FALSE))/100)</f>
        <v>-9.8003999999999994E-2</v>
      </c>
      <c r="I111" s="1">
        <f ca="1">IF(B111="","",(VLOOKUP(B111,'Global (Net)'!A:D,4,FALSE)/100))</f>
        <v>-7.3845999999999995E-2</v>
      </c>
      <c r="J111" s="1"/>
      <c r="K111" s="1">
        <f ca="1">IF(B111="","",VLOOKUP(Website!B111,'LC (Gross)'!W:X,2,FALSE)/100)</f>
        <v>-9.5284760497232487E-2</v>
      </c>
      <c r="L111" s="1">
        <f ca="1">IF(B111="","",VLOOKUP(Website!B111,'SC (Gross)'!P:Q,2,FALSE)/100)</f>
        <v>-8.7916402151759152E-2</v>
      </c>
      <c r="M111" s="1">
        <f ca="1">IF(B111="","",VLOOKUP(Website!B111,'Global (Gross)'!P:Q,2,FALSE)/100)</f>
        <v>-7.6531399910817061E-2</v>
      </c>
      <c r="O111" s="1">
        <f ca="1">IF(B111="","",VLOOKUP(Website!B111,'LC (Gross)'!J:K,2,FALSE)/100)</f>
        <v>-8.2321380000000013E-2</v>
      </c>
      <c r="P111" s="233">
        <f ca="1">IF(B111="","",(VLOOKUP(B111,'SC (Gross)'!J:K,2,FALSE))/100)</f>
        <v>-8.4235100000000007E-2</v>
      </c>
      <c r="Q111" s="233">
        <f ca="1">IF(B111="","",(VLOOKUP(B111,'Global (Gross)'!J:K,2,FALSE)/100))</f>
        <v>-8.0440470000000014E-2</v>
      </c>
      <c r="S111" s="22">
        <f t="shared" ca="1" si="147"/>
        <v>5.7383800000000151E-3</v>
      </c>
      <c r="T111" s="22">
        <f t="shared" ca="1" si="148"/>
        <v>-1.2884899999999991E-2</v>
      </c>
      <c r="U111" s="22">
        <f t="shared" ca="1" si="149"/>
        <v>7.1064700000000175E-3</v>
      </c>
      <c r="V111" s="22"/>
      <c r="W111" s="22">
        <f t="shared" ca="1" si="166"/>
        <v>-1.2963380497232474E-2</v>
      </c>
      <c r="X111" s="22">
        <f t="shared" ca="1" si="167"/>
        <v>-3.6813021517591443E-3</v>
      </c>
      <c r="Y111" s="22">
        <f t="shared" ca="1" si="168"/>
        <v>3.9090700891829533E-3</v>
      </c>
      <c r="EJ111">
        <f t="shared" ca="1" si="170"/>
        <v>168</v>
      </c>
      <c r="EK111" s="169">
        <f t="shared" ca="1" si="171"/>
        <v>45688</v>
      </c>
      <c r="EL111" s="1">
        <f t="shared" ca="1" si="172"/>
        <v>4.4176273945455528E-2</v>
      </c>
      <c r="EM111" s="1">
        <f t="shared" ca="1" si="173"/>
        <v>4.3370980910674733E-2</v>
      </c>
      <c r="EN111" s="1">
        <f t="shared" ca="1" si="174"/>
        <v>2.0867730000000001E-2</v>
      </c>
      <c r="EO111" s="1">
        <f t="shared" ca="1" si="175"/>
        <v>2.7792780000000003E-2</v>
      </c>
      <c r="EP111" s="1" t="e">
        <f t="shared" ca="1" si="176"/>
        <v>#N/A</v>
      </c>
      <c r="EQ111" s="1" t="e">
        <f t="shared" ca="1" si="177"/>
        <v>#N/A</v>
      </c>
      <c r="ER111" s="1" t="e">
        <f t="shared" ca="1" si="178"/>
        <v>#N/A</v>
      </c>
      <c r="ES111" s="1">
        <f t="shared" ca="1" si="179"/>
        <v>2.6219139999999998E-2</v>
      </c>
      <c r="ET111" s="1">
        <f t="shared" ca="1" si="180"/>
        <v>2.593962E-2</v>
      </c>
      <c r="EU111" s="1">
        <f t="shared" ca="1" si="181"/>
        <v>2.5239620000000001E-2</v>
      </c>
      <c r="EV111" s="1">
        <f t="shared" ca="1" si="182"/>
        <v>2.6802619999999999E-2</v>
      </c>
      <c r="EW111" s="1">
        <f t="shared" ca="1" si="183"/>
        <v>3.3814129999999998E-2</v>
      </c>
      <c r="EX111" s="1">
        <f t="shared" ca="1" si="184"/>
        <v>4.1609420000000001E-2</v>
      </c>
      <c r="EY111" s="1">
        <f t="shared" ca="1" si="185"/>
        <v>4.0584420000000003E-2</v>
      </c>
      <c r="EZ111" s="1">
        <f t="shared" ca="1" si="186"/>
        <v>2.6219139999999998E-2</v>
      </c>
    </row>
    <row r="112" spans="1:156" x14ac:dyDescent="0.25">
      <c r="A112">
        <f t="shared" ca="1" si="169"/>
        <v>110</v>
      </c>
      <c r="B112" s="169">
        <f ca="1">IF('LC (Gross)'!A259="","",IF('LC (Gross)'!A259&gt;$AC$9,"",'LC (Gross)'!A259))</f>
        <v>43921</v>
      </c>
      <c r="C112" s="1">
        <f ca="1">IF(B112="","",(VLOOKUP(B112,'LC (Gross)'!A:D,4,FALSE)/100))</f>
        <v>-0.11947800000000001</v>
      </c>
      <c r="D112" s="1">
        <f ca="1">IF(B112="","",(VLOOKUP(B112,'SC (Gross)'!A:D,4,FALSE))/100)</f>
        <v>-0.210091</v>
      </c>
      <c r="E112" s="1">
        <f ca="1">IF(B112="","",(VLOOKUP(B112,'Global (Gross)'!A:D,4,FALSE)/100))</f>
        <v>-0.138182</v>
      </c>
      <c r="F112" s="1"/>
      <c r="G112" s="1">
        <f ca="1">IF(B112="","",(VLOOKUP(B112,'LC (Net)'!A:D,4,FALSE)/100))</f>
        <v>-0.12012600000000001</v>
      </c>
      <c r="H112" s="1">
        <f ca="1">IF(B112="","",(VLOOKUP(B112,'SC (Net)'!A:D,4,FALSE))/100)</f>
        <v>-0.210672</v>
      </c>
      <c r="I112" s="1">
        <f ca="1">IF(B112="","",(VLOOKUP(B112,'Global (Net)'!A:D,4,FALSE)/100))</f>
        <v>-0.13869400000000001</v>
      </c>
      <c r="J112" s="1"/>
      <c r="K112" s="1">
        <f ca="1">IF(B112="","",VLOOKUP(Website!B112,'LC (Gross)'!W:X,2,FALSE)/100)</f>
        <v>-0.13104456212566201</v>
      </c>
      <c r="L112" s="1">
        <f ca="1">IF(B112="","",VLOOKUP(Website!B112,'SC (Gross)'!P:Q,2,FALSE)/100)</f>
        <v>-0.25378923171323653</v>
      </c>
      <c r="M112" s="1">
        <f ca="1">IF(B112="","",VLOOKUP(Website!B112,'Global (Gross)'!P:Q,2,FALSE)/100)</f>
        <v>-0.10186571421120906</v>
      </c>
      <c r="O112" s="1">
        <f ca="1">IF(B112="","",VLOOKUP(Website!B112,'LC (Gross)'!J:K,2,FALSE)/100)</f>
        <v>-0.12351200000000001</v>
      </c>
      <c r="P112" s="233">
        <f ca="1">IF(B112="","",(VLOOKUP(B112,'SC (Gross)'!J:K,2,FALSE))/100)</f>
        <v>-0.21728459999999999</v>
      </c>
      <c r="Q112" s="233">
        <f ca="1">IF(B112="","",(VLOOKUP(B112,'Global (Gross)'!J:K,2,FALSE)/100))</f>
        <v>-0.1344024028483046</v>
      </c>
      <c r="S112" s="22">
        <f t="shared" ca="1" si="147"/>
        <v>4.0339999999999959E-3</v>
      </c>
      <c r="T112" s="22">
        <f t="shared" ca="1" si="148"/>
        <v>7.1935999999999944E-3</v>
      </c>
      <c r="U112" s="22">
        <f t="shared" ca="1" si="149"/>
        <v>-3.7795971516954019E-3</v>
      </c>
      <c r="V112" s="22"/>
      <c r="W112" s="22">
        <f t="shared" ca="1" si="166"/>
        <v>-7.5325621256620012E-3</v>
      </c>
      <c r="X112" s="22">
        <f t="shared" ca="1" si="167"/>
        <v>-3.6504631713236535E-2</v>
      </c>
      <c r="Y112" s="22">
        <f t="shared" ca="1" si="168"/>
        <v>3.2536688637095537E-2</v>
      </c>
      <c r="EJ112">
        <f t="shared" ca="1" si="170"/>
        <v>169</v>
      </c>
      <c r="EK112" s="169">
        <f t="shared" ca="1" si="171"/>
        <v>45716</v>
      </c>
      <c r="EL112" s="1">
        <f t="shared" ca="1" si="172"/>
        <v>-9.4939776271251407E-3</v>
      </c>
      <c r="EM112" s="1">
        <f t="shared" ca="1" si="173"/>
        <v>-1.0010633566326886E-2</v>
      </c>
      <c r="EN112" s="1">
        <f t="shared" ca="1" si="174"/>
        <v>4.6701800000000002E-2</v>
      </c>
      <c r="EO112" s="1">
        <f t="shared" ca="1" si="175"/>
        <v>-1.304958E-2</v>
      </c>
      <c r="EP112" s="1" t="e">
        <f t="shared" ca="1" si="176"/>
        <v>#N/A</v>
      </c>
      <c r="EQ112" s="1" t="e">
        <f t="shared" ca="1" si="177"/>
        <v>#N/A</v>
      </c>
      <c r="ER112" s="1" t="e">
        <f t="shared" ca="1" si="178"/>
        <v>#N/A</v>
      </c>
      <c r="ES112" s="1">
        <f t="shared" ca="1" si="179"/>
        <v>-5.3509830000000001E-2</v>
      </c>
      <c r="ET112" s="1">
        <f t="shared" ca="1" si="180"/>
        <v>1.347657E-2</v>
      </c>
      <c r="EU112" s="1">
        <f t="shared" ca="1" si="181"/>
        <v>1.2776570000000001E-2</v>
      </c>
      <c r="EV112" s="1">
        <f t="shared" ca="1" si="182"/>
        <v>2.4719690000000002E-2</v>
      </c>
      <c r="EW112" s="1">
        <f t="shared" ca="1" si="183"/>
        <v>-5.7200150000000002E-3</v>
      </c>
      <c r="EX112" s="1">
        <f t="shared" ca="1" si="184"/>
        <v>-5.6697309999999994E-2</v>
      </c>
      <c r="EY112" s="1">
        <f t="shared" ca="1" si="185"/>
        <v>-5.7722309999999999E-2</v>
      </c>
      <c r="EZ112" s="1">
        <f t="shared" ca="1" si="186"/>
        <v>-5.3509830000000001E-2</v>
      </c>
    </row>
    <row r="113" spans="1:156" x14ac:dyDescent="0.25">
      <c r="A113">
        <f t="shared" ca="1" si="169"/>
        <v>111</v>
      </c>
      <c r="B113" s="169">
        <f ca="1">IF('LC (Gross)'!A260="","",IF('LC (Gross)'!A260&gt;$AC$9,"",'LC (Gross)'!A260))</f>
        <v>43951</v>
      </c>
      <c r="C113" s="1">
        <f ca="1">IF(B113="","",(VLOOKUP(B113,'LC (Gross)'!A:D,4,FALSE)/100))</f>
        <v>8.4589999999999999E-2</v>
      </c>
      <c r="D113" s="1">
        <f ca="1">IF(B113="","",(VLOOKUP(B113,'SC (Gross)'!A:D,4,FALSE))/100)</f>
        <v>5.3794000000000002E-2</v>
      </c>
      <c r="E113" s="1">
        <f ca="1">IF(B113="","",(VLOOKUP(B113,'Global (Gross)'!A:D,4,FALSE)/100))</f>
        <v>8.0314999999999998E-2</v>
      </c>
      <c r="F113" s="1"/>
      <c r="G113" s="1">
        <f ca="1">IF(B113="","",(VLOOKUP(B113,'LC (Net)'!A:D,4,FALSE)/100))</f>
        <v>8.3940000000000001E-2</v>
      </c>
      <c r="H113" s="1">
        <f ca="1">IF(B113="","",(VLOOKUP(B113,'SC (Net)'!A:D,4,FALSE))/100)</f>
        <v>5.3211000000000001E-2</v>
      </c>
      <c r="I113" s="1">
        <f ca="1">IF(B113="","",(VLOOKUP(B113,'Global (Net)'!A:D,4,FALSE)/100))</f>
        <v>7.8602000000000005E-2</v>
      </c>
      <c r="J113" s="1"/>
      <c r="K113" s="1">
        <f ca="1">IF(B113="","",VLOOKUP(Website!B113,'LC (Gross)'!W:X,2,FALSE)/100)</f>
        <v>6.7019478266053326E-2</v>
      </c>
      <c r="L113" s="1">
        <f ca="1">IF(B113="","",VLOOKUP(Website!B113,'SC (Gross)'!P:Q,2,FALSE)/100)</f>
        <v>5.6627740720058405E-2</v>
      </c>
      <c r="M113" s="1">
        <f ca="1">IF(B113="","",VLOOKUP(Website!B113,'Global (Gross)'!P:Q,2,FALSE)/100)</f>
        <v>7.565603501768968E-2</v>
      </c>
      <c r="O113" s="1">
        <f ca="1">IF(B113="","",VLOOKUP(Website!B113,'LC (Gross)'!J:K,2,FALSE)/100)</f>
        <v>0.1281939</v>
      </c>
      <c r="P113" s="233">
        <f ca="1">IF(B113="","",(VLOOKUP(B113,'SC (Gross)'!J:K,2,FALSE))/100)</f>
        <v>0.13736280000000001</v>
      </c>
      <c r="Q113" s="233">
        <f ca="1">IF(B113="","",(VLOOKUP(B113,'Global (Gross)'!J:K,2,FALSE)/100))</f>
        <v>0.10782130000000001</v>
      </c>
      <c r="S113" s="22">
        <f t="shared" ca="1" si="147"/>
        <v>-4.3603900000000001E-2</v>
      </c>
      <c r="T113" s="22">
        <f t="shared" ca="1" si="148"/>
        <v>-8.3568799999999999E-2</v>
      </c>
      <c r="U113" s="22">
        <f t="shared" ca="1" si="149"/>
        <v>-2.7506300000000011E-2</v>
      </c>
      <c r="V113" s="22"/>
      <c r="W113" s="22">
        <f t="shared" ca="1" si="166"/>
        <v>-6.1174421733946674E-2</v>
      </c>
      <c r="X113" s="22">
        <f t="shared" ca="1" si="167"/>
        <v>-8.0735059279941596E-2</v>
      </c>
      <c r="Y113" s="22">
        <f t="shared" ca="1" si="168"/>
        <v>-3.2165264982310329E-2</v>
      </c>
      <c r="EJ113">
        <f t="shared" ca="1" si="170"/>
        <v>170</v>
      </c>
      <c r="EK113" s="169">
        <f t="shared" ca="1" si="171"/>
        <v>45747</v>
      </c>
      <c r="EL113" s="1">
        <f t="shared" ca="1" si="172"/>
        <v>-1.6133805033496641E-2</v>
      </c>
      <c r="EM113" s="1">
        <f t="shared" ca="1" si="173"/>
        <v>-1.6640538144661043E-2</v>
      </c>
      <c r="EN113" s="1">
        <f t="shared" ca="1" si="174"/>
        <v>3.8105159999999999E-3</v>
      </c>
      <c r="EO113" s="1">
        <f t="shared" ca="1" si="175"/>
        <v>-5.6343949999999997E-2</v>
      </c>
      <c r="EP113" s="1" t="e">
        <f t="shared" ca="1" si="176"/>
        <v>#N/A</v>
      </c>
      <c r="EQ113" s="1" t="e">
        <f t="shared" ca="1" si="177"/>
        <v>#N/A</v>
      </c>
      <c r="ER113" s="1" t="e">
        <f t="shared" ca="1" si="178"/>
        <v>#N/A</v>
      </c>
      <c r="ES113" s="1">
        <f t="shared" ca="1" si="179"/>
        <v>-6.8090390000000001E-2</v>
      </c>
      <c r="ET113" s="1">
        <f t="shared" ca="1" si="180"/>
        <v>5.0076920000000002E-3</v>
      </c>
      <c r="EU113" s="1">
        <f t="shared" ca="1" si="181"/>
        <v>4.3076920000000001E-3</v>
      </c>
      <c r="EV113" s="1">
        <f t="shared" ca="1" si="182"/>
        <v>1.072357E-2</v>
      </c>
      <c r="EW113" s="1">
        <f t="shared" ca="1" si="183"/>
        <v>-3.8918849999999998E-2</v>
      </c>
      <c r="EX113" s="1">
        <f t="shared" ca="1" si="184"/>
        <v>-4.9637250000000001E-2</v>
      </c>
      <c r="EY113" s="1">
        <f t="shared" ca="1" si="185"/>
        <v>-5.0662249999999999E-2</v>
      </c>
      <c r="EZ113" s="1">
        <f t="shared" ca="1" si="186"/>
        <v>-6.8090390000000001E-2</v>
      </c>
    </row>
    <row r="114" spans="1:156" x14ac:dyDescent="0.25">
      <c r="A114">
        <f t="shared" ca="1" si="169"/>
        <v>112</v>
      </c>
      <c r="B114" s="169">
        <f ca="1">IF('LC (Gross)'!A261="","",IF('LC (Gross)'!A261&gt;$AC$9,"",'LC (Gross)'!A261))</f>
        <v>43982</v>
      </c>
      <c r="C114" s="1">
        <f ca="1">IF(B114="","",(VLOOKUP(B114,'LC (Gross)'!A:D,4,FALSE)/100))</f>
        <v>5.6333000000000001E-2</v>
      </c>
      <c r="D114" s="1">
        <f ca="1">IF(B114="","",(VLOOKUP(B114,'SC (Gross)'!A:D,4,FALSE))/100)</f>
        <v>5.3324999999999997E-2</v>
      </c>
      <c r="E114" s="1">
        <f ca="1">IF(B114="","",(VLOOKUP(B114,'Global (Gross)'!A:D,4,FALSE)/100))</f>
        <v>3.7398000000000001E-2</v>
      </c>
      <c r="F114" s="1"/>
      <c r="G114" s="1">
        <f ca="1">IF(B114="","",(VLOOKUP(B114,'LC (Net)'!A:D,4,FALSE)/100))</f>
        <v>5.5545999999999998E-2</v>
      </c>
      <c r="H114" s="1">
        <f ca="1">IF(B114="","",(VLOOKUP(B114,'SC (Net)'!A:D,4,FALSE))/100)</f>
        <v>5.2351999999999996E-2</v>
      </c>
      <c r="I114" s="1">
        <f ca="1">IF(B114="","",(VLOOKUP(B114,'Global (Net)'!A:D,4,FALSE)/100))</f>
        <v>3.6785999999999999E-2</v>
      </c>
      <c r="J114" s="1"/>
      <c r="K114" s="1">
        <f ca="1">IF(B114="","",VLOOKUP(Website!B114,'LC (Gross)'!W:X,2,FALSE)/100)</f>
        <v>3.9197317941725837E-3</v>
      </c>
      <c r="L114" s="1">
        <f ca="1">IF(B114="","",VLOOKUP(Website!B114,'SC (Gross)'!P:Q,2,FALSE)/100)</f>
        <v>-4.4532978680155787E-2</v>
      </c>
      <c r="M114" s="1">
        <f ca="1">IF(B114="","",VLOOKUP(Website!B114,'Global (Gross)'!P:Q,2,FALSE)/100)</f>
        <v>2.2675633674621283E-2</v>
      </c>
      <c r="O114" s="1">
        <f ca="1">IF(B114="","",VLOOKUP(Website!B114,'LC (Gross)'!J:K,2,FALSE)/100)</f>
        <v>4.7629910000000004E-2</v>
      </c>
      <c r="P114" s="233">
        <f ca="1">IF(B114="","",(VLOOKUP(B114,'SC (Gross)'!J:K,2,FALSE))/100)</f>
        <v>6.5074660000000006E-2</v>
      </c>
      <c r="Q114" s="233">
        <f ca="1">IF(B114="","",(VLOOKUP(B114,'Global (Gross)'!J:K,2,FALSE)/100))</f>
        <v>4.4068219999999998E-2</v>
      </c>
      <c r="S114" s="22">
        <f t="shared" ca="1" si="147"/>
        <v>8.7030899999999967E-3</v>
      </c>
      <c r="T114" s="22">
        <f t="shared" ca="1" si="148"/>
        <v>-1.1749660000000009E-2</v>
      </c>
      <c r="U114" s="22">
        <f t="shared" ca="1" si="149"/>
        <v>-6.6702199999999975E-3</v>
      </c>
      <c r="V114" s="22"/>
      <c r="W114" s="22">
        <f t="shared" ca="1" si="166"/>
        <v>-4.371017820582742E-2</v>
      </c>
      <c r="X114" s="22">
        <f t="shared" ca="1" si="167"/>
        <v>-0.1096076386801558</v>
      </c>
      <c r="Y114" s="22">
        <f t="shared" ca="1" si="168"/>
        <v>-2.1392586325378715E-2</v>
      </c>
      <c r="EJ114">
        <f t="shared" ca="1" si="170"/>
        <v>171</v>
      </c>
      <c r="EK114" s="169">
        <f t="shared" ca="1" si="171"/>
        <v>45777</v>
      </c>
      <c r="EL114" s="1">
        <f t="shared" ca="1" si="172"/>
        <v>-1.7007119457187261E-2</v>
      </c>
      <c r="EM114" s="1">
        <f t="shared" ca="1" si="173"/>
        <v>-1.782123317791387E-2</v>
      </c>
      <c r="EN114" s="1">
        <f t="shared" ca="1" si="174"/>
        <v>-2.311651E-2</v>
      </c>
      <c r="EO114" s="1">
        <f t="shared" ca="1" si="175"/>
        <v>-6.781306E-3</v>
      </c>
      <c r="EP114" s="1" t="e">
        <f t="shared" ca="1" si="176"/>
        <v>#N/A</v>
      </c>
      <c r="EQ114" s="1" t="e">
        <f t="shared" ca="1" si="177"/>
        <v>#N/A</v>
      </c>
      <c r="ER114" s="1" t="e">
        <f t="shared" ca="1" si="178"/>
        <v>#N/A</v>
      </c>
      <c r="ES114" s="1">
        <f t="shared" ca="1" si="179"/>
        <v>-2.3113199999999997E-2</v>
      </c>
      <c r="ET114" s="1">
        <f t="shared" ca="1" si="180"/>
        <v>-2.1911760000000002E-4</v>
      </c>
      <c r="EU114" s="1">
        <f t="shared" ca="1" si="181"/>
        <v>-9.1911759999999999E-4</v>
      </c>
      <c r="EV114" s="1">
        <f t="shared" ca="1" si="182"/>
        <v>7.6429169999999999E-3</v>
      </c>
      <c r="EW114" s="1">
        <f t="shared" ca="1" si="183"/>
        <v>9.7781580000000003E-3</v>
      </c>
      <c r="EX114" s="1">
        <f t="shared" ca="1" si="184"/>
        <v>-2.0600390000000003E-2</v>
      </c>
      <c r="EY114" s="1">
        <f t="shared" ca="1" si="185"/>
        <v>-2.1625390000000001E-2</v>
      </c>
      <c r="EZ114" s="1">
        <f t="shared" ca="1" si="186"/>
        <v>-2.3113199999999997E-2</v>
      </c>
    </row>
    <row r="115" spans="1:156" x14ac:dyDescent="0.25">
      <c r="A115">
        <f t="shared" ca="1" si="169"/>
        <v>113</v>
      </c>
      <c r="B115" s="169">
        <f ca="1">IF('LC (Gross)'!A262="","",IF('LC (Gross)'!A262&gt;$AC$9,"",'LC (Gross)'!A262))</f>
        <v>44012</v>
      </c>
      <c r="C115" s="1">
        <f ca="1">IF(B115="","",(VLOOKUP(B115,'LC (Gross)'!A:D,4,FALSE)/100))</f>
        <v>6.012E-3</v>
      </c>
      <c r="D115" s="1">
        <f ca="1">IF(B115="","",(VLOOKUP(B115,'SC (Gross)'!A:D,4,FALSE))/100)</f>
        <v>5.2039999999999994E-3</v>
      </c>
      <c r="E115" s="1">
        <f ca="1">IF(B115="","",(VLOOKUP(B115,'Global (Gross)'!A:D,4,FALSE)/100))</f>
        <v>6.5269999999999998E-3</v>
      </c>
      <c r="F115" s="1"/>
      <c r="G115" s="1">
        <f ca="1">IF(B115="","",(VLOOKUP(B115,'LC (Net)'!A:D,4,FALSE)/100))</f>
        <v>5.3820000000000005E-3</v>
      </c>
      <c r="H115" s="1">
        <f ca="1">IF(B115="","",(VLOOKUP(B115,'SC (Net)'!A:D,4,FALSE))/100)</f>
        <v>4.5970000000000004E-3</v>
      </c>
      <c r="I115" s="1">
        <f ca="1">IF(B115="","",(VLOOKUP(B115,'Global (Net)'!A:D,4,FALSE)/100))</f>
        <v>5.9670000000000001E-3</v>
      </c>
      <c r="J115" s="1"/>
      <c r="K115" s="1">
        <f ca="1">IF(B115="","",VLOOKUP(Website!B115,'LC (Gross)'!W:X,2,FALSE)/100)</f>
        <v>-3.8408277505518657E-3</v>
      </c>
      <c r="L115" s="1">
        <f ca="1">IF(B115="","",VLOOKUP(Website!B115,'SC (Gross)'!P:Q,2,FALSE)/100)</f>
        <v>1.5323458080829591E-2</v>
      </c>
      <c r="M115" s="1">
        <f ca="1">IF(B115="","",VLOOKUP(Website!B115,'Global (Gross)'!P:Q,2,FALSE)/100)</f>
        <v>-5.3534040552333749E-4</v>
      </c>
      <c r="O115" s="1">
        <f ca="1">IF(B115="","",VLOOKUP(Website!B115,'LC (Gross)'!J:K,2,FALSE)/100)</f>
        <v>1.9887180000000001E-2</v>
      </c>
      <c r="P115" s="233">
        <f ca="1">IF(B115="","",(VLOOKUP(B115,'SC (Gross)'!J:K,2,FALSE))/100)</f>
        <v>3.5346200000000001E-2</v>
      </c>
      <c r="Q115" s="233">
        <f ca="1">IF(B115="","",(VLOOKUP(B115,'Global (Gross)'!J:K,2,FALSE)/100))</f>
        <v>3.2419301230355579E-2</v>
      </c>
      <c r="S115" s="22">
        <f t="shared" ca="1" si="147"/>
        <v>-1.3875180000000001E-2</v>
      </c>
      <c r="T115" s="22">
        <f t="shared" ca="1" si="148"/>
        <v>-3.0142200000000001E-2</v>
      </c>
      <c r="U115" s="22">
        <f t="shared" ca="1" si="149"/>
        <v>-2.5892301230355581E-2</v>
      </c>
      <c r="V115" s="22"/>
      <c r="W115" s="22">
        <f t="shared" ca="1" si="166"/>
        <v>-2.3728007750551866E-2</v>
      </c>
      <c r="X115" s="22">
        <f t="shared" ca="1" si="167"/>
        <v>-2.002274191917041E-2</v>
      </c>
      <c r="Y115" s="22">
        <f t="shared" ca="1" si="168"/>
        <v>-3.2954641635878919E-2</v>
      </c>
      <c r="EJ115">
        <f t="shared" ca="1" si="170"/>
        <v>172</v>
      </c>
      <c r="EK115" s="169">
        <f t="shared" ca="1" si="171"/>
        <v>45808</v>
      </c>
      <c r="EL115" s="1">
        <f t="shared" ca="1" si="172"/>
        <v>1.698246054546064E-2</v>
      </c>
      <c r="EM115" s="1">
        <f t="shared" ca="1" si="173"/>
        <v>1.6469021635570558E-2</v>
      </c>
      <c r="EN115" s="1">
        <f t="shared" ca="1" si="174"/>
        <v>1.1138459999999999E-2</v>
      </c>
      <c r="EO115" s="1">
        <f t="shared" ca="1" si="175"/>
        <v>6.2946189999999999E-2</v>
      </c>
      <c r="EP115" s="1" t="e">
        <f t="shared" ca="1" si="176"/>
        <v>#N/A</v>
      </c>
      <c r="EQ115" s="1" t="e">
        <f t="shared" ca="1" si="177"/>
        <v>#N/A</v>
      </c>
      <c r="ER115" s="1" t="e">
        <f t="shared" ca="1" si="178"/>
        <v>#N/A</v>
      </c>
      <c r="ES115" s="1">
        <f t="shared" ca="1" si="179"/>
        <v>5.3393110000000001E-2</v>
      </c>
      <c r="ET115" s="1">
        <f t="shared" ca="1" si="180"/>
        <v>2.0019230000000002E-2</v>
      </c>
      <c r="EU115" s="1">
        <f t="shared" ca="1" si="181"/>
        <v>1.931923E-2</v>
      </c>
      <c r="EV115" s="1">
        <f t="shared" ca="1" si="182"/>
        <v>1.2818030000000001E-2</v>
      </c>
      <c r="EW115" s="1">
        <f t="shared" ca="1" si="183"/>
        <v>5.8145300000000004E-2</v>
      </c>
      <c r="EX115" s="1">
        <f t="shared" ca="1" si="184"/>
        <v>5.271841E-2</v>
      </c>
      <c r="EY115" s="1">
        <f t="shared" ca="1" si="185"/>
        <v>5.1693410000000002E-2</v>
      </c>
      <c r="EZ115" s="1">
        <f t="shared" ca="1" si="186"/>
        <v>5.3393110000000001E-2</v>
      </c>
    </row>
    <row r="116" spans="1:156" x14ac:dyDescent="0.25">
      <c r="A116">
        <f t="shared" ca="1" si="169"/>
        <v>114</v>
      </c>
      <c r="B116" s="169">
        <f ca="1">IF('LC (Gross)'!A263="","",IF('LC (Gross)'!A263&gt;$AC$9,"",'LC (Gross)'!A263))</f>
        <v>44043</v>
      </c>
      <c r="C116" s="1">
        <f ca="1">IF(B116="","",(VLOOKUP(B116,'LC (Gross)'!A:D,4,FALSE)/100))</f>
        <v>6.2112999999999995E-2</v>
      </c>
      <c r="D116" s="1">
        <f ca="1">IF(B116="","",(VLOOKUP(B116,'SC (Gross)'!A:D,4,FALSE))/100)</f>
        <v>5.4755999999999999E-2</v>
      </c>
      <c r="E116" s="1">
        <f ca="1">IF(B116="","",(VLOOKUP(B116,'Global (Gross)'!A:D,4,FALSE)/100))</f>
        <v>4.5662000000000001E-2</v>
      </c>
      <c r="F116" s="1"/>
      <c r="G116" s="1">
        <f ca="1">IF(B116="","",(VLOOKUP(B116,'LC (Net)'!A:D,4,FALSE)/100))</f>
        <v>6.1462000000000003E-2</v>
      </c>
      <c r="H116" s="1">
        <f ca="1">IF(B116="","",(VLOOKUP(B116,'SC (Net)'!A:D,4,FALSE))/100)</f>
        <v>5.4141000000000002E-2</v>
      </c>
      <c r="I116" s="1">
        <f ca="1">IF(B116="","",(VLOOKUP(B116,'Global (Net)'!A:D,4,FALSE)/100))</f>
        <v>4.4809999999999996E-2</v>
      </c>
      <c r="J116" s="1"/>
      <c r="K116" s="1">
        <f ca="1">IF(B116="","",VLOOKUP(Website!B116,'LC (Gross)'!W:X,2,FALSE)/100)</f>
        <v>7.4400817614423437E-2</v>
      </c>
      <c r="L116" s="1">
        <f ca="1">IF(B116="","",VLOOKUP(Website!B116,'SC (Gross)'!P:Q,2,FALSE)/100)</f>
        <v>1.3403975095785363E-2</v>
      </c>
      <c r="M116" s="1">
        <f ca="1">IF(B116="","",VLOOKUP(Website!B116,'Global (Gross)'!P:Q,2,FALSE)/100)</f>
        <v>3.9367460689935303E-2</v>
      </c>
      <c r="O116" s="1">
        <f ca="1">IF(B116="","",VLOOKUP(Website!B116,'LC (Gross)'!J:K,2,FALSE)/100)</f>
        <v>5.6381899999999999E-2</v>
      </c>
      <c r="P116" s="233">
        <f ca="1">IF(B116="","",(VLOOKUP(B116,'SC (Gross)'!J:K,2,FALSE))/100)</f>
        <v>2.7678639999999997E-2</v>
      </c>
      <c r="Q116" s="233">
        <f ca="1">IF(B116="","",(VLOOKUP(B116,'Global (Gross)'!J:K,2,FALSE)/100))</f>
        <v>5.3293939999999998E-2</v>
      </c>
      <c r="S116" s="22">
        <f t="shared" ca="1" si="147"/>
        <v>5.7310999999999959E-3</v>
      </c>
      <c r="T116" s="22">
        <f t="shared" ca="1" si="148"/>
        <v>2.7077360000000002E-2</v>
      </c>
      <c r="U116" s="22">
        <f t="shared" ca="1" si="149"/>
        <v>-7.6319399999999968E-3</v>
      </c>
      <c r="V116" s="22"/>
      <c r="W116" s="22">
        <f t="shared" ca="1" si="166"/>
        <v>1.8018917614423438E-2</v>
      </c>
      <c r="X116" s="22">
        <f t="shared" ca="1" si="167"/>
        <v>-1.4274664904214635E-2</v>
      </c>
      <c r="Y116" s="22">
        <f t="shared" ca="1" si="168"/>
        <v>-1.3926479310064695E-2</v>
      </c>
      <c r="EJ116">
        <f t="shared" ca="1" si="170"/>
        <v>173</v>
      </c>
      <c r="EK116" s="169">
        <f t="shared" ca="1" si="171"/>
        <v>45838</v>
      </c>
      <c r="EL116" s="1">
        <f t="shared" ca="1" si="172"/>
        <v>4.8357748879533612E-3</v>
      </c>
      <c r="EM116" s="1">
        <f t="shared" ca="1" si="173"/>
        <v>4.329401489169782E-3</v>
      </c>
      <c r="EN116" s="1">
        <f t="shared" ca="1" si="174"/>
        <v>-7.5421139999999999E-3</v>
      </c>
      <c r="EO116" s="1">
        <f t="shared" ca="1" si="175"/>
        <v>5.0848299999999999E-2</v>
      </c>
      <c r="EP116" s="1" t="e">
        <f t="shared" ca="1" si="176"/>
        <v>#N/A</v>
      </c>
      <c r="EQ116" s="1" t="e">
        <f t="shared" ca="1" si="177"/>
        <v>#N/A</v>
      </c>
      <c r="ER116" s="1" t="e">
        <f t="shared" ca="1" si="178"/>
        <v>#N/A</v>
      </c>
      <c r="ES116" s="1">
        <f t="shared" ca="1" si="179"/>
        <v>5.4339259999999993E-2</v>
      </c>
      <c r="ET116" s="1">
        <f t="shared" ca="1" si="180"/>
        <v>1.122948E-2</v>
      </c>
      <c r="EU116" s="1">
        <f t="shared" ca="1" si="181"/>
        <v>1.0529480000000001E-2</v>
      </c>
      <c r="EV116" s="1">
        <f t="shared" ca="1" si="182"/>
        <v>1.007893E-2</v>
      </c>
      <c r="EW116" s="1">
        <f t="shared" ca="1" si="183"/>
        <v>4.5320140000000002E-2</v>
      </c>
      <c r="EX116" s="1">
        <f t="shared" ca="1" si="184"/>
        <v>4.1024999999999999E-2</v>
      </c>
      <c r="EY116" s="1">
        <f t="shared" ca="1" si="185"/>
        <v>0.04</v>
      </c>
      <c r="EZ116" s="1">
        <f t="shared" ca="1" si="186"/>
        <v>5.4339259999999993E-2</v>
      </c>
    </row>
    <row r="117" spans="1:156" x14ac:dyDescent="0.25">
      <c r="A117">
        <f t="shared" ca="1" si="169"/>
        <v>115</v>
      </c>
      <c r="B117" s="169">
        <f ca="1">IF('LC (Gross)'!A264="","",IF('LC (Gross)'!A264&gt;$AC$9,"",'LC (Gross)'!A264))</f>
        <v>44074</v>
      </c>
      <c r="C117" s="1">
        <f ca="1">IF(B117="","",(VLOOKUP(B117,'LC (Gross)'!A:D,4,FALSE)/100))</f>
        <v>4.6452999999999994E-2</v>
      </c>
      <c r="D117" s="1">
        <f ca="1">IF(B117="","",(VLOOKUP(B117,'SC (Gross)'!A:D,4,FALSE))/100)</f>
        <v>7.8729999999999998E-3</v>
      </c>
      <c r="E117" s="1">
        <f ca="1">IF(B117="","",(VLOOKUP(B117,'Global (Gross)'!A:D,4,FALSE)/100))</f>
        <v>5.0312999999999997E-2</v>
      </c>
      <c r="F117" s="1"/>
      <c r="G117" s="1">
        <f ca="1">IF(B117="","",(VLOOKUP(B117,'LC (Net)'!A:D,4,FALSE)/100))</f>
        <v>4.5824999999999998E-2</v>
      </c>
      <c r="H117" s="1">
        <f ca="1">IF(B117="","",(VLOOKUP(B117,'SC (Net)'!A:D,4,FALSE))/100)</f>
        <v>7.2560000000000003E-3</v>
      </c>
      <c r="I117" s="1">
        <f ca="1">IF(B117="","",(VLOOKUP(B117,'Global (Net)'!A:D,4,FALSE)/100))</f>
        <v>4.9739999999999999E-2</v>
      </c>
      <c r="J117" s="1"/>
      <c r="K117" s="1">
        <f ca="1">IF(B117="","",VLOOKUP(Website!B117,'LC (Gross)'!W:X,2,FALSE)/100)</f>
        <v>2.88084604599772E-2</v>
      </c>
      <c r="L117" s="1">
        <f ca="1">IF(B117="","",VLOOKUP(Website!B117,'SC (Gross)'!P:Q,2,FALSE)/100)</f>
        <v>2.6831443947565897E-2</v>
      </c>
      <c r="M117" s="1">
        <f ca="1">IF(B117="","",VLOOKUP(Website!B117,'Global (Gross)'!P:Q,2,FALSE)/100)</f>
        <v>2.2545757474487581E-2</v>
      </c>
      <c r="O117" s="1">
        <f ca="1">IF(B117="","",VLOOKUP(Website!B117,'LC (Gross)'!J:K,2,FALSE)/100)</f>
        <v>7.1882580000000001E-2</v>
      </c>
      <c r="P117" s="233">
        <f ca="1">IF(B117="","",(VLOOKUP(B117,'SC (Gross)'!J:K,2,FALSE))/100)</f>
        <v>5.634343E-2</v>
      </c>
      <c r="Q117" s="233">
        <f ca="1">IF(B117="","",(VLOOKUP(B117,'Global (Gross)'!J:K,2,FALSE)/100))</f>
        <v>6.1644669999999999E-2</v>
      </c>
      <c r="S117" s="22">
        <f t="shared" ca="1" si="147"/>
        <v>-2.5429580000000007E-2</v>
      </c>
      <c r="T117" s="22">
        <f t="shared" ca="1" si="148"/>
        <v>-4.8470430000000002E-2</v>
      </c>
      <c r="U117" s="22">
        <f t="shared" ca="1" si="149"/>
        <v>-1.1331670000000002E-2</v>
      </c>
      <c r="V117" s="22"/>
      <c r="W117" s="22">
        <f t="shared" ca="1" si="166"/>
        <v>-4.3074119540022798E-2</v>
      </c>
      <c r="X117" s="22">
        <f t="shared" ca="1" si="167"/>
        <v>-2.9511986052434103E-2</v>
      </c>
      <c r="Y117" s="22">
        <f t="shared" ca="1" si="168"/>
        <v>-3.9098912525512418E-2</v>
      </c>
      <c r="EJ117">
        <f t="shared" ca="1" si="170"/>
        <v>174</v>
      </c>
      <c r="EK117" s="169">
        <f t="shared" ca="1" si="171"/>
        <v>45869</v>
      </c>
      <c r="EL117" s="1">
        <f t="shared" ca="1" si="172"/>
        <v>-3.5865398435556781E-3</v>
      </c>
      <c r="EM117" s="1">
        <f t="shared" ca="1" si="173"/>
        <v>-4.3939681521318963E-3</v>
      </c>
      <c r="EN117" s="1">
        <f t="shared" ca="1" si="174"/>
        <v>-2.9140759999999998E-3</v>
      </c>
      <c r="EO117" s="1">
        <f t="shared" ca="1" si="175"/>
        <v>2.2442899999999998E-2</v>
      </c>
      <c r="EP117" s="1" t="e">
        <f t="shared" ca="1" si="176"/>
        <v>#N/A</v>
      </c>
      <c r="EQ117" s="1" t="e">
        <f t="shared" ca="1" si="177"/>
        <v>#N/A</v>
      </c>
      <c r="ER117" s="1" t="e">
        <f t="shared" ca="1" si="178"/>
        <v>#N/A</v>
      </c>
      <c r="ES117" s="1">
        <f t="shared" ca="1" si="179"/>
        <v>1.7346760000000003E-2</v>
      </c>
      <c r="ET117" s="1">
        <f t="shared" ca="1" si="180"/>
        <v>-2.5795980000000003E-2</v>
      </c>
      <c r="EU117" s="1">
        <f t="shared" ca="1" si="181"/>
        <v>-2.6495980000000002E-2</v>
      </c>
      <c r="EV117" s="1">
        <f t="shared" ca="1" si="182"/>
        <v>-1.6278600000000001E-2</v>
      </c>
      <c r="EW117" s="1">
        <f t="shared" ca="1" si="183"/>
        <v>1.3846879999999999E-2</v>
      </c>
      <c r="EX117" s="1">
        <f t="shared" ca="1" si="184"/>
        <v>8.8476860000000004E-3</v>
      </c>
      <c r="EY117" s="1">
        <f t="shared" ca="1" si="185"/>
        <v>7.8226860000000006E-3</v>
      </c>
      <c r="EZ117" s="1">
        <f t="shared" ca="1" si="186"/>
        <v>1.7346760000000003E-2</v>
      </c>
    </row>
    <row r="118" spans="1:156" x14ac:dyDescent="0.25">
      <c r="A118">
        <f t="shared" ca="1" si="169"/>
        <v>116</v>
      </c>
      <c r="B118" s="169">
        <f ca="1">IF('LC (Gross)'!A265="","",IF('LC (Gross)'!A265&gt;$AC$9,"",'LC (Gross)'!A265))</f>
        <v>44104</v>
      </c>
      <c r="C118" s="1">
        <f ca="1">IF(B118="","",(VLOOKUP(B118,'LC (Gross)'!A:D,4,FALSE)/100))</f>
        <v>-2.6131000000000001E-2</v>
      </c>
      <c r="D118" s="1">
        <f ca="1">IF(B118="","",(VLOOKUP(B118,'SC (Gross)'!A:D,4,FALSE))/100)</f>
        <v>-3.4266999999999999E-2</v>
      </c>
      <c r="E118" s="1">
        <f ca="1">IF(B118="","",(VLOOKUP(B118,'Global (Gross)'!A:D,4,FALSE)/100))</f>
        <v>-2.5716000000000003E-2</v>
      </c>
      <c r="F118" s="1"/>
      <c r="G118" s="1">
        <f ca="1">IF(B118="","",(VLOOKUP(B118,'LC (Net)'!A:D,4,FALSE)/100))</f>
        <v>-2.6884999999999999E-2</v>
      </c>
      <c r="H118" s="1">
        <f ca="1">IF(B118="","",(VLOOKUP(B118,'SC (Net)'!A:D,4,FALSE))/100)</f>
        <v>-3.5145000000000003E-2</v>
      </c>
      <c r="I118" s="1">
        <f ca="1">IF(B118="","",(VLOOKUP(B118,'Global (Net)'!A:D,4,FALSE)/100))</f>
        <v>-2.6296E-2</v>
      </c>
      <c r="J118" s="1"/>
      <c r="K118" s="1">
        <f ca="1">IF(B118="","",VLOOKUP(Website!B118,'LC (Gross)'!W:X,2,FALSE)/100)</f>
        <v>-1.7453839537849406E-2</v>
      </c>
      <c r="L118" s="1">
        <f ca="1">IF(B118="","",VLOOKUP(Website!B118,'SC (Gross)'!P:Q,2,FALSE)/100)</f>
        <v>-5.2812951254451394E-2</v>
      </c>
      <c r="M118" s="1">
        <f ca="1">IF(B118="","",VLOOKUP(Website!B118,'Global (Gross)'!P:Q,2,FALSE)/100)</f>
        <v>-1.2630988982933076E-2</v>
      </c>
      <c r="O118" s="1">
        <f ca="1">IF(B118="","",VLOOKUP(Website!B118,'LC (Gross)'!J:K,2,FALSE)/100)</f>
        <v>-3.7996780000000001E-2</v>
      </c>
      <c r="P118" s="233">
        <f ca="1">IF(B118="","",(VLOOKUP(B118,'SC (Gross)'!J:K,2,FALSE))/100)</f>
        <v>-3.3404400000000001E-2</v>
      </c>
      <c r="Q118" s="233">
        <f ca="1">IF(B118="","",(VLOOKUP(B118,'Global (Gross)'!J:K,2,FALSE)/100))</f>
        <v>-3.1833709846272512E-2</v>
      </c>
      <c r="S118" s="22">
        <f t="shared" ca="1" si="147"/>
        <v>1.1865779999999999E-2</v>
      </c>
      <c r="T118" s="22">
        <f t="shared" ca="1" si="148"/>
        <v>-8.6259999999999809E-4</v>
      </c>
      <c r="U118" s="22">
        <f t="shared" ca="1" si="149"/>
        <v>6.1177098462725094E-3</v>
      </c>
      <c r="V118" s="22"/>
      <c r="W118" s="22">
        <f t="shared" ca="1" si="166"/>
        <v>2.0542940462150595E-2</v>
      </c>
      <c r="X118" s="22">
        <f t="shared" ca="1" si="167"/>
        <v>-1.9408551254451394E-2</v>
      </c>
      <c r="Y118" s="22">
        <f t="shared" ca="1" si="168"/>
        <v>1.9202720863339434E-2</v>
      </c>
      <c r="EJ118">
        <f t="shared" ca="1" si="170"/>
        <v>175</v>
      </c>
      <c r="EK118" s="169">
        <f t="shared" ca="1" si="171"/>
        <v>45900</v>
      </c>
      <c r="EL118" s="1">
        <f t="shared" ca="1" si="172"/>
        <v>2.7301060489229353E-2</v>
      </c>
      <c r="EM118" s="1">
        <f t="shared" ca="1" si="173"/>
        <v>2.6797035488596386E-2</v>
      </c>
      <c r="EN118" s="1">
        <f t="shared" ca="1" si="174"/>
        <v>1.5505150000000001E-2</v>
      </c>
      <c r="EO118" s="1">
        <f t="shared" ca="1" si="175"/>
        <v>2.0271819999999999E-2</v>
      </c>
      <c r="EP118" s="1" t="e">
        <f t="shared" ca="1" si="176"/>
        <v>#N/A</v>
      </c>
      <c r="EQ118" s="1" t="e">
        <f t="shared" ca="1" si="177"/>
        <v>#N/A</v>
      </c>
      <c r="ER118" s="1" t="e">
        <f t="shared" ca="1" si="178"/>
        <v>#N/A</v>
      </c>
      <c r="ES118" s="1">
        <f t="shared" ca="1" si="179"/>
        <v>7.1434139999999993E-2</v>
      </c>
      <c r="ET118" s="1">
        <f t="shared" ca="1" si="180"/>
        <v>2.3329969999999998E-2</v>
      </c>
      <c r="EU118" s="1">
        <f t="shared" ca="1" si="181"/>
        <v>2.2629969999999999E-2</v>
      </c>
      <c r="EV118" s="1">
        <f t="shared" ca="1" si="182"/>
        <v>2.3530319999999997E-2</v>
      </c>
      <c r="EW118" s="1">
        <f t="shared" ca="1" si="183"/>
        <v>2.5172910000000003E-2</v>
      </c>
      <c r="EX118" s="1">
        <f t="shared" ca="1" si="184"/>
        <v>8.2849059999999988E-2</v>
      </c>
      <c r="EY118" s="1">
        <f t="shared" ca="1" si="185"/>
        <v>8.1824060000000004E-2</v>
      </c>
      <c r="EZ118" s="1">
        <f t="shared" ca="1" si="186"/>
        <v>7.1434139999999993E-2</v>
      </c>
    </row>
    <row r="119" spans="1:156" x14ac:dyDescent="0.25">
      <c r="A119">
        <f t="shared" ca="1" si="169"/>
        <v>117</v>
      </c>
      <c r="B119" s="169">
        <f ca="1">IF('LC (Gross)'!A266="","",IF('LC (Gross)'!A266&gt;$AC$9,"",'LC (Gross)'!A266))</f>
        <v>44135</v>
      </c>
      <c r="C119" s="1">
        <f ca="1">IF(B119="","",(VLOOKUP(B119,'LC (Gross)'!A:D,4,FALSE)/100))</f>
        <v>-1.9891000000000002E-2</v>
      </c>
      <c r="D119" s="1">
        <f ca="1">IF(B119="","",(VLOOKUP(B119,'SC (Gross)'!A:D,4,FALSE))/100)</f>
        <v>1.5140000000000001E-2</v>
      </c>
      <c r="E119" s="1">
        <f ca="1">IF(B119="","",(VLOOKUP(B119,'Global (Gross)'!A:D,4,FALSE)/100))</f>
        <v>-3.0800999999999999E-2</v>
      </c>
      <c r="F119" s="1"/>
      <c r="G119" s="1">
        <f ca="1">IF(B119="","",(VLOOKUP(B119,'LC (Net)'!A:D,4,FALSE)/100))</f>
        <v>-2.0543999999999996E-2</v>
      </c>
      <c r="H119" s="1">
        <f ca="1">IF(B119="","",(VLOOKUP(B119,'SC (Net)'!A:D,4,FALSE))/100)</f>
        <v>1.4518E-2</v>
      </c>
      <c r="I119" s="1">
        <f ca="1">IF(B119="","",(VLOOKUP(B119,'Global (Net)'!A:D,4,FALSE)/100))</f>
        <v>-3.1632E-2</v>
      </c>
      <c r="J119" s="1"/>
      <c r="K119" s="1">
        <f ca="1">IF(B119="","",VLOOKUP(Website!B119,'LC (Gross)'!W:X,2,FALSE)/100)</f>
        <v>-2.8737091800063893E-2</v>
      </c>
      <c r="L119" s="1">
        <f ca="1">IF(B119="","",VLOOKUP(Website!B119,'SC (Gross)'!P:Q,2,FALSE)/100)</f>
        <v>2.0814985331721735E-2</v>
      </c>
      <c r="M119" s="1">
        <f ca="1">IF(B119="","",VLOOKUP(Website!B119,'Global (Gross)'!P:Q,2,FALSE)/100)</f>
        <v>-2.5946069859809406E-2</v>
      </c>
      <c r="O119" s="1">
        <f ca="1">IF(B119="","",VLOOKUP(Website!B119,'LC (Gross)'!J:K,2,FALSE)/100)</f>
        <v>-2.6593810000000002E-2</v>
      </c>
      <c r="P119" s="233">
        <f ca="1">IF(B119="","",(VLOOKUP(B119,'SC (Gross)'!J:K,2,FALSE))/100)</f>
        <v>2.0943360000000001E-2</v>
      </c>
      <c r="Q119" s="233">
        <f ca="1">IF(B119="","",(VLOOKUP(B119,'Global (Gross)'!J:K,2,FALSE)/100))</f>
        <v>-2.407946E-2</v>
      </c>
      <c r="S119" s="22">
        <f t="shared" ca="1" si="147"/>
        <v>6.70281E-3</v>
      </c>
      <c r="T119" s="22">
        <f t="shared" ca="1" si="148"/>
        <v>-5.8033600000000005E-3</v>
      </c>
      <c r="U119" s="22">
        <f t="shared" ca="1" si="149"/>
        <v>-6.7215399999999981E-3</v>
      </c>
      <c r="V119" s="22"/>
      <c r="W119" s="22">
        <f t="shared" ca="1" si="166"/>
        <v>-2.1432818000638905E-3</v>
      </c>
      <c r="X119" s="22">
        <f t="shared" ca="1" si="167"/>
        <v>-1.283746682782666E-4</v>
      </c>
      <c r="Y119" s="22">
        <f t="shared" ca="1" si="168"/>
        <v>-1.8666098598094059E-3</v>
      </c>
      <c r="EJ119">
        <f t="shared" ca="1" si="170"/>
        <v>176</v>
      </c>
      <c r="EK119" s="169">
        <f t="shared" ca="1" si="171"/>
        <v>45930</v>
      </c>
      <c r="EL119" s="1">
        <f t="shared" ca="1" si="172"/>
        <v>1.273984284453792E-2</v>
      </c>
      <c r="EM119" s="1">
        <f t="shared" ca="1" si="173"/>
        <v>1.2208076362087074E-2</v>
      </c>
      <c r="EN119" s="1">
        <f t="shared" ca="1" si="174"/>
        <v>2.1070530000000002E-3</v>
      </c>
      <c r="EO119" s="1">
        <f t="shared" ca="1" si="175"/>
        <v>3.640438E-2</v>
      </c>
      <c r="EP119" s="1" t="e">
        <f t="shared" ca="1" si="176"/>
        <v>#N/A</v>
      </c>
      <c r="EQ119" s="1" t="e">
        <f t="shared" ca="1" si="177"/>
        <v>#N/A</v>
      </c>
      <c r="ER119" s="1" t="e">
        <f t="shared" ca="1" si="178"/>
        <v>#N/A</v>
      </c>
      <c r="ES119" s="1">
        <f t="shared" ca="1" si="179"/>
        <v>3.1113100000000001E-2</v>
      </c>
      <c r="ET119" s="1">
        <f t="shared" ca="1" si="180"/>
        <v>3.3295689999999996E-2</v>
      </c>
      <c r="EU119" s="1">
        <f t="shared" ca="1" si="181"/>
        <v>3.2595689999999997E-2</v>
      </c>
      <c r="EV119" s="1">
        <f t="shared" ca="1" si="182"/>
        <v>5.321465E-3</v>
      </c>
      <c r="EW119" s="1">
        <f t="shared" ca="1" si="183"/>
        <v>3.665293E-2</v>
      </c>
      <c r="EX119" s="1">
        <f t="shared" ca="1" si="184"/>
        <v>-1.067676E-3</v>
      </c>
      <c r="EY119" s="1">
        <f t="shared" ca="1" si="185"/>
        <v>-2.0926759999999999E-3</v>
      </c>
      <c r="EZ119" s="1">
        <f t="shared" ca="1" si="186"/>
        <v>3.1113100000000001E-2</v>
      </c>
    </row>
    <row r="120" spans="1:156" x14ac:dyDescent="0.25">
      <c r="A120">
        <f t="shared" ca="1" si="169"/>
        <v>118</v>
      </c>
      <c r="B120" s="169">
        <f ca="1">IF('LC (Gross)'!A267="","",IF('LC (Gross)'!A267&gt;$AC$9,"",'LC (Gross)'!A267))</f>
        <v>44165</v>
      </c>
      <c r="C120" s="1">
        <f ca="1">IF(B120="","",(VLOOKUP(B120,'LC (Gross)'!A:D,4,FALSE)/100))</f>
        <v>7.0962999999999998E-2</v>
      </c>
      <c r="D120" s="1">
        <f ca="1">IF(B120="","",(VLOOKUP(B120,'SC (Gross)'!A:D,4,FALSE))/100)</f>
        <v>4.9685E-2</v>
      </c>
      <c r="E120" s="1">
        <f ca="1">IF(B120="","",(VLOOKUP(B120,'Global (Gross)'!A:D,4,FALSE)/100))</f>
        <v>7.8699000000000005E-2</v>
      </c>
      <c r="F120" s="1"/>
      <c r="G120" s="1">
        <f ca="1">IF(B120="","",(VLOOKUP(B120,'LC (Net)'!A:D,4,FALSE)/100))</f>
        <v>7.0179999999999992E-2</v>
      </c>
      <c r="H120" s="1">
        <f ca="1">IF(B120="","",(VLOOKUP(B120,'SC (Net)'!A:D,4,FALSE))/100)</f>
        <v>4.8765999999999997E-2</v>
      </c>
      <c r="I120" s="1">
        <f ca="1">IF(B120="","",(VLOOKUP(B120,'Global (Net)'!A:D,4,FALSE)/100))</f>
        <v>7.8117000000000006E-2</v>
      </c>
      <c r="J120" s="1"/>
      <c r="K120" s="1">
        <f ca="1">IF(B120="","",VLOOKUP(Website!B120,'LC (Gross)'!W:X,2,FALSE)/100)</f>
        <v>6.1642038128013506E-2</v>
      </c>
      <c r="L120" s="1">
        <f ca="1">IF(B120="","",VLOOKUP(Website!B120,'SC (Gross)'!P:Q,2,FALSE)/100)</f>
        <v>0.12627626912916201</v>
      </c>
      <c r="M120" s="1">
        <f ca="1">IF(B120="","",VLOOKUP(Website!B120,'Global (Gross)'!P:Q,2,FALSE)/100)</f>
        <v>6.7624349894346306E-2</v>
      </c>
      <c r="O120" s="1">
        <f ca="1">IF(B120="","",VLOOKUP(Website!B120,'LC (Gross)'!J:K,2,FALSE)/100)</f>
        <v>0.1094619</v>
      </c>
      <c r="P120" s="233">
        <f ca="1">IF(B120="","",(VLOOKUP(B120,'SC (Gross)'!J:K,2,FALSE))/100)</f>
        <v>0.1842106800262473</v>
      </c>
      <c r="Q120" s="233">
        <f ca="1">IF(B120="","",(VLOOKUP(B120,'Global (Gross)'!J:K,2,FALSE)/100))</f>
        <v>0.12362284519542568</v>
      </c>
      <c r="S120" s="22">
        <f t="shared" ca="1" si="147"/>
        <v>-3.8498900000000003E-2</v>
      </c>
      <c r="T120" s="22">
        <f t="shared" ca="1" si="148"/>
        <v>-0.13452568002624729</v>
      </c>
      <c r="U120" s="22">
        <f t="shared" ca="1" si="149"/>
        <v>-4.492384519542568E-2</v>
      </c>
      <c r="V120" s="22"/>
      <c r="W120" s="22">
        <f t="shared" ca="1" si="166"/>
        <v>-4.7819861871986495E-2</v>
      </c>
      <c r="X120" s="22">
        <f t="shared" ca="1" si="167"/>
        <v>-5.7934410897085287E-2</v>
      </c>
      <c r="Y120" s="22">
        <f t="shared" ca="1" si="168"/>
        <v>-5.5998495301079379E-2</v>
      </c>
      <c r="EJ120">
        <f t="shared" ca="1" si="170"/>
        <v>177</v>
      </c>
      <c r="EK120" s="169">
        <f t="shared" ca="1" si="171"/>
        <v>45961</v>
      </c>
      <c r="EL120" s="1">
        <f t="shared" ca="1" si="172"/>
        <v>-6.8231271707644111E-4</v>
      </c>
      <c r="EM120" s="1">
        <f t="shared" ca="1" si="173"/>
        <v>-1.2385999129374185E-3</v>
      </c>
      <c r="EN120" s="1">
        <f t="shared" ca="1" si="174"/>
        <v>-3.7181140000000001E-2</v>
      </c>
      <c r="EO120" s="1">
        <f t="shared" ca="1" si="175"/>
        <v>2.3413639999999999E-2</v>
      </c>
      <c r="EP120" s="1" t="e">
        <f t="shared" ca="1" si="176"/>
        <v>#N/A</v>
      </c>
      <c r="EQ120" s="1" t="e">
        <f t="shared" ca="1" si="177"/>
        <v>#N/A</v>
      </c>
      <c r="ER120" s="1" t="e">
        <f t="shared" ca="1" si="178"/>
        <v>#N/A</v>
      </c>
      <c r="ES120" s="1">
        <f t="shared" ca="1" si="179"/>
        <v>1.809146E-2</v>
      </c>
      <c r="ET120" s="1">
        <f t="shared" ca="1" si="180"/>
        <v>-1.928262E-2</v>
      </c>
      <c r="EU120" s="1">
        <f t="shared" ca="1" si="181"/>
        <v>-1.998262E-2</v>
      </c>
      <c r="EV120" s="1">
        <f t="shared" ca="1" si="182"/>
        <v>-1.4094850000000001E-2</v>
      </c>
      <c r="EW120" s="1">
        <f t="shared" ca="1" si="183"/>
        <v>2.255368E-2</v>
      </c>
      <c r="EX120" s="1">
        <f t="shared" ca="1" si="184"/>
        <v>-1.2156549999999999E-2</v>
      </c>
      <c r="EY120" s="1">
        <f t="shared" ca="1" si="185"/>
        <v>-1.318155E-2</v>
      </c>
      <c r="EZ120" s="1">
        <f t="shared" ca="1" si="186"/>
        <v>1.809146E-2</v>
      </c>
    </row>
    <row r="121" spans="1:156" x14ac:dyDescent="0.25">
      <c r="A121">
        <f t="shared" ca="1" si="169"/>
        <v>119</v>
      </c>
      <c r="B121" s="169">
        <f ca="1">IF('LC (Gross)'!A268="","",IF('LC (Gross)'!A268&gt;$AC$9,"",'LC (Gross)'!A268))</f>
        <v>44196</v>
      </c>
      <c r="C121" s="1">
        <f ca="1">IF(B121="","",(VLOOKUP(B121,'LC (Gross)'!A:D,4,FALSE)/100))</f>
        <v>3.8374999999999999E-2</v>
      </c>
      <c r="D121" s="1">
        <f ca="1">IF(B121="","",(VLOOKUP(B121,'SC (Gross)'!A:D,4,FALSE))/100)</f>
        <v>6.0671999999999997E-2</v>
      </c>
      <c r="E121" s="1">
        <f ca="1">IF(B121="","",(VLOOKUP(B121,'Global (Gross)'!A:D,4,FALSE)/100))</f>
        <v>3.1328999999999996E-2</v>
      </c>
      <c r="F121" s="1"/>
      <c r="G121" s="1">
        <f ca="1">IF(B121="","",(VLOOKUP(B121,'LC (Net)'!A:D,4,FALSE)/100))</f>
        <v>3.7768000000000003E-2</v>
      </c>
      <c r="H121" s="1">
        <f ca="1">IF(B121="","",(VLOOKUP(B121,'SC (Net)'!A:D,4,FALSE))/100)</f>
        <v>6.0034000000000004E-2</v>
      </c>
      <c r="I121" s="1">
        <f ca="1">IF(B121="","",(VLOOKUP(B121,'Global (Net)'!A:D,4,FALSE)/100))</f>
        <v>3.0719E-2</v>
      </c>
      <c r="J121" s="1"/>
      <c r="K121" s="1">
        <f ca="1">IF(B121="","",VLOOKUP(Website!B121,'LC (Gross)'!W:X,2,FALSE)/100)</f>
        <v>2.1268625970688407E-2</v>
      </c>
      <c r="L121" s="1">
        <f ca="1">IF(B121="","",VLOOKUP(Website!B121,'SC (Gross)'!P:Q,2,FALSE)/100)</f>
        <v>7.3711903894004449E-2</v>
      </c>
      <c r="M121" s="1">
        <f ca="1">IF(B121="","",VLOOKUP(Website!B121,'Global (Gross)'!P:Q,2,FALSE)/100)</f>
        <v>2.4457747215660863E-2</v>
      </c>
      <c r="O121" s="1">
        <f ca="1">IF(B121="","",VLOOKUP(Website!B121,'LC (Gross)'!J:K,2,FALSE)/100)</f>
        <v>3.8413089999999997E-2</v>
      </c>
      <c r="P121" s="233">
        <f ca="1">IF(B121="","",(VLOOKUP(B121,'SC (Gross)'!J:K,2,FALSE))/100)</f>
        <v>8.647821E-2</v>
      </c>
      <c r="Q121" s="233">
        <f ca="1">IF(B121="","",(VLOOKUP(B121,'Global (Gross)'!J:K,2,FALSE)/100))</f>
        <v>4.6630419999999999E-2</v>
      </c>
      <c r="S121" s="22">
        <f t="shared" ca="1" si="147"/>
        <v>-3.808999999999757E-5</v>
      </c>
      <c r="T121" s="22">
        <f t="shared" ca="1" si="148"/>
        <v>-2.5806210000000003E-2</v>
      </c>
      <c r="U121" s="22">
        <f t="shared" ca="1" si="149"/>
        <v>-1.5301420000000003E-2</v>
      </c>
      <c r="V121" s="22"/>
      <c r="W121" s="22">
        <f t="shared" ca="1" si="166"/>
        <v>-1.7144464029311589E-2</v>
      </c>
      <c r="X121" s="22">
        <f t="shared" ca="1" si="167"/>
        <v>-1.2766306105995551E-2</v>
      </c>
      <c r="Y121" s="22">
        <f t="shared" ca="1" si="168"/>
        <v>-2.2172672784339136E-2</v>
      </c>
      <c r="EJ121">
        <f t="shared" ca="1" si="170"/>
        <v>178</v>
      </c>
      <c r="EK121" s="169">
        <f t="shared" ca="1" si="171"/>
        <v>45991</v>
      </c>
      <c r="EL121" s="1">
        <f t="shared" ca="1" si="172"/>
        <v>3.8182025384643492E-2</v>
      </c>
      <c r="EM121" s="1">
        <f t="shared" ca="1" si="173"/>
        <v>3.7661618229367512E-2</v>
      </c>
      <c r="EN121" s="1">
        <f t="shared" ca="1" si="174"/>
        <v>3.85893E-2</v>
      </c>
      <c r="EO121" s="1">
        <f t="shared" ca="1" si="175"/>
        <v>2.4512030000000003E-3</v>
      </c>
      <c r="EP121" s="1" t="e">
        <f t="shared" ca="1" si="176"/>
        <v>#N/A</v>
      </c>
      <c r="EQ121" s="1" t="e">
        <f t="shared" ca="1" si="177"/>
        <v>#N/A</v>
      </c>
      <c r="ER121" s="1" t="e">
        <f t="shared" ca="1" si="178"/>
        <v>#N/A</v>
      </c>
      <c r="ES121" s="1">
        <f t="shared" ca="1" si="179"/>
        <v>9.5805179999999997E-3</v>
      </c>
      <c r="ET121" s="1">
        <f t="shared" ca="1" si="180"/>
        <v>3.1137349999999998E-2</v>
      </c>
      <c r="EU121" s="1">
        <f t="shared" ca="1" si="181"/>
        <v>3.0437349999999998E-2</v>
      </c>
      <c r="EV121" s="1">
        <f t="shared" ca="1" si="182"/>
        <v>2.3607E-2</v>
      </c>
      <c r="EW121" s="1">
        <f t="shared" ca="1" si="183"/>
        <v>1.8736109999999999E-4</v>
      </c>
      <c r="EX121" s="1">
        <f t="shared" ca="1" si="184"/>
        <v>1.1953960000000001E-2</v>
      </c>
      <c r="EY121" s="1">
        <f t="shared" ca="1" si="185"/>
        <v>1.0928960000000001E-2</v>
      </c>
      <c r="EZ121" s="1">
        <f t="shared" ca="1" si="186"/>
        <v>9.5805179999999997E-3</v>
      </c>
    </row>
    <row r="122" spans="1:156" x14ac:dyDescent="0.25">
      <c r="A122">
        <f t="shared" ca="1" si="169"/>
        <v>120</v>
      </c>
      <c r="B122" s="169">
        <f ca="1">IF('LC (Gross)'!A269="","",IF('LC (Gross)'!A269&gt;$AC$9,"",'LC (Gross)'!A269))</f>
        <v>44227</v>
      </c>
      <c r="C122" s="1">
        <f ca="1">IF(B122="","",(VLOOKUP(B122,'LC (Gross)'!A:D,4,FALSE)/100))</f>
        <v>-3.0198999999999997E-2</v>
      </c>
      <c r="D122" s="1">
        <f ca="1">IF(B122="","",(VLOOKUP(B122,'SC (Gross)'!A:D,4,FALSE))/100)</f>
        <v>2.3052000000000003E-2</v>
      </c>
      <c r="E122" s="1">
        <f ca="1">IF(B122="","",(VLOOKUP(B122,'Global (Gross)'!A:D,4,FALSE)/100))</f>
        <v>-1.9450000000000002E-2</v>
      </c>
      <c r="F122" s="1"/>
      <c r="G122" s="1">
        <f ca="1">IF(B122="","",(VLOOKUP(B122,'LC (Net)'!A:D,4,FALSE)/100))</f>
        <v>-3.0828000000000001E-2</v>
      </c>
      <c r="H122" s="1">
        <f ca="1">IF(B122="","",(VLOOKUP(B122,'SC (Net)'!A:D,4,FALSE))/100)</f>
        <v>2.2425999999999998E-2</v>
      </c>
      <c r="I122" s="1">
        <f ca="1">IF(B122="","",(VLOOKUP(B122,'Global (Net)'!A:D,4,FALSE)/100))</f>
        <v>-2.0243000000000001E-2</v>
      </c>
      <c r="J122" s="1"/>
      <c r="K122" s="1">
        <f ca="1">IF(B122="","",VLOOKUP(Website!B122,'LC (Gross)'!W:X,2,FALSE)/100)</f>
        <v>-1.7796389521386662E-2</v>
      </c>
      <c r="L122" s="1">
        <f ca="1">IF(B122="","",VLOOKUP(Website!B122,'SC (Gross)'!P:Q,2,FALSE)/100)</f>
        <v>8.0199169471176154E-3</v>
      </c>
      <c r="M122" s="1">
        <f ca="1">IF(B122="","",VLOOKUP(Website!B122,'Global (Gross)'!P:Q,2,FALSE)/100)</f>
        <v>-1.5846854121498177E-2</v>
      </c>
      <c r="O122" s="1">
        <f ca="1">IF(B122="","",VLOOKUP(Website!B122,'LC (Gross)'!J:K,2,FALSE)/100)</f>
        <v>-1.0177430000000001E-2</v>
      </c>
      <c r="P122" s="233">
        <f ca="1">IF(B122="","",(VLOOKUP(B122,'SC (Gross)'!J:K,2,FALSE))/100)</f>
        <v>5.0320150000000001E-2</v>
      </c>
      <c r="Q122" s="233">
        <f ca="1">IF(B122="","",(VLOOKUP(B122,'Global (Gross)'!J:K,2,FALSE)/100))</f>
        <v>-4.4216029999999996E-3</v>
      </c>
      <c r="S122" s="22">
        <f t="shared" ca="1" si="147"/>
        <v>-2.0021569999999995E-2</v>
      </c>
      <c r="T122" s="22">
        <f t="shared" ca="1" si="148"/>
        <v>-2.7268149999999998E-2</v>
      </c>
      <c r="U122" s="22">
        <f t="shared" ca="1" si="149"/>
        <v>-1.5028397000000002E-2</v>
      </c>
      <c r="V122" s="22"/>
      <c r="W122" s="22">
        <f t="shared" ca="1" si="166"/>
        <v>-7.6189595213866611E-3</v>
      </c>
      <c r="X122" s="22">
        <f t="shared" ca="1" si="167"/>
        <v>-4.2300233052882386E-2</v>
      </c>
      <c r="Y122" s="22">
        <f t="shared" ca="1" si="168"/>
        <v>-1.1425251121498177E-2</v>
      </c>
      <c r="EJ122">
        <f t="shared" ca="1" si="170"/>
        <v>179</v>
      </c>
      <c r="EK122" s="169">
        <f t="shared" ca="1" si="171"/>
        <v>46022</v>
      </c>
      <c r="EL122" s="1">
        <f t="shared" ca="1" si="172"/>
        <v>-5.0948326786837334E-4</v>
      </c>
      <c r="EM122" s="1">
        <f t="shared" ca="1" si="173"/>
        <v>-1.3073768602683152E-3</v>
      </c>
      <c r="EN122" s="1">
        <f t="shared" ca="1" si="174"/>
        <v>-2.1869409999999999E-2</v>
      </c>
      <c r="EO122" s="1">
        <f t="shared" ca="1" si="175"/>
        <v>5.9176080000000004E-4</v>
      </c>
      <c r="EP122" s="1" t="e">
        <f t="shared" ca="1" si="176"/>
        <v>#N/A</v>
      </c>
      <c r="EQ122" s="1" t="e">
        <f t="shared" ca="1" si="177"/>
        <v>#N/A</v>
      </c>
      <c r="ER122" s="1" t="e">
        <f t="shared" ca="1" si="178"/>
        <v>#N/A</v>
      </c>
      <c r="ES122" s="1">
        <f t="shared" ca="1" si="179"/>
        <v>-5.8173470000000005E-3</v>
      </c>
      <c r="ET122" s="1">
        <f t="shared" ca="1" si="180"/>
        <v>3.5737099999999999E-3</v>
      </c>
      <c r="EU122" s="1">
        <f t="shared" ca="1" si="181"/>
        <v>2.8737099999999998E-3</v>
      </c>
      <c r="EV122" s="1">
        <f t="shared" ca="1" si="182"/>
        <v>-6.8503060000000005E-3</v>
      </c>
      <c r="EW122" s="1">
        <f t="shared" ca="1" si="183"/>
        <v>1.0703000000000001E-2</v>
      </c>
      <c r="EX122" s="1">
        <f t="shared" ca="1" si="184"/>
        <v>9.5060539999999999E-3</v>
      </c>
      <c r="EY122" s="1">
        <f t="shared" ca="1" si="185"/>
        <v>8.481054E-3</v>
      </c>
      <c r="EZ122" s="1">
        <f t="shared" ca="1" si="186"/>
        <v>-5.8173470000000005E-3</v>
      </c>
    </row>
    <row r="123" spans="1:156" x14ac:dyDescent="0.25">
      <c r="A123">
        <f t="shared" ca="1" si="169"/>
        <v>121</v>
      </c>
      <c r="B123" s="169">
        <f ca="1">IF('LC (Gross)'!A270="","",IF('LC (Gross)'!A270&gt;$AC$9,"",'LC (Gross)'!A270))</f>
        <v>44255</v>
      </c>
      <c r="C123" s="1">
        <f ca="1">IF(B123="","",(VLOOKUP(B123,'LC (Gross)'!A:D,4,FALSE)/100))</f>
        <v>2.16E-3</v>
      </c>
      <c r="D123" s="1">
        <f ca="1">IF(B123="","",(VLOOKUP(B123,'SC (Gross)'!A:D,4,FALSE))/100)</f>
        <v>1.6141000000000003E-2</v>
      </c>
      <c r="E123" s="1">
        <f ca="1">IF(B123="","",(VLOOKUP(B123,'Global (Gross)'!A:D,4,FALSE)/100))</f>
        <v>2.1870000000000001E-3</v>
      </c>
      <c r="F123" s="1"/>
      <c r="G123" s="1">
        <f ca="1">IF(B123="","",(VLOOKUP(B123,'LC (Net)'!A:D,4,FALSE)/100))</f>
        <v>1.3930000000000001E-3</v>
      </c>
      <c r="H123" s="1">
        <f ca="1">IF(B123="","",(VLOOKUP(B123,'SC (Net)'!A:D,4,FALSE))/100)</f>
        <v>1.525E-2</v>
      </c>
      <c r="I123" s="1">
        <f ca="1">IF(B123="","",(VLOOKUP(B123,'Global (Net)'!A:D,4,FALSE)/100))</f>
        <v>1.5429999999999999E-3</v>
      </c>
      <c r="J123" s="1"/>
      <c r="K123" s="1">
        <f ca="1">IF(B123="","",VLOOKUP(Website!B123,'LC (Gross)'!W:X,2,FALSE)/100)</f>
        <v>-1.102733E-2</v>
      </c>
      <c r="L123" s="1">
        <f ca="1">IF(B123="","",VLOOKUP(Website!B123,'SC (Gross)'!P:Q,2,FALSE)/100)</f>
        <v>8.4144400000000008E-2</v>
      </c>
      <c r="M123" s="1">
        <f ca="1">IF(B123="","",VLOOKUP(Website!B123,'Global (Gross)'!P:Q,2,FALSE)/100)</f>
        <v>-1.1630529999999998E-2</v>
      </c>
      <c r="O123" s="1">
        <f ca="1">IF(B123="","",VLOOKUP(Website!B123,'LC (Gross)'!J:K,2,FALSE)/100)</f>
        <v>2.757573E-2</v>
      </c>
      <c r="P123" s="233">
        <f ca="1">IF(B123="","",(VLOOKUP(B123,'SC (Gross)'!J:K,2,FALSE))/100)</f>
        <v>6.2316390000000006E-2</v>
      </c>
      <c r="Q123" s="233">
        <f ca="1">IF(B123="","",(VLOOKUP(B123,'Global (Gross)'!J:K,2,FALSE)/100))</f>
        <v>2.3482360000000001E-2</v>
      </c>
      <c r="S123" s="22">
        <f t="shared" ca="1" si="147"/>
        <v>-2.5415730000000001E-2</v>
      </c>
      <c r="T123" s="22">
        <f t="shared" ca="1" si="148"/>
        <v>-4.6175390000000004E-2</v>
      </c>
      <c r="U123" s="22">
        <f t="shared" ca="1" si="149"/>
        <v>-2.1295359999999999E-2</v>
      </c>
      <c r="V123" s="22"/>
      <c r="W123" s="22">
        <f t="shared" ca="1" si="166"/>
        <v>-3.8603060000000002E-2</v>
      </c>
      <c r="X123" s="22">
        <f t="shared" ca="1" si="167"/>
        <v>2.1828010000000002E-2</v>
      </c>
      <c r="Y123" s="22">
        <f t="shared" ca="1" si="168"/>
        <v>-3.5112890000000001E-2</v>
      </c>
    </row>
    <row r="124" spans="1:156" x14ac:dyDescent="0.25">
      <c r="A124">
        <f t="shared" ca="1" si="169"/>
        <v>122</v>
      </c>
      <c r="B124" s="169">
        <f ca="1">IF('LC (Gross)'!A271="","",IF('LC (Gross)'!A271&gt;$AC$9,"",'LC (Gross)'!A271))</f>
        <v>44286</v>
      </c>
      <c r="C124" s="1">
        <f ca="1">IF(B124="","",(VLOOKUP(B124,'LC (Gross)'!A:D,4,FALSE)/100))</f>
        <v>2.4340999999999998E-2</v>
      </c>
      <c r="D124" s="1">
        <f ca="1">IF(B124="","",(VLOOKUP(B124,'SC (Gross)'!A:D,4,FALSE))/100)</f>
        <v>1.0835999999999998E-2</v>
      </c>
      <c r="E124" s="1">
        <f ca="1">IF(B124="","",(VLOOKUP(B124,'Global (Gross)'!A:D,4,FALSE)/100))</f>
        <v>2.6608E-2</v>
      </c>
      <c r="F124" s="1">
        <f ca="1">IF(B124="","",(VLOOKUP(B124,'BOGIX (Gross)'!A:D,4,FALSE)/100))</f>
        <v>2.2485746666666664E-2</v>
      </c>
      <c r="G124" s="1">
        <f ca="1">IF(B124="","",(VLOOKUP(B124,'LC (Net)'!A:D,4,FALSE)/100))</f>
        <v>2.3746999999999997E-2</v>
      </c>
      <c r="H124" s="1">
        <f ca="1">IF(B124="","",(VLOOKUP(B124,'SC (Net)'!A:D,4,FALSE))/100)</f>
        <v>1.0323000000000001E-2</v>
      </c>
      <c r="I124" s="1">
        <f ca="1">IF(B124="","",(VLOOKUP(B124,'Global (Net)'!A:D,4,FALSE)/100))</f>
        <v>2.596E-2</v>
      </c>
      <c r="J124" s="1">
        <f ca="1">IF(B124="","",(VLOOKUP(B124,'BOGIX (Net)'!A:D,4,FALSE)/100))</f>
        <v>2.1444079999999997E-2</v>
      </c>
      <c r="K124" s="1">
        <f ca="1">IF(B124="","",VLOOKUP(Website!B124,'LC (Gross)'!W:X,2,FALSE)/100)</f>
        <v>6.8093779999999993E-2</v>
      </c>
      <c r="L124" s="1">
        <f ca="1">IF(B124="","",VLOOKUP(Website!B124,'SC (Gross)'!P:Q,2,FALSE)/100)</f>
        <v>3.3645040000000001E-2</v>
      </c>
      <c r="M124" s="1">
        <f ca="1">IF(B124="","",VLOOKUP(Website!B124,'Global (Gross)'!P:Q,2,FALSE)/100)</f>
        <v>4.7067930000000001E-2</v>
      </c>
      <c r="O124" s="1">
        <f ca="1">IF(B124="","",VLOOKUP(Website!B124,'LC (Gross)'!J:K,2,FALSE)/100)</f>
        <v>4.3791500000000004E-2</v>
      </c>
      <c r="P124" s="233">
        <f ca="1">IF(B124="","",(VLOOKUP(B124,'SC (Gross)'!J:K,2,FALSE))/100)</f>
        <v>1.0008870000000001E-2</v>
      </c>
      <c r="Q124" s="233">
        <f ca="1">IF(B124="","",(VLOOKUP(B124,'Global (Gross)'!J:K,2,FALSE)/100))</f>
        <v>2.7345459999999999E-2</v>
      </c>
      <c r="S124" s="22">
        <f t="shared" ca="1" si="147"/>
        <v>-1.9450500000000006E-2</v>
      </c>
      <c r="T124" s="22">
        <f t="shared" ca="1" si="148"/>
        <v>8.271299999999971E-4</v>
      </c>
      <c r="U124" s="22">
        <f t="shared" ca="1" si="149"/>
        <v>-7.3745999999999881E-4</v>
      </c>
      <c r="V124" s="22">
        <f ca="1">IF(F124="","",F124-P124)</f>
        <v>1.2476876666666662E-2</v>
      </c>
      <c r="W124" s="22">
        <f t="shared" ca="1" si="166"/>
        <v>2.4302279999999989E-2</v>
      </c>
      <c r="X124" s="22">
        <f t="shared" ca="1" si="167"/>
        <v>2.3636169999999998E-2</v>
      </c>
      <c r="Y124" s="22">
        <f t="shared" ca="1" si="168"/>
        <v>1.9722470000000002E-2</v>
      </c>
    </row>
    <row r="125" spans="1:156" x14ac:dyDescent="0.25">
      <c r="A125">
        <f t="shared" ca="1" si="169"/>
        <v>123</v>
      </c>
      <c r="B125" s="169">
        <f ca="1">IF('LC (Gross)'!A272="","",IF('LC (Gross)'!A272&gt;$AC$9,"",'LC (Gross)'!A272))</f>
        <v>44316</v>
      </c>
      <c r="C125" s="1">
        <f ca="1">IF(B125="","",(VLOOKUP(B125,'LC (Gross)'!A:D,4,FALSE)/100))</f>
        <v>4.8381E-2</v>
      </c>
      <c r="D125" s="1">
        <f ca="1">IF(B125="","",(VLOOKUP(B125,'SC (Gross)'!A:D,4,FALSE))/100)</f>
        <v>2.4963000000000003E-2</v>
      </c>
      <c r="E125" s="1">
        <f ca="1">IF(B125="","",(VLOOKUP(B125,'Global (Gross)'!A:D,4,FALSE)/100))</f>
        <v>4.1872999999999994E-2</v>
      </c>
      <c r="F125" s="1">
        <f ca="1">IF(B125="","",(VLOOKUP(B125,'BOGIX (Gross)'!A:D,4,FALSE)/100))</f>
        <v>2.5473579999999999E-2</v>
      </c>
      <c r="G125" s="1">
        <f ca="1">IF(B125="","",(VLOOKUP(B125,'LC (Net)'!A:D,4,FALSE)/100))</f>
        <v>4.7775999999999999E-2</v>
      </c>
      <c r="H125" s="1">
        <f ca="1">IF(B125="","",(VLOOKUP(B125,'SC (Net)'!A:D,4,FALSE))/100)</f>
        <v>2.4445999999999999E-2</v>
      </c>
      <c r="I125" s="1">
        <f ca="1">IF(B125="","",(VLOOKUP(B125,'Global (Net)'!A:D,4,FALSE)/100))</f>
        <v>4.1095E-2</v>
      </c>
      <c r="J125" s="1">
        <f ca="1">IF(B125="","",(VLOOKUP(B125,'BOGIX (Net)'!A:D,4,FALSE)/100))</f>
        <v>2.4448580000000001E-2</v>
      </c>
      <c r="K125" s="1">
        <f ca="1">IF(B125="","",VLOOKUP(Website!B125,'LC (Gross)'!W:X,2,FALSE)/100)</f>
        <v>4.1895179999999997E-2</v>
      </c>
      <c r="L125" s="1">
        <f ca="1">IF(B125="","",VLOOKUP(Website!B125,'SC (Gross)'!P:Q,2,FALSE)/100)</f>
        <v>7.9752250000000007E-3</v>
      </c>
      <c r="M125" s="1">
        <f ca="1">IF(B125="","",VLOOKUP(Website!B125,'Global (Gross)'!P:Q,2,FALSE)/100)</f>
        <v>2.767054E-2</v>
      </c>
      <c r="O125" s="1">
        <f ca="1">IF(B125="","",VLOOKUP(Website!B125,'LC (Gross)'!J:K,2,FALSE)/100)</f>
        <v>5.3368119999999998E-2</v>
      </c>
      <c r="P125" s="233">
        <f ca="1">IF(B125="","",(VLOOKUP(B125,'SC (Gross)'!J:K,2,FALSE))/100)</f>
        <v>2.0999029999999998E-2</v>
      </c>
      <c r="Q125" s="233">
        <f ca="1">IF(B125="","",(VLOOKUP(B125,'Global (Gross)'!J:K,2,FALSE)/100))</f>
        <v>4.40901E-2</v>
      </c>
      <c r="S125" s="22">
        <f t="shared" ca="1" si="147"/>
        <v>-4.9871199999999977E-3</v>
      </c>
      <c r="T125" s="22">
        <f t="shared" ca="1" si="148"/>
        <v>3.9639700000000042E-3</v>
      </c>
      <c r="U125" s="22">
        <f t="shared" ca="1" si="149"/>
        <v>-2.2171000000000066E-3</v>
      </c>
      <c r="V125" s="22">
        <f t="shared" ref="V125:V188" ca="1" si="187">IF(F125="","",F125-P125)</f>
        <v>4.4745500000000007E-3</v>
      </c>
      <c r="W125" s="22">
        <f t="shared" ca="1" si="166"/>
        <v>-1.1472940000000001E-2</v>
      </c>
      <c r="X125" s="22">
        <f t="shared" ca="1" si="167"/>
        <v>-1.3023804999999998E-2</v>
      </c>
      <c r="Y125" s="22">
        <f t="shared" ca="1" si="168"/>
        <v>-1.641956E-2</v>
      </c>
    </row>
    <row r="126" spans="1:156" x14ac:dyDescent="0.25">
      <c r="A126">
        <f t="shared" ca="1" si="169"/>
        <v>124</v>
      </c>
      <c r="B126" s="169">
        <f ca="1">IF('LC (Gross)'!A273="","",IF('LC (Gross)'!A273&gt;$AC$9,"",'LC (Gross)'!A273))</f>
        <v>44347</v>
      </c>
      <c r="C126" s="1">
        <f ca="1">IF(B126="","",(VLOOKUP(B126,'LC (Gross)'!A:D,4,FALSE)/100))</f>
        <v>1.2439999999999999E-3</v>
      </c>
      <c r="D126" s="1">
        <f ca="1">IF(B126="","",(VLOOKUP(B126,'SC (Gross)'!A:D,4,FALSE))/100)</f>
        <v>-3.9110000000000004E-3</v>
      </c>
      <c r="E126" s="1">
        <f ca="1">IF(B126="","",(VLOOKUP(B126,'Global (Gross)'!A:D,4,FALSE)/100))</f>
        <v>1.1787000000000001E-2</v>
      </c>
      <c r="F126" s="1">
        <f ca="1">IF(B126="","",(VLOOKUP(B126,'BOGIX (Gross)'!A:D,4,FALSE)/100))</f>
        <v>1.6329800000000002E-2</v>
      </c>
      <c r="G126" s="1">
        <f ca="1">IF(B126="","",(VLOOKUP(B126,'LC (Net)'!A:D,4,FALSE)/100))</f>
        <v>4.8300000000000003E-4</v>
      </c>
      <c r="H126" s="1">
        <f ca="1">IF(B126="","",(VLOOKUP(B126,'SC (Net)'!A:D,4,FALSE))/100)</f>
        <v>-4.7780000000000001E-3</v>
      </c>
      <c r="I126" s="1">
        <f ca="1">IF(B126="","",(VLOOKUP(B126,'Global (Net)'!A:D,4,FALSE)/100))</f>
        <v>1.1136E-2</v>
      </c>
      <c r="J126" s="1">
        <f ca="1">IF(B126="","",(VLOOKUP(B126,'BOGIX (Net)'!A:D,4,FALSE)/100))</f>
        <v>1.53048E-2</v>
      </c>
      <c r="K126" s="1">
        <f ca="1">IF(B126="","",VLOOKUP(Website!B126,'LC (Gross)'!W:X,2,FALSE)/100)</f>
        <v>1.1587460000000001E-2</v>
      </c>
      <c r="L126" s="1">
        <f ca="1">IF(B126="","",VLOOKUP(Website!B126,'SC (Gross)'!P:Q,2,FALSE)/100)</f>
        <v>2.4864210000000001E-2</v>
      </c>
      <c r="M126" s="1">
        <f ca="1">IF(B126="","",VLOOKUP(Website!B126,'Global (Gross)'!P:Q,2,FALSE)/100)</f>
        <v>1.8857821167551705E-2</v>
      </c>
      <c r="O126" s="1">
        <f ca="1">IF(B126="","",VLOOKUP(Website!B126,'LC (Gross)'!J:K,2,FALSE)/100)</f>
        <v>6.9815649999999995E-3</v>
      </c>
      <c r="P126" s="233">
        <f ca="1">IF(B126="","",(VLOOKUP(B126,'SC (Gross)'!J:K,2,FALSE))/100)</f>
        <v>2.0599759999999998E-3</v>
      </c>
      <c r="Q126" s="233">
        <f ca="1">IF(B126="","",(VLOOKUP(B126,'Global (Gross)'!J:K,2,FALSE)/100))</f>
        <v>1.6038460000000001E-2</v>
      </c>
      <c r="S126" s="22">
        <f t="shared" ca="1" si="147"/>
        <v>-5.737565E-3</v>
      </c>
      <c r="T126" s="22">
        <f t="shared" ca="1" si="148"/>
        <v>-5.9709760000000002E-3</v>
      </c>
      <c r="U126" s="22">
        <f t="shared" ca="1" si="149"/>
        <v>-4.2514600000000003E-3</v>
      </c>
      <c r="V126" s="22">
        <f t="shared" ca="1" si="187"/>
        <v>1.4269824000000002E-2</v>
      </c>
      <c r="W126" s="22">
        <f t="shared" ca="1" si="166"/>
        <v>4.6058950000000013E-3</v>
      </c>
      <c r="X126" s="22">
        <f t="shared" ca="1" si="167"/>
        <v>2.2804234E-2</v>
      </c>
      <c r="Y126" s="22">
        <f t="shared" ca="1" si="168"/>
        <v>2.8193611675517045E-3</v>
      </c>
    </row>
    <row r="127" spans="1:156" x14ac:dyDescent="0.25">
      <c r="A127">
        <f t="shared" ca="1" si="169"/>
        <v>125</v>
      </c>
      <c r="B127" s="169">
        <f ca="1">IF('LC (Gross)'!A274="","",IF('LC (Gross)'!A274&gt;$AC$9,"",'LC (Gross)'!A274))</f>
        <v>44377</v>
      </c>
      <c r="C127" s="1">
        <f ca="1">IF(B127="","",(VLOOKUP(B127,'LC (Gross)'!A:D,4,FALSE)/100))</f>
        <v>3.3105999999999997E-2</v>
      </c>
      <c r="D127" s="1">
        <f ca="1">IF(B127="","",(VLOOKUP(B127,'SC (Gross)'!A:D,4,FALSE))/100)</f>
        <v>2.8210000000000002E-3</v>
      </c>
      <c r="E127" s="1">
        <f ca="1">IF(B127="","",(VLOOKUP(B127,'Global (Gross)'!A:D,4,FALSE)/100))</f>
        <v>1.7763999999999999E-2</v>
      </c>
      <c r="F127" s="1">
        <f ca="1">IF(B127="","",(VLOOKUP(B127,'BOGIX (Gross)'!A:D,4,FALSE)/100))</f>
        <v>1.1755710000000001E-2</v>
      </c>
      <c r="G127" s="1">
        <f ca="1">IF(B127="","",(VLOOKUP(B127,'LC (Net)'!A:D,4,FALSE)/100))</f>
        <v>3.2516999999999997E-2</v>
      </c>
      <c r="H127" s="1">
        <f ca="1">IF(B127="","",(VLOOKUP(B127,'SC (Net)'!A:D,4,FALSE))/100)</f>
        <v>2.287E-3</v>
      </c>
      <c r="I127" s="1">
        <f ca="1">IF(B127="","",(VLOOKUP(B127,'Global (Net)'!A:D,4,FALSE)/100))</f>
        <v>1.7113E-2</v>
      </c>
      <c r="J127" s="1">
        <f ca="1">IF(B127="","",(VLOOKUP(B127,'BOGIX (Net)'!A:D,4,FALSE)/100))</f>
        <v>1.0730710000000001E-2</v>
      </c>
      <c r="K127" s="1">
        <f ca="1">IF(B127="","",VLOOKUP(Website!B127,'LC (Gross)'!W:X,2,FALSE)/100)</f>
        <v>2.8556060000000001E-4</v>
      </c>
      <c r="L127" s="1">
        <f ca="1">IF(B127="","",VLOOKUP(Website!B127,'SC (Gross)'!P:Q,2,FALSE)/100)</f>
        <v>-6.8136490000000006E-3</v>
      </c>
      <c r="M127" s="1">
        <f ca="1">IF(B127="","",VLOOKUP(Website!B127,'Global (Gross)'!P:Q,2,FALSE)/100)</f>
        <v>6.9622417643923351E-3</v>
      </c>
      <c r="O127" s="1">
        <f ca="1">IF(B127="","",VLOOKUP(Website!B127,'LC (Gross)'!J:K,2,FALSE)/100)</f>
        <v>2.3341850000000001E-2</v>
      </c>
      <c r="P127" s="233">
        <f ca="1">IF(B127="","",(VLOOKUP(B127,'SC (Gross)'!J:K,2,FALSE))/100)</f>
        <v>1.9373029999999999E-2</v>
      </c>
      <c r="Q127" s="233">
        <f ca="1">IF(B127="","",(VLOOKUP(B127,'Global (Gross)'!J:K,2,FALSE)/100))</f>
        <v>1.35379E-2</v>
      </c>
      <c r="S127" s="22">
        <f t="shared" ca="1" si="147"/>
        <v>9.7641499999999957E-3</v>
      </c>
      <c r="T127" s="22">
        <f t="shared" ca="1" si="148"/>
        <v>-1.6552029999999999E-2</v>
      </c>
      <c r="U127" s="22">
        <f t="shared" ca="1" si="149"/>
        <v>4.2260999999999983E-3</v>
      </c>
      <c r="V127" s="22">
        <f t="shared" ca="1" si="187"/>
        <v>-7.6173199999999986E-3</v>
      </c>
      <c r="W127" s="22">
        <f t="shared" ca="1" si="166"/>
        <v>-2.3056289399999999E-2</v>
      </c>
      <c r="X127" s="22">
        <f t="shared" ca="1" si="167"/>
        <v>-2.6186679000000001E-2</v>
      </c>
      <c r="Y127" s="22">
        <f t="shared" ca="1" si="168"/>
        <v>-6.5756582356076652E-3</v>
      </c>
    </row>
    <row r="128" spans="1:156" x14ac:dyDescent="0.25">
      <c r="A128">
        <f t="shared" ca="1" si="169"/>
        <v>126</v>
      </c>
      <c r="B128" s="169">
        <f ca="1">IF('LC (Gross)'!A275="","",IF('LC (Gross)'!A275&gt;$AC$9,"",'LC (Gross)'!A275))</f>
        <v>44408</v>
      </c>
      <c r="C128" s="1">
        <f ca="1">IF(B128="","",(VLOOKUP(B128,'LC (Gross)'!A:D,4,FALSE)/100))</f>
        <v>2.8786999999999997E-2</v>
      </c>
      <c r="D128" s="1">
        <f ca="1">IF(B128="","",(VLOOKUP(B128,'SC (Gross)'!A:D,4,FALSE))/100)</f>
        <v>1.8425E-2</v>
      </c>
      <c r="E128" s="1">
        <f ca="1">IF(B128="","",(VLOOKUP(B128,'Global (Gross)'!A:D,4,FALSE)/100))</f>
        <v>1.4047E-2</v>
      </c>
      <c r="F128" s="1">
        <f ca="1">IF(B128="","",(VLOOKUP(B128,'BOGIX (Gross)'!A:D,4,FALSE)/100))</f>
        <v>-1.869188574317495E-2</v>
      </c>
      <c r="G128" s="1">
        <f ca="1">IF(B128="","",(VLOOKUP(B128,'LC (Net)'!A:D,4,FALSE)/100))</f>
        <v>2.8003999999999998E-2</v>
      </c>
      <c r="H128" s="1">
        <f ca="1">IF(B128="","",(VLOOKUP(B128,'SC (Net)'!A:D,4,FALSE))/100)</f>
        <v>1.7547E-2</v>
      </c>
      <c r="I128" s="1">
        <f ca="1">IF(B128="","",(VLOOKUP(B128,'Global (Net)'!A:D,4,FALSE)/100))</f>
        <v>1.3266E-2</v>
      </c>
      <c r="J128" s="1">
        <f ca="1">IF(B128="","",(VLOOKUP(B128,'BOGIX (Net)'!A:D,4,FALSE)/100))</f>
        <v>-1.9716885743174952E-2</v>
      </c>
      <c r="K128" s="1">
        <f ca="1">IF(B128="","",VLOOKUP(Website!B128,'LC (Gross)'!W:X,2,FALSE)/100)</f>
        <v>3.7171284999999998E-2</v>
      </c>
      <c r="L128" s="1">
        <f ca="1">IF(B128="","",VLOOKUP(Website!B128,'SC (Gross)'!P:Q,2,FALSE)/100)</f>
        <v>1.004436E-2</v>
      </c>
      <c r="M128" s="1">
        <f ca="1">IF(B128="","",VLOOKUP(Website!B128,'Global (Gross)'!P:Q,2,FALSE)/100)</f>
        <v>1.6058762145677741E-2</v>
      </c>
      <c r="O128" s="1">
        <f ca="1">IF(B128="","",VLOOKUP(Website!B128,'LC (Gross)'!J:K,2,FALSE)/100)</f>
        <v>2.3753170000000001E-2</v>
      </c>
      <c r="P128" s="233">
        <f ca="1">IF(B128="","",(VLOOKUP(B128,'SC (Gross)'!J:K,2,FALSE))/100)</f>
        <v>-3.6109000000000002E-2</v>
      </c>
      <c r="Q128" s="233">
        <f ca="1">IF(B128="","",(VLOOKUP(B128,'Global (Gross)'!J:K,2,FALSE)/100))</f>
        <v>7.1776589999999994E-3</v>
      </c>
      <c r="S128" s="22">
        <f t="shared" ca="1" si="147"/>
        <v>5.0338299999999961E-3</v>
      </c>
      <c r="T128" s="22">
        <f t="shared" ca="1" si="148"/>
        <v>5.4533999999999999E-2</v>
      </c>
      <c r="U128" s="22">
        <f t="shared" ca="1" si="149"/>
        <v>6.869341000000001E-3</v>
      </c>
      <c r="V128" s="22">
        <f t="shared" ca="1" si="187"/>
        <v>1.7417114256825052E-2</v>
      </c>
      <c r="W128" s="22">
        <f t="shared" ca="1" si="166"/>
        <v>1.3418114999999998E-2</v>
      </c>
      <c r="X128" s="22">
        <f t="shared" ca="1" si="167"/>
        <v>4.6153360000000004E-2</v>
      </c>
      <c r="Y128" s="22">
        <f t="shared" ca="1" si="168"/>
        <v>8.881103145677742E-3</v>
      </c>
    </row>
    <row r="129" spans="1:25" x14ac:dyDescent="0.25">
      <c r="A129">
        <f t="shared" ca="1" si="169"/>
        <v>127</v>
      </c>
      <c r="B129" s="169">
        <f ca="1">IF('LC (Gross)'!A276="","",IF('LC (Gross)'!A276&gt;$AC$9,"",'LC (Gross)'!A276))</f>
        <v>44439</v>
      </c>
      <c r="C129" s="1">
        <f ca="1">IF(B129="","",(VLOOKUP(B129,'LC (Gross)'!A:D,4,FALSE)/100))</f>
        <v>2.2487E-2</v>
      </c>
      <c r="D129" s="1">
        <f ca="1">IF(B129="","",(VLOOKUP(B129,'SC (Gross)'!A:D,4,FALSE))/100)</f>
        <v>7.5290000000000001E-3</v>
      </c>
      <c r="E129" s="1">
        <f ca="1">IF(B129="","",(VLOOKUP(B129,'Global (Gross)'!A:D,4,FALSE)/100))</f>
        <v>2.5014999999999999E-2</v>
      </c>
      <c r="F129" s="1">
        <f ca="1">IF(B129="","",(VLOOKUP(B129,'BOGIX (Gross)'!A:D,4,FALSE)/100))</f>
        <v>-2.5851080000000005E-3</v>
      </c>
      <c r="G129" s="1">
        <f ca="1">IF(B129="","",(VLOOKUP(B129,'LC (Net)'!A:D,4,FALSE)/100))</f>
        <v>2.1901E-2</v>
      </c>
      <c r="H129" s="1">
        <f ca="1">IF(B129="","",(VLOOKUP(B129,'SC (Net)'!A:D,4,FALSE))/100)</f>
        <v>7.0550000000000005E-3</v>
      </c>
      <c r="I129" s="1">
        <f ca="1">IF(B129="","",(VLOOKUP(B129,'Global (Net)'!A:D,4,FALSE)/100))</f>
        <v>2.4364E-2</v>
      </c>
      <c r="J129" s="1">
        <f ca="1">IF(B129="","",(VLOOKUP(B129,'BOGIX (Net)'!A:D,4,FALSE)/100))</f>
        <v>-3.6101080000000003E-3</v>
      </c>
      <c r="K129" s="1">
        <f ca="1">IF(B129="","",VLOOKUP(Website!B129,'LC (Gross)'!W:X,2,FALSE)/100)</f>
        <v>1.7447090000000002E-2</v>
      </c>
      <c r="L129" s="1">
        <f ca="1">IF(B129="","",VLOOKUP(Website!B129,'SC (Gross)'!P:Q,2,FALSE)/100)</f>
        <v>3.0405049999999999E-2</v>
      </c>
      <c r="M129" s="1">
        <f ca="1">IF(B129="","",VLOOKUP(Website!B129,'Global (Gross)'!P:Q,2,FALSE)/100)</f>
        <v>2.2169819999999996E-2</v>
      </c>
      <c r="O129" s="1">
        <f ca="1">IF(B129="","",VLOOKUP(Website!B129,'LC (Gross)'!J:K,2,FALSE)/100)</f>
        <v>3.0406559999999999E-2</v>
      </c>
      <c r="P129" s="233">
        <f ca="1">IF(B129="","",(VLOOKUP(B129,'SC (Gross)'!J:K,2,FALSE))/100)</f>
        <v>2.2345830000000001E-2</v>
      </c>
      <c r="Q129" s="233">
        <f ca="1">IF(B129="","",(VLOOKUP(B129,'Global (Gross)'!J:K,2,FALSE)/100))</f>
        <v>2.535803E-2</v>
      </c>
      <c r="S129" s="22">
        <f t="shared" ca="1" si="147"/>
        <v>-7.9195599999999991E-3</v>
      </c>
      <c r="T129" s="22">
        <f t="shared" ca="1" si="148"/>
        <v>-1.481683E-2</v>
      </c>
      <c r="U129" s="22">
        <f t="shared" ca="1" si="149"/>
        <v>-3.4303000000000111E-4</v>
      </c>
      <c r="V129" s="22">
        <f t="shared" ca="1" si="187"/>
        <v>-2.4930938E-2</v>
      </c>
      <c r="W129" s="22">
        <f t="shared" ca="1" si="166"/>
        <v>-1.2959469999999997E-2</v>
      </c>
      <c r="X129" s="22">
        <f t="shared" ca="1" si="167"/>
        <v>8.0592199999999989E-3</v>
      </c>
      <c r="Y129" s="22">
        <f t="shared" ca="1" si="168"/>
        <v>-3.1882100000000038E-3</v>
      </c>
    </row>
    <row r="130" spans="1:25" x14ac:dyDescent="0.25">
      <c r="A130">
        <f t="shared" ca="1" si="169"/>
        <v>128</v>
      </c>
      <c r="B130" s="169">
        <f ca="1">IF('LC (Gross)'!A277="","",IF('LC (Gross)'!A277&gt;$AC$9,"",'LC (Gross)'!A277))</f>
        <v>44469</v>
      </c>
      <c r="C130" s="1">
        <f ca="1">IF(B130="","",(VLOOKUP(B130,'LC (Gross)'!A:D,4,FALSE)/100))</f>
        <v>-5.7928E-2</v>
      </c>
      <c r="D130" s="1">
        <f ca="1">IF(B130="","",(VLOOKUP(B130,'SC (Gross)'!A:D,4,FALSE))/100)</f>
        <v>-3.1543000000000002E-2</v>
      </c>
      <c r="E130" s="1">
        <f ca="1">IF(B130="","",(VLOOKUP(B130,'Global (Gross)'!A:D,4,FALSE)/100))</f>
        <v>-3.7179000000000004E-2</v>
      </c>
      <c r="F130" s="1">
        <f ca="1">IF(B130="","",(VLOOKUP(B130,'BOGIX (Gross)'!A:D,4,FALSE)/100))</f>
        <v>-2.5372510000000001E-2</v>
      </c>
      <c r="G130" s="1">
        <f ca="1">IF(B130="","",(VLOOKUP(B130,'LC (Net)'!A:D,4,FALSE)/100))</f>
        <v>-5.8513000000000003E-2</v>
      </c>
      <c r="H130" s="1">
        <f ca="1">IF(B130="","",(VLOOKUP(B130,'SC (Net)'!A:D,4,FALSE))/100)</f>
        <v>-3.2017999999999998E-2</v>
      </c>
      <c r="I130" s="1">
        <f ca="1">IF(B130="","",(VLOOKUP(B130,'Global (Net)'!A:D,4,FALSE)/100))</f>
        <v>-3.7831000000000004E-2</v>
      </c>
      <c r="J130" s="1">
        <f ca="1">IF(B130="","",(VLOOKUP(B130,'BOGIX (Net)'!A:D,4,FALSE)/100))</f>
        <v>-2.6397509999999999E-2</v>
      </c>
      <c r="K130" s="1">
        <f ca="1">IF(B130="","",VLOOKUP(Website!B130,'LC (Gross)'!W:X,2,FALSE)/100)</f>
        <v>-4.8769060000000003E-2</v>
      </c>
      <c r="L130" s="1">
        <f ca="1">IF(B130="","",VLOOKUP(Website!B130,'SC (Gross)'!P:Q,2,FALSE)/100)</f>
        <v>-3.1253700000000002E-2</v>
      </c>
      <c r="M130" s="1">
        <f ca="1">IF(B130="","",VLOOKUP(Website!B130,'Global (Gross)'!P:Q,2,FALSE)/100)</f>
        <v>-3.5062980000000001E-2</v>
      </c>
      <c r="O130" s="1">
        <f ca="1">IF(B130="","",VLOOKUP(Website!B130,'LC (Gross)'!J:K,2,FALSE)/100)</f>
        <v>-4.6523870000000002E-2</v>
      </c>
      <c r="P130" s="233">
        <f ca="1">IF(B130="","",(VLOOKUP(B130,'SC (Gross)'!J:K,2,FALSE))/100)</f>
        <v>-2.948974E-2</v>
      </c>
      <c r="Q130" s="233">
        <f ca="1">IF(B130="","",(VLOOKUP(B130,'Global (Gross)'!J:K,2,FALSE)/100))</f>
        <v>-4.080425E-2</v>
      </c>
      <c r="S130" s="22">
        <f t="shared" ca="1" si="147"/>
        <v>-1.1404129999999998E-2</v>
      </c>
      <c r="T130" s="22">
        <f t="shared" ca="1" si="148"/>
        <v>-2.0532600000000012E-3</v>
      </c>
      <c r="U130" s="22">
        <f t="shared" ca="1" si="149"/>
        <v>3.6252499999999965E-3</v>
      </c>
      <c r="V130" s="22">
        <f t="shared" ca="1" si="187"/>
        <v>4.1172299999999995E-3</v>
      </c>
      <c r="W130" s="22">
        <f t="shared" ca="1" si="166"/>
        <v>-2.2451900000000011E-3</v>
      </c>
      <c r="X130" s="22">
        <f t="shared" ca="1" si="167"/>
        <v>-1.7639600000000019E-3</v>
      </c>
      <c r="Y130" s="22">
        <f t="shared" ca="1" si="168"/>
        <v>5.7412699999999997E-3</v>
      </c>
    </row>
    <row r="131" spans="1:25" x14ac:dyDescent="0.25">
      <c r="A131">
        <f t="shared" ca="1" si="169"/>
        <v>129</v>
      </c>
      <c r="B131" s="169">
        <f ca="1">IF('LC (Gross)'!A278="","",IF('LC (Gross)'!A278&gt;$AC$9,"",'LC (Gross)'!A278))</f>
        <v>44500</v>
      </c>
      <c r="C131" s="1">
        <f ca="1">IF(B131="","",(VLOOKUP(B131,'LC (Gross)'!A:D,4,FALSE)/100))</f>
        <v>8.2568000000000003E-2</v>
      </c>
      <c r="D131" s="1">
        <f ca="1">IF(B131="","",(VLOOKUP(B131,'SC (Gross)'!A:D,4,FALSE))/100)</f>
        <v>4.7294000000000003E-2</v>
      </c>
      <c r="E131" s="1">
        <f ca="1">IF(B131="","",(VLOOKUP(B131,'Global (Gross)'!A:D,4,FALSE)/100))</f>
        <v>5.9665999999999997E-2</v>
      </c>
      <c r="F131" s="1">
        <f ca="1">IF(B131="","",(VLOOKUP(B131,'BOGIX (Gross)'!A:D,4,FALSE)/100))</f>
        <v>3.132803E-2</v>
      </c>
      <c r="G131" s="1">
        <f ca="1">IF(B131="","",(VLOOKUP(B131,'LC (Net)'!A:D,4,FALSE)/100))</f>
        <v>8.1766000000000005E-2</v>
      </c>
      <c r="H131" s="1">
        <f ca="1">IF(B131="","",(VLOOKUP(B131,'SC (Net)'!A:D,4,FALSE))/100)</f>
        <v>4.6417E-2</v>
      </c>
      <c r="I131" s="1">
        <f ca="1">IF(B131="","",(VLOOKUP(B131,'Global (Net)'!A:D,4,FALSE)/100))</f>
        <v>5.8882000000000004E-2</v>
      </c>
      <c r="J131" s="1">
        <f ca="1">IF(B131="","",(VLOOKUP(B131,'BOGIX (Net)'!A:D,4,FALSE)/100))</f>
        <v>3.0303029999999998E-2</v>
      </c>
      <c r="K131" s="1">
        <f ca="1">IF(B131="","",VLOOKUP(Website!B131,'LC (Gross)'!W:X,2,FALSE)/100)</f>
        <v>4.7223910000000001E-2</v>
      </c>
      <c r="L131" s="1">
        <f ca="1">IF(B131="","",VLOOKUP(Website!B131,'SC (Gross)'!P:Q,2,FALSE)/100)</f>
        <v>4.4607630000000002E-2</v>
      </c>
      <c r="M131" s="1">
        <f ca="1">IF(B131="","",VLOOKUP(Website!B131,'Global (Gross)'!P:Q,2,FALSE)/100)</f>
        <v>2.5486770000000002E-2</v>
      </c>
      <c r="O131" s="1">
        <f ca="1">IF(B131="","",VLOOKUP(Website!B131,'LC (Gross)'!J:K,2,FALSE)/100)</f>
        <v>7.0051260000000004E-2</v>
      </c>
      <c r="P131" s="233">
        <f ca="1">IF(B131="","",(VLOOKUP(B131,'SC (Gross)'!J:K,2,FALSE))/100)</f>
        <v>4.2539100000000003E-2</v>
      </c>
      <c r="Q131" s="233">
        <f ca="1">IF(B131="","",(VLOOKUP(B131,'Global (Gross)'!J:K,2,FALSE)/100))</f>
        <v>5.1259629999999994E-2</v>
      </c>
      <c r="S131" s="22">
        <f t="shared" ref="S131:S194" ca="1" si="188">IF(C131="","",C131-O131)</f>
        <v>1.2516739999999998E-2</v>
      </c>
      <c r="T131" s="22">
        <f t="shared" ref="T131:T194" ca="1" si="189">IF(D131="","",D131-P131)</f>
        <v>4.7548999999999994E-3</v>
      </c>
      <c r="U131" s="22">
        <f t="shared" ref="U131:U194" ca="1" si="190">IF(E131="","",E131-Q131)</f>
        <v>8.4063700000000033E-3</v>
      </c>
      <c r="V131" s="22">
        <f t="shared" ca="1" si="187"/>
        <v>-1.1211070000000004E-2</v>
      </c>
      <c r="W131" s="22">
        <f t="shared" ca="1" si="166"/>
        <v>-2.2827350000000003E-2</v>
      </c>
      <c r="X131" s="22">
        <f t="shared" ca="1" si="167"/>
        <v>2.068529999999999E-3</v>
      </c>
      <c r="Y131" s="22">
        <f t="shared" ca="1" si="168"/>
        <v>-2.5772859999999991E-2</v>
      </c>
    </row>
    <row r="132" spans="1:25" x14ac:dyDescent="0.25">
      <c r="A132">
        <f t="shared" ca="1" si="169"/>
        <v>130</v>
      </c>
      <c r="B132" s="169">
        <f ca="1">IF('LC (Gross)'!A279="","",IF('LC (Gross)'!A279&gt;$AC$9,"",'LC (Gross)'!A279))</f>
        <v>44530</v>
      </c>
      <c r="C132" s="1">
        <f ca="1">IF(B132="","",(VLOOKUP(B132,'LC (Gross)'!A:D,4,FALSE)/100))</f>
        <v>-1.6644000000000003E-2</v>
      </c>
      <c r="D132" s="1">
        <f ca="1">IF(B132="","",(VLOOKUP(B132,'SC (Gross)'!A:D,4,FALSE))/100)</f>
        <v>-5.195E-3</v>
      </c>
      <c r="E132" s="1">
        <f ca="1">IF(B132="","",(VLOOKUP(B132,'Global (Gross)'!A:D,4,FALSE)/100))</f>
        <v>-1.9826E-2</v>
      </c>
      <c r="F132" s="1">
        <f ca="1">IF(B132="","",(VLOOKUP(B132,'BOGIX (Gross)'!A:D,4,FALSE)/100))</f>
        <v>-4.3092649999999996E-2</v>
      </c>
      <c r="G132" s="1">
        <f ca="1">IF(B132="","",(VLOOKUP(B132,'LC (Net)'!A:D,4,FALSE)/100))</f>
        <v>-1.7231E-2</v>
      </c>
      <c r="H132" s="1">
        <f ca="1">IF(B132="","",(VLOOKUP(B132,'SC (Net)'!A:D,4,FALSE))/100)</f>
        <v>-5.6649999999999999E-3</v>
      </c>
      <c r="I132" s="1">
        <f ca="1">IF(B132="","",(VLOOKUP(B132,'Global (Net)'!A:D,4,FALSE)/100))</f>
        <v>-2.0478E-2</v>
      </c>
      <c r="J132" s="1">
        <f ca="1">IF(B132="","",(VLOOKUP(B132,'BOGIX (Net)'!A:D,4,FALSE)/100))</f>
        <v>-4.4117650000000001E-2</v>
      </c>
      <c r="K132" s="1">
        <f ca="1">IF(B132="","",VLOOKUP(Website!B132,'LC (Gross)'!W:X,2,FALSE)/100)</f>
        <v>-1.3369279999999999E-2</v>
      </c>
      <c r="L132" s="1">
        <f ca="1">IF(B132="","",VLOOKUP(Website!B132,'SC (Gross)'!P:Q,2,FALSE)/100)</f>
        <v>-1.0367329999999999E-2</v>
      </c>
      <c r="M132" s="1">
        <f ca="1">IF(B132="","",VLOOKUP(Website!B132,'Global (Gross)'!P:Q,2,FALSE)/100)</f>
        <v>-1.904134E-2</v>
      </c>
      <c r="O132" s="1">
        <f ca="1">IF(B132="","",VLOOKUP(Website!B132,'LC (Gross)'!J:K,2,FALSE)/100)</f>
        <v>-6.9502620000000005E-3</v>
      </c>
      <c r="P132" s="233">
        <f ca="1">IF(B132="","",(VLOOKUP(B132,'SC (Gross)'!J:K,2,FALSE))/100)</f>
        <v>-4.1879010000000001E-2</v>
      </c>
      <c r="Q132" s="233">
        <f ca="1">IF(B132="","",(VLOOKUP(B132,'Global (Gross)'!J:K,2,FALSE)/100))</f>
        <v>-2.3772950000000001E-2</v>
      </c>
      <c r="S132" s="22">
        <f t="shared" ca="1" si="188"/>
        <v>-9.6937380000000021E-3</v>
      </c>
      <c r="T132" s="22">
        <f t="shared" ca="1" si="189"/>
        <v>3.6684010000000003E-2</v>
      </c>
      <c r="U132" s="22">
        <f t="shared" ca="1" si="190"/>
        <v>3.9469500000000012E-3</v>
      </c>
      <c r="V132" s="22">
        <f t="shared" ca="1" si="187"/>
        <v>-1.213639999999995E-3</v>
      </c>
      <c r="W132" s="22">
        <f t="shared" ref="W132:W195" ca="1" si="191">IF(O132="","",K132-O132)</f>
        <v>-6.4190179999999986E-3</v>
      </c>
      <c r="X132" s="22">
        <f t="shared" ref="X132:X195" ca="1" si="192">IF(P132="","",L132-P132)</f>
        <v>3.151168E-2</v>
      </c>
      <c r="Y132" s="22">
        <f t="shared" ref="Y132:Y195" ca="1" si="193">IF(Q132="","",M132-Q132)</f>
        <v>4.7316100000000007E-3</v>
      </c>
    </row>
    <row r="133" spans="1:25" x14ac:dyDescent="0.25">
      <c r="A133">
        <f t="shared" ref="A133:A196" ca="1" si="194">IF(B133="","",A132+1)</f>
        <v>131</v>
      </c>
      <c r="B133" s="169">
        <f ca="1">IF('LC (Gross)'!A280="","",IF('LC (Gross)'!A280&gt;$AC$9,"",'LC (Gross)'!A280))</f>
        <v>44561</v>
      </c>
      <c r="C133" s="1">
        <f ca="1">IF(B133="","",(VLOOKUP(B133,'LC (Gross)'!A:D,4,FALSE)/100))</f>
        <v>4.0716999999999996E-2</v>
      </c>
      <c r="D133" s="1">
        <f ca="1">IF(B133="","",(VLOOKUP(B133,'SC (Gross)'!A:D,4,FALSE))/100)</f>
        <v>6.8807000000000007E-2</v>
      </c>
      <c r="E133" s="1">
        <f ca="1">IF(B133="","",(VLOOKUP(B133,'Global (Gross)'!A:D,4,FALSE)/100))</f>
        <v>3.9641999999999997E-2</v>
      </c>
      <c r="F133" s="1">
        <f ca="1">IF(B133="","",(VLOOKUP(B133,'BOGIX (Gross)'!A:D,4,FALSE)/100))</f>
        <v>5.262327E-2</v>
      </c>
      <c r="G133" s="1">
        <f ca="1">IF(B133="","",(VLOOKUP(B133,'LC (Net)'!A:D,4,FALSE)/100))</f>
        <v>4.0131E-2</v>
      </c>
      <c r="H133" s="1">
        <f ca="1">IF(B133="","",(VLOOKUP(B133,'SC (Net)'!A:D,4,FALSE))/100)</f>
        <v>6.8329000000000001E-2</v>
      </c>
      <c r="I133" s="1">
        <f ca="1">IF(B133="","",(VLOOKUP(B133,'Global (Net)'!A:D,4,FALSE)/100))</f>
        <v>3.8989999999999997E-2</v>
      </c>
      <c r="J133" s="1">
        <f ca="1">IF(B133="","",(VLOOKUP(B133,'BOGIX (Net)'!A:D,4,FALSE)/100))</f>
        <v>5.1598270000000002E-2</v>
      </c>
      <c r="K133" s="1">
        <f ca="1">IF(B133="","",VLOOKUP(Website!B133,'LC (Gross)'!W:X,2,FALSE)/100)</f>
        <v>9.6724069999999995E-2</v>
      </c>
      <c r="L133" s="1">
        <f ca="1">IF(B133="","",VLOOKUP(Website!B133,'SC (Gross)'!P:Q,2,FALSE)/100)</f>
        <v>7.4826389999999993E-2</v>
      </c>
      <c r="M133" s="1">
        <f ca="1">IF(B133="","",VLOOKUP(Website!B133,'Global (Gross)'!P:Q,2,FALSE)/100)</f>
        <v>5.7531400000000003E-2</v>
      </c>
      <c r="O133" s="1">
        <f ca="1">IF(B133="","",VLOOKUP(Website!B133,'LC (Gross)'!J:K,2,FALSE)/100)</f>
        <v>4.474181E-2</v>
      </c>
      <c r="P133" s="233">
        <f ca="1">IF(B133="","",(VLOOKUP(B133,'SC (Gross)'!J:K,2,FALSE))/100)</f>
        <v>2.2329729999999999E-2</v>
      </c>
      <c r="Q133" s="233">
        <f ca="1">IF(B133="","",(VLOOKUP(B133,'Global (Gross)'!J:K,2,FALSE)/100))</f>
        <v>4.0393689999999996E-2</v>
      </c>
      <c r="S133" s="22">
        <f t="shared" ca="1" si="188"/>
        <v>-4.0248100000000037E-3</v>
      </c>
      <c r="T133" s="22">
        <f t="shared" ca="1" si="189"/>
        <v>4.6477270000000008E-2</v>
      </c>
      <c r="U133" s="22">
        <f t="shared" ca="1" si="190"/>
        <v>-7.516899999999993E-4</v>
      </c>
      <c r="V133" s="22">
        <f t="shared" ca="1" si="187"/>
        <v>3.0293540000000001E-2</v>
      </c>
      <c r="W133" s="22">
        <f t="shared" ca="1" si="191"/>
        <v>5.1982259999999995E-2</v>
      </c>
      <c r="X133" s="22">
        <f t="shared" ca="1" si="192"/>
        <v>5.2496659999999994E-2</v>
      </c>
      <c r="Y133" s="22">
        <f t="shared" ca="1" si="193"/>
        <v>1.7137710000000007E-2</v>
      </c>
    </row>
    <row r="134" spans="1:25" x14ac:dyDescent="0.25">
      <c r="A134">
        <f t="shared" ca="1" si="194"/>
        <v>132</v>
      </c>
      <c r="B134" s="169">
        <f ca="1">IF('LC (Gross)'!A281="","",IF('LC (Gross)'!A281&gt;$AC$9,"",'LC (Gross)'!A281))</f>
        <v>44592</v>
      </c>
      <c r="C134" s="1">
        <f ca="1">IF(B134="","",(VLOOKUP(B134,'LC (Gross)'!A:D,4,FALSE)/100))</f>
        <v>-7.0940000000000003E-2</v>
      </c>
      <c r="D134" s="1">
        <f ca="1">IF(B134="","",(VLOOKUP(B134,'SC (Gross)'!A:D,4,FALSE))/100)</f>
        <v>-6.7496E-2</v>
      </c>
      <c r="E134" s="1">
        <f ca="1">IF(B134="","",(VLOOKUP(B134,'Global (Gross)'!A:D,4,FALSE)/100))</f>
        <v>-2.2762999999999999E-2</v>
      </c>
      <c r="F134" s="1">
        <f ca="1">IF(B134="","",(VLOOKUP(B134,'BOGIX (Gross)'!A:D,4,FALSE)/100))</f>
        <v>-6.9303900000000002E-2</v>
      </c>
      <c r="G134" s="1">
        <f ca="1">IF(B134="","",(VLOOKUP(B134,'LC (Net)'!A:D,4,FALSE)/100))</f>
        <v>-7.1719000000000005E-2</v>
      </c>
      <c r="H134" s="1">
        <f ca="1">IF(B134="","",(VLOOKUP(B134,'SC (Net)'!A:D,4,FALSE))/100)</f>
        <v>-6.8339999999999998E-2</v>
      </c>
      <c r="I134" s="1">
        <f ca="1">IF(B134="","",(VLOOKUP(B134,'Global (Net)'!A:D,4,FALSE)/100))</f>
        <v>-2.3536000000000001E-2</v>
      </c>
      <c r="J134" s="1">
        <f ca="1">IF(B134="","",(VLOOKUP(B134,'BOGIX (Net)'!A:D,4,FALSE)/100))</f>
        <v>-7.03289E-2</v>
      </c>
      <c r="K134" s="1">
        <f ca="1">IF(B134="","",VLOOKUP(Website!B134,'LC (Gross)'!W:X,2,FALSE)/100)</f>
        <v>-4.5388330000000005E-2</v>
      </c>
      <c r="L134" s="1">
        <f ca="1">IF(B134="","",VLOOKUP(Website!B134,'SC (Gross)'!P:Q,2,FALSE)/100)</f>
        <v>-6.7802009999999996E-2</v>
      </c>
      <c r="M134" s="1">
        <f ca="1">IF(B134="","",VLOOKUP(Website!B134,'Global (Gross)'!P:Q,2,FALSE)/100)</f>
        <v>-4.8988990000000003E-2</v>
      </c>
      <c r="O134" s="1">
        <f ca="1">IF(B134="","",VLOOKUP(Website!B134,'LC (Gross)'!J:K,2,FALSE)/100)</f>
        <v>-5.1748589999999997E-2</v>
      </c>
      <c r="P134" s="233">
        <f ca="1">IF(B134="","",(VLOOKUP(B134,'SC (Gross)'!J:K,2,FALSE))/100)</f>
        <v>-9.6280569999999996E-2</v>
      </c>
      <c r="Q134" s="233">
        <f ca="1">IF(B134="","",(VLOOKUP(B134,'Global (Gross)'!J:K,2,FALSE)/100))</f>
        <v>-4.8918509999999998E-2</v>
      </c>
      <c r="S134" s="22">
        <f t="shared" ca="1" si="188"/>
        <v>-1.9191410000000006E-2</v>
      </c>
      <c r="T134" s="22">
        <f t="shared" ca="1" si="189"/>
        <v>2.8784569999999995E-2</v>
      </c>
      <c r="U134" s="22">
        <f t="shared" ca="1" si="190"/>
        <v>2.615551E-2</v>
      </c>
      <c r="V134" s="22">
        <f t="shared" ca="1" si="187"/>
        <v>2.6976669999999994E-2</v>
      </c>
      <c r="W134" s="22">
        <f t="shared" ca="1" si="191"/>
        <v>6.3602599999999926E-3</v>
      </c>
      <c r="X134" s="22">
        <f t="shared" ca="1" si="192"/>
        <v>2.847856E-2</v>
      </c>
      <c r="Y134" s="22">
        <f t="shared" ca="1" si="193"/>
        <v>-7.0480000000004706E-5</v>
      </c>
    </row>
    <row r="135" spans="1:25" x14ac:dyDescent="0.25">
      <c r="A135">
        <f t="shared" ca="1" si="194"/>
        <v>133</v>
      </c>
      <c r="B135" s="169">
        <f ca="1">IF('LC (Gross)'!A282="","",IF('LC (Gross)'!A282&gt;$AC$9,"",'LC (Gross)'!A282))</f>
        <v>44620</v>
      </c>
      <c r="C135" s="1">
        <f ca="1">IF(B135="","",(VLOOKUP(B135,'LC (Gross)'!A:D,4,FALSE)/100))</f>
        <v>-4.1609E-2</v>
      </c>
      <c r="D135" s="1">
        <f ca="1">IF(B135="","",(VLOOKUP(B135,'SC (Gross)'!A:D,4,FALSE))/100)</f>
        <v>-1.4066E-2</v>
      </c>
      <c r="E135" s="1">
        <f ca="1">IF(B135="","",(VLOOKUP(B135,'Global (Gross)'!A:D,4,FALSE)/100))</f>
        <v>-2.9018000000000002E-2</v>
      </c>
      <c r="F135" s="1">
        <f ca="1">IF(B135="","",(VLOOKUP(B135,'BOGIX (Gross)'!A:D,4,FALSE)/100))</f>
        <v>8.928651000000001E-3</v>
      </c>
      <c r="G135" s="1">
        <f ca="1">IF(B135="","",(VLOOKUP(B135,'LC (Net)'!A:D,4,FALSE)/100))</f>
        <v>-4.2194000000000002E-2</v>
      </c>
      <c r="H135" s="1">
        <f ca="1">IF(B135="","",(VLOOKUP(B135,'SC (Net)'!A:D,4,FALSE))/100)</f>
        <v>-1.4561999999999999E-2</v>
      </c>
      <c r="I135" s="1">
        <f ca="1">IF(B135="","",(VLOOKUP(B135,'Global (Net)'!A:D,4,FALSE)/100))</f>
        <v>-2.9672999999999998E-2</v>
      </c>
      <c r="J135" s="1">
        <f ca="1">IF(B135="","",(VLOOKUP(B135,'BOGIX (Net)'!A:D,4,FALSE)/100))</f>
        <v>7.9036510000000011E-3</v>
      </c>
      <c r="K135" s="1">
        <f ca="1">IF(B135="","",VLOOKUP(Website!B135,'LC (Gross)'!W:X,2,FALSE)/100)</f>
        <v>-2.3047249999999998E-2</v>
      </c>
      <c r="L135" s="1">
        <f ca="1">IF(B135="","",VLOOKUP(Website!B135,'SC (Gross)'!P:Q,2,FALSE)/100)</f>
        <v>-5.5163949999999995E-3</v>
      </c>
      <c r="M135" s="1">
        <f ca="1">IF(B135="","",VLOOKUP(Website!B135,'Global (Gross)'!P:Q,2,FALSE)/100)</f>
        <v>-1.5370600000000002E-2</v>
      </c>
      <c r="O135" s="1">
        <f ca="1">IF(B135="","",VLOOKUP(Website!B135,'LC (Gross)'!J:K,2,FALSE)/100)</f>
        <v>-2.9970180000000003E-2</v>
      </c>
      <c r="P135" s="233">
        <f ca="1">IF(B135="","",(VLOOKUP(B135,'SC (Gross)'!J:K,2,FALSE))/100)</f>
        <v>1.0656110000000002E-2</v>
      </c>
      <c r="Q135" s="233">
        <f ca="1">IF(B135="","",(VLOOKUP(B135,'Global (Gross)'!J:K,2,FALSE)/100))</f>
        <v>-2.5484659999999999E-2</v>
      </c>
      <c r="S135" s="22">
        <f t="shared" ca="1" si="188"/>
        <v>-1.1638819999999998E-2</v>
      </c>
      <c r="T135" s="22">
        <f t="shared" ca="1" si="189"/>
        <v>-2.4722110000000002E-2</v>
      </c>
      <c r="U135" s="22">
        <f t="shared" ca="1" si="190"/>
        <v>-3.5333400000000029E-3</v>
      </c>
      <c r="V135" s="22">
        <f t="shared" ca="1" si="187"/>
        <v>-1.7274590000000006E-3</v>
      </c>
      <c r="W135" s="22">
        <f t="shared" ca="1" si="191"/>
        <v>6.9229300000000042E-3</v>
      </c>
      <c r="X135" s="22">
        <f t="shared" ca="1" si="192"/>
        <v>-1.6172505E-2</v>
      </c>
      <c r="Y135" s="22">
        <f t="shared" ca="1" si="193"/>
        <v>1.0114059999999998E-2</v>
      </c>
    </row>
    <row r="136" spans="1:25" x14ac:dyDescent="0.25">
      <c r="A136">
        <f t="shared" ca="1" si="194"/>
        <v>134</v>
      </c>
      <c r="B136" s="169">
        <f ca="1">IF('LC (Gross)'!A283="","",IF('LC (Gross)'!A283&gt;$AC$9,"",'LC (Gross)'!A283))</f>
        <v>44651</v>
      </c>
      <c r="C136" s="1">
        <f ca="1">IF(B136="","",(VLOOKUP(B136,'LC (Gross)'!A:D,4,FALSE)/100))</f>
        <v>4.9621000000000005E-2</v>
      </c>
      <c r="D136" s="1">
        <f ca="1">IF(B136="","",(VLOOKUP(B136,'SC (Gross)'!A:D,4,FALSE))/100)</f>
        <v>1.3996999999999999E-2</v>
      </c>
      <c r="E136" s="1">
        <f ca="1">IF(B136="","",(VLOOKUP(B136,'Global (Gross)'!A:D,4,FALSE)/100))</f>
        <v>2.6631999999999999E-2</v>
      </c>
      <c r="F136" s="1">
        <f ca="1">IF(B136="","",(VLOOKUP(B136,'BOGIX (Gross)'!A:D,4,FALSE)/100))</f>
        <v>1.771826E-3</v>
      </c>
      <c r="G136" s="1">
        <f ca="1">IF(B136="","",(VLOOKUP(B136,'LC (Net)'!A:D,4,FALSE)/100))</f>
        <v>4.904E-2</v>
      </c>
      <c r="H136" s="1">
        <f ca="1">IF(B136="","",(VLOOKUP(B136,'SC (Net)'!A:D,4,FALSE))/100)</f>
        <v>1.3502E-2</v>
      </c>
      <c r="I136" s="1">
        <f ca="1">IF(B136="","",(VLOOKUP(B136,'Global (Net)'!A:D,4,FALSE)/100))</f>
        <v>2.5977E-2</v>
      </c>
      <c r="J136" s="1">
        <f ca="1">IF(B136="","",(VLOOKUP(B136,'BOGIX (Net)'!A:D,4,FALSE)/100))</f>
        <v>7.4682600000000002E-4</v>
      </c>
      <c r="K136" s="1">
        <f ca="1">IF(B136="","",VLOOKUP(Website!B136,'LC (Gross)'!W:X,2,FALSE)/100)</f>
        <v>5.3825909999999998E-2</v>
      </c>
      <c r="L136" s="1">
        <f ca="1">IF(B136="","",VLOOKUP(Website!B136,'SC (Gross)'!P:Q,2,FALSE)/100)</f>
        <v>2.0299459999999998E-2</v>
      </c>
      <c r="M136" s="1">
        <f ca="1">IF(B136="","",VLOOKUP(Website!B136,'Global (Gross)'!P:Q,2,FALSE)/100)</f>
        <v>3.7015510000000001E-2</v>
      </c>
      <c r="O136" s="1">
        <f ca="1">IF(B136="","",VLOOKUP(Website!B136,'LC (Gross)'!J:K,2,FALSE)/100)</f>
        <v>3.7118120000000004E-2</v>
      </c>
      <c r="P136" s="233">
        <f ca="1">IF(B136="","",(VLOOKUP(B136,'SC (Gross)'!J:K,2,FALSE))/100)</f>
        <v>1.2401329999999999E-2</v>
      </c>
      <c r="Q136" s="233">
        <f ca="1">IF(B136="","",(VLOOKUP(B136,'Global (Gross)'!J:K,2,FALSE)/100))</f>
        <v>2.23217E-2</v>
      </c>
      <c r="S136" s="22">
        <f t="shared" ca="1" si="188"/>
        <v>1.2502880000000001E-2</v>
      </c>
      <c r="T136" s="22">
        <f t="shared" ca="1" si="189"/>
        <v>1.5956700000000004E-3</v>
      </c>
      <c r="U136" s="22">
        <f t="shared" ca="1" si="190"/>
        <v>4.3102999999999995E-3</v>
      </c>
      <c r="V136" s="22">
        <f t="shared" ca="1" si="187"/>
        <v>-1.0629503999999998E-2</v>
      </c>
      <c r="W136" s="22">
        <f t="shared" ca="1" si="191"/>
        <v>1.6707789999999993E-2</v>
      </c>
      <c r="X136" s="22">
        <f t="shared" ca="1" si="192"/>
        <v>7.8981299999999997E-3</v>
      </c>
      <c r="Y136" s="22">
        <f t="shared" ca="1" si="193"/>
        <v>1.4693810000000002E-2</v>
      </c>
    </row>
    <row r="137" spans="1:25" x14ac:dyDescent="0.25">
      <c r="A137">
        <f t="shared" ca="1" si="194"/>
        <v>135</v>
      </c>
      <c r="B137" s="169">
        <f ca="1">IF('LC (Gross)'!A284="","",IF('LC (Gross)'!A284&gt;$AC$9,"",'LC (Gross)'!A284))</f>
        <v>44681</v>
      </c>
      <c r="C137" s="1">
        <f ca="1">IF(B137="","",(VLOOKUP(B137,'LC (Gross)'!A:D,4,FALSE)/100))</f>
        <v>-3.5798999999999997E-2</v>
      </c>
      <c r="D137" s="1">
        <f ca="1">IF(B137="","",(VLOOKUP(B137,'SC (Gross)'!A:D,4,FALSE))/100)</f>
        <v>-5.4001E-2</v>
      </c>
      <c r="E137" s="1">
        <f ca="1">IF(B137="","",(VLOOKUP(B137,'Global (Gross)'!A:D,4,FALSE)/100))</f>
        <v>-5.9966999999999999E-2</v>
      </c>
      <c r="F137" s="1">
        <f ca="1">IF(B137="","",(VLOOKUP(B137,'BOGIX (Gross)'!A:D,4,FALSE)/100))</f>
        <v>-6.1288429999999998E-2</v>
      </c>
      <c r="G137" s="1">
        <f ca="1">IF(B137="","",(VLOOKUP(B137,'LC (Net)'!A:D,4,FALSE)/100))</f>
        <v>-3.6573000000000001E-2</v>
      </c>
      <c r="H137" s="1">
        <f ca="1">IF(B137="","",(VLOOKUP(B137,'SC (Net)'!A:D,4,FALSE))/100)</f>
        <v>-5.4848000000000001E-2</v>
      </c>
      <c r="I137" s="1">
        <f ca="1">IF(B137="","",(VLOOKUP(B137,'Global (Net)'!A:D,4,FALSE)/100))</f>
        <v>-6.0736999999999999E-2</v>
      </c>
      <c r="J137" s="1">
        <f ca="1">IF(B137="","",(VLOOKUP(B137,'BOGIX (Net)'!A:D,4,FALSE)/100))</f>
        <v>-6.2313429999999996E-2</v>
      </c>
      <c r="K137" s="1">
        <f ca="1">IF(B137="","",VLOOKUP(Website!B137,'LC (Gross)'!W:X,2,FALSE)/100)</f>
        <v>-2.303798E-2</v>
      </c>
      <c r="L137" s="1">
        <f ca="1">IF(B137="","",VLOOKUP(Website!B137,'SC (Gross)'!P:Q,2,FALSE)/100)</f>
        <v>-6.9286029999999998E-2</v>
      </c>
      <c r="M137" s="1">
        <f ca="1">IF(B137="","",VLOOKUP(Website!B137,'Global (Gross)'!P:Q,2,FALSE)/100)</f>
        <v>-4.2598269999999994E-2</v>
      </c>
      <c r="O137" s="1">
        <f ca="1">IF(B137="","",VLOOKUP(Website!B137,'LC (Gross)'!J:K,2,FALSE)/100)</f>
        <v>-8.7200340000000001E-2</v>
      </c>
      <c r="P137" s="233">
        <f ca="1">IF(B137="","",(VLOOKUP(B137,'SC (Gross)'!J:K,2,FALSE))/100)</f>
        <v>-9.910925000000001E-2</v>
      </c>
      <c r="Q137" s="233">
        <f ca="1">IF(B137="","",(VLOOKUP(B137,'Global (Gross)'!J:K,2,FALSE)/100))</f>
        <v>-7.9712140000000001E-2</v>
      </c>
      <c r="S137" s="22">
        <f t="shared" ca="1" si="188"/>
        <v>5.1401340000000004E-2</v>
      </c>
      <c r="T137" s="22">
        <f t="shared" ca="1" si="189"/>
        <v>4.5108250000000009E-2</v>
      </c>
      <c r="U137" s="22">
        <f t="shared" ca="1" si="190"/>
        <v>1.9745140000000001E-2</v>
      </c>
      <c r="V137" s="22">
        <f t="shared" ca="1" si="187"/>
        <v>3.7820820000000012E-2</v>
      </c>
      <c r="W137" s="22">
        <f t="shared" ca="1" si="191"/>
        <v>6.4162360000000002E-2</v>
      </c>
      <c r="X137" s="22">
        <f t="shared" ca="1" si="192"/>
        <v>2.9823220000000011E-2</v>
      </c>
      <c r="Y137" s="22">
        <f t="shared" ca="1" si="193"/>
        <v>3.7113870000000007E-2</v>
      </c>
    </row>
    <row r="138" spans="1:25" x14ac:dyDescent="0.25">
      <c r="A138">
        <f t="shared" ca="1" si="194"/>
        <v>136</v>
      </c>
      <c r="B138" s="169">
        <f ca="1">IF('LC (Gross)'!A285="","",IF('LC (Gross)'!A285&gt;$AC$9,"",'LC (Gross)'!A285))</f>
        <v>44712</v>
      </c>
      <c r="C138" s="1">
        <f ca="1">IF(B138="","",(VLOOKUP(B138,'LC (Gross)'!A:D,4,FALSE)/100))</f>
        <v>4.9849999999999998E-3</v>
      </c>
      <c r="D138" s="1">
        <f ca="1">IF(B138="","",(VLOOKUP(B138,'SC (Gross)'!A:D,4,FALSE))/100)</f>
        <v>1.7857999999999999E-2</v>
      </c>
      <c r="E138" s="1">
        <f ca="1">IF(B138="","",(VLOOKUP(B138,'Global (Gross)'!A:D,4,FALSE)/100))</f>
        <v>1.0449999999999999E-2</v>
      </c>
      <c r="F138" s="1">
        <f ca="1">IF(B138="","",(VLOOKUP(B138,'BOGIX (Gross)'!A:D,4,FALSE)/100))</f>
        <v>3.0471880000000003E-2</v>
      </c>
      <c r="G138" s="1">
        <f ca="1">IF(B138="","",(VLOOKUP(B138,'LC (Net)'!A:D,4,FALSE)/100))</f>
        <v>4.4080000000000005E-3</v>
      </c>
      <c r="H138" s="1">
        <f ca="1">IF(B138="","",(VLOOKUP(B138,'SC (Net)'!A:D,4,FALSE))/100)</f>
        <v>1.7351000000000002E-2</v>
      </c>
      <c r="I138" s="1">
        <f ca="1">IF(B138="","",(VLOOKUP(B138,'Global (Net)'!A:D,4,FALSE)/100))</f>
        <v>9.7940000000000006E-3</v>
      </c>
      <c r="J138" s="1">
        <f ca="1">IF(B138="","",(VLOOKUP(B138,'BOGIX (Net)'!A:D,4,FALSE)/100))</f>
        <v>2.9446880000000002E-2</v>
      </c>
      <c r="K138" s="1">
        <f ca="1">IF(B138="","",VLOOKUP(Website!B138,'LC (Gross)'!W:X,2,FALSE)/100)</f>
        <v>-5.4373320000000004E-3</v>
      </c>
      <c r="L138" s="1">
        <f ca="1">IF(B138="","",VLOOKUP(Website!B138,'SC (Gross)'!P:Q,2,FALSE)/100)</f>
        <v>2.3163109999999997E-2</v>
      </c>
      <c r="M138" s="1">
        <f ca="1">IF(B138="","",VLOOKUP(Website!B138,'Global (Gross)'!P:Q,2,FALSE)/100)</f>
        <v>-1.0626459999999999E-2</v>
      </c>
      <c r="O138" s="1">
        <f ca="1">IF(B138="","",VLOOKUP(Website!B138,'LC (Gross)'!J:K,2,FALSE)/100)</f>
        <v>1.8353E-3</v>
      </c>
      <c r="P138" s="233">
        <f ca="1">IF(B138="","",(VLOOKUP(B138,'SC (Gross)'!J:K,2,FALSE))/100)</f>
        <v>1.4378990000000001E-3</v>
      </c>
      <c r="Q138" s="233">
        <f ca="1">IF(B138="","",(VLOOKUP(B138,'Global (Gross)'!J:K,2,FALSE)/100))</f>
        <v>1.8357740000000001E-3</v>
      </c>
      <c r="S138" s="22">
        <f t="shared" ca="1" si="188"/>
        <v>3.1497000000000001E-3</v>
      </c>
      <c r="T138" s="22">
        <f t="shared" ca="1" si="189"/>
        <v>1.6420100999999999E-2</v>
      </c>
      <c r="U138" s="22">
        <f t="shared" ca="1" si="190"/>
        <v>8.6142259999999991E-3</v>
      </c>
      <c r="V138" s="22">
        <f t="shared" ca="1" si="187"/>
        <v>2.9033981000000004E-2</v>
      </c>
      <c r="W138" s="22">
        <f t="shared" ca="1" si="191"/>
        <v>-7.2726320000000002E-3</v>
      </c>
      <c r="X138" s="22">
        <f t="shared" ca="1" si="192"/>
        <v>2.1725210999999998E-2</v>
      </c>
      <c r="Y138" s="22">
        <f t="shared" ca="1" si="193"/>
        <v>-1.2462233999999999E-2</v>
      </c>
    </row>
    <row r="139" spans="1:25" x14ac:dyDescent="0.25">
      <c r="A139">
        <f t="shared" ca="1" si="194"/>
        <v>137</v>
      </c>
      <c r="B139" s="169">
        <f ca="1">IF('LC (Gross)'!A286="","",IF('LC (Gross)'!A286&gt;$AC$9,"",'LC (Gross)'!A286))</f>
        <v>44742</v>
      </c>
      <c r="C139" s="1">
        <f ca="1">IF(B139="","",(VLOOKUP(B139,'LC (Gross)'!A:D,4,FALSE)/100))</f>
        <v>-6.5273999999999999E-2</v>
      </c>
      <c r="D139" s="1">
        <f ca="1">IF(B139="","",(VLOOKUP(B139,'SC (Gross)'!A:D,4,FALSE))/100)</f>
        <v>-2.3344E-2</v>
      </c>
      <c r="E139" s="1">
        <f ca="1">IF(B139="","",(VLOOKUP(B139,'Global (Gross)'!A:D,4,FALSE)/100))</f>
        <v>-5.6927000000000005E-2</v>
      </c>
      <c r="F139" s="1">
        <f ca="1">IF(B139="","",(VLOOKUP(B139,'BOGIX (Gross)'!A:D,4,FALSE)/100))</f>
        <v>-8.3242490000000002E-2</v>
      </c>
      <c r="G139" s="1">
        <f ca="1">IF(B139="","",(VLOOKUP(B139,'LC (Net)'!A:D,4,FALSE)/100))</f>
        <v>-6.5845000000000001E-2</v>
      </c>
      <c r="H139" s="1">
        <f ca="1">IF(B139="","",(VLOOKUP(B139,'SC (Net)'!A:D,4,FALSE))/100)</f>
        <v>-2.3847999999999998E-2</v>
      </c>
      <c r="I139" s="1">
        <f ca="1">IF(B139="","",(VLOOKUP(B139,'Global (Net)'!A:D,4,FALSE)/100))</f>
        <v>-5.7583999999999996E-2</v>
      </c>
      <c r="J139" s="1">
        <f ca="1">IF(B139="","",(VLOOKUP(B139,'BOGIX (Net)'!A:D,4,FALSE)/100))</f>
        <v>-8.4267489999999987E-2</v>
      </c>
      <c r="K139" s="1">
        <f ca="1">IF(B139="","",VLOOKUP(Website!B139,'LC (Gross)'!W:X,2,FALSE)/100)</f>
        <v>-4.271896E-2</v>
      </c>
      <c r="L139" s="1">
        <f ca="1">IF(B139="","",VLOOKUP(Website!B139,'SC (Gross)'!P:Q,2,FALSE)/100)</f>
        <v>-3.703563E-2</v>
      </c>
      <c r="M139" s="1">
        <f ca="1">IF(B139="","",VLOOKUP(Website!B139,'Global (Gross)'!P:Q,2,FALSE)/100)</f>
        <v>-4.070174E-2</v>
      </c>
      <c r="O139" s="1">
        <f ca="1">IF(B139="","",VLOOKUP(Website!B139,'LC (Gross)'!J:K,2,FALSE)/100)</f>
        <v>-8.2601279999999999E-2</v>
      </c>
      <c r="P139" s="233">
        <f ca="1">IF(B139="","",(VLOOKUP(B139,'SC (Gross)'!J:K,2,FALSE))/100)</f>
        <v>-8.2253300000000001E-2</v>
      </c>
      <c r="Q139" s="233">
        <f ca="1">IF(B139="","",(VLOOKUP(B139,'Global (Gross)'!J:K,2,FALSE)/100))</f>
        <v>-8.3909459999999991E-2</v>
      </c>
      <c r="S139" s="22">
        <f t="shared" ca="1" si="188"/>
        <v>1.732728E-2</v>
      </c>
      <c r="T139" s="22">
        <f t="shared" ca="1" si="189"/>
        <v>5.8909299999999998E-2</v>
      </c>
      <c r="U139" s="22">
        <f t="shared" ca="1" si="190"/>
        <v>2.6982459999999986E-2</v>
      </c>
      <c r="V139" s="22">
        <f t="shared" ca="1" si="187"/>
        <v>-9.891900000000009E-4</v>
      </c>
      <c r="W139" s="22">
        <f t="shared" ca="1" si="191"/>
        <v>3.9882319999999999E-2</v>
      </c>
      <c r="X139" s="22">
        <f t="shared" ca="1" si="192"/>
        <v>4.5217670000000001E-2</v>
      </c>
      <c r="Y139" s="22">
        <f t="shared" ca="1" si="193"/>
        <v>4.3207719999999991E-2</v>
      </c>
    </row>
    <row r="140" spans="1:25" x14ac:dyDescent="0.25">
      <c r="A140">
        <f t="shared" ca="1" si="194"/>
        <v>138</v>
      </c>
      <c r="B140" s="169">
        <f ca="1">IF('LC (Gross)'!A287="","",IF('LC (Gross)'!A287&gt;$AC$9,"",'LC (Gross)'!A287))</f>
        <v>44773</v>
      </c>
      <c r="C140" s="1">
        <f ca="1">IF(B140="","",(VLOOKUP(B140,'LC (Gross)'!A:D,4,FALSE)/100))</f>
        <v>4.5183000000000001E-2</v>
      </c>
      <c r="D140" s="1">
        <f ca="1">IF(B140="","",(VLOOKUP(B140,'SC (Gross)'!A:D,4,FALSE))/100)</f>
        <v>5.8745000000000006E-2</v>
      </c>
      <c r="E140" s="1">
        <f ca="1">IF(B140="","",(VLOOKUP(B140,'Global (Gross)'!A:D,4,FALSE)/100))</f>
        <v>5.2363999999999994E-2</v>
      </c>
      <c r="F140" s="1">
        <f ca="1">IF(B140="","",(VLOOKUP(B140,'BOGIX (Gross)'!A:D,4,FALSE)/100))</f>
        <v>0.10824319999999998</v>
      </c>
      <c r="G140" s="1">
        <f ca="1">IF(B140="","",(VLOOKUP(B140,'LC (Net)'!A:D,4,FALSE)/100))</f>
        <v>4.4377000000000007E-2</v>
      </c>
      <c r="H140" s="1">
        <f ca="1">IF(B140="","",(VLOOKUP(B140,'SC (Net)'!A:D,4,FALSE))/100)</f>
        <v>5.7869999999999998E-2</v>
      </c>
      <c r="I140" s="1">
        <f ca="1">IF(B140="","",(VLOOKUP(B140,'Global (Net)'!A:D,4,FALSE)/100))</f>
        <v>5.1584999999999999E-2</v>
      </c>
      <c r="J140" s="1">
        <f ca="1">IF(B140="","",(VLOOKUP(B140,'BOGIX (Net)'!A:D,4,FALSE)/100))</f>
        <v>0.10721819999999999</v>
      </c>
      <c r="K140" s="1">
        <f ca="1">IF(B140="","",VLOOKUP(Website!B140,'LC (Gross)'!W:X,2,FALSE)/100)</f>
        <v>4.2321570000000003E-2</v>
      </c>
      <c r="L140" s="1">
        <f ca="1">IF(B140="","",VLOOKUP(Website!B140,'SC (Gross)'!P:Q,2,FALSE)/100)</f>
        <v>7.0628739999999995E-2</v>
      </c>
      <c r="M140" s="1">
        <f ca="1">IF(B140="","",VLOOKUP(Website!B140,'Global (Gross)'!P:Q,2,FALSE)/100)</f>
        <v>3.0760469999999998E-2</v>
      </c>
      <c r="O140" s="1">
        <f ca="1">IF(B140="","",VLOOKUP(Website!B140,'LC (Gross)'!J:K,2,FALSE)/100)</f>
        <v>9.2206969999999999E-2</v>
      </c>
      <c r="P140" s="233">
        <f ca="1">IF(B140="","",(VLOOKUP(B140,'SC (Gross)'!J:K,2,FALSE))/100)</f>
        <v>0.10440250000000001</v>
      </c>
      <c r="Q140" s="233">
        <f ca="1">IF(B140="","",(VLOOKUP(B140,'Global (Gross)'!J:K,2,FALSE)/100))</f>
        <v>7.0209170000000001E-2</v>
      </c>
      <c r="S140" s="22">
        <f t="shared" ca="1" si="188"/>
        <v>-4.7023969999999998E-2</v>
      </c>
      <c r="T140" s="22">
        <f t="shared" ca="1" si="189"/>
        <v>-4.5657500000000004E-2</v>
      </c>
      <c r="U140" s="22">
        <f t="shared" ca="1" si="190"/>
        <v>-1.7845170000000007E-2</v>
      </c>
      <c r="V140" s="22">
        <f t="shared" ca="1" si="187"/>
        <v>3.8406999999999747E-3</v>
      </c>
      <c r="W140" s="22">
        <f t="shared" ca="1" si="191"/>
        <v>-4.9885399999999996E-2</v>
      </c>
      <c r="X140" s="22">
        <f t="shared" ca="1" si="192"/>
        <v>-3.3773760000000014E-2</v>
      </c>
      <c r="Y140" s="22">
        <f t="shared" ca="1" si="193"/>
        <v>-3.9448700000000003E-2</v>
      </c>
    </row>
    <row r="141" spans="1:25" x14ac:dyDescent="0.25">
      <c r="A141">
        <f t="shared" ca="1" si="194"/>
        <v>139</v>
      </c>
      <c r="B141" s="169">
        <f ca="1">IF('LC (Gross)'!A288="","",IF('LC (Gross)'!A288&gt;$AC$9,"",'LC (Gross)'!A288))</f>
        <v>44804</v>
      </c>
      <c r="C141" s="1">
        <f ca="1">IF(B141="","",(VLOOKUP(B141,'LC (Gross)'!A:D,4,FALSE)/100))</f>
        <v>-2.4843E-2</v>
      </c>
      <c r="D141" s="1">
        <f ca="1">IF(B141="","",(VLOOKUP(B141,'SC (Gross)'!A:D,4,FALSE))/100)</f>
        <v>-4.0937000000000001E-2</v>
      </c>
      <c r="E141" s="1">
        <f ca="1">IF(B141="","",(VLOOKUP(B141,'Global (Gross)'!A:D,4,FALSE)/100))</f>
        <v>-4.0896000000000002E-2</v>
      </c>
      <c r="F141" s="1">
        <f ca="1">IF(B141="","",(VLOOKUP(B141,'BOGIX (Gross)'!A:D,4,FALSE)/100))</f>
        <v>-2.5661999999999997E-2</v>
      </c>
      <c r="G141" s="1">
        <f ca="1">IF(B141="","",(VLOOKUP(B141,'LC (Net)'!A:D,4,FALSE)/100))</f>
        <v>-2.5412000000000001E-2</v>
      </c>
      <c r="H141" s="1">
        <f ca="1">IF(B141="","",(VLOOKUP(B141,'SC (Net)'!A:D,4,FALSE))/100)</f>
        <v>-4.1440000000000005E-2</v>
      </c>
      <c r="I141" s="1">
        <f ca="1">IF(B141="","",(VLOOKUP(B141,'Global (Net)'!A:D,4,FALSE)/100))</f>
        <v>-4.1554000000000001E-2</v>
      </c>
      <c r="J141" s="1">
        <f ca="1">IF(B141="","",(VLOOKUP(B141,'BOGIX (Net)'!A:D,4,FALSE)/100))</f>
        <v>-2.6686999999999999E-2</v>
      </c>
      <c r="K141" s="1">
        <f ca="1">IF(B141="","",VLOOKUP(Website!B141,'LC (Gross)'!W:X,2,FALSE)/100)</f>
        <v>-1.8139220000000001E-2</v>
      </c>
      <c r="L141" s="1">
        <f ca="1">IF(B141="","",VLOOKUP(Website!B141,'SC (Gross)'!P:Q,2,FALSE)/100)</f>
        <v>-5.4935049999999999E-2</v>
      </c>
      <c r="M141" s="1">
        <f ca="1">IF(B141="","",VLOOKUP(Website!B141,'Global (Gross)'!P:Q,2,FALSE)/100)</f>
        <v>-2.1229930000000001E-2</v>
      </c>
      <c r="O141" s="1">
        <f ca="1">IF(B141="","",VLOOKUP(Website!B141,'LC (Gross)'!J:K,2,FALSE)/100)</f>
        <v>-4.0782619999999999E-2</v>
      </c>
      <c r="P141" s="233">
        <f ca="1">IF(B141="","",(VLOOKUP(B141,'SC (Gross)'!J:K,2,FALSE))/100)</f>
        <v>-2.0463059999999998E-2</v>
      </c>
      <c r="Q141" s="233">
        <f ca="1">IF(B141="","",(VLOOKUP(B141,'Global (Gross)'!J:K,2,FALSE)/100))</f>
        <v>-3.639303E-2</v>
      </c>
      <c r="S141" s="22">
        <f t="shared" ca="1" si="188"/>
        <v>1.5939619999999998E-2</v>
      </c>
      <c r="T141" s="22">
        <f t="shared" ca="1" si="189"/>
        <v>-2.0473940000000003E-2</v>
      </c>
      <c r="U141" s="22">
        <f t="shared" ca="1" si="190"/>
        <v>-4.502970000000002E-3</v>
      </c>
      <c r="V141" s="22">
        <f t="shared" ca="1" si="187"/>
        <v>-5.1989399999999991E-3</v>
      </c>
      <c r="W141" s="22">
        <f t="shared" ca="1" si="191"/>
        <v>2.2643399999999998E-2</v>
      </c>
      <c r="X141" s="22">
        <f t="shared" ca="1" si="192"/>
        <v>-3.4471990000000001E-2</v>
      </c>
      <c r="Y141" s="22">
        <f t="shared" ca="1" si="193"/>
        <v>1.5163099999999999E-2</v>
      </c>
    </row>
    <row r="142" spans="1:25" x14ac:dyDescent="0.25">
      <c r="A142">
        <f t="shared" ca="1" si="194"/>
        <v>140</v>
      </c>
      <c r="B142" s="169">
        <f ca="1">IF('LC (Gross)'!A289="","",IF('LC (Gross)'!A289&gt;$AC$9,"",'LC (Gross)'!A289))</f>
        <v>44834</v>
      </c>
      <c r="C142" s="1">
        <f ca="1">IF(B142="","",(VLOOKUP(B142,'LC (Gross)'!A:D,4,FALSE)/100))</f>
        <v>-7.6560000000000003E-2</v>
      </c>
      <c r="D142" s="1">
        <f ca="1">IF(B142="","",(VLOOKUP(B142,'SC (Gross)'!A:D,4,FALSE))/100)</f>
        <v>-6.8723000000000006E-2</v>
      </c>
      <c r="E142" s="1">
        <f ca="1">IF(B142="","",(VLOOKUP(B142,'Global (Gross)'!A:D,4,FALSE)/100))</f>
        <v>-7.7400999999999998E-2</v>
      </c>
      <c r="F142" s="1">
        <f ca="1">IF(B142="","",(VLOOKUP(B142,'BOGIX (Gross)'!A:D,4,FALSE)/100))</f>
        <v>-9.3373750000000019E-2</v>
      </c>
      <c r="G142" s="1">
        <f ca="1">IF(B142="","",(VLOOKUP(B142,'LC (Net)'!A:D,4,FALSE)/100))</f>
        <v>-7.7127000000000001E-2</v>
      </c>
      <c r="H142" s="1">
        <f ca="1">IF(B142="","",(VLOOKUP(B142,'SC (Net)'!A:D,4,FALSE))/100)</f>
        <v>-6.9222999999999993E-2</v>
      </c>
      <c r="I142" s="1">
        <f ca="1">IF(B142="","",(VLOOKUP(B142,'Global (Net)'!A:D,4,FALSE)/100))</f>
        <v>-7.8059000000000003E-2</v>
      </c>
      <c r="J142" s="1">
        <f ca="1">IF(B142="","",(VLOOKUP(B142,'BOGIX (Net)'!A:D,4,FALSE)/100))</f>
        <v>-9.4398750000000003E-2</v>
      </c>
      <c r="K142" s="1">
        <f ca="1">IF(B142="","",VLOOKUP(Website!B142,'LC (Gross)'!W:X,2,FALSE)/100)</f>
        <v>-8.3408360000000001E-2</v>
      </c>
      <c r="L142" s="1">
        <f ca="1">IF(B142="","",VLOOKUP(Website!B142,'SC (Gross)'!P:Q,2,FALSE)/100)</f>
        <v>-8.8647659999999989E-2</v>
      </c>
      <c r="M142" s="1">
        <f ca="1">IF(B142="","",VLOOKUP(Website!B142,'Global (Gross)'!P:Q,2,FALSE)/100)</f>
        <v>-6.7019080000000009E-2</v>
      </c>
      <c r="O142" s="1">
        <f ca="1">IF(B142="","",VLOOKUP(Website!B142,'LC (Gross)'!J:K,2,FALSE)/100)</f>
        <v>-9.2175670000000001E-2</v>
      </c>
      <c r="P142" s="233">
        <f ca="1">IF(B142="","",(VLOOKUP(B142,'SC (Gross)'!J:K,2,FALSE))/100)</f>
        <v>-9.5742590000000002E-2</v>
      </c>
      <c r="Q142" s="233">
        <f ca="1">IF(B142="","",(VLOOKUP(B142,'Global (Gross)'!J:K,2,FALSE)/100))</f>
        <v>-9.5221459999999994E-2</v>
      </c>
      <c r="S142" s="22">
        <f t="shared" ca="1" si="188"/>
        <v>1.5615669999999998E-2</v>
      </c>
      <c r="T142" s="22">
        <f t="shared" ca="1" si="189"/>
        <v>2.7019589999999996E-2</v>
      </c>
      <c r="U142" s="22">
        <f t="shared" ca="1" si="190"/>
        <v>1.7820459999999996E-2</v>
      </c>
      <c r="V142" s="22">
        <f t="shared" ca="1" si="187"/>
        <v>2.3688399999999832E-3</v>
      </c>
      <c r="W142" s="22">
        <f t="shared" ca="1" si="191"/>
        <v>8.7673100000000004E-3</v>
      </c>
      <c r="X142" s="22">
        <f t="shared" ca="1" si="192"/>
        <v>7.0949300000000132E-3</v>
      </c>
      <c r="Y142" s="22">
        <f t="shared" ca="1" si="193"/>
        <v>2.8202379999999985E-2</v>
      </c>
    </row>
    <row r="143" spans="1:25" x14ac:dyDescent="0.25">
      <c r="A143">
        <f t="shared" ca="1" si="194"/>
        <v>141</v>
      </c>
      <c r="B143" s="169">
        <f ca="1">IF('LC (Gross)'!A290="","",IF('LC (Gross)'!A290&gt;$AC$9,"",'LC (Gross)'!A290))</f>
        <v>44865</v>
      </c>
      <c r="C143" s="1">
        <f ca="1">IF(B143="","",(VLOOKUP(B143,'LC (Gross)'!A:D,4,FALSE)/100))</f>
        <v>0.10510899999999999</v>
      </c>
      <c r="D143" s="1">
        <f ca="1">IF(B143="","",(VLOOKUP(B143,'SC (Gross)'!A:D,4,FALSE))/100)</f>
        <v>0.104299</v>
      </c>
      <c r="E143" s="1">
        <f ca="1">IF(B143="","",(VLOOKUP(B143,'Global (Gross)'!A:D,4,FALSE)/100))</f>
        <v>6.9131999999999999E-2</v>
      </c>
      <c r="F143" s="1">
        <f ca="1">IF(B143="","",(VLOOKUP(B143,'BOGIX (Gross)'!A:D,4,FALSE)/100))</f>
        <v>0.11088659999999999</v>
      </c>
      <c r="G143" s="1">
        <f ca="1">IF(B143="","",(VLOOKUP(B143,'LC (Net)'!A:D,4,FALSE)/100))</f>
        <v>0.104503</v>
      </c>
      <c r="H143" s="1">
        <f ca="1">IF(B143="","",(VLOOKUP(B143,'SC (Net)'!A:D,4,FALSE))/100)</f>
        <v>0.103797</v>
      </c>
      <c r="I143" s="1">
        <f ca="1">IF(B143="","",(VLOOKUP(B143,'Global (Net)'!A:D,4,FALSE)/100))</f>
        <v>6.8349999999999994E-2</v>
      </c>
      <c r="J143" s="1">
        <f ca="1">IF(B143="","",(VLOOKUP(B143,'BOGIX (Net)'!A:D,4,FALSE)/100))</f>
        <v>0.1098616</v>
      </c>
      <c r="K143" s="1">
        <f ca="1">IF(B143="","",VLOOKUP(Website!B143,'LC (Gross)'!W:X,2,FALSE)/100)</f>
        <v>6.9835320000000006E-2</v>
      </c>
      <c r="L143" s="1">
        <f ca="1">IF(B143="","",VLOOKUP(Website!B143,'SC (Gross)'!P:Q,2,FALSE)/100)</f>
        <v>0.1298677</v>
      </c>
      <c r="M143" s="1">
        <f ca="1">IF(B143="","",VLOOKUP(Website!B143,'Global (Gross)'!P:Q,2,FALSE)/100)</f>
        <v>4.1803640000000003E-2</v>
      </c>
      <c r="O143" s="1">
        <f ca="1">IF(B143="","",VLOOKUP(Website!B143,'LC (Gross)'!J:K,2,FALSE)/100)</f>
        <v>8.0963370000000007E-2</v>
      </c>
      <c r="P143" s="233">
        <f ca="1">IF(B143="","",(VLOOKUP(B143,'SC (Gross)'!J:K,2,FALSE))/100)</f>
        <v>0.1100892</v>
      </c>
      <c r="Q143" s="233">
        <f ca="1">IF(B143="","",(VLOOKUP(B143,'Global (Gross)'!J:K,2,FALSE)/100))</f>
        <v>6.0588070000000001E-2</v>
      </c>
      <c r="S143" s="22">
        <f t="shared" ca="1" si="188"/>
        <v>2.4145629999999987E-2</v>
      </c>
      <c r="T143" s="22">
        <f t="shared" ca="1" si="189"/>
        <v>-5.7901999999999954E-3</v>
      </c>
      <c r="U143" s="22">
        <f t="shared" ca="1" si="190"/>
        <v>8.5439299999999982E-3</v>
      </c>
      <c r="V143" s="22">
        <f t="shared" ca="1" si="187"/>
        <v>7.9739999999998978E-4</v>
      </c>
      <c r="W143" s="22">
        <f t="shared" ca="1" si="191"/>
        <v>-1.112805E-2</v>
      </c>
      <c r="X143" s="22">
        <f t="shared" ca="1" si="192"/>
        <v>1.9778500000000004E-2</v>
      </c>
      <c r="Y143" s="22">
        <f t="shared" ca="1" si="193"/>
        <v>-1.8784429999999998E-2</v>
      </c>
    </row>
    <row r="144" spans="1:25" x14ac:dyDescent="0.25">
      <c r="A144">
        <f t="shared" ca="1" si="194"/>
        <v>142</v>
      </c>
      <c r="B144" s="169">
        <f ca="1">IF('LC (Gross)'!A291="","",IF('LC (Gross)'!A291&gt;$AC$9,"",'LC (Gross)'!A291))</f>
        <v>44895</v>
      </c>
      <c r="C144" s="1">
        <f ca="1">IF(B144="","",(VLOOKUP(B144,'LC (Gross)'!A:D,4,FALSE)/100))</f>
        <v>4.9164000000000006E-2</v>
      </c>
      <c r="D144" s="1">
        <f ca="1">IF(B144="","",(VLOOKUP(B144,'SC (Gross)'!A:D,4,FALSE))/100)</f>
        <v>3.1566000000000004E-2</v>
      </c>
      <c r="E144" s="1">
        <f ca="1">IF(B144="","",(VLOOKUP(B144,'Global (Gross)'!A:D,4,FALSE)/100))</f>
        <v>6.2511999999999998E-2</v>
      </c>
      <c r="F144" s="1">
        <f ca="1">IF(B144="","",(VLOOKUP(B144,'BOGIX (Gross)'!A:D,4,FALSE)/100))</f>
        <v>3.1812220000000002E-2</v>
      </c>
      <c r="G144" s="1">
        <f ca="1">IF(B144="","",(VLOOKUP(B144,'LC (Net)'!A:D,4,FALSE)/100))</f>
        <v>4.8590000000000001E-2</v>
      </c>
      <c r="H144" s="1">
        <f ca="1">IF(B144="","",(VLOOKUP(B144,'SC (Net)'!A:D,4,FALSE))/100)</f>
        <v>3.1067000000000001E-2</v>
      </c>
      <c r="I144" s="1">
        <f ca="1">IF(B144="","",(VLOOKUP(B144,'Global (Net)'!A:D,4,FALSE)/100))</f>
        <v>6.1849999999999995E-2</v>
      </c>
      <c r="J144" s="1">
        <f ca="1">IF(B144="","",(VLOOKUP(B144,'BOGIX (Net)'!A:D,4,FALSE)/100))</f>
        <v>3.0787220000000001E-2</v>
      </c>
      <c r="K144" s="1">
        <f ca="1">IF(B144="","",VLOOKUP(Website!B144,'LC (Gross)'!W:X,2,FALSE)/100)</f>
        <v>5.8284179999999998E-2</v>
      </c>
      <c r="L144" s="1">
        <f ca="1">IF(B144="","",VLOOKUP(Website!B144,'SC (Gross)'!P:Q,2,FALSE)/100)</f>
        <v>3.3580600000000002E-2</v>
      </c>
      <c r="M144" s="1">
        <f ca="1">IF(B144="","",VLOOKUP(Website!B144,'Global (Gross)'!P:Q,2,FALSE)/100)</f>
        <v>6.2926999999999997E-2</v>
      </c>
      <c r="O144" s="1">
        <f ca="1">IF(B144="","",VLOOKUP(Website!B144,'LC (Gross)'!J:K,2,FALSE)/100)</f>
        <v>5.5884159999999995E-2</v>
      </c>
      <c r="P144" s="233">
        <f ca="1">IF(B144="","",(VLOOKUP(B144,'SC (Gross)'!J:K,2,FALSE))/100)</f>
        <v>2.3137370000000001E-2</v>
      </c>
      <c r="Q144" s="233">
        <f ca="1">IF(B144="","",(VLOOKUP(B144,'Global (Gross)'!J:K,2,FALSE)/100))</f>
        <v>7.8056330000000007E-2</v>
      </c>
      <c r="S144" s="22">
        <f t="shared" ca="1" si="188"/>
        <v>-6.7201599999999889E-3</v>
      </c>
      <c r="T144" s="22">
        <f t="shared" ca="1" si="189"/>
        <v>8.4286300000000029E-3</v>
      </c>
      <c r="U144" s="22">
        <f t="shared" ca="1" si="190"/>
        <v>-1.5544330000000009E-2</v>
      </c>
      <c r="V144" s="22">
        <f t="shared" ca="1" si="187"/>
        <v>8.6748500000000013E-3</v>
      </c>
      <c r="W144" s="22">
        <f t="shared" ca="1" si="191"/>
        <v>2.4000200000000027E-3</v>
      </c>
      <c r="X144" s="22">
        <f t="shared" ca="1" si="192"/>
        <v>1.0443230000000001E-2</v>
      </c>
      <c r="Y144" s="22">
        <f t="shared" ca="1" si="193"/>
        <v>-1.512933000000001E-2</v>
      </c>
    </row>
    <row r="145" spans="1:25" x14ac:dyDescent="0.25">
      <c r="A145">
        <f t="shared" ca="1" si="194"/>
        <v>143</v>
      </c>
      <c r="B145" s="169">
        <f ca="1">IF('LC (Gross)'!A292="","",IF('LC (Gross)'!A292&gt;$AC$9,"",'LC (Gross)'!A292))</f>
        <v>44926</v>
      </c>
      <c r="C145" s="1">
        <f ca="1">IF(B145="","",(VLOOKUP(B145,'LC (Gross)'!A:D,4,FALSE)/100))</f>
        <v>-3.8737095221647637E-2</v>
      </c>
      <c r="D145" s="1">
        <f ca="1">IF(B145="","",(VLOOKUP(B145,'SC (Gross)'!A:D,4,FALSE))/100)</f>
        <v>-5.6477398393485485E-2</v>
      </c>
      <c r="E145" s="1">
        <f ca="1">IF(B145="","",(VLOOKUP(B145,'Global (Gross)'!A:D,4,FALSE)/100))</f>
        <v>-5.0053468376241722E-2</v>
      </c>
      <c r="F145" s="1">
        <f ca="1">IF(B145="","",(VLOOKUP(B145,'BOGIX (Gross)'!A:D,4,FALSE)/100))</f>
        <v>-6.1367430000000001E-2</v>
      </c>
      <c r="G145" s="1">
        <f ca="1">IF(B145="","",(VLOOKUP(B145,'LC (Net)'!A:D,4,FALSE)/100))</f>
        <v>-3.93096E-2</v>
      </c>
      <c r="H145" s="1">
        <f ca="1">IF(B145="","",(VLOOKUP(B145,'SC (Net)'!A:D,4,FALSE))/100)</f>
        <v>-5.6978229064758794E-2</v>
      </c>
      <c r="I145" s="1">
        <f ca="1">IF(B145="","",(VLOOKUP(B145,'Global (Net)'!A:D,4,FALSE)/100))</f>
        <v>-5.0713382839088154E-2</v>
      </c>
      <c r="J145" s="1">
        <f ca="1">IF(B145="","",(VLOOKUP(B145,'BOGIX (Net)'!A:D,4,FALSE)/100))</f>
        <v>-6.2392429999999999E-2</v>
      </c>
      <c r="K145" s="1">
        <f ca="1">IF(B145="","",VLOOKUP(Website!B145,'LC (Gross)'!W:X,2,FALSE)/100)</f>
        <v>-1.723247E-2</v>
      </c>
      <c r="L145" s="1">
        <f ca="1">IF(B145="","",VLOOKUP(Website!B145,'SC (Gross)'!P:Q,2,FALSE)/100)</f>
        <v>-5.2475059999999997E-2</v>
      </c>
      <c r="M145" s="1">
        <f ca="1">IF(B145="","",VLOOKUP(Website!B145,'Global (Gross)'!P:Q,2,FALSE)/100)</f>
        <v>-1.9438750000000001E-2</v>
      </c>
      <c r="O145" s="1">
        <f ca="1">IF(B145="","",VLOOKUP(Website!B145,'LC (Gross)'!J:K,2,FALSE)/100)</f>
        <v>-5.7714730000000006E-2</v>
      </c>
      <c r="P145" s="233">
        <f ca="1">IF(B145="","",(VLOOKUP(B145,'SC (Gross)'!J:K,2,FALSE))/100)</f>
        <v>-6.4934729999999996E-2</v>
      </c>
      <c r="Q145" s="233">
        <f ca="1">IF(B145="","",(VLOOKUP(B145,'Global (Gross)'!J:K,2,FALSE)/100))</f>
        <v>-3.8958050000000001E-2</v>
      </c>
      <c r="S145" s="22">
        <f t="shared" ca="1" si="188"/>
        <v>1.8977634778352369E-2</v>
      </c>
      <c r="T145" s="22">
        <f t="shared" ca="1" si="189"/>
        <v>8.4573316065145107E-3</v>
      </c>
      <c r="U145" s="22">
        <f t="shared" ca="1" si="190"/>
        <v>-1.1095418376241721E-2</v>
      </c>
      <c r="V145" s="22">
        <f t="shared" ca="1" si="187"/>
        <v>3.5672999999999955E-3</v>
      </c>
      <c r="W145" s="22">
        <f t="shared" ca="1" si="191"/>
        <v>4.0482260000000006E-2</v>
      </c>
      <c r="X145" s="22">
        <f t="shared" ca="1" si="192"/>
        <v>1.2459669999999999E-2</v>
      </c>
      <c r="Y145" s="22">
        <f t="shared" ca="1" si="193"/>
        <v>1.95193E-2</v>
      </c>
    </row>
    <row r="146" spans="1:25" x14ac:dyDescent="0.25">
      <c r="A146">
        <f t="shared" ca="1" si="194"/>
        <v>144</v>
      </c>
      <c r="B146" s="169">
        <f ca="1">IF('LC (Gross)'!A293="","",IF('LC (Gross)'!A293&gt;$AC$9,"",'LC (Gross)'!A293))</f>
        <v>44957</v>
      </c>
      <c r="C146" s="1">
        <f ca="1">IF(B146="","",(VLOOKUP(B146,'LC (Gross)'!A:D,4,FALSE)/100))</f>
        <v>2.8497283152063436E-2</v>
      </c>
      <c r="D146" s="1">
        <f ca="1">IF(B146="","",(VLOOKUP(B146,'SC (Gross)'!A:D,4,FALSE))/100)</f>
        <v>5.0683174382068347E-2</v>
      </c>
      <c r="E146" s="1">
        <f ca="1">IF(B146="","",(VLOOKUP(B146,'Global (Gross)'!A:D,4,FALSE)/100))</f>
        <v>6.6684536521078724E-2</v>
      </c>
      <c r="F146" s="1">
        <f ca="1">IF(B146="","",(VLOOKUP(B146,'BOGIX (Gross)'!A:D,4,FALSE)/100))</f>
        <v>9.1491529999999988E-2</v>
      </c>
      <c r="G146" s="1">
        <f ca="1">IF(B146="","",(VLOOKUP(B146,'LC (Net)'!A:D,4,FALSE)/100))</f>
        <v>2.7903141978001429E-2</v>
      </c>
      <c r="H146" s="1">
        <f ca="1">IF(B146="","",(VLOOKUP(B146,'SC (Net)'!A:D,4,FALSE))/100)</f>
        <v>5.0181820262223037E-2</v>
      </c>
      <c r="I146" s="1">
        <f ca="1">IF(B146="","",(VLOOKUP(B146,'Global (Net)'!A:D,4,FALSE)/100))</f>
        <v>6.591489653176609E-2</v>
      </c>
      <c r="J146" s="1">
        <f ca="1">IF(B146="","",(VLOOKUP(B146,'BOGIX (Net)'!A:D,4,FALSE)/100))</f>
        <v>9.0466529999999989E-2</v>
      </c>
      <c r="K146" s="1">
        <f ca="1">IF(B146="","",VLOOKUP(Website!B146,'LC (Gross)'!W:X,2,FALSE)/100)</f>
        <v>3.4753330000000002E-4</v>
      </c>
      <c r="L146" s="1">
        <f ca="1">IF(B146="","",VLOOKUP(Website!B146,'SC (Gross)'!P:Q,2,FALSE)/100)</f>
        <v>4.7549720000000004E-2</v>
      </c>
      <c r="M146" s="1">
        <f ca="1">IF(B146="","",VLOOKUP(Website!B146,'Global (Gross)'!P:Q,2,FALSE)/100)</f>
        <v>1.7564E-2</v>
      </c>
      <c r="O146" s="1">
        <f ca="1">IF(B146="","",VLOOKUP(Website!B146,'LC (Gross)'!J:K,2,FALSE)/100)</f>
        <v>6.2828720000000005E-2</v>
      </c>
      <c r="P146" s="233">
        <f ca="1">IF(B146="","",(VLOOKUP(B146,'SC (Gross)'!J:K,2,FALSE))/100)</f>
        <v>9.7465889999999999E-2</v>
      </c>
      <c r="Q146" s="233">
        <f ca="1">IF(B146="","",(VLOOKUP(B146,'Global (Gross)'!J:K,2,FALSE)/100))</f>
        <v>7.1952000000000002E-2</v>
      </c>
      <c r="S146" s="22">
        <f t="shared" ca="1" si="188"/>
        <v>-3.4331436847936568E-2</v>
      </c>
      <c r="T146" s="22">
        <f t="shared" ca="1" si="189"/>
        <v>-4.6782715617931653E-2</v>
      </c>
      <c r="U146" s="22">
        <f t="shared" ca="1" si="190"/>
        <v>-5.2674634789212776E-3</v>
      </c>
      <c r="V146" s="22">
        <f t="shared" ca="1" si="187"/>
        <v>-5.9743600000000119E-3</v>
      </c>
      <c r="W146" s="22">
        <f t="shared" ca="1" si="191"/>
        <v>-6.2481186700000003E-2</v>
      </c>
      <c r="X146" s="22">
        <f t="shared" ca="1" si="192"/>
        <v>-4.9916169999999996E-2</v>
      </c>
      <c r="Y146" s="22">
        <f t="shared" ca="1" si="193"/>
        <v>-5.4388000000000006E-2</v>
      </c>
    </row>
    <row r="147" spans="1:25" x14ac:dyDescent="0.25">
      <c r="A147">
        <f t="shared" ca="1" si="194"/>
        <v>145</v>
      </c>
      <c r="B147" s="169">
        <f ca="1">IF('LC (Gross)'!A294="","",IF('LC (Gross)'!A294&gt;$AC$9,"",'LC (Gross)'!A294))</f>
        <v>44985</v>
      </c>
      <c r="C147" s="1">
        <f ca="1">IF(B147="","",(VLOOKUP(B147,'LC (Gross)'!A:D,4,FALSE)/100))</f>
        <v>-2.7952823047861813E-2</v>
      </c>
      <c r="D147" s="1">
        <f ca="1">IF(B147="","",(VLOOKUP(B147,'SC (Gross)'!A:D,4,FALSE))/100)</f>
        <v>-1.7211992568556815E-2</v>
      </c>
      <c r="E147" s="1">
        <f ca="1">IF(B147="","",(VLOOKUP(B147,'Global (Gross)'!A:D,4,FALSE)/100))</f>
        <v>-3.1415559766686876E-2</v>
      </c>
      <c r="F147" s="1">
        <f ca="1">IF(B147="","",(VLOOKUP(B147,'BOGIX (Gross)'!A:D,4,FALSE)/100))</f>
        <v>1.3301790000000001E-2</v>
      </c>
      <c r="G147" s="1">
        <f ca="1">IF(B147="","",(VLOOKUP(B147,'LC (Net)'!A:D,4,FALSE)/100))</f>
        <v>-2.8517419938387648E-2</v>
      </c>
      <c r="H147" s="1">
        <f ca="1">IF(B147="","",(VLOOKUP(B147,'SC (Net)'!A:D,4,FALSE))/100)</f>
        <v>-1.7713006518090983E-2</v>
      </c>
      <c r="I147" s="1">
        <f ca="1">IF(B147="","",(VLOOKUP(B147,'Global (Net)'!A:D,4,FALSE)/100))</f>
        <v>-3.2075639342745009E-2</v>
      </c>
      <c r="J147" s="1">
        <f ca="1">IF(B147="","",(VLOOKUP(B147,'BOGIX (Net)'!A:D,4,FALSE)/100))</f>
        <v>1.2276789999999999E-2</v>
      </c>
      <c r="K147" s="1">
        <f ca="1">IF(B147="","",VLOOKUP(Website!B147,'LC (Gross)'!W:X,2,FALSE)/100)</f>
        <v>-3.2838199999999998E-2</v>
      </c>
      <c r="L147" s="1">
        <f ca="1">IF(B147="","",VLOOKUP(Website!B147,'SC (Gross)'!P:Q,2,FALSE)/100)</f>
        <v>-6.000409E-3</v>
      </c>
      <c r="M147" s="1">
        <f ca="1">IF(B147="","",VLOOKUP(Website!B147,'Global (Gross)'!P:Q,2,FALSE)/100)</f>
        <v>-3.7379999999999997E-2</v>
      </c>
      <c r="O147" s="1">
        <f ca="1">IF(B147="","",VLOOKUP(Website!B147,'LC (Gross)'!J:K,2,FALSE)/100)</f>
        <v>-2.4490709999999999E-2</v>
      </c>
      <c r="P147" s="233">
        <f ca="1">IF(B147="","",(VLOOKUP(B147,'SC (Gross)'!J:K,2,FALSE))/100)</f>
        <v>-1.692691E-2</v>
      </c>
      <c r="Q147" s="233">
        <f ca="1">IF(B147="","",(VLOOKUP(B147,'Global (Gross)'!J:K,2,FALSE)/100))</f>
        <v>-2.8328000000000002E-2</v>
      </c>
      <c r="S147" s="22">
        <f t="shared" ca="1" si="188"/>
        <v>-3.4621130478618145E-3</v>
      </c>
      <c r="T147" s="22">
        <f t="shared" ca="1" si="189"/>
        <v>-2.8508256855681521E-4</v>
      </c>
      <c r="U147" s="22">
        <f t="shared" ca="1" si="190"/>
        <v>-3.0875597666868738E-3</v>
      </c>
      <c r="V147" s="22">
        <f t="shared" ca="1" si="187"/>
        <v>3.0228700000000001E-2</v>
      </c>
      <c r="W147" s="22">
        <f t="shared" ca="1" si="191"/>
        <v>-8.3474899999999991E-3</v>
      </c>
      <c r="X147" s="22">
        <f t="shared" ca="1" si="192"/>
        <v>1.0926501E-2</v>
      </c>
      <c r="Y147" s="22">
        <f t="shared" ca="1" si="193"/>
        <v>-9.0519999999999941E-3</v>
      </c>
    </row>
    <row r="148" spans="1:25" x14ac:dyDescent="0.25">
      <c r="A148">
        <f t="shared" ca="1" si="194"/>
        <v>146</v>
      </c>
      <c r="B148" s="169">
        <f ca="1">IF('LC (Gross)'!A295="","",IF('LC (Gross)'!A295&gt;$AC$9,"",'LC (Gross)'!A295))</f>
        <v>45016</v>
      </c>
      <c r="C148" s="1">
        <f ca="1">IF(B148="","",(VLOOKUP(B148,'LC (Gross)'!A:D,4,FALSE)/100))</f>
        <v>1.2561934295472017E-2</v>
      </c>
      <c r="D148" s="1">
        <f ca="1">IF(B148="","",(VLOOKUP(B148,'SC (Gross)'!A:D,4,FALSE))/100)</f>
        <v>-2.1568557176685134E-2</v>
      </c>
      <c r="E148" s="1">
        <f ca="1">IF(B148="","",(VLOOKUP(B148,'Global (Gross)'!A:D,4,FALSE)/100))</f>
        <v>1.9567662266374103E-2</v>
      </c>
      <c r="F148" s="1">
        <f ca="1">IF(B148="","",(VLOOKUP(B148,'BOGIX (Gross)'!A:D,4,FALSE)/100))</f>
        <v>-4.8221600000000003E-2</v>
      </c>
      <c r="G148" s="1">
        <f ca="1">IF(B148="","",(VLOOKUP(B148,'LC (Net)'!A:D,4,FALSE)/100))</f>
        <v>1.1997793736767013E-2</v>
      </c>
      <c r="H148" s="1">
        <f ca="1">IF(B148="","",(VLOOKUP(B148,'SC (Net)'!A:D,4,FALSE))/100)</f>
        <v>-2.2071729154978473E-2</v>
      </c>
      <c r="I148" s="1">
        <f ca="1">IF(B148="","",(VLOOKUP(B148,'Global (Net)'!A:D,4,FALSE)/100))</f>
        <v>1.8907131180832367E-2</v>
      </c>
      <c r="J148" s="1">
        <f ca="1">IF(B148="","",(VLOOKUP(B148,'BOGIX (Net)'!A:D,4,FALSE)/100))</f>
        <v>-4.9246600000000001E-2</v>
      </c>
      <c r="K148" s="1">
        <f ca="1">IF(B148="","",VLOOKUP(Website!B148,'LC (Gross)'!W:X,2,FALSE)/100)</f>
        <v>1.559139E-2</v>
      </c>
      <c r="L148" s="1">
        <f ca="1">IF(B148="","",VLOOKUP(Website!B148,'SC (Gross)'!P:Q,2,FALSE)/100)</f>
        <v>-8.1971530000000001E-2</v>
      </c>
      <c r="M148" s="1">
        <f ca="1">IF(B148="","",VLOOKUP(Website!B148,'Global (Gross)'!P:Q,2,FALSE)/100)</f>
        <v>3.8073999999999997E-2</v>
      </c>
      <c r="O148" s="1">
        <f ca="1">IF(B148="","",VLOOKUP(Website!B148,'LC (Gross)'!J:K,2,FALSE)/100)</f>
        <v>3.669584E-2</v>
      </c>
      <c r="P148" s="233">
        <f ca="1">IF(B148="","",(VLOOKUP(B148,'SC (Gross)'!J:K,2,FALSE))/100)</f>
        <v>-4.782989E-2</v>
      </c>
      <c r="Q148" s="233">
        <f ca="1">IF(B148="","",(VLOOKUP(B148,'Global (Gross)'!J:K,2,FALSE)/100))</f>
        <v>3.1548E-2</v>
      </c>
      <c r="S148" s="22">
        <f t="shared" ca="1" si="188"/>
        <v>-2.4133905704527982E-2</v>
      </c>
      <c r="T148" s="22">
        <f t="shared" ca="1" si="189"/>
        <v>2.6261332823314866E-2</v>
      </c>
      <c r="U148" s="22">
        <f t="shared" ca="1" si="190"/>
        <v>-1.1980337733625897E-2</v>
      </c>
      <c r="V148" s="22">
        <f t="shared" ca="1" si="187"/>
        <v>-3.9171000000000344E-4</v>
      </c>
      <c r="W148" s="22">
        <f t="shared" ca="1" si="191"/>
        <v>-2.110445E-2</v>
      </c>
      <c r="X148" s="22">
        <f t="shared" ca="1" si="192"/>
        <v>-3.4141640000000001E-2</v>
      </c>
      <c r="Y148" s="22">
        <f t="shared" ca="1" si="193"/>
        <v>6.5259999999999971E-3</v>
      </c>
    </row>
    <row r="149" spans="1:25" x14ac:dyDescent="0.25">
      <c r="A149">
        <f t="shared" ca="1" si="194"/>
        <v>147</v>
      </c>
      <c r="B149" s="169">
        <f ca="1">IF('LC (Gross)'!A296="","",IF('LC (Gross)'!A296&gt;$AC$9,"",'LC (Gross)'!A296))</f>
        <v>45046</v>
      </c>
      <c r="C149" s="1">
        <f ca="1">IF(B149="","",(VLOOKUP(B149,'LC (Gross)'!A:D,4,FALSE)/100))</f>
        <v>1.1585569287576312E-2</v>
      </c>
      <c r="D149" s="1">
        <f ca="1">IF(B149="","",(VLOOKUP(B149,'SC (Gross)'!A:D,4,FALSE))/100)</f>
        <v>-1.0251083133536065E-2</v>
      </c>
      <c r="E149" s="1">
        <f ca="1">IF(B149="","",(VLOOKUP(B149,'Global (Gross)'!A:D,4,FALSE)/100))</f>
        <v>1.5725506870097283E-2</v>
      </c>
      <c r="F149" s="1">
        <f ca="1">IF(B149="","",(VLOOKUP(B149,'BOGIX (Gross)'!A:D,4,FALSE)/100))</f>
        <v>-1.4823469999999998E-2</v>
      </c>
      <c r="G149" s="1">
        <f ca="1">IF(B149="","",(VLOOKUP(B149,'LC (Net)'!A:D,4,FALSE)/100))</f>
        <v>1.099480071381295E-2</v>
      </c>
      <c r="H149" s="1">
        <f ca="1">IF(B149="","",(VLOOKUP(B149,'SC (Net)'!A:D,4,FALSE))/100)</f>
        <v>-1.0752694708132025E-2</v>
      </c>
      <c r="I149" s="1">
        <f ca="1">IF(B149="","",(VLOOKUP(B149,'Global (Net)'!A:D,4,FALSE)/100))</f>
        <v>1.4958007552858209E-2</v>
      </c>
      <c r="J149" s="1">
        <f ca="1">IF(B149="","",(VLOOKUP(B149,'BOGIX (Net)'!A:D,4,FALSE)/100))</f>
        <v>-1.584847E-2</v>
      </c>
      <c r="K149" s="1">
        <f ca="1">IF(B149="","",VLOOKUP(Website!B149,'LC (Gross)'!W:X,2,FALSE)/100)</f>
        <v>2.6588349999999997E-2</v>
      </c>
      <c r="L149" s="1">
        <f ca="1">IF(B149="","",VLOOKUP(Website!B149,'SC (Gross)'!P:Q,2,FALSE)/100)</f>
        <v>-4.1581559999999997E-2</v>
      </c>
      <c r="M149" s="1">
        <f ca="1">IF(B149="","",VLOOKUP(Website!B149,'Global (Gross)'!P:Q,2,FALSE)/100)</f>
        <v>2.8603E-2</v>
      </c>
      <c r="O149" s="1">
        <f ca="1">IF(B149="","",VLOOKUP(Website!B149,'LC (Gross)'!J:K,2,FALSE)/100)</f>
        <v>1.560872E-2</v>
      </c>
      <c r="P149" s="233">
        <f ca="1">IF(B149="","",(VLOOKUP(B149,'SC (Gross)'!J:K,2,FALSE))/100)</f>
        <v>-1.7983370000000002E-2</v>
      </c>
      <c r="Q149" s="233">
        <f ca="1">IF(B149="","",(VLOOKUP(B149,'Global (Gross)'!J:K,2,FALSE)/100))</f>
        <v>1.4809000000000001E-2</v>
      </c>
      <c r="S149" s="22">
        <f t="shared" ca="1" si="188"/>
        <v>-4.0231507124236874E-3</v>
      </c>
      <c r="T149" s="22">
        <f t="shared" ca="1" si="189"/>
        <v>7.7322868664639367E-3</v>
      </c>
      <c r="U149" s="22">
        <f t="shared" ca="1" si="190"/>
        <v>9.1650687009728164E-4</v>
      </c>
      <c r="V149" s="22">
        <f t="shared" ca="1" si="187"/>
        <v>3.1599000000000037E-3</v>
      </c>
      <c r="W149" s="22">
        <f t="shared" ca="1" si="191"/>
        <v>1.0979629999999997E-2</v>
      </c>
      <c r="X149" s="22">
        <f t="shared" ca="1" si="192"/>
        <v>-2.3598189999999995E-2</v>
      </c>
      <c r="Y149" s="22">
        <f t="shared" ca="1" si="193"/>
        <v>1.3793999999999999E-2</v>
      </c>
    </row>
    <row r="150" spans="1:25" x14ac:dyDescent="0.25">
      <c r="A150">
        <f t="shared" ca="1" si="194"/>
        <v>148</v>
      </c>
      <c r="B150" s="169">
        <f ca="1">IF('LC (Gross)'!A297="","",IF('LC (Gross)'!A297&gt;$AC$9,"",'LC (Gross)'!A297))</f>
        <v>45077</v>
      </c>
      <c r="C150" s="1">
        <f ca="1">IF(B150="","",(VLOOKUP(B150,'LC (Gross)'!A:D,4,FALSE)/100))</f>
        <v>-2.7888501293758621E-2</v>
      </c>
      <c r="D150" s="1">
        <f ca="1">IF(B150="","",(VLOOKUP(B150,'SC (Gross)'!A:D,4,FALSE))/100)</f>
        <v>-2.7328037455045976E-2</v>
      </c>
      <c r="E150" s="1">
        <f ca="1">IF(B150="","",(VLOOKUP(B150,'Global (Gross)'!A:D,4,FALSE)/100))</f>
        <v>-2.6831842464369489E-2</v>
      </c>
      <c r="F150" s="1">
        <f ca="1">IF(B150="","",(VLOOKUP(B150,'BOGIX (Gross)'!A:D,4,FALSE)/100))</f>
        <v>-2.2148609999999999E-2</v>
      </c>
      <c r="G150" s="1">
        <f ca="1">IF(B150="","",(VLOOKUP(B150,'LC (Net)'!A:D,4,FALSE)/100))</f>
        <v>-2.845058157139423E-2</v>
      </c>
      <c r="H150" s="1">
        <f ca="1">IF(B150="","",(VLOOKUP(B150,'SC (Net)'!A:D,4,FALSE))/100)</f>
        <v>-2.7833622509883173E-2</v>
      </c>
      <c r="I150" s="1">
        <f ca="1">IF(B150="","",(VLOOKUP(B150,'Global (Net)'!A:D,4,FALSE)/100))</f>
        <v>-2.7492766843027362E-2</v>
      </c>
      <c r="J150" s="1">
        <f ca="1">IF(B150="","",(VLOOKUP(B150,'BOGIX (Net)'!A:D,4,FALSE)/100))</f>
        <v>-2.3173610000000001E-2</v>
      </c>
      <c r="K150" s="1">
        <f ca="1">IF(B150="","",VLOOKUP(Website!B150,'LC (Gross)'!W:X,2,FALSE)/100)</f>
        <v>-5.2391259999999995E-2</v>
      </c>
      <c r="L150" s="1">
        <f ca="1">IF(B150="","",VLOOKUP(Website!B150,'SC (Gross)'!P:Q,2,FALSE)/100)</f>
        <v>-4.1118870000000002E-2</v>
      </c>
      <c r="M150" s="1">
        <f ca="1">IF(B150="","",VLOOKUP(Website!B150,'Global (Gross)'!P:Q,2,FALSE)/100)</f>
        <v>-3.1490999999999998E-2</v>
      </c>
      <c r="O150" s="1">
        <f ca="1">IF(B150="","",VLOOKUP(Website!B150,'LC (Gross)'!J:K,2,FALSE)/100)</f>
        <v>4.3486430000000001E-3</v>
      </c>
      <c r="P150" s="233">
        <f ca="1">IF(B150="","",(VLOOKUP(B150,'SC (Gross)'!J:K,2,FALSE))/100)</f>
        <v>-9.3249360000000007E-3</v>
      </c>
      <c r="Q150" s="233">
        <f ca="1">IF(B150="","",(VLOOKUP(B150,'Global (Gross)'!J:K,2,FALSE)/100))</f>
        <v>-1.0115000000000001E-2</v>
      </c>
      <c r="S150" s="22">
        <f t="shared" ca="1" si="188"/>
        <v>-3.2237144293758624E-2</v>
      </c>
      <c r="T150" s="22">
        <f t="shared" ca="1" si="189"/>
        <v>-1.8003101455045974E-2</v>
      </c>
      <c r="U150" s="22">
        <f t="shared" ca="1" si="190"/>
        <v>-1.671684246436949E-2</v>
      </c>
      <c r="V150" s="22">
        <f t="shared" ca="1" si="187"/>
        <v>-1.2823673999999998E-2</v>
      </c>
      <c r="W150" s="22">
        <f t="shared" ca="1" si="191"/>
        <v>-5.6739902999999994E-2</v>
      </c>
      <c r="X150" s="22">
        <f t="shared" ca="1" si="192"/>
        <v>-3.1793934000000003E-2</v>
      </c>
      <c r="Y150" s="22">
        <f t="shared" ca="1" si="193"/>
        <v>-2.1375999999999999E-2</v>
      </c>
    </row>
    <row r="151" spans="1:25" x14ac:dyDescent="0.25">
      <c r="A151">
        <f t="shared" ca="1" si="194"/>
        <v>149</v>
      </c>
      <c r="B151" s="169">
        <f ca="1">IF('LC (Gross)'!A298="","",IF('LC (Gross)'!A298&gt;$AC$9,"",'LC (Gross)'!A298))</f>
        <v>45107</v>
      </c>
      <c r="C151" s="1">
        <f ca="1">IF(B151="","",(VLOOKUP(B151,'LC (Gross)'!A:D,4,FALSE)/100))</f>
        <v>4.9628988125141299E-2</v>
      </c>
      <c r="D151" s="1">
        <f ca="1">IF(B151="","",(VLOOKUP(B151,'SC (Gross)'!A:D,4,FALSE))/100)</f>
        <v>6.1854490000000005E-2</v>
      </c>
      <c r="E151" s="1">
        <f ca="1">IF(B151="","",(VLOOKUP(B151,'Global (Gross)'!A:D,4,FALSE)/100))</f>
        <v>4.4193750973587818E-2</v>
      </c>
      <c r="F151" s="1">
        <f ca="1">IF(B151="","",(VLOOKUP(B151,'BOGIX (Gross)'!A:D,4,FALSE)/100))</f>
        <v>0.10958949999999999</v>
      </c>
      <c r="G151" s="1">
        <f ca="1">IF(B151="","",(VLOOKUP(B151,'LC (Net)'!A:D,4,FALSE)/100))</f>
        <v>4.9069800185492826E-2</v>
      </c>
      <c r="H151" s="1">
        <f ca="1">IF(B151="","",(VLOOKUP(B151,'SC (Net)'!A:D,4,FALSE))/100)</f>
        <v>6.082949E-2</v>
      </c>
      <c r="I151" s="1">
        <f ca="1">IF(B151="","",(VLOOKUP(B151,'Global (Net)'!A:D,4,FALSE)/100))</f>
        <v>4.3532564540588764E-2</v>
      </c>
      <c r="J151" s="1">
        <f ca="1">IF(B151="","",(VLOOKUP(B151,'BOGIX (Net)'!A:D,4,FALSE)/100))</f>
        <v>0.10856450000000001</v>
      </c>
      <c r="K151" s="1">
        <f ca="1">IF(B151="","",VLOOKUP(Website!B151,'LC (Gross)'!W:X,2,FALSE)/100)</f>
        <v>4.1423719999999997E-2</v>
      </c>
      <c r="L151" s="1">
        <f ca="1">IF(B151="","",VLOOKUP(Website!B151,'SC (Gross)'!P:Q,2,FALSE)/100)</f>
        <v>2.888866E-2</v>
      </c>
      <c r="M151" s="1">
        <f ca="1">IF(B151="","",VLOOKUP(Website!B151,'Global (Gross)'!P:Q,2,FALSE)/100)</f>
        <v>2.7199000000000001E-2</v>
      </c>
      <c r="O151" s="1">
        <f ca="1">IF(B151="","",VLOOKUP(Website!B151,'LC (Gross)'!J:K,2,FALSE)/100)</f>
        <v>6.6073800000000002E-2</v>
      </c>
      <c r="P151" s="233">
        <f ca="1">IF(B151="","",(VLOOKUP(B151,'SC (Gross)'!J:K,2,FALSE))/100)</f>
        <v>8.125694E-2</v>
      </c>
      <c r="Q151" s="233">
        <f ca="1">IF(B151="","",(VLOOKUP(B151,'Global (Gross)'!J:K,2,FALSE)/100))</f>
        <v>5.8438999999999998E-2</v>
      </c>
      <c r="S151" s="22">
        <f t="shared" ca="1" si="188"/>
        <v>-1.6444811874858703E-2</v>
      </c>
      <c r="T151" s="22">
        <f t="shared" ca="1" si="189"/>
        <v>-1.9402449999999995E-2</v>
      </c>
      <c r="U151" s="22">
        <f t="shared" ca="1" si="190"/>
        <v>-1.4245249026412179E-2</v>
      </c>
      <c r="V151" s="22">
        <f t="shared" ca="1" si="187"/>
        <v>2.8332559999999993E-2</v>
      </c>
      <c r="W151" s="22">
        <f t="shared" ca="1" si="191"/>
        <v>-2.4650080000000005E-2</v>
      </c>
      <c r="X151" s="22">
        <f t="shared" ca="1" si="192"/>
        <v>-5.2368280000000003E-2</v>
      </c>
      <c r="Y151" s="22">
        <f t="shared" ca="1" si="193"/>
        <v>-3.1239999999999997E-2</v>
      </c>
    </row>
    <row r="152" spans="1:25" x14ac:dyDescent="0.25">
      <c r="A152">
        <f t="shared" ca="1" si="194"/>
        <v>150</v>
      </c>
      <c r="B152" s="169">
        <f ca="1">IF('LC (Gross)'!A299="","",IF('LC (Gross)'!A299&gt;$AC$9,"",'LC (Gross)'!A299))</f>
        <v>45138</v>
      </c>
      <c r="C152" s="1">
        <f ca="1">IF(B152="","",(VLOOKUP(B152,'LC (Gross)'!A:D,4,FALSE)/100))</f>
        <v>1.6975906447378512E-2</v>
      </c>
      <c r="D152" s="1">
        <f ca="1">IF(B152="","",(VLOOKUP(B152,'SC (Gross)'!A:D,4,FALSE))/100)</f>
        <v>3.4908580000000002E-2</v>
      </c>
      <c r="E152" s="1">
        <f ca="1">IF(B152="","",(VLOOKUP(B152,'Global (Gross)'!A:D,4,FALSE)/100))</f>
        <v>1.1483673688421965E-2</v>
      </c>
      <c r="F152" s="1">
        <f ca="1">IF(B152="","",(VLOOKUP(B152,'BOGIX (Gross)'!A:D,4,FALSE)/100))</f>
        <v>4.5275999999999997E-2</v>
      </c>
      <c r="G152" s="1">
        <f ca="1">IF(B152="","",(VLOOKUP(B152,'LC (Net)'!A:D,4,FALSE)/100))</f>
        <v>1.6373723154375863E-2</v>
      </c>
      <c r="H152" s="1">
        <f ca="1">IF(B152="","",(VLOOKUP(B152,'SC (Net)'!A:D,4,FALSE))/100)</f>
        <v>3.3883580000000003E-2</v>
      </c>
      <c r="I152" s="1">
        <f ca="1">IF(B152="","",(VLOOKUP(B152,'Global (Net)'!A:D,4,FALSE)/100))</f>
        <v>1.0720313867897895E-2</v>
      </c>
      <c r="J152" s="1">
        <f ca="1">IF(B152="","",(VLOOKUP(B152,'BOGIX (Net)'!A:D,4,FALSE)/100))</f>
        <v>4.4250999999999999E-2</v>
      </c>
      <c r="K152" s="1">
        <f ca="1">IF(B152="","",VLOOKUP(Website!B152,'LC (Gross)'!W:X,2,FALSE)/100)</f>
        <v>9.4963560000000009E-3</v>
      </c>
      <c r="L152" s="1">
        <f ca="1">IF(B152="","",VLOOKUP(Website!B152,'SC (Gross)'!P:Q,2,FALSE)/100)</f>
        <v>7.1115239999999996E-2</v>
      </c>
      <c r="M152" s="1">
        <f ca="1">IF(B152="","",VLOOKUP(Website!B152,'Global (Gross)'!P:Q,2,FALSE)/100)</f>
        <v>1.6834999999999999E-2</v>
      </c>
      <c r="O152" s="1">
        <f ca="1">IF(B152="","",VLOOKUP(Website!B152,'LC (Gross)'!J:K,2,FALSE)/100)</f>
        <v>3.2125000000000001E-2</v>
      </c>
      <c r="P152" s="233">
        <f ca="1">IF(B152="","",(VLOOKUP(B152,'SC (Gross)'!J:K,2,FALSE))/100)</f>
        <v>6.114903E-2</v>
      </c>
      <c r="Q152" s="233">
        <f ca="1">IF(B152="","",(VLOOKUP(B152,'Global (Gross)'!J:K,2,FALSE)/100))</f>
        <v>3.6906000000000001E-2</v>
      </c>
      <c r="S152" s="22">
        <f t="shared" ca="1" si="188"/>
        <v>-1.5149093552621489E-2</v>
      </c>
      <c r="T152" s="22">
        <f t="shared" ca="1" si="189"/>
        <v>-2.6240449999999998E-2</v>
      </c>
      <c r="U152" s="22">
        <f t="shared" ca="1" si="190"/>
        <v>-2.5422326311578036E-2</v>
      </c>
      <c r="V152" s="22">
        <f t="shared" ca="1" si="187"/>
        <v>-1.5873030000000003E-2</v>
      </c>
      <c r="W152" s="22">
        <f t="shared" ca="1" si="191"/>
        <v>-2.2628644E-2</v>
      </c>
      <c r="X152" s="22">
        <f t="shared" ca="1" si="192"/>
        <v>9.9662099999999962E-3</v>
      </c>
      <c r="Y152" s="22">
        <f t="shared" ca="1" si="193"/>
        <v>-2.0071000000000002E-2</v>
      </c>
    </row>
    <row r="153" spans="1:25" x14ac:dyDescent="0.25">
      <c r="A153">
        <f t="shared" ca="1" si="194"/>
        <v>151</v>
      </c>
      <c r="B153" s="169">
        <f ca="1">IF('LC (Gross)'!A300="","",IF('LC (Gross)'!A300&gt;$AC$9,"",'LC (Gross)'!A300))</f>
        <v>45169</v>
      </c>
      <c r="C153" s="1">
        <f ca="1">IF(B153="","",(VLOOKUP(B153,'LC (Gross)'!A:D,4,FALSE)/100))</f>
        <v>-2.1062522896691166E-2</v>
      </c>
      <c r="D153" s="1">
        <f ca="1">IF(B153="","",(VLOOKUP(B153,'SC (Gross)'!A:D,4,FALSE))/100)</f>
        <v>-3.510945E-2</v>
      </c>
      <c r="E153" s="1">
        <f ca="1">IF(B153="","",(VLOOKUP(B153,'Global (Gross)'!A:D,4,FALSE)/100))</f>
        <v>-2.0007244223140173E-2</v>
      </c>
      <c r="F153" s="1">
        <f ca="1">IF(B153="","",(VLOOKUP(B153,'BOGIX (Gross)'!A:D,4,FALSE)/100))</f>
        <v>-4.3782220000000004E-2</v>
      </c>
      <c r="G153" s="1">
        <f ca="1">IF(B153="","",(VLOOKUP(B153,'LC (Net)'!A:D,4,FALSE)/100))</f>
        <v>-2.1652389652342074E-2</v>
      </c>
      <c r="H153" s="1">
        <f ca="1">IF(B153="","",(VLOOKUP(B153,'SC (Net)'!A:D,4,FALSE))/100)</f>
        <v>-3.6134449999999999E-2</v>
      </c>
      <c r="I153" s="1">
        <f ca="1">IF(B153="","",(VLOOKUP(B153,'Global (Net)'!A:D,4,FALSE)/100))</f>
        <v>-2.0673644510230765E-2</v>
      </c>
      <c r="J153" s="1">
        <f ca="1">IF(B153="","",(VLOOKUP(B153,'BOGIX (Net)'!A:D,4,FALSE)/100))</f>
        <v>-4.4807220000000002E-2</v>
      </c>
      <c r="K153" s="1">
        <f ca="1">IF(B153="","",VLOOKUP(Website!B153,'LC (Gross)'!W:X,2,FALSE)/100)</f>
        <v>-2.9815350000000001E-2</v>
      </c>
      <c r="L153" s="1">
        <f ca="1">IF(B153="","",VLOOKUP(Website!B153,'SC (Gross)'!P:Q,2,FALSE)/100)</f>
        <v>-3.0401669999999999E-2</v>
      </c>
      <c r="M153" s="1">
        <f ca="1">IF(B153="","",VLOOKUP(Website!B153,'Global (Gross)'!P:Q,2,FALSE)/100)</f>
        <v>-1.8962E-2</v>
      </c>
      <c r="O153" s="1">
        <f ca="1">IF(B153="","",VLOOKUP(Website!B153,'LC (Gross)'!J:K,2,FALSE)/100)</f>
        <v>-1.5921680000000001E-2</v>
      </c>
      <c r="P153" s="233">
        <f ca="1">IF(B153="","",(VLOOKUP(B153,'SC (Gross)'!J:K,2,FALSE))/100)</f>
        <v>-5.0064710000000005E-2</v>
      </c>
      <c r="Q153" s="233">
        <f ca="1">IF(B153="","",(VLOOKUP(B153,'Global (Gross)'!J:K,2,FALSE)/100))</f>
        <v>-2.7650000000000001E-2</v>
      </c>
      <c r="S153" s="22">
        <f t="shared" ca="1" si="188"/>
        <v>-5.1408428966911654E-3</v>
      </c>
      <c r="T153" s="22">
        <f t="shared" ca="1" si="189"/>
        <v>1.4955260000000005E-2</v>
      </c>
      <c r="U153" s="22">
        <f t="shared" ca="1" si="190"/>
        <v>7.6427557768598275E-3</v>
      </c>
      <c r="V153" s="22">
        <f t="shared" ca="1" si="187"/>
        <v>6.2824900000000017E-3</v>
      </c>
      <c r="W153" s="22">
        <f t="shared" ca="1" si="191"/>
        <v>-1.389367E-2</v>
      </c>
      <c r="X153" s="22">
        <f t="shared" ca="1" si="192"/>
        <v>1.9663040000000007E-2</v>
      </c>
      <c r="Y153" s="22">
        <f t="shared" ca="1" si="193"/>
        <v>8.6880000000000013E-3</v>
      </c>
    </row>
    <row r="154" spans="1:25" x14ac:dyDescent="0.25">
      <c r="A154">
        <f t="shared" ca="1" si="194"/>
        <v>152</v>
      </c>
      <c r="B154" s="169">
        <f ca="1">IF('LC (Gross)'!A301="","",IF('LC (Gross)'!A301&gt;$AC$9,"",'LC (Gross)'!A301))</f>
        <v>45199</v>
      </c>
      <c r="C154" s="1">
        <f ca="1">IF(B154="","",(VLOOKUP(B154,'LC (Gross)'!A:D,4,FALSE)/100))</f>
        <v>-2.2848957873521945E-2</v>
      </c>
      <c r="D154" s="1">
        <f ca="1">IF(B154="","",(VLOOKUP(B154,'SC (Gross)'!A:D,4,FALSE))/100)</f>
        <v>-3.9951460000000001E-2</v>
      </c>
      <c r="E154" s="1">
        <f ca="1">IF(B154="","",(VLOOKUP(B154,'Global (Gross)'!A:D,4,FALSE)/100))</f>
        <v>-2.2444274492501616E-2</v>
      </c>
      <c r="F154" s="1">
        <f ca="1">IF(B154="","",(VLOOKUP(B154,'BOGIX (Gross)'!A:D,4,FALSE)/100))</f>
        <v>-4.8793179999999998E-2</v>
      </c>
      <c r="G154" s="1">
        <f ca="1">IF(B154="","",(VLOOKUP(B154,'LC (Net)'!A:D,4,FALSE)/100))</f>
        <v>-2.342679022940369E-2</v>
      </c>
      <c r="H154" s="1">
        <f ca="1">IF(B154="","",(VLOOKUP(B154,'SC (Net)'!A:D,4,FALSE))/100)</f>
        <v>-4.0976459999999999E-2</v>
      </c>
      <c r="I154" s="1">
        <f ca="1">IF(B154="","",(VLOOKUP(B154,'Global (Net)'!A:D,4,FALSE)/100))</f>
        <v>-2.3112636895573732E-2</v>
      </c>
      <c r="J154" s="1">
        <f ca="1">IF(B154="","",(VLOOKUP(B154,'BOGIX (Net)'!A:D,4,FALSE)/100))</f>
        <v>-4.9818179999999997E-2</v>
      </c>
      <c r="K154" s="1">
        <f ca="1">IF(B154="","",VLOOKUP(Website!B154,'LC (Gross)'!W:X,2,FALSE)/100)</f>
        <v>-3.7838289999999997E-2</v>
      </c>
      <c r="L154" s="1">
        <f ca="1">IF(B154="","",VLOOKUP(Website!B154,'SC (Gross)'!P:Q,2,FALSE)/100)</f>
        <v>-4.2968180000000002E-2</v>
      </c>
      <c r="M154" s="1">
        <f ca="1">IF(B154="","",VLOOKUP(Website!B154,'Global (Gross)'!P:Q,2,FALSE)/100)</f>
        <v>-2.1179999999999997E-2</v>
      </c>
      <c r="O154" s="1">
        <f ca="1">IF(B154="","",VLOOKUP(Website!B154,'LC (Gross)'!J:K,2,FALSE)/100)</f>
        <v>-4.7678450000000004E-2</v>
      </c>
      <c r="P154" s="233">
        <f ca="1">IF(B154="","",(VLOOKUP(B154,'SC (Gross)'!J:K,2,FALSE))/100)</f>
        <v>-5.8905890000000002E-2</v>
      </c>
      <c r="Q154" s="233">
        <f ca="1">IF(B154="","",(VLOOKUP(B154,'Global (Gross)'!J:K,2,FALSE)/100))</f>
        <v>-4.0971E-2</v>
      </c>
      <c r="S154" s="22">
        <f t="shared" ca="1" si="188"/>
        <v>2.4829492126478059E-2</v>
      </c>
      <c r="T154" s="22">
        <f t="shared" ca="1" si="189"/>
        <v>1.8954430000000001E-2</v>
      </c>
      <c r="U154" s="22">
        <f t="shared" ca="1" si="190"/>
        <v>1.8526725507498384E-2</v>
      </c>
      <c r="V154" s="22">
        <f t="shared" ca="1" si="187"/>
        <v>1.0112710000000004E-2</v>
      </c>
      <c r="W154" s="22">
        <f t="shared" ca="1" si="191"/>
        <v>9.8401600000000075E-3</v>
      </c>
      <c r="X154" s="22">
        <f t="shared" ca="1" si="192"/>
        <v>1.5937710000000001E-2</v>
      </c>
      <c r="Y154" s="22">
        <f t="shared" ca="1" si="193"/>
        <v>1.9791000000000003E-2</v>
      </c>
    </row>
    <row r="155" spans="1:25" x14ac:dyDescent="0.25">
      <c r="A155">
        <f t="shared" ca="1" si="194"/>
        <v>153</v>
      </c>
      <c r="B155" s="169">
        <f ca="1">IF('LC (Gross)'!A302="","",IF('LC (Gross)'!A302&gt;$AC$9,"",'LC (Gross)'!A302))</f>
        <v>45230</v>
      </c>
      <c r="C155" s="1">
        <f ca="1">IF(B155="","",(VLOOKUP(B155,'LC (Gross)'!A:D,4,FALSE)/100))</f>
        <v>-9.4426173619984125E-3</v>
      </c>
      <c r="D155" s="1">
        <f ca="1">IF(B155="","",(VLOOKUP(B155,'SC (Gross)'!A:D,4,FALSE))/100)</f>
        <v>-1.8065910000000001E-2</v>
      </c>
      <c r="E155" s="1">
        <f ca="1">IF(B155="","",(VLOOKUP(B155,'Global (Gross)'!A:D,4,FALSE)/100))</f>
        <v>-1.2443623587775126E-2</v>
      </c>
      <c r="F155" s="1">
        <f ca="1">IF(B155="","",(VLOOKUP(B155,'BOGIX (Gross)'!A:D,4,FALSE)/100))</f>
        <v>-6.2120810000000005E-2</v>
      </c>
      <c r="G155" s="1">
        <f ca="1">IF(B155="","",(VLOOKUP(B155,'LC (Net)'!A:D,4,FALSE)/100))</f>
        <v>-1.0039554517785295E-2</v>
      </c>
      <c r="H155" s="1">
        <f ca="1">IF(B155="","",(VLOOKUP(B155,'SC (Net)'!A:D,4,FALSE))/100)</f>
        <v>-1.9090910000000003E-2</v>
      </c>
      <c r="I155" s="1">
        <f ca="1">IF(B155="","",(VLOOKUP(B155,'Global (Net)'!A:D,4,FALSE)/100))</f>
        <v>-1.3198598656500818E-2</v>
      </c>
      <c r="J155" s="1">
        <f ca="1">IF(B155="","",(VLOOKUP(B155,'BOGIX (Net)'!A:D,4,FALSE)/100))</f>
        <v>-6.3145810000000011E-2</v>
      </c>
      <c r="K155" s="1">
        <f ca="1">IF(B155="","",VLOOKUP(Website!B155,'LC (Gross)'!W:X,2,FALSE)/100)</f>
        <v>-4.116817E-3</v>
      </c>
      <c r="L155" s="1">
        <f ca="1">IF(B155="","",VLOOKUP(Website!B155,'SC (Gross)'!P:Q,2,FALSE)/100)</f>
        <v>-2.5646769999999999E-2</v>
      </c>
      <c r="M155" s="1">
        <f ca="1">IF(B155="","",VLOOKUP(Website!B155,'Global (Gross)'!P:Q,2,FALSE)/100)</f>
        <v>-1.6892000000000001E-2</v>
      </c>
      <c r="O155" s="1">
        <f ca="1">IF(B155="","",VLOOKUP(Website!B155,'LC (Gross)'!J:K,2,FALSE)/100)</f>
        <v>-2.1025820000000001E-2</v>
      </c>
      <c r="P155" s="233">
        <f ca="1">IF(B155="","",(VLOOKUP(B155,'SC (Gross)'!J:K,2,FALSE))/100)</f>
        <v>-6.8217509999999995E-2</v>
      </c>
      <c r="Q155" s="233">
        <f ca="1">IF(B155="","",(VLOOKUP(B155,'Global (Gross)'!J:K,2,FALSE)/100))</f>
        <v>-2.9870000000000001E-2</v>
      </c>
      <c r="S155" s="22">
        <f t="shared" ca="1" si="188"/>
        <v>1.1583202638001588E-2</v>
      </c>
      <c r="T155" s="22">
        <f t="shared" ca="1" si="189"/>
        <v>5.0151599999999991E-2</v>
      </c>
      <c r="U155" s="22">
        <f t="shared" ca="1" si="190"/>
        <v>1.7426376412224873E-2</v>
      </c>
      <c r="V155" s="22">
        <f t="shared" ca="1" si="187"/>
        <v>6.0966999999999896E-3</v>
      </c>
      <c r="W155" s="22">
        <f t="shared" ca="1" si="191"/>
        <v>1.6909002999999999E-2</v>
      </c>
      <c r="X155" s="22">
        <f t="shared" ca="1" si="192"/>
        <v>4.2570739999999996E-2</v>
      </c>
      <c r="Y155" s="22">
        <f t="shared" ca="1" si="193"/>
        <v>1.2978E-2</v>
      </c>
    </row>
    <row r="156" spans="1:25" x14ac:dyDescent="0.25">
      <c r="A156">
        <f t="shared" ca="1" si="194"/>
        <v>154</v>
      </c>
      <c r="B156" s="169">
        <f ca="1">IF('LC (Gross)'!A303="","",IF('LC (Gross)'!A303&gt;$AC$9,"",'LC (Gross)'!A303))</f>
        <v>45260</v>
      </c>
      <c r="C156" s="1">
        <f ca="1">IF(B156="","",(VLOOKUP(B156,'LC (Gross)'!A:D,4,FALSE)/100))</f>
        <v>6.8032830611097633E-2</v>
      </c>
      <c r="D156" s="1">
        <f ca="1">IF(B156="","",(VLOOKUP(B156,'SC (Gross)'!A:D,4,FALSE))/100)</f>
        <v>6.779694E-2</v>
      </c>
      <c r="E156" s="1">
        <f ca="1">IF(B156="","",(VLOOKUP(B156,'Global (Gross)'!A:D,4,FALSE)/100))</f>
        <v>5.9887544830788321E-2</v>
      </c>
      <c r="F156" s="1">
        <f ca="1">IF(B156="","",(VLOOKUP(B156,'BOGIX (Gross)'!A:D,4,FALSE)/100))</f>
        <v>8.5992319999999983E-2</v>
      </c>
      <c r="G156" s="1">
        <f ca="1">IF(B156="","",(VLOOKUP(B156,'LC (Net)'!A:D,4,FALSE)/100))</f>
        <v>6.7473040628722156E-2</v>
      </c>
      <c r="H156" s="1">
        <f ca="1">IF(B156="","",(VLOOKUP(B156,'SC (Net)'!A:D,4,FALSE))/100)</f>
        <v>6.6771940000000002E-2</v>
      </c>
      <c r="I156" s="1">
        <f ca="1">IF(B156="","",(VLOOKUP(B156,'Global (Net)'!A:D,4,FALSE)/100))</f>
        <v>5.9218905451178604E-2</v>
      </c>
      <c r="J156" s="1">
        <f ca="1">IF(B156="","",(VLOOKUP(B156,'BOGIX (Net)'!A:D,4,FALSE)/100))</f>
        <v>8.4967319999999999E-2</v>
      </c>
      <c r="K156" s="1">
        <f ca="1">IF(B156="","",VLOOKUP(Website!B156,'LC (Gross)'!W:X,2,FALSE)/100)</f>
        <v>5.3373739999999996E-2</v>
      </c>
      <c r="L156" s="1">
        <f ca="1">IF(B156="","",VLOOKUP(Website!B156,'SC (Gross)'!P:Q,2,FALSE)/100)</f>
        <v>6.0607249999999994E-2</v>
      </c>
      <c r="M156" s="1">
        <f ca="1">IF(B156="","",VLOOKUP(Website!B156,'Global (Gross)'!P:Q,2,FALSE)/100)</f>
        <v>5.0140749999999998E-2</v>
      </c>
      <c r="O156" s="1">
        <f ca="1">IF(B156="","",VLOOKUP(Website!B156,'LC (Gross)'!J:K,2,FALSE)/100)</f>
        <v>9.1325980000000001E-2</v>
      </c>
      <c r="P156" s="233">
        <f ca="1">IF(B156="","",(VLOOKUP(B156,'SC (Gross)'!J:K,2,FALSE))/100)</f>
        <v>9.0285180000000007E-2</v>
      </c>
      <c r="Q156" s="233">
        <f ca="1">IF(B156="","",(VLOOKUP(B156,'Global (Gross)'!J:K,2,FALSE)/100))</f>
        <v>9.2788260000000011E-2</v>
      </c>
      <c r="S156" s="22">
        <f t="shared" ca="1" si="188"/>
        <v>-2.3293149388902368E-2</v>
      </c>
      <c r="T156" s="22">
        <f t="shared" ca="1" si="189"/>
        <v>-2.2488240000000007E-2</v>
      </c>
      <c r="U156" s="22">
        <f t="shared" ca="1" si="190"/>
        <v>-3.290071516921169E-2</v>
      </c>
      <c r="V156" s="22">
        <f t="shared" ca="1" si="187"/>
        <v>-4.2928600000000233E-3</v>
      </c>
      <c r="W156" s="22">
        <f t="shared" ca="1" si="191"/>
        <v>-3.7952240000000005E-2</v>
      </c>
      <c r="X156" s="22">
        <f t="shared" ca="1" si="192"/>
        <v>-2.9677930000000012E-2</v>
      </c>
      <c r="Y156" s="22">
        <f t="shared" ca="1" si="193"/>
        <v>-4.2647510000000013E-2</v>
      </c>
    </row>
    <row r="157" spans="1:25" x14ac:dyDescent="0.25">
      <c r="A157">
        <f t="shared" ca="1" si="194"/>
        <v>155</v>
      </c>
      <c r="B157" s="169">
        <f ca="1">IF('LC (Gross)'!A304="","",IF('LC (Gross)'!A304&gt;$AC$9,"",'LC (Gross)'!A304))</f>
        <v>45291</v>
      </c>
      <c r="C157" s="1">
        <f ca="1">IF(B157="","",(VLOOKUP(B157,'LC (Gross)'!A:D,4,FALSE)/100))</f>
        <v>3.6510591214129487E-2</v>
      </c>
      <c r="D157" s="1">
        <f ca="1">IF(B157="","",(VLOOKUP(B157,'SC (Gross)'!A:D,4,FALSE))/100)</f>
        <v>9.408496999999999E-2</v>
      </c>
      <c r="E157" s="1">
        <f ca="1">IF(B157="","",(VLOOKUP(B157,'Global (Gross)'!A:D,4,FALSE)/100))</f>
        <v>3.7169089155897908E-2</v>
      </c>
      <c r="F157" s="1">
        <f ca="1">IF(B157="","",(VLOOKUP(B157,'BOGIX (Gross)'!A:D,4,FALSE)/100))</f>
        <v>0.12527199999999999</v>
      </c>
      <c r="G157" s="1">
        <f ca="1">IF(B157="","",(VLOOKUP(B157,'LC (Net)'!A:D,4,FALSE)/100))</f>
        <v>3.5955201526564111E-2</v>
      </c>
      <c r="H157" s="1">
        <f ca="1">IF(B157="","",(VLOOKUP(B157,'SC (Net)'!A:D,4,FALSE))/100)</f>
        <v>9.3059969999999992E-2</v>
      </c>
      <c r="I157" s="1">
        <f ca="1">IF(B157="","",(VLOOKUP(B157,'Global (Net)'!A:D,4,FALSE)/100))</f>
        <v>3.6500408411167203E-2</v>
      </c>
      <c r="J157" s="1">
        <f ca="1">IF(B157="","",(VLOOKUP(B157,'BOGIX (Net)'!A:D,4,FALSE)/100))</f>
        <v>0.124247</v>
      </c>
      <c r="K157" s="1">
        <f ca="1">IF(B157="","",VLOOKUP(Website!B157,'LC (Gross)'!W:X,2,FALSE)/100)</f>
        <v>2.3474210000000002E-2</v>
      </c>
      <c r="L157" s="1">
        <f ca="1">IF(B157="","",VLOOKUP(Website!B157,'SC (Gross)'!P:Q,2,FALSE)/100)</f>
        <v>9.2551000000000008E-2</v>
      </c>
      <c r="M157" s="1">
        <f ca="1">IF(B157="","",VLOOKUP(Website!B157,'Global (Gross)'!P:Q,2,FALSE)/100)</f>
        <v>3.2473839999999997E-2</v>
      </c>
      <c r="O157" s="1">
        <f ca="1">IF(B157="","",VLOOKUP(Website!B157,'LC (Gross)'!J:K,2,FALSE)/100)</f>
        <v>4.5311299999999999E-2</v>
      </c>
      <c r="P157" s="233">
        <f ca="1">IF(B157="","",(VLOOKUP(B157,'SC (Gross)'!J:K,2,FALSE))/100)</f>
        <v>0.1223072</v>
      </c>
      <c r="Q157" s="233">
        <f ca="1">IF(B157="","",(VLOOKUP(B157,'Global (Gross)'!J:K,2,FALSE)/100))</f>
        <v>4.8394820000000005E-2</v>
      </c>
      <c r="S157" s="22">
        <f t="shared" ca="1" si="188"/>
        <v>-8.8007087858705119E-3</v>
      </c>
      <c r="T157" s="22">
        <f t="shared" ca="1" si="189"/>
        <v>-2.8222230000000015E-2</v>
      </c>
      <c r="U157" s="22">
        <f t="shared" ca="1" si="190"/>
        <v>-1.1225730844102097E-2</v>
      </c>
      <c r="V157" s="22">
        <f t="shared" ca="1" si="187"/>
        <v>2.9647999999999897E-3</v>
      </c>
      <c r="W157" s="22">
        <f t="shared" ca="1" si="191"/>
        <v>-2.1837089999999997E-2</v>
      </c>
      <c r="X157" s="22">
        <f t="shared" ca="1" si="192"/>
        <v>-2.9756199999999997E-2</v>
      </c>
      <c r="Y157" s="22">
        <f t="shared" ca="1" si="193"/>
        <v>-1.5920980000000008E-2</v>
      </c>
    </row>
    <row r="158" spans="1:25" x14ac:dyDescent="0.25">
      <c r="A158">
        <f t="shared" ca="1" si="194"/>
        <v>156</v>
      </c>
      <c r="B158" s="169">
        <f ca="1">IF('LC (Gross)'!A305="","",IF('LC (Gross)'!A305&gt;$AC$9,"",'LC (Gross)'!A305))</f>
        <v>45322</v>
      </c>
      <c r="C158" s="1">
        <f ca="1">IF(B158="","",(VLOOKUP(B158,'LC (Gross)'!A:D,4,FALSE)/100))</f>
        <v>2.631801198476685E-2</v>
      </c>
      <c r="D158" s="1">
        <f ca="1">IF(B158="","",(VLOOKUP(B158,'SC (Gross)'!A:D,4,FALSE))/100)</f>
        <v>0</v>
      </c>
      <c r="E158" s="1">
        <f ca="1">IF(B158="","",(VLOOKUP(B158,'Global (Gross)'!A:D,4,FALSE)/100))</f>
        <v>9.978642695839526E-3</v>
      </c>
      <c r="F158" s="1">
        <f ca="1">IF(B158="","",(VLOOKUP(B158,'BOGIX (Gross)'!A:D,4,FALSE)/100))</f>
        <v>-1.5050019999999999E-2</v>
      </c>
      <c r="G158" s="1">
        <f ca="1">IF(B158="","",(VLOOKUP(B158,'LC (Net)'!A:D,4,FALSE)/100))</f>
        <v>2.5760914411812247E-2</v>
      </c>
      <c r="H158" s="1">
        <f ca="1">IF(B158="","",(VLOOKUP(B158,'SC (Net)'!A:D,4,FALSE))/100)</f>
        <v>0</v>
      </c>
      <c r="I158" s="1">
        <f ca="1">IF(B158="","",(VLOOKUP(B158,'Global (Net)'!A:D,4,FALSE)/100))</f>
        <v>9.2289443191436414E-3</v>
      </c>
      <c r="J158" s="1">
        <f ca="1">IF(B158="","",(VLOOKUP(B158,'BOGIX (Net)'!A:D,4,FALSE)/100))</f>
        <v>-1.6075019999999999E-2</v>
      </c>
      <c r="K158" s="1">
        <f ca="1">IF(B158="","",VLOOKUP(Website!B158,'LC (Gross)'!W:X,2,FALSE)/100)</f>
        <v>9.9222289999999994E-3</v>
      </c>
      <c r="L158" s="1" t="e">
        <f ca="1">IF(B158="","",VLOOKUP(Website!B158,'SC (Gross)'!P:Q,2,FALSE)/100)</f>
        <v>#N/A</v>
      </c>
      <c r="M158" s="1">
        <f ca="1">IF(B158="","",VLOOKUP(Website!B158,'Global (Gross)'!P:Q,2,FALSE)/100)</f>
        <v>1.3183180000000001E-2</v>
      </c>
      <c r="O158" s="1">
        <f ca="1">IF(B158="","",VLOOKUP(Website!B158,'LC (Gross)'!J:K,2,FALSE)/100)</f>
        <v>1.679361E-2</v>
      </c>
      <c r="P158" s="233">
        <f ca="1">IF(B158="","",(VLOOKUP(B158,'SC (Gross)'!J:K,2,FALSE))/100)</f>
        <v>-3.8897680000000004E-2</v>
      </c>
      <c r="Q158" s="233">
        <f ca="1">IF(B158="","",(VLOOKUP(B158,'Global (Gross)'!J:K,2,FALSE)/100))</f>
        <v>6.0940530000000003E-3</v>
      </c>
      <c r="S158" s="22">
        <f t="shared" ca="1" si="188"/>
        <v>9.5244019847668497E-3</v>
      </c>
      <c r="T158" s="22">
        <f t="shared" ca="1" si="189"/>
        <v>3.8897680000000004E-2</v>
      </c>
      <c r="U158" s="22">
        <f t="shared" ca="1" si="190"/>
        <v>3.8845896958395257E-3</v>
      </c>
      <c r="V158" s="22">
        <f t="shared" ca="1" si="187"/>
        <v>2.3847660000000007E-2</v>
      </c>
      <c r="W158" s="22">
        <f t="shared" ca="1" si="191"/>
        <v>-6.8713810000000011E-3</v>
      </c>
      <c r="X158" s="22" t="e">
        <f t="shared" ca="1" si="192"/>
        <v>#N/A</v>
      </c>
      <c r="Y158" s="22">
        <f t="shared" ca="1" si="193"/>
        <v>7.0891270000000006E-3</v>
      </c>
    </row>
    <row r="159" spans="1:25" x14ac:dyDescent="0.25">
      <c r="A159">
        <f t="shared" ca="1" si="194"/>
        <v>157</v>
      </c>
      <c r="B159" s="169">
        <f ca="1">IF('LC (Gross)'!A306="","",IF('LC (Gross)'!A306&gt;$AC$9,"",'LC (Gross)'!A306))</f>
        <v>45351</v>
      </c>
      <c r="C159" s="1">
        <f ca="1">IF(B159="","",(VLOOKUP(B159,'LC (Gross)'!A:D,4,FALSE)/100))</f>
        <v>3.3854661954757725E-2</v>
      </c>
      <c r="D159" s="1">
        <f ca="1">IF(B159="","",(VLOOKUP(B159,'SC (Gross)'!A:D,4,FALSE))/100)</f>
        <v>0</v>
      </c>
      <c r="E159" s="1">
        <f ca="1">IF(B159="","",(VLOOKUP(B159,'Global (Gross)'!A:D,4,FALSE)/100))</f>
        <v>2.7640462105890041E-2</v>
      </c>
      <c r="F159" s="1">
        <f ca="1">IF(B159="","",(VLOOKUP(B159,'BOGIX (Gross)'!A:D,4,FALSE)/100))</f>
        <v>3.1658080000000005E-2</v>
      </c>
      <c r="G159" s="1">
        <f ca="1">IF(B159="","",(VLOOKUP(B159,'LC (Net)'!A:D,4,FALSE)/100))</f>
        <v>3.3854661954757725E-2</v>
      </c>
      <c r="H159" s="1">
        <f ca="1">IF(B159="","",(VLOOKUP(B159,'SC (Net)'!A:D,4,FALSE))/100)</f>
        <v>0</v>
      </c>
      <c r="I159" s="1">
        <f ca="1">IF(B159="","",(VLOOKUP(B159,'Global (Net)'!A:D,4,FALSE)/100))</f>
        <v>2.6971585671766499E-2</v>
      </c>
      <c r="J159" s="1">
        <f ca="1">IF(B159="","",(VLOOKUP(B159,'BOGIX (Net)'!A:D,4,FALSE)/100))</f>
        <v>3.063308E-2</v>
      </c>
      <c r="K159" s="1">
        <f ca="1">IF(B159="","",VLOOKUP(Website!B159,'LC (Gross)'!W:X,2,FALSE)/100)</f>
        <v>1.656612E-2</v>
      </c>
      <c r="L159" s="1" t="e">
        <f ca="1">IF(B159="","",VLOOKUP(Website!B159,'SC (Gross)'!P:Q,2,FALSE)/100)</f>
        <v>#N/A</v>
      </c>
      <c r="M159" s="1">
        <f ca="1">IF(B159="","",VLOOKUP(Website!B159,'Global (Gross)'!P:Q,2,FALSE)/100)</f>
        <v>1.509868E-2</v>
      </c>
      <c r="O159" s="1">
        <f ca="1">IF(B159="","",VLOOKUP(Website!B159,'LC (Gross)'!J:K,2,FALSE)/100)</f>
        <v>5.3395100000000001E-2</v>
      </c>
      <c r="P159" s="233">
        <f ca="1">IF(B159="","",(VLOOKUP(B159,'SC (Gross)'!J:K,2,FALSE))/100)</f>
        <v>5.6506040000000007E-2</v>
      </c>
      <c r="Q159" s="233">
        <f ca="1">IF(B159="","",(VLOOKUP(B159,'Global (Gross)'!J:K,2,FALSE)/100))</f>
        <v>4.3309620000000007E-2</v>
      </c>
      <c r="S159" s="22">
        <f t="shared" ca="1" si="188"/>
        <v>-1.9540438045242275E-2</v>
      </c>
      <c r="T159" s="22">
        <f t="shared" ca="1" si="189"/>
        <v>-5.6506040000000007E-2</v>
      </c>
      <c r="U159" s="22">
        <f t="shared" ca="1" si="190"/>
        <v>-1.5669157894109966E-2</v>
      </c>
      <c r="V159" s="22">
        <f t="shared" ca="1" si="187"/>
        <v>-2.4847960000000002E-2</v>
      </c>
      <c r="W159" s="22">
        <f t="shared" ca="1" si="191"/>
        <v>-3.6828979999999997E-2</v>
      </c>
      <c r="X159" s="22" t="e">
        <f t="shared" ca="1" si="192"/>
        <v>#N/A</v>
      </c>
      <c r="Y159" s="22">
        <f t="shared" ca="1" si="193"/>
        <v>-2.8210940000000007E-2</v>
      </c>
    </row>
    <row r="160" spans="1:25" x14ac:dyDescent="0.25">
      <c r="A160">
        <f t="shared" ca="1" si="194"/>
        <v>158</v>
      </c>
      <c r="B160" s="169">
        <f ca="1">IF('LC (Gross)'!A307="","",IF('LC (Gross)'!A307&gt;$AC$9,"",'LC (Gross)'!A307))</f>
        <v>45382</v>
      </c>
      <c r="C160" s="1">
        <f ca="1">IF(B160="","",(VLOOKUP(B160,'LC (Gross)'!A:D,4,FALSE)/100))</f>
        <v>3.4650632662020259E-2</v>
      </c>
      <c r="D160" s="1">
        <f ca="1">IF(B160="","",(VLOOKUP(B160,'SC (Gross)'!A:D,4,FALSE))/100)</f>
        <v>0</v>
      </c>
      <c r="E160" s="1">
        <f ca="1">IF(B160="","",(VLOOKUP(B160,'Global (Gross)'!A:D,4,FALSE)/100))</f>
        <v>3.1532220903994573E-2</v>
      </c>
      <c r="F160" s="1">
        <f ca="1">IF(B160="","",(VLOOKUP(B160,'BOGIX (Gross)'!A:D,4,FALSE)/100))</f>
        <v>4.1645870000000001E-2</v>
      </c>
      <c r="G160" s="1">
        <f ca="1">IF(B160="","",(VLOOKUP(B160,'LC (Net)'!A:D,4,FALSE)/100))</f>
        <v>3.4274537616093212E-2</v>
      </c>
      <c r="H160" s="1">
        <f ca="1">IF(B160="","",(VLOOKUP(B160,'SC (Net)'!A:D,4,FALSE))/100)</f>
        <v>0</v>
      </c>
      <c r="I160" s="1">
        <f ca="1">IF(B160="","",(VLOOKUP(B160,'Global (Net)'!A:D,4,FALSE)/100))</f>
        <v>3.0864815180447321E-2</v>
      </c>
      <c r="J160" s="1">
        <f ca="1">IF(B160="","",(VLOOKUP(B160,'BOGIX (Net)'!A:D,4,FALSE)/100))</f>
        <v>4.0620870000000003E-2</v>
      </c>
      <c r="K160" s="1">
        <f ca="1">IF(B160="","",VLOOKUP(Website!B160,'LC (Gross)'!W:X,2,FALSE)/100)</f>
        <v>3.0912850000000002E-2</v>
      </c>
      <c r="L160" s="1" t="e">
        <f ca="1">IF(B160="","",VLOOKUP(Website!B160,'SC (Gross)'!P:Q,2,FALSE)/100)</f>
        <v>#N/A</v>
      </c>
      <c r="M160" s="1">
        <f ca="1">IF(B160="","",VLOOKUP(Website!B160,'Global (Gross)'!P:Q,2,FALSE)/100)</f>
        <v>1.9413100000000003E-2</v>
      </c>
      <c r="O160" s="1">
        <f ca="1">IF(B160="","",VLOOKUP(Website!B160,'LC (Gross)'!J:K,2,FALSE)/100)</f>
        <v>3.2173630000000002E-2</v>
      </c>
      <c r="P160" s="233">
        <f ca="1">IF(B160="","",(VLOOKUP(B160,'SC (Gross)'!J:K,2,FALSE))/100)</f>
        <v>3.5787600000000003E-2</v>
      </c>
      <c r="Q160" s="233">
        <f ca="1">IF(B160="","",(VLOOKUP(B160,'Global (Gross)'!J:K,2,FALSE)/100))</f>
        <v>3.2044410000000002E-2</v>
      </c>
      <c r="S160" s="22">
        <f t="shared" ca="1" si="188"/>
        <v>2.477002662020257E-3</v>
      </c>
      <c r="T160" s="22">
        <f t="shared" ca="1" si="189"/>
        <v>-3.5787600000000003E-2</v>
      </c>
      <c r="U160" s="22">
        <f t="shared" ca="1" si="190"/>
        <v>-5.12189096005429E-4</v>
      </c>
      <c r="V160" s="22">
        <f t="shared" ca="1" si="187"/>
        <v>5.8582699999999988E-3</v>
      </c>
      <c r="W160" s="22">
        <f t="shared" ca="1" si="191"/>
        <v>-1.2607799999999995E-3</v>
      </c>
      <c r="X160" s="22" t="e">
        <f t="shared" ca="1" si="192"/>
        <v>#N/A</v>
      </c>
      <c r="Y160" s="22">
        <f t="shared" ca="1" si="193"/>
        <v>-1.263131E-2</v>
      </c>
    </row>
    <row r="161" spans="1:25" x14ac:dyDescent="0.25">
      <c r="A161">
        <f t="shared" ca="1" si="194"/>
        <v>159</v>
      </c>
      <c r="B161" s="169">
        <f ca="1">IF('LC (Gross)'!A308="","",IF('LC (Gross)'!A308&gt;$AC$9,"",'LC (Gross)'!A308))</f>
        <v>45412</v>
      </c>
      <c r="C161" s="1">
        <f ca="1">IF(B161="","",(VLOOKUP(B161,'LC (Gross)'!A:D,4,FALSE)/100))</f>
        <v>-3.9984913813974933E-2</v>
      </c>
      <c r="D161" s="1">
        <f ca="1">IF(B161="","",(VLOOKUP(B161,'SC (Gross)'!A:D,4,FALSE))/100)</f>
        <v>0</v>
      </c>
      <c r="E161" s="1">
        <f ca="1">IF(B161="","",(VLOOKUP(B161,'Global (Gross)'!A:D,4,FALSE)/100))</f>
        <v>-2.5710239003672513E-2</v>
      </c>
      <c r="F161" s="1">
        <f ca="1">IF(B161="","",(VLOOKUP(B161,'BOGIX (Gross)'!A:D,4,FALSE)/100))</f>
        <v>-6.8794110000000006E-2</v>
      </c>
      <c r="G161" s="1">
        <f ca="1">IF(B161="","",(VLOOKUP(B161,'LC (Net)'!A:D,4,FALSE)/100))</f>
        <v>-4.0443709388205719E-2</v>
      </c>
      <c r="H161" s="1">
        <f ca="1">IF(B161="","",(VLOOKUP(B161,'SC (Net)'!A:D,4,FALSE))/100)</f>
        <v>0</v>
      </c>
      <c r="I161" s="1">
        <f ca="1">IF(B161="","",(VLOOKUP(B161,'Global (Net)'!A:D,4,FALSE)/100))</f>
        <v>-2.6488353266014744E-2</v>
      </c>
      <c r="J161" s="1">
        <f ca="1">IF(B161="","",(VLOOKUP(B161,'BOGIX (Net)'!A:D,4,FALSE)/100))</f>
        <v>-6.9819110000000004E-2</v>
      </c>
      <c r="K161" s="1">
        <f ca="1">IF(B161="","",VLOOKUP(Website!B161,'LC (Gross)'!W:X,2,FALSE)/100)</f>
        <v>-3.0440480000000002E-2</v>
      </c>
      <c r="L161" s="1" t="e">
        <f ca="1">IF(B161="","",VLOOKUP(Website!B161,'SC (Gross)'!P:Q,2,FALSE)/100)</f>
        <v>#N/A</v>
      </c>
      <c r="M161" s="1">
        <f ca="1">IF(B161="","",VLOOKUP(Website!B161,'Global (Gross)'!P:Q,2,FALSE)/100)</f>
        <v>-2.5968499999999999E-2</v>
      </c>
      <c r="O161" s="1">
        <f ca="1">IF(B161="","",VLOOKUP(Website!B161,'LC (Gross)'!J:K,2,FALSE)/100)</f>
        <v>-4.0844069999999996E-2</v>
      </c>
      <c r="P161" s="233">
        <f ca="1">IF(B161="","",(VLOOKUP(B161,'SC (Gross)'!J:K,2,FALSE))/100)</f>
        <v>-7.038266E-2</v>
      </c>
      <c r="Q161" s="233">
        <f ca="1">IF(B161="","",(VLOOKUP(B161,'Global (Gross)'!J:K,2,FALSE)/100))</f>
        <v>-3.2620160000000002E-2</v>
      </c>
      <c r="S161" s="22">
        <f t="shared" ca="1" si="188"/>
        <v>8.5915618602506322E-4</v>
      </c>
      <c r="T161" s="22">
        <f t="shared" ca="1" si="189"/>
        <v>7.038266E-2</v>
      </c>
      <c r="U161" s="22">
        <f t="shared" ca="1" si="190"/>
        <v>6.9099209963274892E-3</v>
      </c>
      <c r="V161" s="22">
        <f t="shared" ca="1" si="187"/>
        <v>1.5885499999999941E-3</v>
      </c>
      <c r="W161" s="22">
        <f t="shared" ca="1" si="191"/>
        <v>1.0403589999999994E-2</v>
      </c>
      <c r="X161" s="22" t="e">
        <f t="shared" ca="1" si="192"/>
        <v>#N/A</v>
      </c>
      <c r="Y161" s="22">
        <f t="shared" ca="1" si="193"/>
        <v>6.6516600000000037E-3</v>
      </c>
    </row>
    <row r="162" spans="1:25" x14ac:dyDescent="0.25">
      <c r="A162">
        <f t="shared" ca="1" si="194"/>
        <v>160</v>
      </c>
      <c r="B162" s="169">
        <f ca="1">IF('LC (Gross)'!A309="","",IF('LC (Gross)'!A309&gt;$AC$9,"",'LC (Gross)'!A309))</f>
        <v>45443</v>
      </c>
      <c r="C162" s="1">
        <f ca="1">IF(B162="","",(VLOOKUP(B162,'LC (Gross)'!A:D,4,FALSE)/100))</f>
        <v>3.6816566581423862E-2</v>
      </c>
      <c r="D162" s="1">
        <f ca="1">IF(B162="","",(VLOOKUP(B162,'SC (Gross)'!A:D,4,FALSE))/100)</f>
        <v>0</v>
      </c>
      <c r="E162" s="1">
        <f ca="1">IF(B162="","",(VLOOKUP(B162,'Global (Gross)'!A:D,4,FALSE)/100))</f>
        <v>2.3062300727677544E-2</v>
      </c>
      <c r="F162" s="1">
        <f ca="1">IF(B162="","",(VLOOKUP(B162,'BOGIX (Gross)'!A:D,4,FALSE)/100))</f>
        <v>4.8790269999999997E-2</v>
      </c>
      <c r="G162" s="1">
        <f ca="1">IF(B162="","",(VLOOKUP(B162,'LC (Net)'!A:D,4,FALSE)/100))</f>
        <v>3.6378928867356414E-2</v>
      </c>
      <c r="H162" s="1">
        <f ca="1">IF(B162="","",(VLOOKUP(B162,'SC (Net)'!A:D,4,FALSE))/100)</f>
        <v>0</v>
      </c>
      <c r="I162" s="1">
        <f ca="1">IF(B162="","",(VLOOKUP(B162,'Global (Net)'!A:D,4,FALSE)/100))</f>
        <v>2.241124428223196E-2</v>
      </c>
      <c r="J162" s="1">
        <f ca="1">IF(B162="","",(VLOOKUP(B162,'BOGIX (Net)'!A:D,4,FALSE)/100))</f>
        <v>4.7765269999999999E-2</v>
      </c>
      <c r="K162" s="1">
        <f ca="1">IF(B162="","",VLOOKUP(Website!B162,'LC (Gross)'!W:X,2,FALSE)/100)</f>
        <v>2.4779700000000002E-2</v>
      </c>
      <c r="L162" s="1" t="e">
        <f ca="1">IF(B162="","",VLOOKUP(Website!B162,'SC (Gross)'!P:Q,2,FALSE)/100)</f>
        <v>#N/A</v>
      </c>
      <c r="M162" s="1">
        <f ca="1">IF(B162="","",VLOOKUP(Website!B162,'Global (Gross)'!P:Q,2,FALSE)/100)</f>
        <v>1.8897520000000001E-2</v>
      </c>
      <c r="O162" s="1">
        <f ca="1">IF(B162="","",VLOOKUP(Website!B162,'LC (Gross)'!J:K,2,FALSE)/100)</f>
        <v>4.9585549999999999E-2</v>
      </c>
      <c r="P162" s="233">
        <f ca="1">IF(B162="","",(VLOOKUP(B162,'SC (Gross)'!J:K,2,FALSE))/100)</f>
        <v>5.0208769999999993E-2</v>
      </c>
      <c r="Q162" s="233">
        <f ca="1">IF(B162="","",(VLOOKUP(B162,'Global (Gross)'!J:K,2,FALSE)/100))</f>
        <v>4.1195639999999999E-2</v>
      </c>
      <c r="S162" s="22">
        <f t="shared" ca="1" si="188"/>
        <v>-1.2768983418576137E-2</v>
      </c>
      <c r="T162" s="22">
        <f t="shared" ca="1" si="189"/>
        <v>-5.0208769999999993E-2</v>
      </c>
      <c r="U162" s="22">
        <f t="shared" ca="1" si="190"/>
        <v>-1.8133339272322455E-2</v>
      </c>
      <c r="V162" s="22">
        <f t="shared" ca="1" si="187"/>
        <v>-1.4184999999999962E-3</v>
      </c>
      <c r="W162" s="22">
        <f t="shared" ca="1" si="191"/>
        <v>-2.4805849999999997E-2</v>
      </c>
      <c r="X162" s="22" t="e">
        <f t="shared" ca="1" si="192"/>
        <v>#N/A</v>
      </c>
      <c r="Y162" s="22">
        <f t="shared" ca="1" si="193"/>
        <v>-2.2298119999999998E-2</v>
      </c>
    </row>
    <row r="163" spans="1:25" x14ac:dyDescent="0.25">
      <c r="A163">
        <f t="shared" ca="1" si="194"/>
        <v>161</v>
      </c>
      <c r="B163" s="169">
        <f ca="1">IF('LC (Gross)'!A310="","",IF('LC (Gross)'!A310&gt;$AC$9,"",'LC (Gross)'!A310))</f>
        <v>45473</v>
      </c>
      <c r="C163" s="1">
        <f ca="1">IF(B163="","",(VLOOKUP(B163,'LC (Gross)'!A:D,4,FALSE)/100))</f>
        <v>1.9618040202060379E-2</v>
      </c>
      <c r="D163" s="1">
        <f ca="1">IF(B163="","",(VLOOKUP(B163,'SC (Gross)'!A:D,4,FALSE))/100)</f>
        <v>0</v>
      </c>
      <c r="E163" s="1">
        <f ca="1">IF(B163="","",(VLOOKUP(B163,'Global (Gross)'!A:D,4,FALSE)/100))</f>
        <v>2.9304903650030998E-3</v>
      </c>
      <c r="F163" s="1">
        <f ca="1">IF(B163="","",(VLOOKUP(B163,'BOGIX (Gross)'!A:D,4,FALSE)/100))</f>
        <v>-2.372264E-2</v>
      </c>
      <c r="G163" s="1">
        <f ca="1">IF(B163="","",(VLOOKUP(B163,'LC (Net)'!A:D,4,FALSE)/100))</f>
        <v>1.9181031885381162E-2</v>
      </c>
      <c r="H163" s="1">
        <f ca="1">IF(B163="","",(VLOOKUP(B163,'SC (Net)'!A:D,4,FALSE))/100)</f>
        <v>0</v>
      </c>
      <c r="I163" s="1">
        <f ca="1">IF(B163="","",(VLOOKUP(B163,'Global (Net)'!A:D,4,FALSE)/100))</f>
        <v>2.2657466972229178E-3</v>
      </c>
      <c r="J163" s="1">
        <f ca="1">IF(B163="","",(VLOOKUP(B163,'BOGIX (Net)'!A:D,4,FALSE)/100))</f>
        <v>-2.4747640000000001E-2</v>
      </c>
      <c r="K163" s="1">
        <f ca="1">IF(B163="","",VLOOKUP(Website!B163,'LC (Gross)'!W:X,2,FALSE)/100)</f>
        <v>-1.6201969999999999E-3</v>
      </c>
      <c r="L163" s="1" t="e">
        <f ca="1">IF(B163="","",VLOOKUP(Website!B163,'SC (Gross)'!P:Q,2,FALSE)/100)</f>
        <v>#N/A</v>
      </c>
      <c r="M163" s="1">
        <f ca="1">IF(B163="","",VLOOKUP(Website!B163,'Global (Gross)'!P:Q,2,FALSE)/100)</f>
        <v>1.229474E-2</v>
      </c>
      <c r="O163" s="1">
        <f ca="1">IF(B163="","",VLOOKUP(Website!B163,'LC (Gross)'!J:K,2,FALSE)/100)</f>
        <v>3.5878790000000001E-2</v>
      </c>
      <c r="P163" s="233">
        <f ca="1">IF(B163="","",(VLOOKUP(B163,'SC (Gross)'!J:K,2,FALSE))/100)</f>
        <v>-9.264521999999999E-3</v>
      </c>
      <c r="Q163" s="233">
        <f ca="1">IF(B163="","",(VLOOKUP(B163,'Global (Gross)'!J:K,2,FALSE)/100))</f>
        <v>2.2624209999999999E-2</v>
      </c>
      <c r="S163" s="22">
        <f t="shared" ca="1" si="188"/>
        <v>-1.6260749797939622E-2</v>
      </c>
      <c r="T163" s="22">
        <f t="shared" ca="1" si="189"/>
        <v>9.264521999999999E-3</v>
      </c>
      <c r="U163" s="22">
        <f t="shared" ca="1" si="190"/>
        <v>-1.9693719634996901E-2</v>
      </c>
      <c r="V163" s="22">
        <f t="shared" ca="1" si="187"/>
        <v>-1.4458118000000001E-2</v>
      </c>
      <c r="W163" s="22">
        <f t="shared" ca="1" si="191"/>
        <v>-3.7498986999999998E-2</v>
      </c>
      <c r="X163" s="22" t="e">
        <f t="shared" ca="1" si="192"/>
        <v>#N/A</v>
      </c>
      <c r="Y163" s="22">
        <f t="shared" ca="1" si="193"/>
        <v>-1.0329469999999999E-2</v>
      </c>
    </row>
    <row r="164" spans="1:25" x14ac:dyDescent="0.25">
      <c r="A164">
        <f t="shared" ca="1" si="194"/>
        <v>162</v>
      </c>
      <c r="B164" s="169">
        <f ca="1">IF('LC (Gross)'!A311="","",IF('LC (Gross)'!A311&gt;$AC$9,"",'LC (Gross)'!A311))</f>
        <v>45504</v>
      </c>
      <c r="C164" s="1">
        <f ca="1">IF(B164="","",(VLOOKUP(B164,'LC (Gross)'!A:D,4,FALSE)/100))</f>
        <v>2.831799119855178E-2</v>
      </c>
      <c r="D164" s="1">
        <f ca="1">IF(B164="","",(VLOOKUP(B164,'SC (Gross)'!A:D,4,FALSE))/100)</f>
        <v>0</v>
      </c>
      <c r="E164" s="1">
        <f ca="1">IF(B164="","",(VLOOKUP(B164,'Global (Gross)'!A:D,4,FALSE)/100))</f>
        <v>2.6325542624837085E-2</v>
      </c>
      <c r="F164" s="1">
        <f ca="1">IF(B164="","",(VLOOKUP(B164,'BOGIX (Gross)'!A:D,4,FALSE)/100))</f>
        <v>9.95225E-2</v>
      </c>
      <c r="G164" s="1">
        <f ca="1">IF(B164="","",(VLOOKUP(B164,'LC (Net)'!A:D,4,FALSE)/100))</f>
        <v>2.7279068047180388E-2</v>
      </c>
      <c r="H164" s="1" t="e">
        <f ca="1">IF(B164="","",(VLOOKUP(B164,'SC (Net)'!A:D,4,FALSE))/100)</f>
        <v>#N/A</v>
      </c>
      <c r="I164" s="1">
        <f ca="1">IF(B164="","",(VLOOKUP(B164,'Global (Net)'!A:D,4,FALSE)/100))</f>
        <v>2.5553737156955223E-2</v>
      </c>
      <c r="J164" s="1">
        <f ca="1">IF(B164="","",(VLOOKUP(B164,'BOGIX (Net)'!A:D,4,FALSE)/100))</f>
        <v>9.8497500000000002E-2</v>
      </c>
      <c r="K164" s="1">
        <f ca="1">IF(B164="","",VLOOKUP(Website!B164,'LC (Gross)'!W:X,2,FALSE)/100)</f>
        <v>4.4021290000000005E-2</v>
      </c>
      <c r="L164" s="1" t="e">
        <f ca="1">IF(B164="","",VLOOKUP(Website!B164,'SC (Gross)'!P:Q,2,FALSE)/100)</f>
        <v>#N/A</v>
      </c>
      <c r="M164" s="1">
        <f ca="1">IF(B164="","",VLOOKUP(Website!B164,'Global (Gross)'!P:Q,2,FALSE)/100)</f>
        <v>4.0605929999999998E-2</v>
      </c>
      <c r="O164" s="1">
        <f ca="1">IF(B164="","",VLOOKUP(Website!B164,'LC (Gross)'!J:K,2,FALSE)/100)</f>
        <v>1.2172529999999999E-2</v>
      </c>
      <c r="P164" s="233">
        <f ca="1">IF(B164="","",(VLOOKUP(B164,'SC (Gross)'!J:K,2,FALSE))/100)</f>
        <v>0.1015991</v>
      </c>
      <c r="Q164" s="233">
        <f ca="1">IF(B164="","",(VLOOKUP(B164,'Global (Gross)'!J:K,2,FALSE)/100))</f>
        <v>1.6436079999999999E-2</v>
      </c>
      <c r="S164" s="22">
        <f t="shared" ca="1" si="188"/>
        <v>1.6145461198551779E-2</v>
      </c>
      <c r="T164" s="22">
        <f t="shared" ca="1" si="189"/>
        <v>-0.1015991</v>
      </c>
      <c r="U164" s="22">
        <f t="shared" ca="1" si="190"/>
        <v>9.8894626248370865E-3</v>
      </c>
      <c r="V164" s="22">
        <f t="shared" ca="1" si="187"/>
        <v>-2.0765999999999979E-3</v>
      </c>
      <c r="W164" s="22">
        <f t="shared" ca="1" si="191"/>
        <v>3.1848760000000004E-2</v>
      </c>
      <c r="X164" s="22" t="e">
        <f t="shared" ca="1" si="192"/>
        <v>#N/A</v>
      </c>
      <c r="Y164" s="22">
        <f t="shared" ca="1" si="193"/>
        <v>2.416985E-2</v>
      </c>
    </row>
    <row r="165" spans="1:25" x14ac:dyDescent="0.25">
      <c r="A165">
        <f t="shared" ca="1" si="194"/>
        <v>163</v>
      </c>
      <c r="B165" s="169">
        <f ca="1">IF('LC (Gross)'!A312="","",IF('LC (Gross)'!A312&gt;$AC$9,"",'LC (Gross)'!A312))</f>
        <v>45535</v>
      </c>
      <c r="C165" s="1">
        <f ca="1">IF(B165="","",(VLOOKUP(B165,'LC (Gross)'!A:D,4,FALSE)/100))</f>
        <v>5.0407000699022798E-2</v>
      </c>
      <c r="D165" s="1">
        <f ca="1">IF(B165="","",(VLOOKUP(B165,'SC (Gross)'!A:D,4,FALSE))/100)</f>
        <v>0</v>
      </c>
      <c r="E165" s="1">
        <f ca="1">IF(B165="","",(VLOOKUP(B165,'Global (Gross)'!A:D,4,FALSE)/100))</f>
        <v>3.7140227881264122E-2</v>
      </c>
      <c r="F165" s="1">
        <f ca="1">IF(B165="","",(VLOOKUP(B165,'BOGIX (Gross)'!A:D,4,FALSE)/100))</f>
        <v>-1.7819979999999999E-2</v>
      </c>
      <c r="G165" s="1">
        <f ca="1">IF(B165="","",(VLOOKUP(B165,'LC (Net)'!A:D,4,FALSE)/100))</f>
        <v>4.9884144927988247E-2</v>
      </c>
      <c r="H165" s="1" t="e">
        <f ca="1">IF(B165="","",(VLOOKUP(B165,'SC (Net)'!A:D,4,FALSE))/100)</f>
        <v>#N/A</v>
      </c>
      <c r="I165" s="1">
        <f ca="1">IF(B165="","",(VLOOKUP(B165,'Global (Net)'!A:D,4,FALSE)/100))</f>
        <v>3.6476639369329274E-2</v>
      </c>
      <c r="J165" s="1">
        <f ca="1">IF(B165="","",(VLOOKUP(B165,'BOGIX (Net)'!A:D,4,FALSE)/100))</f>
        <v>-1.8844980000000001E-2</v>
      </c>
      <c r="K165" s="1">
        <f ca="1">IF(B165="","",VLOOKUP(Website!B165,'LC (Gross)'!W:X,2,FALSE)/100)</f>
        <v>5.2126460000000006E-2</v>
      </c>
      <c r="L165" s="1" t="e">
        <f ca="1">IF(B165="","",VLOOKUP(Website!B165,'SC (Gross)'!P:Q,2,FALSE)/100)</f>
        <v>#N/A</v>
      </c>
      <c r="M165" s="1">
        <f ca="1">IF(B165="","",VLOOKUP(Website!B165,'Global (Gross)'!P:Q,2,FALSE)/100)</f>
        <v>4.6167090000000001E-2</v>
      </c>
      <c r="O165" s="1">
        <f ca="1">IF(B165="","",VLOOKUP(Website!B165,'LC (Gross)'!J:K,2,FALSE)/100)</f>
        <v>2.4257540000000001E-2</v>
      </c>
      <c r="P165" s="233">
        <f ca="1">IF(B165="","",(VLOOKUP(B165,'SC (Gross)'!J:K,2,FALSE))/100)</f>
        <v>-1.4953719999999998E-2</v>
      </c>
      <c r="Q165" s="233">
        <f ca="1">IF(B165="","",(VLOOKUP(B165,'Global (Gross)'!J:K,2,FALSE)/100))</f>
        <v>2.5737969999999999E-2</v>
      </c>
      <c r="S165" s="22">
        <f t="shared" ca="1" si="188"/>
        <v>2.6149460699022797E-2</v>
      </c>
      <c r="T165" s="22">
        <f t="shared" ca="1" si="189"/>
        <v>1.4953719999999998E-2</v>
      </c>
      <c r="U165" s="22">
        <f t="shared" ca="1" si="190"/>
        <v>1.1402257881264123E-2</v>
      </c>
      <c r="V165" s="22">
        <f t="shared" ca="1" si="187"/>
        <v>-2.8662600000000007E-3</v>
      </c>
      <c r="W165" s="22">
        <f t="shared" ca="1" si="191"/>
        <v>2.7868920000000005E-2</v>
      </c>
      <c r="X165" s="22" t="e">
        <f t="shared" ca="1" si="192"/>
        <v>#N/A</v>
      </c>
      <c r="Y165" s="22">
        <f t="shared" ca="1" si="193"/>
        <v>2.0429120000000002E-2</v>
      </c>
    </row>
    <row r="166" spans="1:25" x14ac:dyDescent="0.25">
      <c r="A166">
        <f t="shared" ca="1" si="194"/>
        <v>164</v>
      </c>
      <c r="B166" s="169">
        <f ca="1">IF('LC (Gross)'!A313="","",IF('LC (Gross)'!A313&gt;$AC$9,"",'LC (Gross)'!A313))</f>
        <v>45565</v>
      </c>
      <c r="C166" s="1">
        <f ca="1">IF(B166="","",(VLOOKUP(B166,'LC (Gross)'!A:D,4,FALSE)/100))</f>
        <v>4.1410713689470063E-3</v>
      </c>
      <c r="D166" s="1">
        <f ca="1">IF(B166="","",(VLOOKUP(B166,'SC (Gross)'!A:D,4,FALSE))/100)</f>
        <v>0</v>
      </c>
      <c r="E166" s="1">
        <f ca="1">IF(B166="","",(VLOOKUP(B166,'Global (Gross)'!A:D,4,FALSE)/100))</f>
        <v>2.0445989999999992E-4</v>
      </c>
      <c r="F166" s="1">
        <f ca="1">IF(B166="","",(VLOOKUP(B166,'BOGIX (Gross)'!A:D,4,FALSE)/100))</f>
        <v>1.3416570000000001E-2</v>
      </c>
      <c r="G166" s="1">
        <f ca="1">IF(B166="","",(VLOOKUP(B166,'LC (Net)'!A:D,4,FALSE)/100))</f>
        <v>3.6247302426418125E-3</v>
      </c>
      <c r="H166" s="1" t="e">
        <f ca="1">IF(B166="","",(VLOOKUP(B166,'SC (Net)'!A:D,4,FALSE))/100)</f>
        <v>#N/A</v>
      </c>
      <c r="I166" s="1">
        <f ca="1">IF(B166="","",(VLOOKUP(B166,'Global (Net)'!A:D,4,FALSE)/100))</f>
        <v>-4.9554010000000008E-4</v>
      </c>
      <c r="J166" s="1">
        <f ca="1">IF(B166="","",(VLOOKUP(B166,'BOGIX (Net)'!A:D,4,FALSE)/100))</f>
        <v>1.2391570000000001E-2</v>
      </c>
      <c r="K166" s="1">
        <f ca="1">IF(B166="","",VLOOKUP(Website!B166,'LC (Gross)'!W:X,2,FALSE)/100)</f>
        <v>1.059823E-2</v>
      </c>
      <c r="L166" s="1" t="e">
        <f ca="1">IF(B166="","",VLOOKUP(Website!B166,'SC (Gross)'!P:Q,2,FALSE)/100)</f>
        <v>#N/A</v>
      </c>
      <c r="M166" s="1">
        <f ca="1">IF(B166="","",VLOOKUP(Website!B166,'Global (Gross)'!P:Q,2,FALSE)/100)</f>
        <v>1.028713E-2</v>
      </c>
      <c r="O166" s="1">
        <f ca="1">IF(B166="","",VLOOKUP(Website!B166,'LC (Gross)'!J:K,2,FALSE)/100)</f>
        <v>2.1354150000000002E-2</v>
      </c>
      <c r="P166" s="233">
        <f ca="1">IF(B166="","",(VLOOKUP(B166,'SC (Gross)'!J:K,2,FALSE))/100)</f>
        <v>6.9889100000000001E-3</v>
      </c>
      <c r="Q166" s="233">
        <f ca="1">IF(B166="","",(VLOOKUP(B166,'Global (Gross)'!J:K,2,FALSE)/100))</f>
        <v>2.3676279999999997E-2</v>
      </c>
      <c r="S166" s="22">
        <f t="shared" ca="1" si="188"/>
        <v>-1.7213078631052994E-2</v>
      </c>
      <c r="T166" s="22">
        <f t="shared" ca="1" si="189"/>
        <v>-6.9889100000000001E-3</v>
      </c>
      <c r="U166" s="22">
        <f t="shared" ca="1" si="190"/>
        <v>-2.3471820099999999E-2</v>
      </c>
      <c r="V166" s="22">
        <f t="shared" ca="1" si="187"/>
        <v>6.4276600000000008E-3</v>
      </c>
      <c r="W166" s="22">
        <f t="shared" ca="1" si="191"/>
        <v>-1.0755920000000002E-2</v>
      </c>
      <c r="X166" s="22" t="e">
        <f t="shared" ca="1" si="192"/>
        <v>#N/A</v>
      </c>
      <c r="Y166" s="22">
        <f t="shared" ca="1" si="193"/>
        <v>-1.3389149999999997E-2</v>
      </c>
    </row>
    <row r="167" spans="1:25" x14ac:dyDescent="0.25">
      <c r="A167">
        <f t="shared" ca="1" si="194"/>
        <v>165</v>
      </c>
      <c r="B167" s="169">
        <f ca="1">IF('LC (Gross)'!A314="","",IF('LC (Gross)'!A314&gt;$AC$9,"",'LC (Gross)'!A314))</f>
        <v>45596</v>
      </c>
      <c r="C167" s="1">
        <f ca="1">IF(B167="","",(VLOOKUP(B167,'LC (Gross)'!A:D,4,FALSE)/100))</f>
        <v>-2.837943522339902E-2</v>
      </c>
      <c r="D167" s="1">
        <f ca="1">IF(B167="","",(VLOOKUP(B167,'SC (Gross)'!A:D,4,FALSE))/100)</f>
        <v>0</v>
      </c>
      <c r="E167" s="1">
        <f ca="1">IF(B167="","",(VLOOKUP(B167,'Global (Gross)'!A:D,4,FALSE)/100))</f>
        <v>-3.4005010000000002E-2</v>
      </c>
      <c r="F167" s="1">
        <f ca="1">IF(B167="","",(VLOOKUP(B167,'BOGIX (Gross)'!A:D,4,FALSE)/100))</f>
        <v>-2.8962759999999997E-2</v>
      </c>
      <c r="G167" s="1">
        <f ca="1">IF(B167="","",(VLOOKUP(B167,'LC (Net)'!A:D,4,FALSE)/100))</f>
        <v>-2.8920142538052706E-2</v>
      </c>
      <c r="H167" s="1" t="e">
        <f ca="1">IF(B167="","",(VLOOKUP(B167,'SC (Net)'!A:D,4,FALSE))/100)</f>
        <v>#N/A</v>
      </c>
      <c r="I167" s="1">
        <f ca="1">IF(B167="","",(VLOOKUP(B167,'Global (Net)'!A:D,4,FALSE)/100))</f>
        <v>-3.4705010000000001E-2</v>
      </c>
      <c r="J167" s="1">
        <f ca="1">IF(B167="","",(VLOOKUP(B167,'BOGIX (Net)'!A:D,4,FALSE)/100))</f>
        <v>-2.9987759999999999E-2</v>
      </c>
      <c r="K167" s="1">
        <f ca="1">IF(B167="","",VLOOKUP(Website!B167,'LC (Gross)'!W:X,2,FALSE)/100)</f>
        <v>-8.7954690000000002E-3</v>
      </c>
      <c r="L167" s="1" t="e">
        <f ca="1">IF(B167="","",VLOOKUP(Website!B167,'SC (Gross)'!P:Q,2,FALSE)/100)</f>
        <v>#N/A</v>
      </c>
      <c r="M167" s="1">
        <f ca="1">IF(B167="","",VLOOKUP(Website!B167,'Global (Gross)'!P:Q,2,FALSE)/100)</f>
        <v>-2.4867189999999997E-2</v>
      </c>
      <c r="O167" s="1">
        <f ca="1">IF(B167="","",VLOOKUP(Website!B167,'LC (Gross)'!J:K,2,FALSE)/100)</f>
        <v>-9.1531749999999995E-3</v>
      </c>
      <c r="P167" s="233">
        <f ca="1">IF(B167="","",(VLOOKUP(B167,'SC (Gross)'!J:K,2,FALSE))/100)</f>
        <v>-1.444409E-2</v>
      </c>
      <c r="Q167" s="233">
        <f ca="1">IF(B167="","",(VLOOKUP(B167,'Global (Gross)'!J:K,2,FALSE)/100))</f>
        <v>-2.211631E-2</v>
      </c>
      <c r="S167" s="22">
        <f t="shared" ca="1" si="188"/>
        <v>-1.922626022339902E-2</v>
      </c>
      <c r="T167" s="22">
        <f t="shared" ca="1" si="189"/>
        <v>1.444409E-2</v>
      </c>
      <c r="U167" s="22">
        <f t="shared" ca="1" si="190"/>
        <v>-1.1888700000000002E-2</v>
      </c>
      <c r="V167" s="22">
        <f t="shared" ca="1" si="187"/>
        <v>-1.4518669999999997E-2</v>
      </c>
      <c r="W167" s="22">
        <f t="shared" ca="1" si="191"/>
        <v>3.577059999999993E-4</v>
      </c>
      <c r="X167" s="22" t="e">
        <f t="shared" ca="1" si="192"/>
        <v>#N/A</v>
      </c>
      <c r="Y167" s="22">
        <f t="shared" ca="1" si="193"/>
        <v>-2.7508799999999972E-3</v>
      </c>
    </row>
    <row r="168" spans="1:25" x14ac:dyDescent="0.25">
      <c r="A168">
        <f t="shared" ca="1" si="194"/>
        <v>166</v>
      </c>
      <c r="B168" s="169">
        <f ca="1">IF('LC (Gross)'!A315="","",IF('LC (Gross)'!A315&gt;$AC$9,"",'LC (Gross)'!A315))</f>
        <v>45626</v>
      </c>
      <c r="C168" s="1">
        <f ca="1">IF(B168="","",(VLOOKUP(B168,'LC (Gross)'!A:D,4,FALSE)/100))</f>
        <v>7.127046480052722E-2</v>
      </c>
      <c r="D168" s="1">
        <f ca="1">IF(B168="","",(VLOOKUP(B168,'SC (Gross)'!A:D,4,FALSE))/100)</f>
        <v>0</v>
      </c>
      <c r="E168" s="1">
        <f ca="1">IF(B168="","",(VLOOKUP(B168,'Global (Gross)'!A:D,4,FALSE)/100))</f>
        <v>4.0504829999999999E-2</v>
      </c>
      <c r="F168" s="1">
        <f ca="1">IF(B168="","",(VLOOKUP(B168,'BOGIX (Gross)'!A:D,4,FALSE)/100))</f>
        <v>8.9668529999999982E-2</v>
      </c>
      <c r="G168" s="1">
        <f ca="1">IF(B168="","",(VLOOKUP(B168,'LC (Net)'!A:D,4,FALSE)/100))</f>
        <v>7.0755668790189269E-2</v>
      </c>
      <c r="H168" s="1" t="e">
        <f ca="1">IF(B168="","",(VLOOKUP(B168,'SC (Net)'!A:D,4,FALSE))/100)</f>
        <v>#N/A</v>
      </c>
      <c r="I168" s="1">
        <f ca="1">IF(B168="","",(VLOOKUP(B168,'Global (Net)'!A:D,4,FALSE)/100))</f>
        <v>3.9804829999999999E-2</v>
      </c>
      <c r="J168" s="1">
        <f ca="1">IF(B168="","",(VLOOKUP(B168,'BOGIX (Net)'!A:D,4,FALSE)/100))</f>
        <v>8.8643529999999998E-2</v>
      </c>
      <c r="K168" s="1">
        <f ca="1">IF(B168="","",VLOOKUP(Website!B168,'LC (Gross)'!W:X,2,FALSE)/100)</f>
        <v>5.5308940000000001E-2</v>
      </c>
      <c r="L168" s="1" t="e">
        <f ca="1">IF(B168="","",VLOOKUP(Website!B168,'SC (Gross)'!P:Q,2,FALSE)/100)</f>
        <v>#N/A</v>
      </c>
      <c r="M168" s="1">
        <f ca="1">IF(B168="","",VLOOKUP(Website!B168,'Global (Gross)'!P:Q,2,FALSE)/100)</f>
        <v>2.9571960000000001E-2</v>
      </c>
      <c r="O168" s="1">
        <f ca="1">IF(B168="","",VLOOKUP(Website!B168,'LC (Gross)'!J:K,2,FALSE)/100)</f>
        <v>5.8699979999999999E-2</v>
      </c>
      <c r="P168" s="233">
        <f ca="1">IF(B168="","",(VLOOKUP(B168,'SC (Gross)'!J:K,2,FALSE))/100)</f>
        <v>0.10966110000000001</v>
      </c>
      <c r="Q168" s="233">
        <f ca="1">IF(B168="","",(VLOOKUP(B168,'Global (Gross)'!J:K,2,FALSE)/100))</f>
        <v>3.7734209999999997E-2</v>
      </c>
      <c r="S168" s="22">
        <f t="shared" ca="1" si="188"/>
        <v>1.2570484800527221E-2</v>
      </c>
      <c r="T168" s="22">
        <f t="shared" ca="1" si="189"/>
        <v>-0.10966110000000001</v>
      </c>
      <c r="U168" s="22">
        <f t="shared" ca="1" si="190"/>
        <v>2.7706200000000014E-3</v>
      </c>
      <c r="V168" s="22">
        <f t="shared" ca="1" si="187"/>
        <v>-1.9992570000000029E-2</v>
      </c>
      <c r="W168" s="22">
        <f t="shared" ca="1" si="191"/>
        <v>-3.3910399999999979E-3</v>
      </c>
      <c r="X168" s="22" t="e">
        <f t="shared" ca="1" si="192"/>
        <v>#N/A</v>
      </c>
      <c r="Y168" s="22">
        <f t="shared" ca="1" si="193"/>
        <v>-8.1622499999999959E-3</v>
      </c>
    </row>
    <row r="169" spans="1:25" x14ac:dyDescent="0.25">
      <c r="A169">
        <f t="shared" ca="1" si="194"/>
        <v>167</v>
      </c>
      <c r="B169" s="169">
        <f ca="1">IF('LC (Gross)'!A316="","",IF('LC (Gross)'!A316&gt;$AC$9,"",'LC (Gross)'!A316))</f>
        <v>45657</v>
      </c>
      <c r="C169" s="1">
        <f ca="1">IF(B169="","",(VLOOKUP(B169,'LC (Gross)'!A:D,4,FALSE)/100))</f>
        <v>-4.7396585490156309E-2</v>
      </c>
      <c r="D169" s="1">
        <f ca="1">IF(B169="","",(VLOOKUP(B169,'SC (Gross)'!A:D,4,FALSE))/100)</f>
        <v>0</v>
      </c>
      <c r="E169" s="1">
        <f ca="1">IF(B169="","",(VLOOKUP(B169,'Global (Gross)'!A:D,4,FALSE)/100))</f>
        <v>-3.837873E-2</v>
      </c>
      <c r="F169" s="1">
        <f ca="1">IF(B169="","",(VLOOKUP(B169,'BOGIX (Gross)'!A:D,4,FALSE)/100))</f>
        <v>-8.7122210000000019E-2</v>
      </c>
      <c r="G169" s="1">
        <f ca="1">IF(B169="","",(VLOOKUP(B169,'LC (Net)'!A:D,4,FALSE)/100))</f>
        <v>-4.7917593802191495E-2</v>
      </c>
      <c r="H169" s="1" t="e">
        <f ca="1">IF(B169="","",(VLOOKUP(B169,'SC (Net)'!A:D,4,FALSE))/100)</f>
        <v>#N/A</v>
      </c>
      <c r="I169" s="1">
        <f ca="1">IF(B169="","",(VLOOKUP(B169,'Global (Net)'!A:D,4,FALSE)/100))</f>
        <v>-3.9078729999999999E-2</v>
      </c>
      <c r="J169" s="1">
        <f ca="1">IF(B169="","",(VLOOKUP(B169,'BOGIX (Net)'!A:D,4,FALSE)/100))</f>
        <v>-8.8147210000000004E-2</v>
      </c>
      <c r="K169" s="1">
        <f ca="1">IF(B169="","",VLOOKUP(Website!B169,'LC (Gross)'!W:X,2,FALSE)/100)</f>
        <v>-6.2797260000000008E-2</v>
      </c>
      <c r="L169" s="1" t="e">
        <f ca="1">IF(B169="","",VLOOKUP(Website!B169,'SC (Gross)'!P:Q,2,FALSE)/100)</f>
        <v>#N/A</v>
      </c>
      <c r="M169" s="1">
        <f ca="1">IF(B169="","",VLOOKUP(Website!B169,'Global (Gross)'!P:Q,2,FALSE)/100)</f>
        <v>-3.7643549999999998E-2</v>
      </c>
      <c r="O169" s="1">
        <f ca="1">IF(B169="","",VLOOKUP(Website!B169,'LC (Gross)'!J:K,2,FALSE)/100)</f>
        <v>-2.3912279999999998E-2</v>
      </c>
      <c r="P169" s="233">
        <f ca="1">IF(B169="","",(VLOOKUP(B169,'SC (Gross)'!J:K,2,FALSE))/100)</f>
        <v>-8.2611580000000004E-2</v>
      </c>
      <c r="Q169" s="233">
        <f ca="1">IF(B169="","",(VLOOKUP(B169,'Global (Gross)'!J:K,2,FALSE)/100))</f>
        <v>-2.3337799999999999E-2</v>
      </c>
      <c r="S169" s="22">
        <f t="shared" ca="1" si="188"/>
        <v>-2.3484305490156312E-2</v>
      </c>
      <c r="T169" s="22">
        <f t="shared" ca="1" si="189"/>
        <v>8.2611580000000004E-2</v>
      </c>
      <c r="U169" s="22">
        <f t="shared" ca="1" si="190"/>
        <v>-1.5040930000000001E-2</v>
      </c>
      <c r="V169" s="22">
        <f t="shared" ca="1" si="187"/>
        <v>-4.5106300000000155E-3</v>
      </c>
      <c r="W169" s="22">
        <f t="shared" ca="1" si="191"/>
        <v>-3.8884980000000013E-2</v>
      </c>
      <c r="X169" s="22" t="e">
        <f t="shared" ca="1" si="192"/>
        <v>#N/A</v>
      </c>
      <c r="Y169" s="22">
        <f t="shared" ca="1" si="193"/>
        <v>-1.4305749999999999E-2</v>
      </c>
    </row>
    <row r="170" spans="1:25" x14ac:dyDescent="0.25">
      <c r="A170">
        <f t="shared" ca="1" si="194"/>
        <v>168</v>
      </c>
      <c r="B170" s="169">
        <f ca="1">IF('LC (Gross)'!A317="","",IF('LC (Gross)'!A317&gt;$AC$9,"",'LC (Gross)'!A317))</f>
        <v>45688</v>
      </c>
      <c r="C170" s="1">
        <f ca="1">IF(B170="","",(VLOOKUP(B170,'LC (Gross)'!A:D,4,FALSE)/100))</f>
        <v>4.4176273945455528E-2</v>
      </c>
      <c r="D170" s="1" t="e">
        <f ca="1">IF(B170="","",(VLOOKUP(B170,'SC (Gross)'!A:D,4,FALSE))/100)</f>
        <v>#N/A</v>
      </c>
      <c r="E170" s="1">
        <f ca="1">IF(B170="","",(VLOOKUP(B170,'Global (Gross)'!A:D,4,FALSE)/100))</f>
        <v>2.593962E-2</v>
      </c>
      <c r="F170" s="1">
        <f ca="1">IF(B170="","",(VLOOKUP(B170,'BOGIX (Gross)'!A:D,4,FALSE)/100))</f>
        <v>4.1609420000000001E-2</v>
      </c>
      <c r="G170" s="1">
        <f ca="1">IF(B170="","",(VLOOKUP(B170,'LC (Net)'!A:D,4,FALSE)/100))</f>
        <v>4.3370980910674733E-2</v>
      </c>
      <c r="H170" s="1" t="e">
        <f ca="1">IF(B170="","",(VLOOKUP(B170,'SC (Net)'!A:D,4,FALSE))/100)</f>
        <v>#N/A</v>
      </c>
      <c r="I170" s="1">
        <f ca="1">IF(B170="","",(VLOOKUP(B170,'Global (Net)'!A:D,4,FALSE)/100))</f>
        <v>2.5239620000000001E-2</v>
      </c>
      <c r="J170" s="1">
        <f ca="1">IF(B170="","",(VLOOKUP(B170,'BOGIX (Net)'!A:D,4,FALSE)/100))</f>
        <v>4.0584420000000003E-2</v>
      </c>
      <c r="K170" s="1">
        <f ca="1">IF(B170="","",VLOOKUP(Website!B170,'LC (Gross)'!W:X,2,FALSE)/100)</f>
        <v>2.0867730000000001E-2</v>
      </c>
      <c r="L170" s="1" t="e">
        <f ca="1">IF(B170="","",VLOOKUP(Website!B170,'SC (Gross)'!P:Q,2,FALSE)/100)</f>
        <v>#N/A</v>
      </c>
      <c r="M170" s="1">
        <f ca="1">IF(B170="","",VLOOKUP(Website!B170,'Global (Gross)'!P:Q,2,FALSE)/100)</f>
        <v>2.6802619999999999E-2</v>
      </c>
      <c r="O170" s="1">
        <f ca="1">IF(B170="","",VLOOKUP(Website!B170,'LC (Gross)'!J:K,2,FALSE)/100)</f>
        <v>2.7792780000000003E-2</v>
      </c>
      <c r="P170" s="233">
        <f ca="1">IF(B170="","",(VLOOKUP(B170,'BOGIX (Gross)'!J:K,2,FALSE))/100)</f>
        <v>2.6219139999999998E-2</v>
      </c>
      <c r="Q170" s="233">
        <f ca="1">IF(B170="","",(VLOOKUP(B170,'Global (Gross)'!J:K,2,FALSE)/100))</f>
        <v>3.3814129999999998E-2</v>
      </c>
      <c r="S170" s="22">
        <f t="shared" ca="1" si="188"/>
        <v>1.6383493945455525E-2</v>
      </c>
      <c r="T170" s="22" t="e">
        <f t="shared" ca="1" si="189"/>
        <v>#N/A</v>
      </c>
      <c r="U170" s="22">
        <f t="shared" ca="1" si="190"/>
        <v>-7.8745099999999978E-3</v>
      </c>
      <c r="V170" s="22">
        <f t="shared" ca="1" si="187"/>
        <v>1.5390280000000003E-2</v>
      </c>
      <c r="W170" s="22">
        <f t="shared" ca="1" si="191"/>
        <v>-6.925050000000002E-3</v>
      </c>
      <c r="X170" s="22" t="e">
        <f t="shared" ca="1" si="192"/>
        <v>#N/A</v>
      </c>
      <c r="Y170" s="22">
        <f t="shared" ca="1" si="193"/>
        <v>-7.0115099999999986E-3</v>
      </c>
    </row>
    <row r="171" spans="1:25" x14ac:dyDescent="0.25">
      <c r="A171">
        <f t="shared" ca="1" si="194"/>
        <v>169</v>
      </c>
      <c r="B171" s="169">
        <f ca="1">IF('LC (Gross)'!A318="","",IF('LC (Gross)'!A318&gt;$AC$9,"",'LC (Gross)'!A318))</f>
        <v>45716</v>
      </c>
      <c r="C171" s="1">
        <f ca="1">IF(B171="","",(VLOOKUP(B171,'LC (Gross)'!A:D,4,FALSE)/100))</f>
        <v>-9.4939776271251407E-3</v>
      </c>
      <c r="D171" s="1" t="e">
        <f ca="1">IF(B171="","",(VLOOKUP(B171,'SC (Gross)'!A:D,4,FALSE))/100)</f>
        <v>#N/A</v>
      </c>
      <c r="E171" s="1">
        <f ca="1">IF(B171="","",(VLOOKUP(B171,'Global (Gross)'!A:D,4,FALSE)/100))</f>
        <v>1.347657E-2</v>
      </c>
      <c r="F171" s="1">
        <f ca="1">IF(B171="","",(VLOOKUP(B171,'BOGIX (Gross)'!A:D,4,FALSE)/100))</f>
        <v>-5.6697309999999994E-2</v>
      </c>
      <c r="G171" s="1">
        <f ca="1">IF(B171="","",(VLOOKUP(B171,'LC (Net)'!A:D,4,FALSE)/100))</f>
        <v>-1.0010633566326886E-2</v>
      </c>
      <c r="H171" s="1" t="e">
        <f ca="1">IF(B171="","",(VLOOKUP(B171,'SC (Net)'!A:D,4,FALSE))/100)</f>
        <v>#N/A</v>
      </c>
      <c r="I171" s="1">
        <f ca="1">IF(B171="","",(VLOOKUP(B171,'Global (Net)'!A:D,4,FALSE)/100))</f>
        <v>1.2776570000000001E-2</v>
      </c>
      <c r="J171" s="1">
        <f ca="1">IF(B171="","",(VLOOKUP(B171,'BOGIX (Net)'!A:D,4,FALSE)/100))</f>
        <v>-5.7722309999999999E-2</v>
      </c>
      <c r="K171" s="1">
        <f ca="1">IF(B171="","",VLOOKUP(Website!B171,'LC (Gross)'!W:X,2,FALSE)/100)</f>
        <v>4.6701800000000002E-2</v>
      </c>
      <c r="L171" s="1" t="e">
        <f ca="1">IF(B171="","",VLOOKUP(Website!B171,'SC (Gross)'!P:Q,2,FALSE)/100)</f>
        <v>#N/A</v>
      </c>
      <c r="M171" s="1">
        <f ca="1">IF(B171="","",VLOOKUP(Website!B171,'Global (Gross)'!P:Q,2,FALSE)/100)</f>
        <v>2.4719690000000002E-2</v>
      </c>
      <c r="O171" s="1">
        <f ca="1">IF(B171="","",VLOOKUP(Website!B171,'LC (Gross)'!J:K,2,FALSE)/100)</f>
        <v>-1.304958E-2</v>
      </c>
      <c r="P171" s="233">
        <f ca="1">IF(B171="","",(VLOOKUP(B171,'BOGIX (Gross)'!J:K,2,FALSE))/100)</f>
        <v>-5.3509830000000001E-2</v>
      </c>
      <c r="Q171" s="233">
        <f ca="1">IF(B171="","",(VLOOKUP(B171,'Global (Gross)'!J:K,2,FALSE)/100))</f>
        <v>-5.7200150000000002E-3</v>
      </c>
      <c r="S171" s="22">
        <f t="shared" ca="1" si="188"/>
        <v>3.5556023728748592E-3</v>
      </c>
      <c r="T171" s="22" t="e">
        <f t="shared" ca="1" si="189"/>
        <v>#N/A</v>
      </c>
      <c r="U171" s="22">
        <f t="shared" ca="1" si="190"/>
        <v>1.9196585000000002E-2</v>
      </c>
      <c r="V171" s="22">
        <f t="shared" ca="1" si="187"/>
        <v>-3.1874799999999925E-3</v>
      </c>
      <c r="W171" s="22">
        <f t="shared" ca="1" si="191"/>
        <v>5.975138E-2</v>
      </c>
      <c r="X171" s="22" t="e">
        <f t="shared" ca="1" si="192"/>
        <v>#N/A</v>
      </c>
      <c r="Y171" s="22">
        <f t="shared" ca="1" si="193"/>
        <v>3.0439705000000004E-2</v>
      </c>
    </row>
    <row r="172" spans="1:25" x14ac:dyDescent="0.25">
      <c r="A172">
        <f t="shared" ca="1" si="194"/>
        <v>170</v>
      </c>
      <c r="B172" s="169">
        <f ca="1">IF('LC (Gross)'!A319="","",IF('LC (Gross)'!A319&gt;$AC$9,"",'LC (Gross)'!A319))</f>
        <v>45747</v>
      </c>
      <c r="C172" s="1">
        <f ca="1">IF(B172="","",(VLOOKUP(B172,'LC (Gross)'!A:D,4,FALSE)/100))</f>
        <v>-1.6133805033496641E-2</v>
      </c>
      <c r="D172" s="1" t="e">
        <f ca="1">IF(B172="","",(VLOOKUP(B172,'SC (Gross)'!A:D,4,FALSE))/100)</f>
        <v>#N/A</v>
      </c>
      <c r="E172" s="1">
        <f ca="1">IF(B172="","",(VLOOKUP(B172,'Global (Gross)'!A:D,4,FALSE)/100))</f>
        <v>5.0076920000000002E-3</v>
      </c>
      <c r="F172" s="1">
        <f ca="1">IF(B172="","",(VLOOKUP(B172,'BOGIX (Gross)'!A:D,4,FALSE)/100))</f>
        <v>-4.9637250000000001E-2</v>
      </c>
      <c r="G172" s="1">
        <f ca="1">IF(B172="","",(VLOOKUP(B172,'LC (Net)'!A:D,4,FALSE)/100))</f>
        <v>-1.6640538144661043E-2</v>
      </c>
      <c r="H172" s="1" t="e">
        <f ca="1">IF(B172="","",(VLOOKUP(B172,'SC (Net)'!A:D,4,FALSE))/100)</f>
        <v>#N/A</v>
      </c>
      <c r="I172" s="1">
        <f ca="1">IF(B172="","",(VLOOKUP(B172,'Global (Net)'!A:D,4,FALSE)/100))</f>
        <v>4.3076920000000001E-3</v>
      </c>
      <c r="J172" s="1">
        <f ca="1">IF(B172="","",(VLOOKUP(B172,'BOGIX (Net)'!A:D,4,FALSE)/100))</f>
        <v>-5.0662249999999999E-2</v>
      </c>
      <c r="K172" s="1">
        <f ca="1">IF(B172="","",VLOOKUP(Website!B172,'LC (Gross)'!W:X,2,FALSE)/100)</f>
        <v>3.8105159999999999E-3</v>
      </c>
      <c r="L172" s="1" t="e">
        <f ca="1">IF(B172="","",VLOOKUP(Website!B172,'SC (Gross)'!P:Q,2,FALSE)/100)</f>
        <v>#N/A</v>
      </c>
      <c r="M172" s="1">
        <f ca="1">IF(B172="","",VLOOKUP(Website!B172,'Global (Gross)'!P:Q,2,FALSE)/100)</f>
        <v>1.072357E-2</v>
      </c>
      <c r="O172" s="1">
        <f ca="1">IF(B172="","",VLOOKUP(Website!B172,'LC (Gross)'!J:K,2,FALSE)/100)</f>
        <v>-5.6343949999999997E-2</v>
      </c>
      <c r="P172" s="233">
        <f ca="1">IF(B172="","",(VLOOKUP(B172,'BOGIX (Gross)'!J:K,2,FALSE))/100)</f>
        <v>-6.8090390000000001E-2</v>
      </c>
      <c r="Q172" s="233">
        <f ca="1">IF(B172="","",(VLOOKUP(B172,'Global (Gross)'!J:K,2,FALSE)/100))</f>
        <v>-3.8918849999999998E-2</v>
      </c>
      <c r="S172" s="22">
        <f t="shared" ca="1" si="188"/>
        <v>4.0210144966503353E-2</v>
      </c>
      <c r="T172" s="22" t="e">
        <f t="shared" ca="1" si="189"/>
        <v>#N/A</v>
      </c>
      <c r="U172" s="22">
        <f t="shared" ca="1" si="190"/>
        <v>4.3926541999999999E-2</v>
      </c>
      <c r="V172" s="22">
        <f t="shared" ca="1" si="187"/>
        <v>1.845314E-2</v>
      </c>
      <c r="W172" s="22">
        <f t="shared" ca="1" si="191"/>
        <v>6.0154465999999997E-2</v>
      </c>
      <c r="X172" s="22" t="e">
        <f t="shared" ca="1" si="192"/>
        <v>#N/A</v>
      </c>
      <c r="Y172" s="22">
        <f t="shared" ca="1" si="193"/>
        <v>4.964242E-2</v>
      </c>
    </row>
    <row r="173" spans="1:25" x14ac:dyDescent="0.25">
      <c r="A173">
        <f t="shared" ca="1" si="194"/>
        <v>171</v>
      </c>
      <c r="B173" s="169">
        <f ca="1">IF('LC (Gross)'!A320="","",IF('LC (Gross)'!A320&gt;$AC$9,"",'LC (Gross)'!A320))</f>
        <v>45777</v>
      </c>
      <c r="C173" s="1">
        <f ca="1">IF(B173="","",(VLOOKUP(B173,'LC (Gross)'!A:D,4,FALSE)/100))</f>
        <v>-1.7007119457187261E-2</v>
      </c>
      <c r="D173" s="1" t="e">
        <f ca="1">IF(B173="","",(VLOOKUP(B173,'SC (Gross)'!A:D,4,FALSE))/100)</f>
        <v>#N/A</v>
      </c>
      <c r="E173" s="1">
        <f ca="1">IF(B173="","",(VLOOKUP(B173,'Global (Gross)'!A:D,4,FALSE)/100))</f>
        <v>-2.1911760000000002E-4</v>
      </c>
      <c r="F173" s="1">
        <f ca="1">IF(B173="","",(VLOOKUP(B173,'BOGIX (Gross)'!A:D,4,FALSE)/100))</f>
        <v>-2.0600390000000003E-2</v>
      </c>
      <c r="G173" s="1">
        <f ca="1">IF(B173="","",(VLOOKUP(B173,'LC (Net)'!A:D,4,FALSE)/100))</f>
        <v>-1.782123317791387E-2</v>
      </c>
      <c r="H173" s="1" t="e">
        <f ca="1">IF(B173="","",(VLOOKUP(B173,'SC (Net)'!A:D,4,FALSE))/100)</f>
        <v>#N/A</v>
      </c>
      <c r="I173" s="1">
        <f ca="1">IF(B173="","",(VLOOKUP(B173,'Global (Net)'!A:D,4,FALSE)/100))</f>
        <v>-9.1911759999999999E-4</v>
      </c>
      <c r="J173" s="1">
        <f ca="1">IF(B173="","",(VLOOKUP(B173,'BOGIX (Net)'!A:D,4,FALSE)/100))</f>
        <v>-2.1625390000000001E-2</v>
      </c>
      <c r="K173" s="1">
        <f ca="1">IF(B173="","",VLOOKUP(Website!B173,'LC (Gross)'!W:X,2,FALSE)/100)</f>
        <v>-2.311651E-2</v>
      </c>
      <c r="L173" s="1" t="e">
        <f ca="1">IF(B173="","",VLOOKUP(Website!B173,'SC (Gross)'!P:Q,2,FALSE)/100)</f>
        <v>#N/A</v>
      </c>
      <c r="M173" s="1">
        <f ca="1">IF(B173="","",VLOOKUP(Website!B173,'Global (Gross)'!P:Q,2,FALSE)/100)</f>
        <v>7.6429169999999999E-3</v>
      </c>
      <c r="O173" s="1">
        <f ca="1">IF(B173="","",VLOOKUP(Website!B173,'LC (Gross)'!J:K,2,FALSE)/100)</f>
        <v>-6.781306E-3</v>
      </c>
      <c r="P173" s="233">
        <f ca="1">IF(B173="","",(VLOOKUP(B173,'BOGIX (Gross)'!J:K,2,FALSE))/100)</f>
        <v>-2.3113199999999997E-2</v>
      </c>
      <c r="Q173" s="233">
        <f ca="1">IF(B173="","",(VLOOKUP(B173,'Global (Gross)'!J:K,2,FALSE)/100))</f>
        <v>9.7781580000000003E-3</v>
      </c>
      <c r="S173" s="22">
        <f t="shared" ca="1" si="188"/>
        <v>-1.0225813457187261E-2</v>
      </c>
      <c r="T173" s="22" t="e">
        <f t="shared" ca="1" si="189"/>
        <v>#N/A</v>
      </c>
      <c r="U173" s="22">
        <f t="shared" ca="1" si="190"/>
        <v>-9.997275600000001E-3</v>
      </c>
      <c r="V173" s="22">
        <f t="shared" ca="1" si="187"/>
        <v>2.5128099999999938E-3</v>
      </c>
      <c r="W173" s="22">
        <f t="shared" ca="1" si="191"/>
        <v>-1.6335203999999999E-2</v>
      </c>
      <c r="X173" s="22" t="e">
        <f t="shared" ca="1" si="192"/>
        <v>#N/A</v>
      </c>
      <c r="Y173" s="22">
        <f t="shared" ca="1" si="193"/>
        <v>-2.1352410000000004E-3</v>
      </c>
    </row>
    <row r="174" spans="1:25" x14ac:dyDescent="0.25">
      <c r="A174">
        <f t="shared" ca="1" si="194"/>
        <v>172</v>
      </c>
      <c r="B174" s="169">
        <f ca="1">IF('LC (Gross)'!A321="","",IF('LC (Gross)'!A321&gt;$AC$9,"",'LC (Gross)'!A321))</f>
        <v>45808</v>
      </c>
      <c r="C174" s="1">
        <f ca="1">IF(B174="","",(VLOOKUP(B174,'LC (Gross)'!A:D,4,FALSE)/100))</f>
        <v>1.698246054546064E-2</v>
      </c>
      <c r="D174" s="1" t="e">
        <f ca="1">IF(B174="","",(VLOOKUP(B174,'SC (Gross)'!A:D,4,FALSE))/100)</f>
        <v>#N/A</v>
      </c>
      <c r="E174" s="1">
        <f ca="1">IF(B174="","",(VLOOKUP(B174,'Global (Gross)'!A:D,4,FALSE)/100))</f>
        <v>2.0019230000000002E-2</v>
      </c>
      <c r="F174" s="1">
        <f ca="1">IF(B174="","",(VLOOKUP(B174,'BOGIX (Gross)'!A:D,4,FALSE)/100))</f>
        <v>5.271841E-2</v>
      </c>
      <c r="G174" s="1">
        <f ca="1">IF(B174="","",(VLOOKUP(B174,'LC (Net)'!A:D,4,FALSE)/100))</f>
        <v>1.6469021635570558E-2</v>
      </c>
      <c r="H174" s="1" t="e">
        <f ca="1">IF(B174="","",(VLOOKUP(B174,'SC (Net)'!A:D,4,FALSE))/100)</f>
        <v>#N/A</v>
      </c>
      <c r="I174" s="1">
        <f ca="1">IF(B174="","",(VLOOKUP(B174,'Global (Net)'!A:D,4,FALSE)/100))</f>
        <v>1.931923E-2</v>
      </c>
      <c r="J174" s="1">
        <f ca="1">IF(B174="","",(VLOOKUP(B174,'BOGIX (Net)'!A:D,4,FALSE)/100))</f>
        <v>5.1693410000000002E-2</v>
      </c>
      <c r="K174" s="1">
        <f ca="1">IF(B174="","",VLOOKUP(Website!B174,'LC (Gross)'!W:X,2,FALSE)/100)</f>
        <v>1.1138459999999999E-2</v>
      </c>
      <c r="L174" s="1" t="e">
        <f ca="1">IF(B174="","",VLOOKUP(Website!B174,'SC (Gross)'!P:Q,2,FALSE)/100)</f>
        <v>#N/A</v>
      </c>
      <c r="M174" s="1">
        <f ca="1">IF(B174="","",VLOOKUP(Website!B174,'Global (Gross)'!P:Q,2,FALSE)/100)</f>
        <v>1.2818030000000001E-2</v>
      </c>
      <c r="O174" s="1">
        <f ca="1">IF(B174="","",VLOOKUP(Website!B174,'LC (Gross)'!J:K,2,FALSE)/100)</f>
        <v>6.2946189999999999E-2</v>
      </c>
      <c r="P174" s="233">
        <f ca="1">IF(B174="","",(VLOOKUP(B174,'BOGIX (Gross)'!J:K,2,FALSE))/100)</f>
        <v>5.3393110000000001E-2</v>
      </c>
      <c r="Q174" s="233">
        <f ca="1">IF(B174="","",(VLOOKUP(B174,'Global (Gross)'!J:K,2,FALSE)/100))</f>
        <v>5.8145300000000004E-2</v>
      </c>
      <c r="S174" s="22">
        <f t="shared" ca="1" si="188"/>
        <v>-4.5963729454539359E-2</v>
      </c>
      <c r="T174" s="22" t="e">
        <f t="shared" ca="1" si="189"/>
        <v>#N/A</v>
      </c>
      <c r="U174" s="22">
        <f t="shared" ca="1" si="190"/>
        <v>-3.8126069999999998E-2</v>
      </c>
      <c r="V174" s="22">
        <f t="shared" ca="1" si="187"/>
        <v>-6.747000000000003E-4</v>
      </c>
      <c r="W174" s="22">
        <f t="shared" ca="1" si="191"/>
        <v>-5.1807729999999996E-2</v>
      </c>
      <c r="X174" s="22" t="e">
        <f t="shared" ca="1" si="192"/>
        <v>#N/A</v>
      </c>
      <c r="Y174" s="22">
        <f t="shared" ca="1" si="193"/>
        <v>-4.5327270000000003E-2</v>
      </c>
    </row>
    <row r="175" spans="1:25" x14ac:dyDescent="0.25">
      <c r="A175">
        <f t="shared" ca="1" si="194"/>
        <v>173</v>
      </c>
      <c r="B175" s="169">
        <f ca="1">IF('LC (Gross)'!A322="","",IF('LC (Gross)'!A322&gt;$AC$9,"",'LC (Gross)'!A322))</f>
        <v>45838</v>
      </c>
      <c r="C175" s="1">
        <f ca="1">IF(B175="","",(VLOOKUP(B175,'LC (Gross)'!A:D,4,FALSE)/100))</f>
        <v>4.8357748879533612E-3</v>
      </c>
      <c r="D175" s="1" t="e">
        <f ca="1">IF(B175="","",(VLOOKUP(B175,'SC (Gross)'!A:D,4,FALSE))/100)</f>
        <v>#N/A</v>
      </c>
      <c r="E175" s="1">
        <f ca="1">IF(B175="","",(VLOOKUP(B175,'Global (Gross)'!A:D,4,FALSE)/100))</f>
        <v>1.122948E-2</v>
      </c>
      <c r="F175" s="1">
        <f ca="1">IF(B175="","",(VLOOKUP(B175,'BOGIX (Gross)'!A:D,4,FALSE)/100))</f>
        <v>4.1024999999999999E-2</v>
      </c>
      <c r="G175" s="1">
        <f ca="1">IF(B175="","",(VLOOKUP(B175,'LC (Net)'!A:D,4,FALSE)/100))</f>
        <v>4.329401489169782E-3</v>
      </c>
      <c r="H175" s="1" t="e">
        <f ca="1">IF(B175="","",(VLOOKUP(B175,'SC (Net)'!A:D,4,FALSE))/100)</f>
        <v>#N/A</v>
      </c>
      <c r="I175" s="1">
        <f ca="1">IF(B175="","",(VLOOKUP(B175,'Global (Net)'!A:D,4,FALSE)/100))</f>
        <v>1.0529480000000001E-2</v>
      </c>
      <c r="J175" s="1">
        <f ca="1">IF(B175="","",(VLOOKUP(B175,'BOGIX (Net)'!A:D,4,FALSE)/100))</f>
        <v>0.04</v>
      </c>
      <c r="K175" s="1">
        <f ca="1">IF(B175="","",VLOOKUP(Website!B175,'LC (Gross)'!W:X,2,FALSE)/100)</f>
        <v>-7.5421139999999999E-3</v>
      </c>
      <c r="L175" s="1" t="e">
        <f ca="1">IF(B175="","",VLOOKUP(Website!B175,'SC (Gross)'!P:Q,2,FALSE)/100)</f>
        <v>#N/A</v>
      </c>
      <c r="M175" s="1">
        <f ca="1">IF(B175="","",VLOOKUP(Website!B175,'Global (Gross)'!P:Q,2,FALSE)/100)</f>
        <v>1.007893E-2</v>
      </c>
      <c r="O175" s="1">
        <f ca="1">IF(B175="","",VLOOKUP(Website!B175,'LC (Gross)'!J:K,2,FALSE)/100)</f>
        <v>5.0848299999999999E-2</v>
      </c>
      <c r="P175" s="233">
        <f ca="1">IF(B175="","",(VLOOKUP(B175,'BOGIX (Gross)'!J:K,2,FALSE))/100)</f>
        <v>5.4339259999999993E-2</v>
      </c>
      <c r="Q175" s="233">
        <f ca="1">IF(B175="","",(VLOOKUP(B175,'Global (Gross)'!J:K,2,FALSE)/100))</f>
        <v>4.5320140000000002E-2</v>
      </c>
      <c r="S175" s="22">
        <f t="shared" ca="1" si="188"/>
        <v>-4.6012525112046634E-2</v>
      </c>
      <c r="T175" s="22" t="e">
        <f t="shared" ca="1" si="189"/>
        <v>#N/A</v>
      </c>
      <c r="U175" s="22">
        <f t="shared" ca="1" si="190"/>
        <v>-3.4090660000000002E-2</v>
      </c>
      <c r="V175" s="22">
        <f t="shared" ca="1" si="187"/>
        <v>-1.3314259999999994E-2</v>
      </c>
      <c r="W175" s="22">
        <f t="shared" ca="1" si="191"/>
        <v>-5.8390414000000002E-2</v>
      </c>
      <c r="X175" s="22" t="e">
        <f t="shared" ca="1" si="192"/>
        <v>#N/A</v>
      </c>
      <c r="Y175" s="22">
        <f t="shared" ca="1" si="193"/>
        <v>-3.5241210000000002E-2</v>
      </c>
    </row>
    <row r="176" spans="1:25" x14ac:dyDescent="0.25">
      <c r="A176">
        <f t="shared" ca="1" si="194"/>
        <v>174</v>
      </c>
      <c r="B176" s="169">
        <f ca="1">IF('LC (Gross)'!A323="","",IF('LC (Gross)'!A323&gt;$AC$9,"",'LC (Gross)'!A323))</f>
        <v>45869</v>
      </c>
      <c r="C176" s="1">
        <f ca="1">IF(B176="","",(VLOOKUP(B176,'LC (Gross)'!A:D,4,FALSE)/100))</f>
        <v>-3.5865398435556781E-3</v>
      </c>
      <c r="D176" s="1" t="e">
        <f ca="1">IF(B176="","",(VLOOKUP(B176,'SC (Gross)'!A:D,4,FALSE))/100)</f>
        <v>#N/A</v>
      </c>
      <c r="E176" s="1">
        <f ca="1">IF(B176="","",(VLOOKUP(B176,'Global (Gross)'!A:D,4,FALSE)/100))</f>
        <v>-2.5795980000000003E-2</v>
      </c>
      <c r="F176" s="1">
        <f ca="1">IF(B176="","",(VLOOKUP(B176,'BOGIX (Gross)'!A:D,4,FALSE)/100))</f>
        <v>8.8476860000000004E-3</v>
      </c>
      <c r="G176" s="1">
        <f ca="1">IF(B176="","",(VLOOKUP(B176,'LC (Net)'!A:D,4,FALSE)/100))</f>
        <v>-4.3939681521318963E-3</v>
      </c>
      <c r="H176" s="1" t="e">
        <f ca="1">IF(B176="","",(VLOOKUP(B176,'SC (Net)'!A:D,4,FALSE))/100)</f>
        <v>#N/A</v>
      </c>
      <c r="I176" s="1">
        <f ca="1">IF(B176="","",(VLOOKUP(B176,'Global (Net)'!A:D,4,FALSE)/100))</f>
        <v>-2.6495980000000002E-2</v>
      </c>
      <c r="J176" s="1">
        <f ca="1">IF(B176="","",(VLOOKUP(B176,'BOGIX (Net)'!A:D,4,FALSE)/100))</f>
        <v>7.8226860000000006E-3</v>
      </c>
      <c r="K176" s="1">
        <f ca="1">IF(B176="","",VLOOKUP(Website!B176,'LC (Gross)'!W:X,2,FALSE)/100)</f>
        <v>-2.9140759999999998E-3</v>
      </c>
      <c r="L176" s="1" t="e">
        <f ca="1">IF(B176="","",VLOOKUP(Website!B176,'SC (Gross)'!P:Q,2,FALSE)/100)</f>
        <v>#N/A</v>
      </c>
      <c r="M176" s="1">
        <f ca="1">IF(B176="","",VLOOKUP(Website!B176,'Global (Gross)'!P:Q,2,FALSE)/100)</f>
        <v>-1.6278600000000001E-2</v>
      </c>
      <c r="O176" s="1">
        <f ca="1">IF(B176="","",VLOOKUP(Website!B176,'LC (Gross)'!J:K,2,FALSE)/100)</f>
        <v>2.2442899999999998E-2</v>
      </c>
      <c r="P176" s="233">
        <f ca="1">IF(B176="","",(VLOOKUP(B176,'BOGIX (Gross)'!J:K,2,FALSE))/100)</f>
        <v>1.7346760000000003E-2</v>
      </c>
      <c r="Q176" s="233">
        <f ca="1">IF(B176="","",(VLOOKUP(B176,'Global (Gross)'!J:K,2,FALSE)/100))</f>
        <v>1.3846879999999999E-2</v>
      </c>
      <c r="S176" s="22">
        <f t="shared" ca="1" si="188"/>
        <v>-2.6029439843555678E-2</v>
      </c>
      <c r="T176" s="22" t="e">
        <f t="shared" ca="1" si="189"/>
        <v>#N/A</v>
      </c>
      <c r="U176" s="22">
        <f t="shared" ca="1" si="190"/>
        <v>-3.9642860000000002E-2</v>
      </c>
      <c r="V176" s="22">
        <f t="shared" ca="1" si="187"/>
        <v>-8.4990740000000023E-3</v>
      </c>
      <c r="W176" s="22">
        <f t="shared" ca="1" si="191"/>
        <v>-2.5356975999999996E-2</v>
      </c>
      <c r="X176" s="22" t="e">
        <f t="shared" ca="1" si="192"/>
        <v>#N/A</v>
      </c>
      <c r="Y176" s="22">
        <f t="shared" ca="1" si="193"/>
        <v>-3.012548E-2</v>
      </c>
    </row>
    <row r="177" spans="1:25" x14ac:dyDescent="0.25">
      <c r="A177">
        <f t="shared" ca="1" si="194"/>
        <v>175</v>
      </c>
      <c r="B177" s="169">
        <f ca="1">IF('LC (Gross)'!A324="","",IF('LC (Gross)'!A324&gt;$AC$9,"",'LC (Gross)'!A324))</f>
        <v>45900</v>
      </c>
      <c r="C177" s="1">
        <f ca="1">IF(B177="","",(VLOOKUP(B177,'LC (Gross)'!A:D,4,FALSE)/100))</f>
        <v>2.7301060489229353E-2</v>
      </c>
      <c r="D177" s="1" t="e">
        <f ca="1">IF(B177="","",(VLOOKUP(B177,'SC (Gross)'!A:D,4,FALSE))/100)</f>
        <v>#N/A</v>
      </c>
      <c r="E177" s="1">
        <f ca="1">IF(B177="","",(VLOOKUP(B177,'Global (Gross)'!A:D,4,FALSE)/100))</f>
        <v>2.3329969999999998E-2</v>
      </c>
      <c r="F177" s="1">
        <f ca="1">IF(B177="","",(VLOOKUP(B177,'BOGIX (Gross)'!A:D,4,FALSE)/100))</f>
        <v>8.2849059999999988E-2</v>
      </c>
      <c r="G177" s="1">
        <f ca="1">IF(B177="","",(VLOOKUP(B177,'LC (Net)'!A:D,4,FALSE)/100))</f>
        <v>2.6797035488596386E-2</v>
      </c>
      <c r="H177" s="1" t="e">
        <f ca="1">IF(B177="","",(VLOOKUP(B177,'SC (Net)'!A:D,4,FALSE))/100)</f>
        <v>#N/A</v>
      </c>
      <c r="I177" s="1">
        <f ca="1">IF(B177="","",(VLOOKUP(B177,'Global (Net)'!A:D,4,FALSE)/100))</f>
        <v>2.2629969999999999E-2</v>
      </c>
      <c r="J177" s="1">
        <f ca="1">IF(B177="","",(VLOOKUP(B177,'BOGIX (Net)'!A:D,4,FALSE)/100))</f>
        <v>8.1824060000000004E-2</v>
      </c>
      <c r="K177" s="1">
        <f ca="1">IF(B177="","",VLOOKUP(Website!B177,'LC (Gross)'!W:X,2,FALSE)/100)</f>
        <v>1.5505150000000001E-2</v>
      </c>
      <c r="L177" s="1" t="e">
        <f ca="1">IF(B177="","",VLOOKUP(Website!B177,'SC (Gross)'!P:Q,2,FALSE)/100)</f>
        <v>#N/A</v>
      </c>
      <c r="M177" s="1">
        <f ca="1">IF(B177="","",VLOOKUP(Website!B177,'Global (Gross)'!P:Q,2,FALSE)/100)</f>
        <v>2.3530319999999997E-2</v>
      </c>
      <c r="O177" s="1">
        <f ca="1">IF(B177="","",VLOOKUP(Website!B177,'LC (Gross)'!J:K,2,FALSE)/100)</f>
        <v>2.0271819999999999E-2</v>
      </c>
      <c r="P177" s="233">
        <f ca="1">IF(B177="","",(VLOOKUP(B177,'BOGIX (Gross)'!J:K,2,FALSE))/100)</f>
        <v>7.1434139999999993E-2</v>
      </c>
      <c r="Q177" s="233">
        <f ca="1">IF(B177="","",(VLOOKUP(B177,'Global (Gross)'!J:K,2,FALSE)/100))</f>
        <v>2.5172910000000003E-2</v>
      </c>
      <c r="S177" s="22">
        <f t="shared" ca="1" si="188"/>
        <v>7.029240489229354E-3</v>
      </c>
      <c r="T177" s="22" t="e">
        <f t="shared" ca="1" si="189"/>
        <v>#N/A</v>
      </c>
      <c r="U177" s="22">
        <f t="shared" ca="1" si="190"/>
        <v>-1.8429400000000047E-3</v>
      </c>
      <c r="V177" s="22">
        <f t="shared" ca="1" si="187"/>
        <v>1.1414919999999995E-2</v>
      </c>
      <c r="W177" s="22">
        <f t="shared" ca="1" si="191"/>
        <v>-4.7666699999999989E-3</v>
      </c>
      <c r="X177" s="22" t="e">
        <f t="shared" ca="1" si="192"/>
        <v>#N/A</v>
      </c>
      <c r="Y177" s="22">
        <f t="shared" ca="1" si="193"/>
        <v>-1.6425900000000063E-3</v>
      </c>
    </row>
    <row r="178" spans="1:25" x14ac:dyDescent="0.25">
      <c r="A178">
        <f t="shared" ca="1" si="194"/>
        <v>176</v>
      </c>
      <c r="B178" s="169">
        <f ca="1">IF('LC (Gross)'!A325="","",IF('LC (Gross)'!A325&gt;$AC$9,"",'LC (Gross)'!A325))</f>
        <v>45930</v>
      </c>
      <c r="C178" s="1">
        <f ca="1">IF(B178="","",(VLOOKUP(B178,'LC (Gross)'!A:D,4,FALSE)/100))</f>
        <v>1.273984284453792E-2</v>
      </c>
      <c r="D178" s="1" t="e">
        <f ca="1">IF(B178="","",(VLOOKUP(B178,'SC (Gross)'!A:D,4,FALSE))/100)</f>
        <v>#N/A</v>
      </c>
      <c r="E178" s="1">
        <f ca="1">IF(B178="","",(VLOOKUP(B178,'Global (Gross)'!A:D,4,FALSE)/100))</f>
        <v>3.3295689999999996E-2</v>
      </c>
      <c r="F178" s="1">
        <f ca="1">IF(B178="","",(VLOOKUP(B178,'BOGIX (Gross)'!A:D,4,FALSE)/100))</f>
        <v>-1.067676E-3</v>
      </c>
      <c r="G178" s="1">
        <f ca="1">IF(B178="","",(VLOOKUP(B178,'LC (Net)'!A:D,4,FALSE)/100))</f>
        <v>1.2208076362087074E-2</v>
      </c>
      <c r="H178" s="1" t="e">
        <f ca="1">IF(B178="","",(VLOOKUP(B178,'SC (Net)'!A:D,4,FALSE))/100)</f>
        <v>#N/A</v>
      </c>
      <c r="I178" s="1">
        <f ca="1">IF(B178="","",(VLOOKUP(B178,'Global (Net)'!A:D,4,FALSE)/100))</f>
        <v>3.2595689999999997E-2</v>
      </c>
      <c r="J178" s="1">
        <f ca="1">IF(B178="","",(VLOOKUP(B178,'BOGIX (Net)'!A:D,4,FALSE)/100))</f>
        <v>-2.0926759999999999E-3</v>
      </c>
      <c r="K178" s="1">
        <f ca="1">IF(B178="","",VLOOKUP(Website!B178,'LC (Gross)'!W:X,2,FALSE)/100)</f>
        <v>2.1070530000000002E-3</v>
      </c>
      <c r="L178" s="1" t="e">
        <f ca="1">IF(B178="","",VLOOKUP(Website!B178,'SC (Gross)'!P:Q,2,FALSE)/100)</f>
        <v>#N/A</v>
      </c>
      <c r="M178" s="1">
        <f ca="1">IF(B178="","",VLOOKUP(Website!B178,'Global (Gross)'!P:Q,2,FALSE)/100)</f>
        <v>5.321465E-3</v>
      </c>
      <c r="O178" s="1">
        <f ca="1">IF(B178="","",VLOOKUP(Website!B178,'LC (Gross)'!J:K,2,FALSE)/100)</f>
        <v>3.640438E-2</v>
      </c>
      <c r="P178" s="233">
        <f ca="1">IF(B178="","",(VLOOKUP(B178,'BOGIX (Gross)'!J:K,2,FALSE))/100)</f>
        <v>3.1113100000000001E-2</v>
      </c>
      <c r="Q178" s="233">
        <f ca="1">IF(B178="","",(VLOOKUP(B178,'Global (Gross)'!J:K,2,FALSE)/100))</f>
        <v>3.665293E-2</v>
      </c>
      <c r="S178" s="22">
        <f t="shared" ca="1" si="188"/>
        <v>-2.366453715546208E-2</v>
      </c>
      <c r="T178" s="22" t="e">
        <f t="shared" ca="1" si="189"/>
        <v>#N/A</v>
      </c>
      <c r="U178" s="22">
        <f t="shared" ca="1" si="190"/>
        <v>-3.3572400000000044E-3</v>
      </c>
      <c r="V178" s="22">
        <f t="shared" ca="1" si="187"/>
        <v>-3.2180776000000001E-2</v>
      </c>
      <c r="W178" s="22">
        <f t="shared" ca="1" si="191"/>
        <v>-3.4297327000000002E-2</v>
      </c>
      <c r="X178" s="22" t="e">
        <f t="shared" ca="1" si="192"/>
        <v>#N/A</v>
      </c>
      <c r="Y178" s="22">
        <f t="shared" ca="1" si="193"/>
        <v>-3.1331465000000003E-2</v>
      </c>
    </row>
    <row r="179" spans="1:25" x14ac:dyDescent="0.25">
      <c r="A179">
        <f t="shared" ca="1" si="194"/>
        <v>177</v>
      </c>
      <c r="B179" s="169">
        <f ca="1">IF('LC (Gross)'!A326="","",IF('LC (Gross)'!A326&gt;$AC$9,"",'LC (Gross)'!A326))</f>
        <v>45961</v>
      </c>
      <c r="C179" s="1">
        <f ca="1">IF(B179="","",(VLOOKUP(B179,'LC (Gross)'!A:D,4,FALSE)/100))</f>
        <v>-6.8231271707644111E-4</v>
      </c>
      <c r="D179" s="1" t="e">
        <f ca="1">IF(B179="","",(VLOOKUP(B179,'SC (Gross)'!A:D,4,FALSE))/100)</f>
        <v>#N/A</v>
      </c>
      <c r="E179" s="1">
        <f ca="1">IF(B179="","",(VLOOKUP(B179,'Global (Gross)'!A:D,4,FALSE)/100))</f>
        <v>-1.928262E-2</v>
      </c>
      <c r="F179" s="1">
        <f ca="1">IF(B179="","",(VLOOKUP(B179,'BOGIX (Gross)'!A:D,4,FALSE)/100))</f>
        <v>-1.2156549999999999E-2</v>
      </c>
      <c r="G179" s="1">
        <f ca="1">IF(B179="","",(VLOOKUP(B179,'LC (Net)'!A:D,4,FALSE)/100))</f>
        <v>-1.2385999129374185E-3</v>
      </c>
      <c r="H179" s="1" t="e">
        <f ca="1">IF(B179="","",(VLOOKUP(B179,'SC (Net)'!A:D,4,FALSE))/100)</f>
        <v>#N/A</v>
      </c>
      <c r="I179" s="1">
        <f ca="1">IF(B179="","",(VLOOKUP(B179,'Global (Net)'!A:D,4,FALSE)/100))</f>
        <v>-1.998262E-2</v>
      </c>
      <c r="J179" s="1">
        <f ca="1">IF(B179="","",(VLOOKUP(B179,'BOGIX (Net)'!A:D,4,FALSE)/100))</f>
        <v>-1.318155E-2</v>
      </c>
      <c r="K179" s="1">
        <f ca="1">IF(B179="","",VLOOKUP(Website!B179,'LC (Gross)'!W:X,2,FALSE)/100)</f>
        <v>-3.7181140000000001E-2</v>
      </c>
      <c r="L179" s="1" t="e">
        <f ca="1">IF(B179="","",VLOOKUP(Website!B179,'SC (Gross)'!P:Q,2,FALSE)/100)</f>
        <v>#N/A</v>
      </c>
      <c r="M179" s="1">
        <f ca="1">IF(B179="","",VLOOKUP(Website!B179,'Global (Gross)'!P:Q,2,FALSE)/100)</f>
        <v>-1.4094850000000001E-2</v>
      </c>
      <c r="O179" s="1">
        <f ca="1">IF(B179="","",VLOOKUP(Website!B179,'LC (Gross)'!J:K,2,FALSE)/100)</f>
        <v>2.3413639999999999E-2</v>
      </c>
      <c r="P179" s="233">
        <f ca="1">IF(B179="","",(VLOOKUP(B179,'BOGIX (Gross)'!J:K,2,FALSE))/100)</f>
        <v>1.809146E-2</v>
      </c>
      <c r="Q179" s="233">
        <f ca="1">IF(B179="","",(VLOOKUP(B179,'Global (Gross)'!J:K,2,FALSE)/100))</f>
        <v>2.255368E-2</v>
      </c>
      <c r="S179" s="22">
        <f t="shared" ca="1" si="188"/>
        <v>-2.409595271707644E-2</v>
      </c>
      <c r="T179" s="22" t="e">
        <f t="shared" ca="1" si="189"/>
        <v>#N/A</v>
      </c>
      <c r="U179" s="22">
        <f t="shared" ca="1" si="190"/>
        <v>-4.18363E-2</v>
      </c>
      <c r="V179" s="22">
        <f t="shared" ca="1" si="187"/>
        <v>-3.0248009999999999E-2</v>
      </c>
      <c r="W179" s="22">
        <f t="shared" ca="1" si="191"/>
        <v>-6.0594780000000001E-2</v>
      </c>
      <c r="X179" s="22" t="e">
        <f t="shared" ca="1" si="192"/>
        <v>#N/A</v>
      </c>
      <c r="Y179" s="22">
        <f t="shared" ca="1" si="193"/>
        <v>-3.6648529999999999E-2</v>
      </c>
    </row>
    <row r="180" spans="1:25" x14ac:dyDescent="0.25">
      <c r="A180">
        <f t="shared" ca="1" si="194"/>
        <v>178</v>
      </c>
      <c r="B180" s="169">
        <f ca="1">IF('LC (Gross)'!A327="","",IF('LC (Gross)'!A327&gt;$AC$9,"",'LC (Gross)'!A327))</f>
        <v>45991</v>
      </c>
      <c r="C180" s="1">
        <f ca="1">IF(B180="","",(VLOOKUP(B180,'LC (Gross)'!A:D,4,FALSE)/100))</f>
        <v>3.8182025384643492E-2</v>
      </c>
      <c r="D180" s="1" t="e">
        <f ca="1">IF(B180="","",(VLOOKUP(B180,'SC (Gross)'!A:D,4,FALSE))/100)</f>
        <v>#N/A</v>
      </c>
      <c r="E180" s="1">
        <f ca="1">IF(B180="","",(VLOOKUP(B180,'Global (Gross)'!A:D,4,FALSE)/100))</f>
        <v>3.1137349999999998E-2</v>
      </c>
      <c r="F180" s="1">
        <f ca="1">IF(B180="","",(VLOOKUP(B180,'BOGIX (Gross)'!A:D,4,FALSE)/100))</f>
        <v>1.1953960000000001E-2</v>
      </c>
      <c r="G180" s="1">
        <f ca="1">IF(B180="","",(VLOOKUP(B180,'LC (Net)'!A:D,4,FALSE)/100))</f>
        <v>3.7661618229367512E-2</v>
      </c>
      <c r="H180" s="1" t="e">
        <f ca="1">IF(B180="","",(VLOOKUP(B180,'SC (Net)'!A:D,4,FALSE))/100)</f>
        <v>#N/A</v>
      </c>
      <c r="I180" s="1">
        <f ca="1">IF(B180="","",(VLOOKUP(B180,'Global (Net)'!A:D,4,FALSE)/100))</f>
        <v>3.0437349999999998E-2</v>
      </c>
      <c r="J180" s="1">
        <f ca="1">IF(B180="","",(VLOOKUP(B180,'BOGIX (Net)'!A:D,4,FALSE)/100))</f>
        <v>1.0928960000000001E-2</v>
      </c>
      <c r="K180" s="1">
        <f ca="1">IF(B180="","",VLOOKUP(Website!B180,'LC (Gross)'!W:X,2,FALSE)/100)</f>
        <v>3.85893E-2</v>
      </c>
      <c r="L180" s="1" t="e">
        <f ca="1">IF(B180="","",VLOOKUP(Website!B180,'SC (Gross)'!P:Q,2,FALSE)/100)</f>
        <v>#N/A</v>
      </c>
      <c r="M180" s="1">
        <f ca="1">IF(B180="","",VLOOKUP(Website!B180,'Global (Gross)'!P:Q,2,FALSE)/100)</f>
        <v>2.3607E-2</v>
      </c>
      <c r="O180" s="1">
        <f ca="1">IF(B180="","",VLOOKUP(Website!B180,'LC (Gross)'!J:K,2,FALSE)/100)</f>
        <v>2.4512030000000003E-3</v>
      </c>
      <c r="P180" s="233">
        <f ca="1">IF(B180="","",(VLOOKUP(B180,'BOGIX (Gross)'!J:K,2,FALSE))/100)</f>
        <v>9.5805179999999997E-3</v>
      </c>
      <c r="Q180" s="233">
        <f ca="1">IF(B180="","",(VLOOKUP(B180,'Global (Gross)'!J:K,2,FALSE)/100))</f>
        <v>1.8736109999999999E-4</v>
      </c>
      <c r="S180" s="22">
        <f t="shared" ca="1" si="188"/>
        <v>3.5730822384643493E-2</v>
      </c>
      <c r="T180" s="22" t="e">
        <f t="shared" ca="1" si="189"/>
        <v>#N/A</v>
      </c>
      <c r="U180" s="22">
        <f t="shared" ca="1" si="190"/>
        <v>3.0949988899999999E-2</v>
      </c>
      <c r="V180" s="22">
        <f t="shared" ca="1" si="187"/>
        <v>2.3734420000000016E-3</v>
      </c>
      <c r="W180" s="22">
        <f t="shared" ca="1" si="191"/>
        <v>3.6138097000000001E-2</v>
      </c>
      <c r="X180" s="22" t="e">
        <f t="shared" ca="1" si="192"/>
        <v>#N/A</v>
      </c>
      <c r="Y180" s="22">
        <f t="shared" ca="1" si="193"/>
        <v>2.3419638900000001E-2</v>
      </c>
    </row>
    <row r="181" spans="1:25" x14ac:dyDescent="0.25">
      <c r="A181">
        <f t="shared" ca="1" si="194"/>
        <v>179</v>
      </c>
      <c r="B181" s="169">
        <f ca="1">IF('LC (Gross)'!A328="","",IF('LC (Gross)'!A328&gt;$AC$9,"",'LC (Gross)'!A328))</f>
        <v>46022</v>
      </c>
      <c r="C181" s="1">
        <f ca="1">IF(B181="","",(VLOOKUP(B181,'LC (Gross)'!A:D,4,FALSE)/100))</f>
        <v>-5.0948326786837334E-4</v>
      </c>
      <c r="D181" s="1" t="e">
        <f ca="1">IF(B181="","",(VLOOKUP(B181,'SC (Gross)'!A:D,4,FALSE))/100)</f>
        <v>#N/A</v>
      </c>
      <c r="E181" s="1">
        <f ca="1">IF(B181="","",(VLOOKUP(B181,'Global (Gross)'!A:D,4,FALSE)/100))</f>
        <v>3.5737099999999999E-3</v>
      </c>
      <c r="F181" s="1">
        <f ca="1">IF(B181="","",(VLOOKUP(B181,'BOGIX (Gross)'!A:D,4,FALSE)/100))</f>
        <v>9.5060539999999999E-3</v>
      </c>
      <c r="G181" s="1">
        <f ca="1">IF(B181="","",(VLOOKUP(B181,'LC (Net)'!A:D,4,FALSE)/100))</f>
        <v>-1.3073768602683152E-3</v>
      </c>
      <c r="H181" s="1" t="e">
        <f ca="1">IF(B181="","",(VLOOKUP(B181,'SC (Net)'!A:D,4,FALSE))/100)</f>
        <v>#N/A</v>
      </c>
      <c r="I181" s="1">
        <f ca="1">IF(B181="","",(VLOOKUP(B181,'Global (Net)'!A:D,4,FALSE)/100))</f>
        <v>2.8737099999999998E-3</v>
      </c>
      <c r="J181" s="1">
        <f ca="1">IF(B181="","",(VLOOKUP(B181,'BOGIX (Net)'!A:D,4,FALSE)/100))</f>
        <v>8.481054E-3</v>
      </c>
      <c r="K181" s="1">
        <f ca="1">IF(B181="","",VLOOKUP(Website!B181,'LC (Gross)'!W:X,2,FALSE)/100)</f>
        <v>-2.1869409999999999E-2</v>
      </c>
      <c r="L181" s="1" t="e">
        <f ca="1">IF(B181="","",VLOOKUP(Website!B181,'SC (Gross)'!P:Q,2,FALSE)/100)</f>
        <v>#N/A</v>
      </c>
      <c r="M181" s="1">
        <f ca="1">IF(B181="","",VLOOKUP(Website!B181,'Global (Gross)'!P:Q,2,FALSE)/100)</f>
        <v>-6.8503060000000005E-3</v>
      </c>
      <c r="O181" s="1">
        <f ca="1">IF(B181="","",VLOOKUP(Website!B181,'LC (Gross)'!J:K,2,FALSE)/100)</f>
        <v>5.9176080000000004E-4</v>
      </c>
      <c r="P181" s="233">
        <f ca="1">IF(B181="","",(VLOOKUP(B181,'BOGIX (Gross)'!J:K,2,FALSE))/100)</f>
        <v>-5.8173470000000005E-3</v>
      </c>
      <c r="Q181" s="233">
        <f ca="1">IF(B181="","",(VLOOKUP(B181,'Global (Gross)'!J:K,2,FALSE)/100))</f>
        <v>1.0703000000000001E-2</v>
      </c>
      <c r="S181" s="22">
        <f t="shared" ca="1" si="188"/>
        <v>-1.1012440678683734E-3</v>
      </c>
      <c r="T181" s="22" t="e">
        <f t="shared" ca="1" si="189"/>
        <v>#N/A</v>
      </c>
      <c r="U181" s="22">
        <f t="shared" ca="1" si="190"/>
        <v>-7.1292900000000008E-3</v>
      </c>
      <c r="V181" s="22">
        <f t="shared" ca="1" si="187"/>
        <v>1.5323401E-2</v>
      </c>
      <c r="W181" s="22">
        <f t="shared" ca="1" si="191"/>
        <v>-2.2461170799999999E-2</v>
      </c>
      <c r="X181" s="22" t="e">
        <f t="shared" ca="1" si="192"/>
        <v>#N/A</v>
      </c>
      <c r="Y181" s="22">
        <f t="shared" ca="1" si="193"/>
        <v>-1.7553306000000001E-2</v>
      </c>
    </row>
    <row r="182" spans="1:25" x14ac:dyDescent="0.25">
      <c r="A182" t="str">
        <f t="shared" si="194"/>
        <v/>
      </c>
      <c r="B182" s="169" t="str">
        <f>IF('LC (Gross)'!A329="","",IF('LC (Gross)'!A329&gt;$AC$9,"",'LC (Gross)'!A329))</f>
        <v/>
      </c>
      <c r="C182" s="1" t="str">
        <f>IF(B182="","",(VLOOKUP(B182,'LC (Gross)'!A:D,4,FALSE)/100))</f>
        <v/>
      </c>
      <c r="D182" s="1" t="str">
        <f>IF(B182="","",(VLOOKUP(B182,'SC (Gross)'!A:D,4,FALSE))/100)</f>
        <v/>
      </c>
      <c r="E182" s="1" t="str">
        <f>IF(B182="","",(VLOOKUP(B182,'Global (Gross)'!A:D,4,FALSE)/100))</f>
        <v/>
      </c>
      <c r="F182" s="1" t="str">
        <f>IF(B182="","",(VLOOKUP(B182,'BOGIX (Gross)'!A:D,4,FALSE)/100))</f>
        <v/>
      </c>
      <c r="G182" s="1" t="str">
        <f>IF(B182="","",(VLOOKUP(B182,'LC (Net)'!A:D,4,FALSE)/100))</f>
        <v/>
      </c>
      <c r="H182" s="1" t="str">
        <f>IF(B182="","",(VLOOKUP(B182,'SC (Net)'!A:D,4,FALSE))/100)</f>
        <v/>
      </c>
      <c r="I182" s="1" t="str">
        <f>IF(B182="","",(VLOOKUP(B182,'Global (Net)'!A:D,4,FALSE)/100))</f>
        <v/>
      </c>
      <c r="J182" s="1" t="str">
        <f>IF(B182="","",(VLOOKUP(B182,'BOGIX (Net)'!A:D,4,FALSE)/100))</f>
        <v/>
      </c>
      <c r="K182" s="1" t="str">
        <f>IF(B182="","",VLOOKUP(Website!B182,'LC (Gross)'!W:X,2,FALSE)/100)</f>
        <v/>
      </c>
      <c r="L182" s="1" t="str">
        <f>IF(B182="","",VLOOKUP(Website!B182,'SC (Gross)'!P:Q,2,FALSE)/100)</f>
        <v/>
      </c>
      <c r="M182" s="1" t="str">
        <f>IF(B182="","",VLOOKUP(Website!B182,'Global (Gross)'!P:Q,2,FALSE)/100)</f>
        <v/>
      </c>
      <c r="O182" s="1" t="str">
        <f>IF(B182="","",VLOOKUP(Website!B182,'LC (Gross)'!J:K,2,FALSE)/100)</f>
        <v/>
      </c>
      <c r="P182" s="233" t="str">
        <f>IF(B182="","",(VLOOKUP(B182,'BOGIX (Gross)'!J:K,2,FALSE))/100)</f>
        <v/>
      </c>
      <c r="Q182" s="233" t="str">
        <f>IF(B182="","",(VLOOKUP(B182,'Global (Gross)'!J:K,2,FALSE)/100))</f>
        <v/>
      </c>
      <c r="S182" s="22" t="str">
        <f t="shared" si="188"/>
        <v/>
      </c>
      <c r="T182" s="22" t="str">
        <f t="shared" si="189"/>
        <v/>
      </c>
      <c r="U182" s="22" t="str">
        <f t="shared" si="190"/>
        <v/>
      </c>
      <c r="V182" s="22" t="str">
        <f t="shared" si="187"/>
        <v/>
      </c>
      <c r="W182" s="22" t="str">
        <f t="shared" si="191"/>
        <v/>
      </c>
      <c r="X182" s="22" t="str">
        <f t="shared" si="192"/>
        <v/>
      </c>
      <c r="Y182" s="22" t="str">
        <f t="shared" si="193"/>
        <v/>
      </c>
    </row>
    <row r="183" spans="1:25" x14ac:dyDescent="0.25">
      <c r="A183" t="str">
        <f t="shared" si="194"/>
        <v/>
      </c>
      <c r="B183" s="169" t="str">
        <f>IF('LC (Gross)'!A330="","",IF('LC (Gross)'!A330&gt;$AC$9,"",'LC (Gross)'!A330))</f>
        <v/>
      </c>
      <c r="C183" s="1" t="str">
        <f>IF(B183="","",(VLOOKUP(B183,'LC (Gross)'!A:D,4,FALSE)/100))</f>
        <v/>
      </c>
      <c r="D183" s="1" t="str">
        <f>IF(B183="","",(VLOOKUP(B183,'SC (Gross)'!A:D,4,FALSE))/100)</f>
        <v/>
      </c>
      <c r="E183" s="1" t="str">
        <f>IF(B183="","",(VLOOKUP(B183,'Global (Gross)'!A:D,4,FALSE)/100))</f>
        <v/>
      </c>
      <c r="F183" s="1" t="str">
        <f>IF(B183="","",(VLOOKUP(B183,'BOGIX (Gross)'!A:D,4,FALSE)/100))</f>
        <v/>
      </c>
      <c r="G183" s="1" t="str">
        <f>IF(B183="","",(VLOOKUP(B183,'LC (Net)'!A:D,4,FALSE)/100))</f>
        <v/>
      </c>
      <c r="H183" s="1" t="str">
        <f>IF(B183="","",(VLOOKUP(B183,'SC (Net)'!A:D,4,FALSE))/100)</f>
        <v/>
      </c>
      <c r="I183" s="1" t="str">
        <f>IF(B183="","",(VLOOKUP(B183,'Global (Net)'!A:D,4,FALSE)/100))</f>
        <v/>
      </c>
      <c r="J183" s="1" t="str">
        <f>IF(B183="","",(VLOOKUP(B183,'BOGIX (Net)'!A:D,4,FALSE)/100))</f>
        <v/>
      </c>
      <c r="K183" s="1" t="str">
        <f>IF(B183="","",VLOOKUP(Website!B183,'LC (Gross)'!W:X,2,FALSE)/100)</f>
        <v/>
      </c>
      <c r="L183" s="1" t="str">
        <f>IF(B183="","",VLOOKUP(Website!B183,'SC (Gross)'!P:Q,2,FALSE)/100)</f>
        <v/>
      </c>
      <c r="M183" s="1" t="str">
        <f>IF(B183="","",VLOOKUP(Website!B183,'Global (Gross)'!P:Q,2,FALSE)/100)</f>
        <v/>
      </c>
      <c r="O183" s="1" t="str">
        <f>IF(B183="","",VLOOKUP(Website!B183,'LC (Gross)'!J:K,2,FALSE)/100)</f>
        <v/>
      </c>
      <c r="P183" s="233" t="str">
        <f>IF(B183="","",(VLOOKUP(B183,'BOGIX (Gross)'!J:K,2,FALSE))/100)</f>
        <v/>
      </c>
      <c r="Q183" s="233" t="str">
        <f>IF(B183="","",(VLOOKUP(B183,'Global (Gross)'!J:K,2,FALSE)/100))</f>
        <v/>
      </c>
      <c r="S183" s="22" t="str">
        <f t="shared" si="188"/>
        <v/>
      </c>
      <c r="T183" s="22" t="str">
        <f t="shared" si="189"/>
        <v/>
      </c>
      <c r="U183" s="22" t="str">
        <f t="shared" si="190"/>
        <v/>
      </c>
      <c r="V183" s="22" t="str">
        <f t="shared" si="187"/>
        <v/>
      </c>
      <c r="W183" s="22" t="str">
        <f t="shared" si="191"/>
        <v/>
      </c>
      <c r="X183" s="22" t="str">
        <f t="shared" si="192"/>
        <v/>
      </c>
      <c r="Y183" s="22" t="str">
        <f t="shared" si="193"/>
        <v/>
      </c>
    </row>
    <row r="184" spans="1:25" x14ac:dyDescent="0.25">
      <c r="A184" t="str">
        <f t="shared" si="194"/>
        <v/>
      </c>
      <c r="B184" s="169" t="str">
        <f>IF('LC (Gross)'!A331="","",IF('LC (Gross)'!A331&gt;$AC$9,"",'LC (Gross)'!A331))</f>
        <v/>
      </c>
      <c r="C184" s="1" t="str">
        <f>IF(B184="","",(VLOOKUP(B184,'LC (Gross)'!A:D,4,FALSE)/100))</f>
        <v/>
      </c>
      <c r="D184" s="1" t="str">
        <f>IF(B184="","",(VLOOKUP(B184,'SC (Gross)'!A:D,4,FALSE))/100)</f>
        <v/>
      </c>
      <c r="E184" s="1" t="str">
        <f>IF(B184="","",(VLOOKUP(B184,'Global (Gross)'!A:D,4,FALSE)/100))</f>
        <v/>
      </c>
      <c r="F184" s="1" t="str">
        <f>IF(B184="","",(VLOOKUP(B184,'BOGIX (Gross)'!A:D,4,FALSE)/100))</f>
        <v/>
      </c>
      <c r="G184" s="1" t="str">
        <f>IF(B184="","",(VLOOKUP(B184,'LC (Net)'!A:D,4,FALSE)/100))</f>
        <v/>
      </c>
      <c r="H184" s="1" t="str">
        <f>IF(B184="","",(VLOOKUP(B184,'SC (Net)'!A:D,4,FALSE))/100)</f>
        <v/>
      </c>
      <c r="I184" s="1" t="str">
        <f>IF(B184="","",(VLOOKUP(B184,'Global (Net)'!A:D,4,FALSE)/100))</f>
        <v/>
      </c>
      <c r="J184" s="1" t="str">
        <f>IF(B184="","",(VLOOKUP(B184,'BOGIX (Net)'!A:D,4,FALSE)/100))</f>
        <v/>
      </c>
      <c r="K184" s="1" t="str">
        <f>IF(B184="","",VLOOKUP(Website!B184,'LC (Gross)'!W:X,2,FALSE)/100)</f>
        <v/>
      </c>
      <c r="L184" s="1" t="str">
        <f>IF(B184="","",VLOOKUP(Website!B184,'SC (Gross)'!P:Q,2,FALSE)/100)</f>
        <v/>
      </c>
      <c r="M184" s="1" t="str">
        <f>IF(B184="","",VLOOKUP(Website!B184,'Global (Gross)'!P:Q,2,FALSE)/100)</f>
        <v/>
      </c>
      <c r="O184" s="1" t="str">
        <f>IF(B184="","",VLOOKUP(Website!B184,'LC (Gross)'!J:K,2,FALSE)/100)</f>
        <v/>
      </c>
      <c r="P184" s="233" t="str">
        <f>IF(B184="","",(VLOOKUP(B184,'BOGIX (Gross)'!J:K,2,FALSE))/100)</f>
        <v/>
      </c>
      <c r="Q184" s="233" t="str">
        <f>IF(B184="","",(VLOOKUP(B184,'Global (Gross)'!J:K,2,FALSE)/100))</f>
        <v/>
      </c>
      <c r="S184" s="22" t="str">
        <f t="shared" si="188"/>
        <v/>
      </c>
      <c r="T184" s="22" t="str">
        <f t="shared" si="189"/>
        <v/>
      </c>
      <c r="U184" s="22" t="str">
        <f t="shared" si="190"/>
        <v/>
      </c>
      <c r="V184" s="22" t="str">
        <f t="shared" si="187"/>
        <v/>
      </c>
      <c r="W184" s="22" t="str">
        <f t="shared" si="191"/>
        <v/>
      </c>
      <c r="X184" s="22" t="str">
        <f t="shared" si="192"/>
        <v/>
      </c>
      <c r="Y184" s="22" t="str">
        <f t="shared" si="193"/>
        <v/>
      </c>
    </row>
    <row r="185" spans="1:25" x14ac:dyDescent="0.25">
      <c r="A185" t="str">
        <f t="shared" si="194"/>
        <v/>
      </c>
      <c r="B185" s="169" t="str">
        <f>IF('LC (Gross)'!A332="","",IF('LC (Gross)'!A332&gt;$AC$9,"",'LC (Gross)'!A332))</f>
        <v/>
      </c>
      <c r="C185" s="1" t="str">
        <f>IF(B185="","",(VLOOKUP(B185,'LC (Gross)'!A:D,4,FALSE)/100))</f>
        <v/>
      </c>
      <c r="D185" s="1" t="str">
        <f>IF(B185="","",(VLOOKUP(B185,'SC (Gross)'!A:D,4,FALSE))/100)</f>
        <v/>
      </c>
      <c r="E185" s="1" t="str">
        <f>IF(B185="","",(VLOOKUP(B185,'Global (Gross)'!A:D,4,FALSE)/100))</f>
        <v/>
      </c>
      <c r="F185" s="1" t="str">
        <f>IF(B185="","",(VLOOKUP(B185,'BOGIX (Gross)'!A:D,4,FALSE)/100))</f>
        <v/>
      </c>
      <c r="G185" s="1" t="str">
        <f>IF(B185="","",(VLOOKUP(B185,'LC (Net)'!A:D,4,FALSE)/100))</f>
        <v/>
      </c>
      <c r="H185" s="1" t="str">
        <f>IF(B185="","",(VLOOKUP(B185,'SC (Net)'!A:D,4,FALSE))/100)</f>
        <v/>
      </c>
      <c r="I185" s="1" t="str">
        <f>IF(B185="","",(VLOOKUP(B185,'Global (Net)'!A:D,4,FALSE)/100))</f>
        <v/>
      </c>
      <c r="J185" s="1" t="str">
        <f>IF(B185="","",(VLOOKUP(B185,'BOGIX (Net)'!A:D,4,FALSE)/100))</f>
        <v/>
      </c>
      <c r="K185" s="1" t="str">
        <f>IF(B185="","",VLOOKUP(Website!B185,'LC (Gross)'!W:X,2,FALSE)/100)</f>
        <v/>
      </c>
      <c r="L185" s="1" t="str">
        <f>IF(B185="","",VLOOKUP(Website!B185,'SC (Gross)'!P:Q,2,FALSE)/100)</f>
        <v/>
      </c>
      <c r="M185" s="1" t="str">
        <f>IF(B185="","",VLOOKUP(Website!B185,'Global (Gross)'!P:Q,2,FALSE)/100)</f>
        <v/>
      </c>
      <c r="O185" s="1" t="str">
        <f>IF(B185="","",VLOOKUP(Website!B185,'LC (Gross)'!J:K,2,FALSE)/100)</f>
        <v/>
      </c>
      <c r="P185" s="233" t="str">
        <f>IF(B185="","",(VLOOKUP(B185,'BOGIX (Gross)'!J:K,2,FALSE))/100)</f>
        <v/>
      </c>
      <c r="Q185" s="233" t="str">
        <f>IF(B185="","",(VLOOKUP(B185,'Global (Gross)'!J:K,2,FALSE)/100))</f>
        <v/>
      </c>
      <c r="S185" s="22" t="str">
        <f t="shared" si="188"/>
        <v/>
      </c>
      <c r="T185" s="22" t="str">
        <f t="shared" si="189"/>
        <v/>
      </c>
      <c r="U185" s="22" t="str">
        <f t="shared" si="190"/>
        <v/>
      </c>
      <c r="V185" s="22" t="str">
        <f t="shared" si="187"/>
        <v/>
      </c>
      <c r="W185" s="22" t="str">
        <f t="shared" si="191"/>
        <v/>
      </c>
      <c r="X185" s="22" t="str">
        <f t="shared" si="192"/>
        <v/>
      </c>
      <c r="Y185" s="22" t="str">
        <f t="shared" si="193"/>
        <v/>
      </c>
    </row>
    <row r="186" spans="1:25" x14ac:dyDescent="0.25">
      <c r="A186" t="str">
        <f t="shared" si="194"/>
        <v/>
      </c>
      <c r="B186" s="169" t="str">
        <f>IF('LC (Gross)'!A333="","",IF('LC (Gross)'!A333&gt;$AC$9,"",'LC (Gross)'!A333))</f>
        <v/>
      </c>
      <c r="C186" s="1" t="str">
        <f>IF(B186="","",(VLOOKUP(B186,'LC (Gross)'!A:D,4,FALSE)/100))</f>
        <v/>
      </c>
      <c r="D186" s="1" t="str">
        <f>IF(B186="","",(VLOOKUP(B186,'SC (Gross)'!A:D,4,FALSE))/100)</f>
        <v/>
      </c>
      <c r="E186" s="1" t="str">
        <f>IF(B186="","",(VLOOKUP(B186,'Global (Gross)'!A:D,4,FALSE)/100))</f>
        <v/>
      </c>
      <c r="F186" s="1" t="str">
        <f>IF(B186="","",(VLOOKUP(B186,'BOGIX (Gross)'!A:D,4,FALSE)/100))</f>
        <v/>
      </c>
      <c r="G186" s="1" t="str">
        <f>IF(B186="","",(VLOOKUP(B186,'LC (Net)'!A:D,4,FALSE)/100))</f>
        <v/>
      </c>
      <c r="H186" s="1" t="str">
        <f>IF(B186="","",(VLOOKUP(B186,'SC (Net)'!A:D,4,FALSE))/100)</f>
        <v/>
      </c>
      <c r="I186" s="1" t="str">
        <f>IF(B186="","",(VLOOKUP(B186,'Global (Net)'!A:D,4,FALSE)/100))</f>
        <v/>
      </c>
      <c r="J186" s="1" t="str">
        <f>IF(B186="","",(VLOOKUP(B186,'BOGIX (Net)'!A:D,4,FALSE)/100))</f>
        <v/>
      </c>
      <c r="K186" s="1" t="str">
        <f>IF(B186="","",VLOOKUP(Website!B186,'LC (Gross)'!W:X,2,FALSE)/100)</f>
        <v/>
      </c>
      <c r="L186" s="1" t="str">
        <f>IF(B186="","",VLOOKUP(Website!B186,'SC (Gross)'!P:Q,2,FALSE)/100)</f>
        <v/>
      </c>
      <c r="M186" s="1" t="str">
        <f>IF(B186="","",VLOOKUP(Website!B186,'Global (Gross)'!P:Q,2,FALSE)/100)</f>
        <v/>
      </c>
      <c r="O186" s="1" t="str">
        <f>IF(B186="","",VLOOKUP(Website!B186,'LC (Gross)'!J:K,2,FALSE)/100)</f>
        <v/>
      </c>
      <c r="P186" s="233" t="str">
        <f>IF(B186="","",(VLOOKUP(B186,'BOGIX (Gross)'!J:K,2,FALSE))/100)</f>
        <v/>
      </c>
      <c r="Q186" s="233" t="str">
        <f>IF(B186="","",(VLOOKUP(B186,'Global (Gross)'!J:K,2,FALSE)/100))</f>
        <v/>
      </c>
      <c r="S186" s="22" t="str">
        <f t="shared" si="188"/>
        <v/>
      </c>
      <c r="T186" s="22" t="str">
        <f t="shared" si="189"/>
        <v/>
      </c>
      <c r="U186" s="22" t="str">
        <f t="shared" si="190"/>
        <v/>
      </c>
      <c r="V186" s="22" t="str">
        <f t="shared" si="187"/>
        <v/>
      </c>
      <c r="W186" s="22" t="str">
        <f t="shared" si="191"/>
        <v/>
      </c>
      <c r="X186" s="22" t="str">
        <f t="shared" si="192"/>
        <v/>
      </c>
      <c r="Y186" s="22" t="str">
        <f t="shared" si="193"/>
        <v/>
      </c>
    </row>
    <row r="187" spans="1:25" x14ac:dyDescent="0.25">
      <c r="A187" t="str">
        <f t="shared" si="194"/>
        <v/>
      </c>
      <c r="B187" s="169" t="str">
        <f>IF('LC (Gross)'!A334="","",IF('LC (Gross)'!A334&gt;$AC$9,"",'LC (Gross)'!A334))</f>
        <v/>
      </c>
      <c r="C187" s="1" t="str">
        <f>IF(B187="","",(VLOOKUP(B187,'LC (Gross)'!A:D,4,FALSE)/100))</f>
        <v/>
      </c>
      <c r="D187" s="1" t="str">
        <f>IF(B187="","",(VLOOKUP(B187,'SC (Gross)'!A:D,4,FALSE))/100)</f>
        <v/>
      </c>
      <c r="E187" s="1" t="str">
        <f>IF(B187="","",(VLOOKUP(B187,'Global (Gross)'!A:D,4,FALSE)/100))</f>
        <v/>
      </c>
      <c r="F187" s="1" t="str">
        <f>IF(B187="","",(VLOOKUP(B187,'BOGIX (Gross)'!A:D,4,FALSE)/100))</f>
        <v/>
      </c>
      <c r="G187" s="1" t="str">
        <f>IF(B187="","",(VLOOKUP(B187,'LC (Net)'!A:D,4,FALSE)/100))</f>
        <v/>
      </c>
      <c r="H187" s="1" t="str">
        <f>IF(B187="","",(VLOOKUP(B187,'SC (Net)'!A:D,4,FALSE))/100)</f>
        <v/>
      </c>
      <c r="I187" s="1" t="str">
        <f>IF(B187="","",(VLOOKUP(B187,'Global (Net)'!A:D,4,FALSE)/100))</f>
        <v/>
      </c>
      <c r="J187" s="1" t="str">
        <f>IF(B187="","",(VLOOKUP(B187,'BOGIX (Net)'!A:D,4,FALSE)/100))</f>
        <v/>
      </c>
      <c r="K187" s="1" t="str">
        <f>IF(B187="","",VLOOKUP(Website!B187,'LC (Gross)'!W:X,2,FALSE)/100)</f>
        <v/>
      </c>
      <c r="L187" s="1" t="str">
        <f>IF(B187="","",VLOOKUP(Website!B187,'SC (Gross)'!P:Q,2,FALSE)/100)</f>
        <v/>
      </c>
      <c r="M187" s="1" t="str">
        <f>IF(B187="","",VLOOKUP(Website!B187,'Global (Gross)'!P:Q,2,FALSE)/100)</f>
        <v/>
      </c>
      <c r="O187" s="1" t="str">
        <f>IF(B187="","",VLOOKUP(Website!B187,'LC (Gross)'!J:K,2,FALSE)/100)</f>
        <v/>
      </c>
      <c r="P187" s="233" t="str">
        <f>IF(B187="","",(VLOOKUP(B187,'BOGIX (Gross)'!J:K,2,FALSE))/100)</f>
        <v/>
      </c>
      <c r="Q187" s="233" t="str">
        <f>IF(B187="","",(VLOOKUP(B187,'Global (Gross)'!J:K,2,FALSE)/100))</f>
        <v/>
      </c>
      <c r="S187" s="22" t="str">
        <f t="shared" si="188"/>
        <v/>
      </c>
      <c r="T187" s="22" t="str">
        <f t="shared" si="189"/>
        <v/>
      </c>
      <c r="U187" s="22" t="str">
        <f t="shared" si="190"/>
        <v/>
      </c>
      <c r="V187" s="22" t="str">
        <f t="shared" si="187"/>
        <v/>
      </c>
      <c r="W187" s="22" t="str">
        <f t="shared" si="191"/>
        <v/>
      </c>
      <c r="X187" s="22" t="str">
        <f t="shared" si="192"/>
        <v/>
      </c>
      <c r="Y187" s="22" t="str">
        <f t="shared" si="193"/>
        <v/>
      </c>
    </row>
    <row r="188" spans="1:25" x14ac:dyDescent="0.25">
      <c r="A188" t="str">
        <f t="shared" si="194"/>
        <v/>
      </c>
      <c r="B188" s="169" t="str">
        <f>IF('LC (Gross)'!A335="","",IF('LC (Gross)'!A335&gt;$AC$9,"",'LC (Gross)'!A335))</f>
        <v/>
      </c>
      <c r="C188" s="1" t="str">
        <f>IF(B188="","",(VLOOKUP(B188,'LC (Gross)'!A:D,4,FALSE)/100))</f>
        <v/>
      </c>
      <c r="D188" s="1" t="str">
        <f>IF(B188="","",(VLOOKUP(B188,'SC (Gross)'!A:D,4,FALSE))/100)</f>
        <v/>
      </c>
      <c r="E188" s="1" t="str">
        <f>IF(B188="","",(VLOOKUP(B188,'Global (Gross)'!A:D,4,FALSE)/100))</f>
        <v/>
      </c>
      <c r="F188" s="1" t="str">
        <f>IF(B188="","",(VLOOKUP(B188,'BOGIX (Gross)'!A:D,4,FALSE)/100))</f>
        <v/>
      </c>
      <c r="G188" s="1" t="str">
        <f>IF(B188="","",(VLOOKUP(B188,'LC (Net)'!A:D,4,FALSE)/100))</f>
        <v/>
      </c>
      <c r="H188" s="1" t="str">
        <f>IF(B188="","",(VLOOKUP(B188,'SC (Net)'!A:D,4,FALSE))/100)</f>
        <v/>
      </c>
      <c r="I188" s="1" t="str">
        <f>IF(B188="","",(VLOOKUP(B188,'Global (Net)'!A:D,4,FALSE)/100))</f>
        <v/>
      </c>
      <c r="J188" s="1" t="str">
        <f>IF(B188="","",(VLOOKUP(B188,'BOGIX (Net)'!A:D,4,FALSE)/100))</f>
        <v/>
      </c>
      <c r="K188" s="1" t="str">
        <f>IF(B188="","",VLOOKUP(Website!B188,'LC (Gross)'!W:X,2,FALSE)/100)</f>
        <v/>
      </c>
      <c r="L188" s="1" t="str">
        <f>IF(B188="","",VLOOKUP(Website!B188,'SC (Gross)'!P:Q,2,FALSE)/100)</f>
        <v/>
      </c>
      <c r="M188" s="1" t="str">
        <f>IF(B188="","",VLOOKUP(Website!B188,'Global (Gross)'!P:Q,2,FALSE)/100)</f>
        <v/>
      </c>
      <c r="O188" s="1" t="str">
        <f>IF(B188="","",VLOOKUP(Website!B188,'LC (Gross)'!J:K,2,FALSE)/100)</f>
        <v/>
      </c>
      <c r="P188" s="233" t="str">
        <f>IF(B188="","",(VLOOKUP(B188,'BOGIX (Gross)'!J:K,2,FALSE))/100)</f>
        <v/>
      </c>
      <c r="Q188" s="233" t="str">
        <f>IF(B188="","",(VLOOKUP(B188,'Global (Gross)'!J:K,2,FALSE)/100))</f>
        <v/>
      </c>
      <c r="S188" s="22" t="str">
        <f t="shared" si="188"/>
        <v/>
      </c>
      <c r="T188" s="22" t="str">
        <f t="shared" si="189"/>
        <v/>
      </c>
      <c r="U188" s="22" t="str">
        <f t="shared" si="190"/>
        <v/>
      </c>
      <c r="V188" s="22" t="str">
        <f t="shared" si="187"/>
        <v/>
      </c>
      <c r="W188" s="22" t="str">
        <f t="shared" si="191"/>
        <v/>
      </c>
      <c r="X188" s="22" t="str">
        <f t="shared" si="192"/>
        <v/>
      </c>
      <c r="Y188" s="22" t="str">
        <f t="shared" si="193"/>
        <v/>
      </c>
    </row>
    <row r="189" spans="1:25" x14ac:dyDescent="0.25">
      <c r="A189" t="str">
        <f t="shared" si="194"/>
        <v/>
      </c>
      <c r="B189" s="169" t="str">
        <f>IF('LC (Gross)'!A336="","",IF('LC (Gross)'!A336&gt;$AC$9,"",'LC (Gross)'!A336))</f>
        <v/>
      </c>
      <c r="C189" s="1" t="str">
        <f>IF(B189="","",(VLOOKUP(B189,'LC (Gross)'!A:D,4,FALSE)/100))</f>
        <v/>
      </c>
      <c r="D189" s="1" t="str">
        <f>IF(B189="","",(VLOOKUP(B189,'SC (Gross)'!A:D,4,FALSE))/100)</f>
        <v/>
      </c>
      <c r="E189" s="1" t="str">
        <f>IF(B189="","",(VLOOKUP(B189,'Global (Gross)'!A:D,4,FALSE)/100))</f>
        <v/>
      </c>
      <c r="F189" s="1" t="str">
        <f>IF(B189="","",(VLOOKUP(B189,'BOGIX (Gross)'!A:D,4,FALSE)/100))</f>
        <v/>
      </c>
      <c r="G189" s="1" t="str">
        <f>IF(B189="","",(VLOOKUP(B189,'LC (Net)'!A:D,4,FALSE)/100))</f>
        <v/>
      </c>
      <c r="H189" s="1" t="str">
        <f>IF(B189="","",(VLOOKUP(B189,'SC (Net)'!A:D,4,FALSE))/100)</f>
        <v/>
      </c>
      <c r="I189" s="1" t="str">
        <f>IF(B189="","",(VLOOKUP(B189,'Global (Net)'!A:D,4,FALSE)/100))</f>
        <v/>
      </c>
      <c r="J189" s="1" t="str">
        <f>IF(B189="","",(VLOOKUP(B189,'BOGIX (Net)'!A:D,4,FALSE)/100))</f>
        <v/>
      </c>
      <c r="K189" s="1" t="str">
        <f>IF(B189="","",VLOOKUP(Website!B189,'LC (Gross)'!W:X,2,FALSE)/100)</f>
        <v/>
      </c>
      <c r="L189" s="1" t="str">
        <f>IF(B189="","",VLOOKUP(Website!B189,'SC (Gross)'!P:Q,2,FALSE)/100)</f>
        <v/>
      </c>
      <c r="M189" s="1" t="str">
        <f>IF(B189="","",VLOOKUP(Website!B189,'Global (Gross)'!P:Q,2,FALSE)/100)</f>
        <v/>
      </c>
      <c r="O189" s="1" t="str">
        <f>IF(B189="","",VLOOKUP(Website!B189,'LC (Gross)'!J:K,2,FALSE)/100)</f>
        <v/>
      </c>
      <c r="P189" s="233" t="str">
        <f>IF(B189="","",(VLOOKUP(B189,'BOGIX (Gross)'!J:K,2,FALSE))/100)</f>
        <v/>
      </c>
      <c r="Q189" s="233" t="str">
        <f>IF(B189="","",(VLOOKUP(B189,'Global (Gross)'!J:K,2,FALSE)/100))</f>
        <v/>
      </c>
      <c r="S189" s="22" t="str">
        <f t="shared" si="188"/>
        <v/>
      </c>
      <c r="T189" s="22" t="str">
        <f t="shared" si="189"/>
        <v/>
      </c>
      <c r="U189" s="22" t="str">
        <f t="shared" si="190"/>
        <v/>
      </c>
      <c r="V189" s="22" t="str">
        <f t="shared" ref="V189:V252" si="195">IF(F189="","",F189-P189)</f>
        <v/>
      </c>
      <c r="W189" s="22" t="str">
        <f t="shared" si="191"/>
        <v/>
      </c>
      <c r="X189" s="22" t="str">
        <f t="shared" si="192"/>
        <v/>
      </c>
      <c r="Y189" s="22" t="str">
        <f t="shared" si="193"/>
        <v/>
      </c>
    </row>
    <row r="190" spans="1:25" x14ac:dyDescent="0.25">
      <c r="A190" t="str">
        <f t="shared" si="194"/>
        <v/>
      </c>
      <c r="B190" s="169" t="str">
        <f>IF('LC (Gross)'!A337="","",IF('LC (Gross)'!A337&gt;$AC$9,"",'LC (Gross)'!A337))</f>
        <v/>
      </c>
      <c r="C190" s="1" t="str">
        <f>IF(B190="","",(VLOOKUP(B190,'LC (Gross)'!A:D,4,FALSE)/100))</f>
        <v/>
      </c>
      <c r="D190" s="1" t="str">
        <f>IF(B190="","",(VLOOKUP(B190,'SC (Gross)'!A:D,4,FALSE))/100)</f>
        <v/>
      </c>
      <c r="E190" s="1" t="str">
        <f>IF(B190="","",(VLOOKUP(B190,'Global (Gross)'!A:D,4,FALSE)/100))</f>
        <v/>
      </c>
      <c r="F190" s="1" t="str">
        <f>IF(B190="","",(VLOOKUP(B190,'BOGIX (Gross)'!A:D,4,FALSE)/100))</f>
        <v/>
      </c>
      <c r="G190" s="1" t="str">
        <f>IF(B190="","",(VLOOKUP(B190,'LC (Net)'!A:D,4,FALSE)/100))</f>
        <v/>
      </c>
      <c r="H190" s="1" t="str">
        <f>IF(B190="","",(VLOOKUP(B190,'SC (Net)'!A:D,4,FALSE))/100)</f>
        <v/>
      </c>
      <c r="I190" s="1" t="str">
        <f>IF(B190="","",(VLOOKUP(B190,'Global (Net)'!A:D,4,FALSE)/100))</f>
        <v/>
      </c>
      <c r="J190" s="1" t="str">
        <f>IF(B190="","",(VLOOKUP(B190,'BOGIX (Net)'!A:D,4,FALSE)/100))</f>
        <v/>
      </c>
      <c r="K190" s="1" t="str">
        <f>IF(B190="","",VLOOKUP(Website!B190,'LC (Gross)'!W:X,2,FALSE)/100)</f>
        <v/>
      </c>
      <c r="L190" s="1" t="str">
        <f>IF(B190="","",VLOOKUP(Website!B190,'SC (Gross)'!P:Q,2,FALSE)/100)</f>
        <v/>
      </c>
      <c r="M190" s="1" t="str">
        <f>IF(B190="","",VLOOKUP(Website!B190,'Global (Gross)'!P:Q,2,FALSE)/100)</f>
        <v/>
      </c>
      <c r="O190" s="1" t="str">
        <f>IF(B190="","",VLOOKUP(Website!B190,'LC (Gross)'!J:K,2,FALSE)/100)</f>
        <v/>
      </c>
      <c r="P190" s="233" t="str">
        <f>IF(B190="","",(VLOOKUP(B190,'BOGIX (Gross)'!J:K,2,FALSE))/100)</f>
        <v/>
      </c>
      <c r="Q190" s="233" t="str">
        <f>IF(B190="","",(VLOOKUP(B190,'Global (Gross)'!J:K,2,FALSE)/100))</f>
        <v/>
      </c>
      <c r="S190" s="22" t="str">
        <f t="shared" si="188"/>
        <v/>
      </c>
      <c r="T190" s="22" t="str">
        <f t="shared" si="189"/>
        <v/>
      </c>
      <c r="U190" s="22" t="str">
        <f t="shared" si="190"/>
        <v/>
      </c>
      <c r="V190" s="22" t="str">
        <f t="shared" si="195"/>
        <v/>
      </c>
      <c r="W190" s="22" t="str">
        <f t="shared" si="191"/>
        <v/>
      </c>
      <c r="X190" s="22" t="str">
        <f t="shared" si="192"/>
        <v/>
      </c>
      <c r="Y190" s="22" t="str">
        <f t="shared" si="193"/>
        <v/>
      </c>
    </row>
    <row r="191" spans="1:25" x14ac:dyDescent="0.25">
      <c r="A191" t="str">
        <f t="shared" si="194"/>
        <v/>
      </c>
      <c r="B191" s="169" t="str">
        <f>IF('LC (Gross)'!A338="","",IF('LC (Gross)'!A338&gt;$AC$9,"",'LC (Gross)'!A338))</f>
        <v/>
      </c>
      <c r="C191" s="1" t="str">
        <f>IF(B191="","",(VLOOKUP(B191,'LC (Gross)'!A:D,4,FALSE)/100))</f>
        <v/>
      </c>
      <c r="D191" s="1" t="str">
        <f>IF(B191="","",(VLOOKUP(B191,'SC (Gross)'!A:D,4,FALSE))/100)</f>
        <v/>
      </c>
      <c r="E191" s="1" t="str">
        <f>IF(B191="","",(VLOOKUP(B191,'Global (Gross)'!A:D,4,FALSE)/100))</f>
        <v/>
      </c>
      <c r="F191" s="1" t="str">
        <f>IF(B191="","",(VLOOKUP(B191,'BOGIX (Gross)'!A:D,4,FALSE)/100))</f>
        <v/>
      </c>
      <c r="G191" s="1" t="str">
        <f>IF(B191="","",(VLOOKUP(B191,'LC (Net)'!A:D,4,FALSE)/100))</f>
        <v/>
      </c>
      <c r="H191" s="1" t="str">
        <f>IF(B191="","",(VLOOKUP(B191,'SC (Net)'!A:D,4,FALSE))/100)</f>
        <v/>
      </c>
      <c r="I191" s="1" t="str">
        <f>IF(B191="","",(VLOOKUP(B191,'Global (Net)'!A:D,4,FALSE)/100))</f>
        <v/>
      </c>
      <c r="J191" s="1" t="str">
        <f>IF(B191="","",(VLOOKUP(B191,'BOGIX (Net)'!A:D,4,FALSE)/100))</f>
        <v/>
      </c>
      <c r="K191" s="1" t="str">
        <f>IF(B191="","",VLOOKUP(Website!B191,'LC (Gross)'!W:X,2,FALSE)/100)</f>
        <v/>
      </c>
      <c r="L191" s="1" t="str">
        <f>IF(B191="","",VLOOKUP(Website!B191,'SC (Gross)'!P:Q,2,FALSE)/100)</f>
        <v/>
      </c>
      <c r="M191" s="1" t="str">
        <f>IF(B191="","",VLOOKUP(Website!B191,'Global (Gross)'!P:Q,2,FALSE)/100)</f>
        <v/>
      </c>
      <c r="O191" s="1" t="str">
        <f>IF(B191="","",VLOOKUP(Website!B191,'LC (Gross)'!J:K,2,FALSE)/100)</f>
        <v/>
      </c>
      <c r="P191" s="233" t="str">
        <f>IF(B191="","",(VLOOKUP(B191,'BOGIX (Gross)'!J:K,2,FALSE))/100)</f>
        <v/>
      </c>
      <c r="Q191" s="233" t="str">
        <f>IF(B191="","",(VLOOKUP(B191,'Global (Gross)'!J:K,2,FALSE)/100))</f>
        <v/>
      </c>
      <c r="S191" s="22" t="str">
        <f t="shared" si="188"/>
        <v/>
      </c>
      <c r="T191" s="22" t="str">
        <f t="shared" si="189"/>
        <v/>
      </c>
      <c r="U191" s="22" t="str">
        <f t="shared" si="190"/>
        <v/>
      </c>
      <c r="V191" s="22" t="str">
        <f t="shared" si="195"/>
        <v/>
      </c>
      <c r="W191" s="22" t="str">
        <f t="shared" si="191"/>
        <v/>
      </c>
      <c r="X191" s="22" t="str">
        <f t="shared" si="192"/>
        <v/>
      </c>
      <c r="Y191" s="22" t="str">
        <f t="shared" si="193"/>
        <v/>
      </c>
    </row>
    <row r="192" spans="1:25" x14ac:dyDescent="0.25">
      <c r="A192" t="str">
        <f t="shared" si="194"/>
        <v/>
      </c>
      <c r="B192" s="169" t="str">
        <f>IF('LC (Gross)'!A339="","",IF('LC (Gross)'!A339&gt;$AC$9,"",'LC (Gross)'!A339))</f>
        <v/>
      </c>
      <c r="C192" s="1" t="str">
        <f>IF(B192="","",(VLOOKUP(B192,'LC (Gross)'!A:D,4,FALSE)/100))</f>
        <v/>
      </c>
      <c r="D192" s="1" t="str">
        <f>IF(B192="","",(VLOOKUP(B192,'SC (Gross)'!A:D,4,FALSE))/100)</f>
        <v/>
      </c>
      <c r="E192" s="1" t="str">
        <f>IF(B192="","",(VLOOKUP(B192,'Global (Gross)'!A:D,4,FALSE)/100))</f>
        <v/>
      </c>
      <c r="F192" s="1" t="str">
        <f>IF(B192="","",(VLOOKUP(B192,'BOGIX (Gross)'!A:D,4,FALSE)/100))</f>
        <v/>
      </c>
      <c r="G192" s="1" t="str">
        <f>IF(B192="","",(VLOOKUP(B192,'LC (Net)'!A:D,4,FALSE)/100))</f>
        <v/>
      </c>
      <c r="H192" s="1" t="str">
        <f>IF(B192="","",(VLOOKUP(B192,'SC (Net)'!A:D,4,FALSE))/100)</f>
        <v/>
      </c>
      <c r="I192" s="1" t="str">
        <f>IF(B192="","",(VLOOKUP(B192,'Global (Net)'!A:D,4,FALSE)/100))</f>
        <v/>
      </c>
      <c r="J192" s="1" t="str">
        <f>IF(B192="","",(VLOOKUP(B192,'BOGIX (Net)'!A:D,4,FALSE)/100))</f>
        <v/>
      </c>
      <c r="K192" s="1" t="str">
        <f>IF(B192="","",VLOOKUP(Website!B192,'LC (Gross)'!W:X,2,FALSE)/100)</f>
        <v/>
      </c>
      <c r="L192" s="1" t="str">
        <f>IF(B192="","",VLOOKUP(Website!B192,'SC (Gross)'!P:Q,2,FALSE)/100)</f>
        <v/>
      </c>
      <c r="M192" s="1" t="str">
        <f>IF(B192="","",VLOOKUP(Website!B192,'Global (Gross)'!P:Q,2,FALSE)/100)</f>
        <v/>
      </c>
      <c r="O192" s="1" t="str">
        <f>IF(B192="","",VLOOKUP(Website!B192,'LC (Gross)'!J:K,2,FALSE)/100)</f>
        <v/>
      </c>
      <c r="P192" s="233" t="str">
        <f>IF(B192="","",(VLOOKUP(B192,'BOGIX (Gross)'!J:K,2,FALSE))/100)</f>
        <v/>
      </c>
      <c r="Q192" s="233" t="str">
        <f>IF(B192="","",(VLOOKUP(B192,'Global (Gross)'!J:K,2,FALSE)/100))</f>
        <v/>
      </c>
      <c r="S192" s="22" t="str">
        <f t="shared" si="188"/>
        <v/>
      </c>
      <c r="T192" s="22" t="str">
        <f t="shared" si="189"/>
        <v/>
      </c>
      <c r="U192" s="22" t="str">
        <f t="shared" si="190"/>
        <v/>
      </c>
      <c r="V192" s="22" t="str">
        <f t="shared" si="195"/>
        <v/>
      </c>
      <c r="W192" s="22" t="str">
        <f t="shared" si="191"/>
        <v/>
      </c>
      <c r="X192" s="22" t="str">
        <f t="shared" si="192"/>
        <v/>
      </c>
      <c r="Y192" s="22" t="str">
        <f t="shared" si="193"/>
        <v/>
      </c>
    </row>
    <row r="193" spans="1:25" x14ac:dyDescent="0.25">
      <c r="A193" t="str">
        <f t="shared" si="194"/>
        <v/>
      </c>
      <c r="B193" s="169" t="str">
        <f>IF('LC (Gross)'!A340="","",IF('LC (Gross)'!A340&gt;$AC$9,"",'LC (Gross)'!A340))</f>
        <v/>
      </c>
      <c r="C193" s="1" t="str">
        <f>IF(B193="","",(VLOOKUP(B193,'LC (Gross)'!A:D,4,FALSE)/100))</f>
        <v/>
      </c>
      <c r="D193" s="1" t="str">
        <f>IF(B193="","",(VLOOKUP(B193,'SC (Gross)'!A:D,4,FALSE))/100)</f>
        <v/>
      </c>
      <c r="E193" s="1" t="str">
        <f>IF(B193="","",(VLOOKUP(B193,'Global (Gross)'!A:D,4,FALSE)/100))</f>
        <v/>
      </c>
      <c r="F193" s="1" t="str">
        <f>IF(B193="","",(VLOOKUP(B193,'BOGIX (Gross)'!A:D,4,FALSE)/100))</f>
        <v/>
      </c>
      <c r="G193" s="1" t="str">
        <f>IF(B193="","",(VLOOKUP(B193,'LC (Net)'!A:D,4,FALSE)/100))</f>
        <v/>
      </c>
      <c r="H193" s="1" t="str">
        <f>IF(B193="","",(VLOOKUP(B193,'SC (Net)'!A:D,4,FALSE))/100)</f>
        <v/>
      </c>
      <c r="I193" s="1" t="str">
        <f>IF(B193="","",(VLOOKUP(B193,'Global (Net)'!A:D,4,FALSE)/100))</f>
        <v/>
      </c>
      <c r="J193" s="1" t="str">
        <f>IF(B193="","",(VLOOKUP(B193,'BOGIX (Net)'!A:D,4,FALSE)/100))</f>
        <v/>
      </c>
      <c r="K193" s="1" t="str">
        <f>IF(B193="","",VLOOKUP(Website!B193,'LC (Gross)'!W:X,2,FALSE)/100)</f>
        <v/>
      </c>
      <c r="L193" s="1" t="str">
        <f>IF(B193="","",VLOOKUP(Website!B193,'SC (Gross)'!P:Q,2,FALSE)/100)</f>
        <v/>
      </c>
      <c r="M193" s="1" t="str">
        <f>IF(B193="","",VLOOKUP(Website!B193,'Global (Gross)'!P:Q,2,FALSE)/100)</f>
        <v/>
      </c>
      <c r="O193" s="1" t="str">
        <f>IF(B193="","",VLOOKUP(Website!B193,'LC (Gross)'!J:K,2,FALSE)/100)</f>
        <v/>
      </c>
      <c r="P193" s="233" t="str">
        <f>IF(B193="","",(VLOOKUP(B193,'BOGIX (Gross)'!J:K,2,FALSE))/100)</f>
        <v/>
      </c>
      <c r="Q193" s="233" t="str">
        <f>IF(B193="","",(VLOOKUP(B193,'Global (Gross)'!J:K,2,FALSE)/100))</f>
        <v/>
      </c>
      <c r="S193" s="22" t="str">
        <f t="shared" si="188"/>
        <v/>
      </c>
      <c r="T193" s="22" t="str">
        <f t="shared" si="189"/>
        <v/>
      </c>
      <c r="U193" s="22" t="str">
        <f t="shared" si="190"/>
        <v/>
      </c>
      <c r="V193" s="22" t="str">
        <f t="shared" si="195"/>
        <v/>
      </c>
      <c r="W193" s="22" t="str">
        <f t="shared" si="191"/>
        <v/>
      </c>
      <c r="X193" s="22" t="str">
        <f t="shared" si="192"/>
        <v/>
      </c>
      <c r="Y193" s="22" t="str">
        <f t="shared" si="193"/>
        <v/>
      </c>
    </row>
    <row r="194" spans="1:25" x14ac:dyDescent="0.25">
      <c r="A194" t="str">
        <f t="shared" si="194"/>
        <v/>
      </c>
      <c r="B194" s="169" t="str">
        <f>IF('LC (Gross)'!A341="","",IF('LC (Gross)'!A341&gt;$AC$9,"",'LC (Gross)'!A341))</f>
        <v/>
      </c>
      <c r="C194" s="1" t="str">
        <f>IF(B194="","",(VLOOKUP(B194,'LC (Gross)'!A:D,4,FALSE)/100))</f>
        <v/>
      </c>
      <c r="D194" s="1" t="str">
        <f>IF(B194="","",(VLOOKUP(B194,'SC (Gross)'!A:D,4,FALSE))/100)</f>
        <v/>
      </c>
      <c r="E194" s="1" t="str">
        <f>IF(B194="","",(VLOOKUP(B194,'Global (Gross)'!A:D,4,FALSE)/100))</f>
        <v/>
      </c>
      <c r="F194" s="1" t="str">
        <f>IF(B194="","",(VLOOKUP(B194,'BOGIX (Gross)'!A:D,4,FALSE)/100))</f>
        <v/>
      </c>
      <c r="G194" s="1" t="str">
        <f>IF(B194="","",(VLOOKUP(B194,'LC (Net)'!A:D,4,FALSE)/100))</f>
        <v/>
      </c>
      <c r="H194" s="1" t="str">
        <f>IF(B194="","",(VLOOKUP(B194,'SC (Net)'!A:D,4,FALSE))/100)</f>
        <v/>
      </c>
      <c r="I194" s="1" t="str">
        <f>IF(B194="","",(VLOOKUP(B194,'Global (Net)'!A:D,4,FALSE)/100))</f>
        <v/>
      </c>
      <c r="J194" s="1" t="str">
        <f>IF(B194="","",(VLOOKUP(B194,'BOGIX (Net)'!A:D,4,FALSE)/100))</f>
        <v/>
      </c>
      <c r="K194" s="1" t="str">
        <f>IF(B194="","",VLOOKUP(Website!B194,'LC (Gross)'!W:X,2,FALSE)/100)</f>
        <v/>
      </c>
      <c r="L194" s="1" t="str">
        <f>IF(B194="","",VLOOKUP(Website!B194,'SC (Gross)'!P:Q,2,FALSE)/100)</f>
        <v/>
      </c>
      <c r="M194" s="1" t="str">
        <f>IF(B194="","",VLOOKUP(Website!B194,'Global (Gross)'!P:Q,2,FALSE)/100)</f>
        <v/>
      </c>
      <c r="O194" s="1" t="str">
        <f>IF(B194="","",VLOOKUP(Website!B194,'LC (Gross)'!J:K,2,FALSE)/100)</f>
        <v/>
      </c>
      <c r="P194" s="233" t="str">
        <f>IF(B194="","",(VLOOKUP(B194,'BOGIX (Gross)'!J:K,2,FALSE))/100)</f>
        <v/>
      </c>
      <c r="Q194" s="233" t="str">
        <f>IF(B194="","",(VLOOKUP(B194,'Global (Gross)'!J:K,2,FALSE)/100))</f>
        <v/>
      </c>
      <c r="S194" s="22" t="str">
        <f t="shared" si="188"/>
        <v/>
      </c>
      <c r="T194" s="22" t="str">
        <f t="shared" si="189"/>
        <v/>
      </c>
      <c r="U194" s="22" t="str">
        <f t="shared" si="190"/>
        <v/>
      </c>
      <c r="V194" s="22" t="str">
        <f t="shared" si="195"/>
        <v/>
      </c>
      <c r="W194" s="22" t="str">
        <f t="shared" si="191"/>
        <v/>
      </c>
      <c r="X194" s="22" t="str">
        <f t="shared" si="192"/>
        <v/>
      </c>
      <c r="Y194" s="22" t="str">
        <f t="shared" si="193"/>
        <v/>
      </c>
    </row>
    <row r="195" spans="1:25" x14ac:dyDescent="0.25">
      <c r="A195" t="str">
        <f t="shared" si="194"/>
        <v/>
      </c>
      <c r="B195" s="169" t="str">
        <f>IF('LC (Gross)'!A342="","",IF('LC (Gross)'!A342&gt;$AC$9,"",'LC (Gross)'!A342))</f>
        <v/>
      </c>
      <c r="C195" s="1" t="str">
        <f>IF(B195="","",(VLOOKUP(B195,'LC (Gross)'!A:D,4,FALSE)/100))</f>
        <v/>
      </c>
      <c r="D195" s="1" t="str">
        <f>IF(B195="","",(VLOOKUP(B195,'SC (Gross)'!A:D,4,FALSE))/100)</f>
        <v/>
      </c>
      <c r="E195" s="1" t="str">
        <f>IF(B195="","",(VLOOKUP(B195,'Global (Gross)'!A:D,4,FALSE)/100))</f>
        <v/>
      </c>
      <c r="F195" s="1" t="str">
        <f>IF(B195="","",(VLOOKUP(B195,'BOGIX (Gross)'!A:D,4,FALSE)/100))</f>
        <v/>
      </c>
      <c r="G195" s="1" t="str">
        <f>IF(B195="","",(VLOOKUP(B195,'LC (Net)'!A:D,4,FALSE)/100))</f>
        <v/>
      </c>
      <c r="H195" s="1" t="str">
        <f>IF(B195="","",(VLOOKUP(B195,'SC (Net)'!A:D,4,FALSE))/100)</f>
        <v/>
      </c>
      <c r="I195" s="1" t="str">
        <f>IF(B195="","",(VLOOKUP(B195,'Global (Net)'!A:D,4,FALSE)/100))</f>
        <v/>
      </c>
      <c r="J195" s="1" t="str">
        <f>IF(B195="","",(VLOOKUP(B195,'BOGIX (Net)'!A:D,4,FALSE)/100))</f>
        <v/>
      </c>
      <c r="K195" s="1" t="str">
        <f>IF(B195="","",VLOOKUP(Website!B195,'LC (Gross)'!W:X,2,FALSE)/100)</f>
        <v/>
      </c>
      <c r="L195" s="1" t="str">
        <f>IF(B195="","",VLOOKUP(Website!B195,'SC (Gross)'!P:Q,2,FALSE)/100)</f>
        <v/>
      </c>
      <c r="M195" s="1" t="str">
        <f>IF(B195="","",VLOOKUP(Website!B195,'Global (Gross)'!P:Q,2,FALSE)/100)</f>
        <v/>
      </c>
      <c r="O195" s="1" t="str">
        <f>IF(B195="","",VLOOKUP(Website!B195,'LC (Gross)'!J:K,2,FALSE)/100)</f>
        <v/>
      </c>
      <c r="P195" s="233" t="str">
        <f>IF(B195="","",(VLOOKUP(B195,'BOGIX (Gross)'!J:K,2,FALSE))/100)</f>
        <v/>
      </c>
      <c r="Q195" s="233" t="str">
        <f>IF(B195="","",(VLOOKUP(B195,'Global (Gross)'!J:K,2,FALSE)/100))</f>
        <v/>
      </c>
      <c r="S195" s="22" t="str">
        <f t="shared" ref="S195:S258" si="196">IF(C195="","",C195-O195)</f>
        <v/>
      </c>
      <c r="T195" s="22" t="str">
        <f t="shared" ref="T195:T258" si="197">IF(D195="","",D195-P195)</f>
        <v/>
      </c>
      <c r="U195" s="22" t="str">
        <f t="shared" ref="U195:U258" si="198">IF(E195="","",E195-Q195)</f>
        <v/>
      </c>
      <c r="V195" s="22" t="str">
        <f t="shared" si="195"/>
        <v/>
      </c>
      <c r="W195" s="22" t="str">
        <f t="shared" si="191"/>
        <v/>
      </c>
      <c r="X195" s="22" t="str">
        <f t="shared" si="192"/>
        <v/>
      </c>
      <c r="Y195" s="22" t="str">
        <f t="shared" si="193"/>
        <v/>
      </c>
    </row>
    <row r="196" spans="1:25" x14ac:dyDescent="0.25">
      <c r="A196" t="str">
        <f t="shared" si="194"/>
        <v/>
      </c>
      <c r="B196" s="169" t="str">
        <f>IF('LC (Gross)'!A343="","",IF('LC (Gross)'!A343&gt;$AC$9,"",'LC (Gross)'!A343))</f>
        <v/>
      </c>
      <c r="C196" s="1" t="str">
        <f>IF(B196="","",(VLOOKUP(B196,'LC (Gross)'!A:D,4,FALSE)/100))</f>
        <v/>
      </c>
      <c r="D196" s="1" t="str">
        <f>IF(B196="","",(VLOOKUP(B196,'SC (Gross)'!A:D,4,FALSE))/100)</f>
        <v/>
      </c>
      <c r="E196" s="1" t="str">
        <f>IF(B196="","",(VLOOKUP(B196,'Global (Gross)'!A:D,4,FALSE)/100))</f>
        <v/>
      </c>
      <c r="F196" s="1" t="str">
        <f>IF(B196="","",(VLOOKUP(B196,'BOGIX (Gross)'!A:D,4,FALSE)/100))</f>
        <v/>
      </c>
      <c r="G196" s="1" t="str">
        <f>IF(B196="","",(VLOOKUP(B196,'LC (Net)'!A:D,4,FALSE)/100))</f>
        <v/>
      </c>
      <c r="H196" s="1" t="str">
        <f>IF(B196="","",(VLOOKUP(B196,'SC (Net)'!A:D,4,FALSE))/100)</f>
        <v/>
      </c>
      <c r="I196" s="1" t="str">
        <f>IF(B196="","",(VLOOKUP(B196,'Global (Net)'!A:D,4,FALSE)/100))</f>
        <v/>
      </c>
      <c r="J196" s="1" t="str">
        <f>IF(B196="","",(VLOOKUP(B196,'BOGIX (Net)'!A:D,4,FALSE)/100))</f>
        <v/>
      </c>
      <c r="K196" s="1" t="str">
        <f>IF(B196="","",VLOOKUP(Website!B196,'LC (Gross)'!W:X,2,FALSE)/100)</f>
        <v/>
      </c>
      <c r="L196" s="1" t="str">
        <f>IF(B196="","",VLOOKUP(Website!B196,'SC (Gross)'!P:Q,2,FALSE)/100)</f>
        <v/>
      </c>
      <c r="M196" s="1" t="str">
        <f>IF(B196="","",VLOOKUP(Website!B196,'Global (Gross)'!P:Q,2,FALSE)/100)</f>
        <v/>
      </c>
      <c r="O196" s="1" t="str">
        <f>IF(B196="","",VLOOKUP(Website!B196,'LC (Gross)'!J:K,2,FALSE)/100)</f>
        <v/>
      </c>
      <c r="P196" s="233" t="str">
        <f>IF(B196="","",(VLOOKUP(B196,'BOGIX (Gross)'!J:K,2,FALSE))/100)</f>
        <v/>
      </c>
      <c r="Q196" s="233" t="str">
        <f>IF(B196="","",(VLOOKUP(B196,'Global (Gross)'!J:K,2,FALSE)/100))</f>
        <v/>
      </c>
      <c r="S196" s="22" t="str">
        <f t="shared" si="196"/>
        <v/>
      </c>
      <c r="T196" s="22" t="str">
        <f t="shared" si="197"/>
        <v/>
      </c>
      <c r="U196" s="22" t="str">
        <f t="shared" si="198"/>
        <v/>
      </c>
      <c r="V196" s="22" t="str">
        <f t="shared" si="195"/>
        <v/>
      </c>
      <c r="W196" s="22" t="str">
        <f t="shared" ref="W196:W259" si="199">IF(O196="","",K196-O196)</f>
        <v/>
      </c>
      <c r="X196" s="22" t="str">
        <f t="shared" ref="X196:X259" si="200">IF(P196="","",L196-P196)</f>
        <v/>
      </c>
      <c r="Y196" s="22" t="str">
        <f t="shared" ref="Y196:Y259" si="201">IF(Q196="","",M196-Q196)</f>
        <v/>
      </c>
    </row>
    <row r="197" spans="1:25" x14ac:dyDescent="0.25">
      <c r="A197" t="str">
        <f t="shared" ref="A197:A260" si="202">IF(B197="","",A196+1)</f>
        <v/>
      </c>
      <c r="B197" s="169" t="str">
        <f>IF('LC (Gross)'!A344="","",IF('LC (Gross)'!A344&gt;$AC$9,"",'LC (Gross)'!A344))</f>
        <v/>
      </c>
      <c r="C197" s="1" t="str">
        <f>IF(B197="","",(VLOOKUP(B197,'LC (Gross)'!A:D,4,FALSE)/100))</f>
        <v/>
      </c>
      <c r="D197" s="1" t="str">
        <f>IF(B197="","",(VLOOKUP(B197,'SC (Gross)'!A:D,4,FALSE))/100)</f>
        <v/>
      </c>
      <c r="E197" s="1" t="str">
        <f>IF(B197="","",(VLOOKUP(B197,'Global (Gross)'!A:D,4,FALSE)/100))</f>
        <v/>
      </c>
      <c r="F197" s="1" t="str">
        <f>IF(B197="","",(VLOOKUP(B197,'BOGIX (Gross)'!A:D,4,FALSE)/100))</f>
        <v/>
      </c>
      <c r="G197" s="1" t="str">
        <f>IF(B197="","",(VLOOKUP(B197,'LC (Net)'!A:D,4,FALSE)/100))</f>
        <v/>
      </c>
      <c r="H197" s="1" t="str">
        <f>IF(B197="","",(VLOOKUP(B197,'SC (Net)'!A:D,4,FALSE))/100)</f>
        <v/>
      </c>
      <c r="I197" s="1" t="str">
        <f>IF(B197="","",(VLOOKUP(B197,'Global (Net)'!A:D,4,FALSE)/100))</f>
        <v/>
      </c>
      <c r="J197" s="1" t="str">
        <f>IF(B197="","",(VLOOKUP(B197,'BOGIX (Net)'!A:D,4,FALSE)/100))</f>
        <v/>
      </c>
      <c r="K197" s="1" t="str">
        <f>IF(B197="","",VLOOKUP(Website!B197,'LC (Gross)'!W:X,2,FALSE)/100)</f>
        <v/>
      </c>
      <c r="L197" s="1" t="str">
        <f>IF(B197="","",VLOOKUP(Website!B197,'SC (Gross)'!P:Q,2,FALSE)/100)</f>
        <v/>
      </c>
      <c r="M197" s="1" t="str">
        <f>IF(B197="","",VLOOKUP(Website!B197,'Global (Gross)'!P:Q,2,FALSE)/100)</f>
        <v/>
      </c>
      <c r="O197" s="1" t="str">
        <f>IF(B197="","",VLOOKUP(Website!B197,'LC (Gross)'!J:K,2,FALSE)/100)</f>
        <v/>
      </c>
      <c r="P197" s="233" t="str">
        <f>IF(B197="","",(VLOOKUP(B197,'BOGIX (Gross)'!J:K,2,FALSE))/100)</f>
        <v/>
      </c>
      <c r="Q197" s="233" t="str">
        <f>IF(B197="","",(VLOOKUP(B197,'Global (Gross)'!J:K,2,FALSE)/100))</f>
        <v/>
      </c>
      <c r="S197" s="22" t="str">
        <f t="shared" si="196"/>
        <v/>
      </c>
      <c r="T197" s="22" t="str">
        <f t="shared" si="197"/>
        <v/>
      </c>
      <c r="U197" s="22" t="str">
        <f t="shared" si="198"/>
        <v/>
      </c>
      <c r="V197" s="22" t="str">
        <f t="shared" si="195"/>
        <v/>
      </c>
      <c r="W197" s="22" t="str">
        <f t="shared" si="199"/>
        <v/>
      </c>
      <c r="X197" s="22" t="str">
        <f t="shared" si="200"/>
        <v/>
      </c>
      <c r="Y197" s="22" t="str">
        <f t="shared" si="201"/>
        <v/>
      </c>
    </row>
    <row r="198" spans="1:25" x14ac:dyDescent="0.25">
      <c r="A198" t="str">
        <f t="shared" si="202"/>
        <v/>
      </c>
      <c r="B198" s="169" t="str">
        <f>IF('LC (Gross)'!A345="","",IF('LC (Gross)'!A345&gt;$AC$9,"",'LC (Gross)'!A345))</f>
        <v/>
      </c>
      <c r="C198" s="1" t="str">
        <f>IF(B198="","",(VLOOKUP(B198,'LC (Gross)'!A:D,4,FALSE)/100))</f>
        <v/>
      </c>
      <c r="D198" s="1" t="str">
        <f>IF(B198="","",(VLOOKUP(B198,'SC (Gross)'!A:D,4,FALSE))/100)</f>
        <v/>
      </c>
      <c r="E198" s="1" t="str">
        <f>IF(B198="","",(VLOOKUP(B198,'Global (Gross)'!A:D,4,FALSE)/100))</f>
        <v/>
      </c>
      <c r="F198" s="1" t="str">
        <f>IF(B198="","",(VLOOKUP(B198,'BOGIX (Gross)'!A:D,4,FALSE)/100))</f>
        <v/>
      </c>
      <c r="G198" s="1" t="str">
        <f>IF(B198="","",(VLOOKUP(B198,'LC (Net)'!A:D,4,FALSE)/100))</f>
        <v/>
      </c>
      <c r="H198" s="1" t="str">
        <f>IF(B198="","",(VLOOKUP(B198,'SC (Net)'!A:D,4,FALSE))/100)</f>
        <v/>
      </c>
      <c r="I198" s="1" t="str">
        <f>IF(B198="","",(VLOOKUP(B198,'Global (Net)'!A:D,4,FALSE)/100))</f>
        <v/>
      </c>
      <c r="J198" s="1" t="str">
        <f>IF(B198="","",(VLOOKUP(B198,'BOGIX (Net)'!A:D,4,FALSE)/100))</f>
        <v/>
      </c>
      <c r="K198" s="1" t="str">
        <f>IF(B198="","",VLOOKUP(Website!B198,'LC (Gross)'!W:X,2,FALSE)/100)</f>
        <v/>
      </c>
      <c r="L198" s="1" t="str">
        <f>IF(B198="","",VLOOKUP(Website!B198,'SC (Gross)'!P:Q,2,FALSE)/100)</f>
        <v/>
      </c>
      <c r="M198" s="1" t="str">
        <f>IF(B198="","",VLOOKUP(Website!B198,'Global (Gross)'!P:Q,2,FALSE)/100)</f>
        <v/>
      </c>
      <c r="O198" s="1" t="str">
        <f>IF(B198="","",VLOOKUP(Website!B198,'LC (Gross)'!J:K,2,FALSE)/100)</f>
        <v/>
      </c>
      <c r="P198" s="233" t="str">
        <f>IF(B198="","",(VLOOKUP(B198,'BOGIX (Gross)'!J:K,2,FALSE))/100)</f>
        <v/>
      </c>
      <c r="Q198" s="233" t="str">
        <f>IF(B198="","",(VLOOKUP(B198,'Global (Gross)'!J:K,2,FALSE)/100))</f>
        <v/>
      </c>
      <c r="S198" s="22" t="str">
        <f t="shared" si="196"/>
        <v/>
      </c>
      <c r="T198" s="22" t="str">
        <f t="shared" si="197"/>
        <v/>
      </c>
      <c r="U198" s="22" t="str">
        <f t="shared" si="198"/>
        <v/>
      </c>
      <c r="V198" s="22" t="str">
        <f t="shared" si="195"/>
        <v/>
      </c>
      <c r="W198" s="22" t="str">
        <f t="shared" si="199"/>
        <v/>
      </c>
      <c r="X198" s="22" t="str">
        <f t="shared" si="200"/>
        <v/>
      </c>
      <c r="Y198" s="22" t="str">
        <f t="shared" si="201"/>
        <v/>
      </c>
    </row>
    <row r="199" spans="1:25" x14ac:dyDescent="0.25">
      <c r="A199" t="str">
        <f t="shared" si="202"/>
        <v/>
      </c>
      <c r="B199" s="169" t="str">
        <f>IF('LC (Gross)'!A346="","",IF('LC (Gross)'!A346&gt;$AC$9,"",'LC (Gross)'!A346))</f>
        <v/>
      </c>
      <c r="C199" s="1" t="str">
        <f>IF(B199="","",(VLOOKUP(B199,'LC (Gross)'!A:D,4,FALSE)/100))</f>
        <v/>
      </c>
      <c r="D199" s="1" t="str">
        <f>IF(B199="","",(VLOOKUP(B199,'SC (Gross)'!A:D,4,FALSE))/100)</f>
        <v/>
      </c>
      <c r="E199" s="1" t="str">
        <f>IF(B199="","",(VLOOKUP(B199,'Global (Gross)'!A:D,4,FALSE)/100))</f>
        <v/>
      </c>
      <c r="F199" s="1" t="str">
        <f>IF(B199="","",(VLOOKUP(B199,'BOGIX (Gross)'!A:D,4,FALSE)/100))</f>
        <v/>
      </c>
      <c r="G199" s="1" t="str">
        <f>IF(B199="","",(VLOOKUP(B199,'LC (Net)'!A:D,4,FALSE)/100))</f>
        <v/>
      </c>
      <c r="H199" s="1" t="str">
        <f>IF(B199="","",(VLOOKUP(B199,'SC (Net)'!A:D,4,FALSE))/100)</f>
        <v/>
      </c>
      <c r="I199" s="1" t="str">
        <f>IF(B199="","",(VLOOKUP(B199,'Global (Net)'!A:D,4,FALSE)/100))</f>
        <v/>
      </c>
      <c r="J199" s="1" t="str">
        <f>IF(B199="","",(VLOOKUP(B199,'BOGIX (Net)'!A:D,4,FALSE)/100))</f>
        <v/>
      </c>
      <c r="K199" s="1" t="str">
        <f>IF(B199="","",VLOOKUP(Website!B199,'LC (Gross)'!W:X,2,FALSE)/100)</f>
        <v/>
      </c>
      <c r="L199" s="1" t="str">
        <f>IF(B199="","",VLOOKUP(Website!B199,'SC (Gross)'!P:Q,2,FALSE)/100)</f>
        <v/>
      </c>
      <c r="M199" s="1" t="str">
        <f>IF(B199="","",VLOOKUP(Website!B199,'Global (Gross)'!P:Q,2,FALSE)/100)</f>
        <v/>
      </c>
      <c r="O199" s="1" t="str">
        <f>IF(B199="","",VLOOKUP(Website!B199,'LC (Gross)'!J:K,2,FALSE)/100)</f>
        <v/>
      </c>
      <c r="P199" s="233" t="str">
        <f>IF(B199="","",(VLOOKUP(B199,'BOGIX (Gross)'!J:K,2,FALSE))/100)</f>
        <v/>
      </c>
      <c r="Q199" s="233" t="str">
        <f>IF(B199="","",(VLOOKUP(B199,'Global (Gross)'!J:K,2,FALSE)/100))</f>
        <v/>
      </c>
      <c r="S199" s="22" t="str">
        <f t="shared" si="196"/>
        <v/>
      </c>
      <c r="T199" s="22" t="str">
        <f t="shared" si="197"/>
        <v/>
      </c>
      <c r="U199" s="22" t="str">
        <f t="shared" si="198"/>
        <v/>
      </c>
      <c r="V199" s="22" t="str">
        <f t="shared" si="195"/>
        <v/>
      </c>
      <c r="W199" s="22" t="str">
        <f t="shared" si="199"/>
        <v/>
      </c>
      <c r="X199" s="22" t="str">
        <f t="shared" si="200"/>
        <v/>
      </c>
      <c r="Y199" s="22" t="str">
        <f t="shared" si="201"/>
        <v/>
      </c>
    </row>
    <row r="200" spans="1:25" x14ac:dyDescent="0.25">
      <c r="A200" t="str">
        <f t="shared" si="202"/>
        <v/>
      </c>
      <c r="B200" s="169" t="str">
        <f>IF('LC (Gross)'!A347="","",IF('LC (Gross)'!A347&gt;$AC$9,"",'LC (Gross)'!A347))</f>
        <v/>
      </c>
      <c r="C200" s="1" t="str">
        <f>IF(B200="","",(VLOOKUP(B200,'LC (Gross)'!A:D,4,FALSE)/100))</f>
        <v/>
      </c>
      <c r="D200" s="1" t="str">
        <f>IF(B200="","",(VLOOKUP(B200,'SC (Gross)'!A:D,4,FALSE))/100)</f>
        <v/>
      </c>
      <c r="E200" s="1" t="str">
        <f>IF(B200="","",(VLOOKUP(B200,'Global (Gross)'!A:D,4,FALSE)/100))</f>
        <v/>
      </c>
      <c r="F200" s="1" t="str">
        <f>IF(B200="","",(VLOOKUP(B200,'BOGIX (Gross)'!A:D,4,FALSE)/100))</f>
        <v/>
      </c>
      <c r="G200" s="1" t="str">
        <f>IF(B200="","",(VLOOKUP(B200,'LC (Net)'!A:D,4,FALSE)/100))</f>
        <v/>
      </c>
      <c r="H200" s="1" t="str">
        <f>IF(B200="","",(VLOOKUP(B200,'SC (Net)'!A:D,4,FALSE))/100)</f>
        <v/>
      </c>
      <c r="I200" s="1" t="str">
        <f>IF(B200="","",(VLOOKUP(B200,'Global (Net)'!A:D,4,FALSE)/100))</f>
        <v/>
      </c>
      <c r="J200" s="1" t="str">
        <f>IF(B200="","",(VLOOKUP(B200,'BOGIX (Net)'!A:D,4,FALSE)/100))</f>
        <v/>
      </c>
      <c r="K200" s="1" t="str">
        <f>IF(B200="","",VLOOKUP(Website!B200,'LC (Gross)'!W:X,2,FALSE)/100)</f>
        <v/>
      </c>
      <c r="L200" s="1" t="str">
        <f>IF(B200="","",VLOOKUP(Website!B200,'SC (Gross)'!P:Q,2,FALSE)/100)</f>
        <v/>
      </c>
      <c r="M200" s="1" t="str">
        <f>IF(B200="","",VLOOKUP(Website!B200,'Global (Gross)'!P:Q,2,FALSE)/100)</f>
        <v/>
      </c>
      <c r="O200" s="1" t="str">
        <f>IF(B200="","",VLOOKUP(Website!B200,'LC (Gross)'!J:K,2,FALSE)/100)</f>
        <v/>
      </c>
      <c r="P200" s="233" t="str">
        <f>IF(B200="","",(VLOOKUP(B200,'BOGIX (Gross)'!J:K,2,FALSE))/100)</f>
        <v/>
      </c>
      <c r="Q200" s="233" t="str">
        <f>IF(B200="","",(VLOOKUP(B200,'Global (Gross)'!J:K,2,FALSE)/100))</f>
        <v/>
      </c>
      <c r="S200" s="22" t="str">
        <f t="shared" si="196"/>
        <v/>
      </c>
      <c r="T200" s="22" t="str">
        <f t="shared" si="197"/>
        <v/>
      </c>
      <c r="U200" s="22" t="str">
        <f t="shared" si="198"/>
        <v/>
      </c>
      <c r="V200" s="22" t="str">
        <f t="shared" si="195"/>
        <v/>
      </c>
      <c r="W200" s="22" t="str">
        <f t="shared" si="199"/>
        <v/>
      </c>
      <c r="X200" s="22" t="str">
        <f t="shared" si="200"/>
        <v/>
      </c>
      <c r="Y200" s="22" t="str">
        <f t="shared" si="201"/>
        <v/>
      </c>
    </row>
    <row r="201" spans="1:25" x14ac:dyDescent="0.25">
      <c r="A201" t="str">
        <f t="shared" si="202"/>
        <v/>
      </c>
      <c r="B201" s="169" t="str">
        <f>IF('LC (Gross)'!A348="","",IF('LC (Gross)'!A348&gt;$AC$9,"",'LC (Gross)'!A348))</f>
        <v/>
      </c>
      <c r="C201" s="1" t="str">
        <f>IF(B201="","",(VLOOKUP(B201,'LC (Gross)'!A:D,4,FALSE)/100))</f>
        <v/>
      </c>
      <c r="D201" s="1" t="str">
        <f>IF(B201="","",(VLOOKUP(B201,'SC (Gross)'!A:D,4,FALSE))/100)</f>
        <v/>
      </c>
      <c r="E201" s="1" t="str">
        <f>IF(B201="","",(VLOOKUP(B201,'Global (Gross)'!A:D,4,FALSE)/100))</f>
        <v/>
      </c>
      <c r="F201" s="1" t="str">
        <f>IF(B201="","",(VLOOKUP(B201,'BOGIX (Gross)'!A:D,4,FALSE)/100))</f>
        <v/>
      </c>
      <c r="G201" s="1" t="str">
        <f>IF(B201="","",(VLOOKUP(B201,'LC (Net)'!A:D,4,FALSE)/100))</f>
        <v/>
      </c>
      <c r="H201" s="1" t="str">
        <f>IF(B201="","",(VLOOKUP(B201,'SC (Net)'!A:D,4,FALSE))/100)</f>
        <v/>
      </c>
      <c r="I201" s="1" t="str">
        <f>IF(B201="","",(VLOOKUP(B201,'Global (Net)'!A:D,4,FALSE)/100))</f>
        <v/>
      </c>
      <c r="J201" s="1" t="str">
        <f>IF(B201="","",(VLOOKUP(B201,'BOGIX (Net)'!A:D,4,FALSE)/100))</f>
        <v/>
      </c>
      <c r="K201" s="1" t="str">
        <f>IF(B201="","",VLOOKUP(Website!B201,'LC (Gross)'!W:X,2,FALSE)/100)</f>
        <v/>
      </c>
      <c r="L201" s="1" t="str">
        <f>IF(B201="","",VLOOKUP(Website!B201,'SC (Gross)'!P:Q,2,FALSE)/100)</f>
        <v/>
      </c>
      <c r="M201" s="1" t="str">
        <f>IF(B201="","",VLOOKUP(Website!B201,'Global (Gross)'!P:Q,2,FALSE)/100)</f>
        <v/>
      </c>
      <c r="O201" s="1" t="str">
        <f>IF(B201="","",VLOOKUP(Website!B201,'LC (Gross)'!J:K,2,FALSE)/100)</f>
        <v/>
      </c>
      <c r="P201" s="233" t="str">
        <f>IF(B201="","",(VLOOKUP(B201,'BOGIX (Gross)'!J:K,2,FALSE))/100)</f>
        <v/>
      </c>
      <c r="Q201" s="233" t="str">
        <f>IF(B201="","",(VLOOKUP(B201,'Global (Gross)'!J:K,2,FALSE)/100))</f>
        <v/>
      </c>
      <c r="S201" s="22" t="str">
        <f t="shared" si="196"/>
        <v/>
      </c>
      <c r="T201" s="22" t="str">
        <f t="shared" si="197"/>
        <v/>
      </c>
      <c r="U201" s="22" t="str">
        <f t="shared" si="198"/>
        <v/>
      </c>
      <c r="V201" s="22" t="str">
        <f t="shared" si="195"/>
        <v/>
      </c>
      <c r="W201" s="22" t="str">
        <f t="shared" si="199"/>
        <v/>
      </c>
      <c r="X201" s="22" t="str">
        <f t="shared" si="200"/>
        <v/>
      </c>
      <c r="Y201" s="22" t="str">
        <f t="shared" si="201"/>
        <v/>
      </c>
    </row>
    <row r="202" spans="1:25" x14ac:dyDescent="0.25">
      <c r="A202" t="str">
        <f t="shared" si="202"/>
        <v/>
      </c>
      <c r="B202" s="169" t="str">
        <f>IF('LC (Gross)'!A349="","",IF('LC (Gross)'!A349&gt;$AC$9,"",'LC (Gross)'!A349))</f>
        <v/>
      </c>
      <c r="C202" s="1" t="str">
        <f>IF(B202="","",(VLOOKUP(B202,'LC (Gross)'!A:D,4,FALSE)/100))</f>
        <v/>
      </c>
      <c r="D202" s="1" t="str">
        <f>IF(B202="","",(VLOOKUP(B202,'SC (Gross)'!A:D,4,FALSE))/100)</f>
        <v/>
      </c>
      <c r="E202" s="1" t="str">
        <f>IF(B202="","",(VLOOKUP(B202,'Global (Gross)'!A:D,4,FALSE)/100))</f>
        <v/>
      </c>
      <c r="F202" s="1" t="str">
        <f>IF(B202="","",(VLOOKUP(B202,'BOGIX (Gross)'!A:D,4,FALSE)/100))</f>
        <v/>
      </c>
      <c r="G202" s="1" t="str">
        <f>IF(B202="","",(VLOOKUP(B202,'LC (Net)'!A:D,4,FALSE)/100))</f>
        <v/>
      </c>
      <c r="H202" s="1" t="str">
        <f>IF(B202="","",(VLOOKUP(B202,'SC (Net)'!A:D,4,FALSE))/100)</f>
        <v/>
      </c>
      <c r="I202" s="1" t="str">
        <f>IF(B202="","",(VLOOKUP(B202,'Global (Net)'!A:D,4,FALSE)/100))</f>
        <v/>
      </c>
      <c r="J202" s="1" t="str">
        <f>IF(B202="","",(VLOOKUP(B202,'BOGIX (Net)'!A:D,4,FALSE)/100))</f>
        <v/>
      </c>
      <c r="K202" s="1" t="str">
        <f>IF(B202="","",VLOOKUP(Website!B202,'LC (Gross)'!W:X,2,FALSE)/100)</f>
        <v/>
      </c>
      <c r="L202" s="1" t="str">
        <f>IF(B202="","",VLOOKUP(Website!B202,'SC (Gross)'!P:Q,2,FALSE)/100)</f>
        <v/>
      </c>
      <c r="M202" s="1" t="str">
        <f>IF(B202="","",VLOOKUP(Website!B202,'Global (Gross)'!P:Q,2,FALSE)/100)</f>
        <v/>
      </c>
      <c r="O202" s="1" t="str">
        <f>IF(B202="","",VLOOKUP(Website!B202,'LC (Gross)'!J:K,2,FALSE)/100)</f>
        <v/>
      </c>
      <c r="P202" s="233" t="str">
        <f>IF(B202="","",(VLOOKUP(B202,'BOGIX (Gross)'!J:K,2,FALSE))/100)</f>
        <v/>
      </c>
      <c r="Q202" s="233" t="str">
        <f>IF(B202="","",(VLOOKUP(B202,'Global (Gross)'!J:K,2,FALSE)/100))</f>
        <v/>
      </c>
      <c r="S202" s="22" t="str">
        <f t="shared" si="196"/>
        <v/>
      </c>
      <c r="T202" s="22" t="str">
        <f t="shared" si="197"/>
        <v/>
      </c>
      <c r="U202" s="22" t="str">
        <f t="shared" si="198"/>
        <v/>
      </c>
      <c r="V202" s="22" t="str">
        <f t="shared" si="195"/>
        <v/>
      </c>
      <c r="W202" s="22" t="str">
        <f t="shared" si="199"/>
        <v/>
      </c>
      <c r="X202" s="22" t="str">
        <f t="shared" si="200"/>
        <v/>
      </c>
      <c r="Y202" s="22" t="str">
        <f t="shared" si="201"/>
        <v/>
      </c>
    </row>
    <row r="203" spans="1:25" x14ac:dyDescent="0.25">
      <c r="A203" t="str">
        <f t="shared" si="202"/>
        <v/>
      </c>
      <c r="B203" s="169" t="str">
        <f>IF('LC (Gross)'!A350="","",IF('LC (Gross)'!A350&gt;$AC$9,"",'LC (Gross)'!A350))</f>
        <v/>
      </c>
      <c r="C203" s="1" t="str">
        <f>IF(B203="","",(VLOOKUP(B203,'LC (Gross)'!A:D,4,FALSE)/100))</f>
        <v/>
      </c>
      <c r="D203" s="1" t="str">
        <f>IF(B203="","",(VLOOKUP(B203,'SC (Gross)'!A:D,4,FALSE))/100)</f>
        <v/>
      </c>
      <c r="E203" s="1" t="str">
        <f>IF(B203="","",(VLOOKUP(B203,'Global (Gross)'!A:D,4,FALSE)/100))</f>
        <v/>
      </c>
      <c r="F203" s="1" t="str">
        <f>IF(B203="","",(VLOOKUP(B203,'BOGIX (Gross)'!A:D,4,FALSE)/100))</f>
        <v/>
      </c>
      <c r="G203" s="1" t="str">
        <f>IF(B203="","",(VLOOKUP(B203,'LC (Net)'!A:D,4,FALSE)/100))</f>
        <v/>
      </c>
      <c r="H203" s="1" t="str">
        <f>IF(B203="","",(VLOOKUP(B203,'SC (Net)'!A:D,4,FALSE))/100)</f>
        <v/>
      </c>
      <c r="I203" s="1" t="str">
        <f>IF(B203="","",(VLOOKUP(B203,'Global (Net)'!A:D,4,FALSE)/100))</f>
        <v/>
      </c>
      <c r="J203" s="1" t="str">
        <f>IF(B203="","",(VLOOKUP(B203,'BOGIX (Net)'!A:D,4,FALSE)/100))</f>
        <v/>
      </c>
      <c r="K203" s="1" t="str">
        <f>IF(B203="","",VLOOKUP(Website!B203,'LC (Gross)'!W:X,2,FALSE)/100)</f>
        <v/>
      </c>
      <c r="L203" s="1" t="str">
        <f>IF(B203="","",VLOOKUP(Website!B203,'SC (Gross)'!P:Q,2,FALSE)/100)</f>
        <v/>
      </c>
      <c r="M203" s="1" t="str">
        <f>IF(B203="","",VLOOKUP(Website!B203,'Global (Gross)'!P:Q,2,FALSE)/100)</f>
        <v/>
      </c>
      <c r="O203" s="1" t="str">
        <f>IF(B203="","",VLOOKUP(Website!B203,'LC (Gross)'!J:K,2,FALSE)/100)</f>
        <v/>
      </c>
      <c r="P203" s="233" t="str">
        <f>IF(B203="","",(VLOOKUP(B203,'BOGIX (Gross)'!J:K,2,FALSE))/100)</f>
        <v/>
      </c>
      <c r="Q203" s="233" t="str">
        <f>IF(B203="","",(VLOOKUP(B203,'Global (Gross)'!J:K,2,FALSE)/100))</f>
        <v/>
      </c>
      <c r="S203" s="22" t="str">
        <f t="shared" si="196"/>
        <v/>
      </c>
      <c r="T203" s="22" t="str">
        <f t="shared" si="197"/>
        <v/>
      </c>
      <c r="U203" s="22" t="str">
        <f t="shared" si="198"/>
        <v/>
      </c>
      <c r="V203" s="22" t="str">
        <f t="shared" si="195"/>
        <v/>
      </c>
      <c r="W203" s="22" t="str">
        <f t="shared" si="199"/>
        <v/>
      </c>
      <c r="X203" s="22" t="str">
        <f t="shared" si="200"/>
        <v/>
      </c>
      <c r="Y203" s="22" t="str">
        <f t="shared" si="201"/>
        <v/>
      </c>
    </row>
    <row r="204" spans="1:25" x14ac:dyDescent="0.25">
      <c r="A204" t="str">
        <f t="shared" si="202"/>
        <v/>
      </c>
      <c r="B204" s="169" t="str">
        <f>IF('LC (Gross)'!A351="","",IF('LC (Gross)'!A351&gt;$AC$9,"",'LC (Gross)'!A351))</f>
        <v/>
      </c>
      <c r="C204" s="1" t="str">
        <f>IF(B204="","",(VLOOKUP(B204,'LC (Gross)'!A:D,4,FALSE)/100))</f>
        <v/>
      </c>
      <c r="D204" s="1" t="str">
        <f>IF(B204="","",(VLOOKUP(B204,'SC (Gross)'!A:D,4,FALSE))/100)</f>
        <v/>
      </c>
      <c r="E204" s="1" t="str">
        <f>IF(B204="","",(VLOOKUP(B204,'Global (Gross)'!A:D,4,FALSE)/100))</f>
        <v/>
      </c>
      <c r="F204" s="1" t="str">
        <f>IF(B204="","",(VLOOKUP(B204,'BOGIX (Gross)'!A:D,4,FALSE)/100))</f>
        <v/>
      </c>
      <c r="G204" s="1" t="str">
        <f>IF(B204="","",(VLOOKUP(B204,'LC (Net)'!A:D,4,FALSE)/100))</f>
        <v/>
      </c>
      <c r="H204" s="1" t="str">
        <f>IF(B204="","",(VLOOKUP(B204,'SC (Net)'!A:D,4,FALSE))/100)</f>
        <v/>
      </c>
      <c r="I204" s="1" t="str">
        <f>IF(B204="","",(VLOOKUP(B204,'Global (Net)'!A:D,4,FALSE)/100))</f>
        <v/>
      </c>
      <c r="J204" s="1" t="str">
        <f>IF(B204="","",(VLOOKUP(B204,'BOGIX (Net)'!A:D,4,FALSE)/100))</f>
        <v/>
      </c>
      <c r="K204" s="1" t="str">
        <f>IF(B204="","",VLOOKUP(Website!B204,'LC (Gross)'!W:X,2,FALSE)/100)</f>
        <v/>
      </c>
      <c r="L204" s="1" t="str">
        <f>IF(B204="","",VLOOKUP(Website!B204,'SC (Gross)'!P:Q,2,FALSE)/100)</f>
        <v/>
      </c>
      <c r="M204" s="1" t="str">
        <f>IF(B204="","",VLOOKUP(Website!B204,'Global (Gross)'!P:Q,2,FALSE)/100)</f>
        <v/>
      </c>
      <c r="O204" s="1" t="str">
        <f>IF(B204="","",VLOOKUP(Website!B204,'LC (Gross)'!J:K,2,FALSE)/100)</f>
        <v/>
      </c>
      <c r="P204" s="233" t="str">
        <f>IF(B204="","",(VLOOKUP(B204,'BOGIX (Gross)'!J:K,2,FALSE))/100)</f>
        <v/>
      </c>
      <c r="Q204" s="233" t="str">
        <f>IF(B204="","",(VLOOKUP(B204,'Global (Gross)'!J:K,2,FALSE)/100))</f>
        <v/>
      </c>
      <c r="S204" s="22" t="str">
        <f t="shared" si="196"/>
        <v/>
      </c>
      <c r="T204" s="22" t="str">
        <f t="shared" si="197"/>
        <v/>
      </c>
      <c r="U204" s="22" t="str">
        <f t="shared" si="198"/>
        <v/>
      </c>
      <c r="V204" s="22" t="str">
        <f t="shared" si="195"/>
        <v/>
      </c>
      <c r="W204" s="22" t="str">
        <f t="shared" si="199"/>
        <v/>
      </c>
      <c r="X204" s="22" t="str">
        <f t="shared" si="200"/>
        <v/>
      </c>
      <c r="Y204" s="22" t="str">
        <f t="shared" si="201"/>
        <v/>
      </c>
    </row>
    <row r="205" spans="1:25" x14ac:dyDescent="0.25">
      <c r="A205" t="str">
        <f t="shared" si="202"/>
        <v/>
      </c>
      <c r="B205" s="169" t="str">
        <f>IF('LC (Gross)'!A352="","",IF('LC (Gross)'!A352&gt;$AC$9,"",'LC (Gross)'!A352))</f>
        <v/>
      </c>
      <c r="C205" s="1" t="str">
        <f>IF(B205="","",(VLOOKUP(B205,'LC (Gross)'!A:D,4,FALSE)/100))</f>
        <v/>
      </c>
      <c r="D205" s="1" t="str">
        <f>IF(B205="","",(VLOOKUP(B205,'SC (Gross)'!A:D,4,FALSE))/100)</f>
        <v/>
      </c>
      <c r="E205" s="1" t="str">
        <f>IF(B205="","",(VLOOKUP(B205,'Global (Gross)'!A:D,4,FALSE)/100))</f>
        <v/>
      </c>
      <c r="F205" s="1" t="str">
        <f>IF(B205="","",(VLOOKUP(B205,'BOGIX (Gross)'!A:D,4,FALSE)/100))</f>
        <v/>
      </c>
      <c r="G205" s="1" t="str">
        <f>IF(B205="","",(VLOOKUP(B205,'LC (Net)'!A:D,4,FALSE)/100))</f>
        <v/>
      </c>
      <c r="H205" s="1" t="str">
        <f>IF(B205="","",(VLOOKUP(B205,'SC (Net)'!A:D,4,FALSE))/100)</f>
        <v/>
      </c>
      <c r="I205" s="1" t="str">
        <f>IF(B205="","",(VLOOKUP(B205,'Global (Net)'!A:D,4,FALSE)/100))</f>
        <v/>
      </c>
      <c r="J205" s="1" t="str">
        <f>IF(B205="","",(VLOOKUP(B205,'BOGIX (Net)'!A:D,4,FALSE)/100))</f>
        <v/>
      </c>
      <c r="K205" s="1" t="str">
        <f>IF(B205="","",VLOOKUP(Website!B205,'LC (Gross)'!W:X,2,FALSE)/100)</f>
        <v/>
      </c>
      <c r="L205" s="1" t="str">
        <f>IF(B205="","",VLOOKUP(Website!B205,'SC (Gross)'!P:Q,2,FALSE)/100)</f>
        <v/>
      </c>
      <c r="M205" s="1" t="str">
        <f>IF(B205="","",VLOOKUP(Website!B205,'Global (Gross)'!P:Q,2,FALSE)/100)</f>
        <v/>
      </c>
      <c r="O205" s="1" t="str">
        <f>IF(B205="","",VLOOKUP(Website!B205,'LC (Gross)'!J:K,2,FALSE)/100)</f>
        <v/>
      </c>
      <c r="P205" s="233" t="str">
        <f>IF(B205="","",(VLOOKUP(B205,'BOGIX (Gross)'!J:K,2,FALSE))/100)</f>
        <v/>
      </c>
      <c r="Q205" s="233" t="str">
        <f>IF(B205="","",(VLOOKUP(B205,'Global (Gross)'!J:K,2,FALSE)/100))</f>
        <v/>
      </c>
      <c r="S205" s="22" t="str">
        <f t="shared" si="196"/>
        <v/>
      </c>
      <c r="T205" s="22" t="str">
        <f t="shared" si="197"/>
        <v/>
      </c>
      <c r="U205" s="22" t="str">
        <f t="shared" si="198"/>
        <v/>
      </c>
      <c r="V205" s="22" t="str">
        <f t="shared" si="195"/>
        <v/>
      </c>
      <c r="W205" s="22" t="str">
        <f t="shared" si="199"/>
        <v/>
      </c>
      <c r="X205" s="22" t="str">
        <f t="shared" si="200"/>
        <v/>
      </c>
      <c r="Y205" s="22" t="str">
        <f t="shared" si="201"/>
        <v/>
      </c>
    </row>
    <row r="206" spans="1:25" x14ac:dyDescent="0.25">
      <c r="A206" t="str">
        <f t="shared" si="202"/>
        <v/>
      </c>
      <c r="B206" s="169" t="str">
        <f>IF('LC (Gross)'!A353="","",IF('LC (Gross)'!A353&gt;$AC$9,"",'LC (Gross)'!A353))</f>
        <v/>
      </c>
      <c r="C206" s="1" t="str">
        <f>IF(B206="","",(VLOOKUP(B206,'LC (Gross)'!A:D,4,FALSE)/100))</f>
        <v/>
      </c>
      <c r="D206" s="1" t="str">
        <f>IF(B206="","",(VLOOKUP(B206,'SC (Gross)'!A:D,4,FALSE))/100)</f>
        <v/>
      </c>
      <c r="E206" s="1" t="str">
        <f>IF(B206="","",(VLOOKUP(B206,'Global (Gross)'!A:D,4,FALSE)/100))</f>
        <v/>
      </c>
      <c r="F206" s="1" t="str">
        <f>IF(B206="","",(VLOOKUP(B206,'BOGIX (Gross)'!A:D,4,FALSE)/100))</f>
        <v/>
      </c>
      <c r="G206" s="1" t="str">
        <f>IF(B206="","",(VLOOKUP(B206,'LC (Net)'!A:D,4,FALSE)/100))</f>
        <v/>
      </c>
      <c r="H206" s="1" t="str">
        <f>IF(B206="","",(VLOOKUP(B206,'SC (Net)'!A:D,4,FALSE))/100)</f>
        <v/>
      </c>
      <c r="I206" s="1" t="str">
        <f>IF(B206="","",(VLOOKUP(B206,'Global (Net)'!A:D,4,FALSE)/100))</f>
        <v/>
      </c>
      <c r="J206" s="1" t="str">
        <f>IF(B206="","",(VLOOKUP(B206,'BOGIX (Net)'!A:D,4,FALSE)/100))</f>
        <v/>
      </c>
      <c r="K206" s="1" t="str">
        <f>IF(B206="","",VLOOKUP(Website!B206,'LC (Gross)'!W:X,2,FALSE)/100)</f>
        <v/>
      </c>
      <c r="L206" s="1" t="str">
        <f>IF(B206="","",VLOOKUP(Website!B206,'SC (Gross)'!P:Q,2,FALSE)/100)</f>
        <v/>
      </c>
      <c r="M206" s="1" t="str">
        <f>IF(B206="","",VLOOKUP(Website!B206,'Global (Gross)'!P:Q,2,FALSE)/100)</f>
        <v/>
      </c>
      <c r="O206" s="1" t="str">
        <f>IF(B206="","",VLOOKUP(Website!B206,'LC (Gross)'!J:K,2,FALSE)/100)</f>
        <v/>
      </c>
      <c r="P206" s="233" t="str">
        <f>IF(B206="","",(VLOOKUP(B206,'BOGIX (Gross)'!J:K,2,FALSE))/100)</f>
        <v/>
      </c>
      <c r="Q206" s="233" t="str">
        <f>IF(B206="","",(VLOOKUP(B206,'Global (Gross)'!J:K,2,FALSE)/100))</f>
        <v/>
      </c>
      <c r="S206" s="22" t="str">
        <f t="shared" si="196"/>
        <v/>
      </c>
      <c r="T206" s="22" t="str">
        <f t="shared" si="197"/>
        <v/>
      </c>
      <c r="U206" s="22" t="str">
        <f t="shared" si="198"/>
        <v/>
      </c>
      <c r="V206" s="22" t="str">
        <f t="shared" si="195"/>
        <v/>
      </c>
      <c r="W206" s="22" t="str">
        <f t="shared" si="199"/>
        <v/>
      </c>
      <c r="X206" s="22" t="str">
        <f t="shared" si="200"/>
        <v/>
      </c>
      <c r="Y206" s="22" t="str">
        <f t="shared" si="201"/>
        <v/>
      </c>
    </row>
    <row r="207" spans="1:25" x14ac:dyDescent="0.25">
      <c r="A207" t="str">
        <f t="shared" si="202"/>
        <v/>
      </c>
      <c r="B207" s="169" t="str">
        <f>IF('LC (Gross)'!A354="","",IF('LC (Gross)'!A354&gt;$AC$9,"",'LC (Gross)'!A354))</f>
        <v/>
      </c>
      <c r="C207" s="1" t="str">
        <f>IF(B207="","",(VLOOKUP(B207,'LC (Gross)'!A:D,4,FALSE)/100))</f>
        <v/>
      </c>
      <c r="D207" s="1" t="str">
        <f>IF(B207="","",(VLOOKUP(B207,'SC (Gross)'!A:D,4,FALSE))/100)</f>
        <v/>
      </c>
      <c r="E207" s="1" t="str">
        <f>IF(B207="","",(VLOOKUP(B207,'Global (Gross)'!A:D,4,FALSE)/100))</f>
        <v/>
      </c>
      <c r="F207" s="1" t="str">
        <f>IF(B207="","",(VLOOKUP(B207,'BOGIX (Gross)'!A:D,4,FALSE)/100))</f>
        <v/>
      </c>
      <c r="G207" s="1" t="str">
        <f>IF(B207="","",(VLOOKUP(B207,'LC (Net)'!A:D,4,FALSE)/100))</f>
        <v/>
      </c>
      <c r="H207" s="1" t="str">
        <f>IF(B207="","",(VLOOKUP(B207,'SC (Net)'!A:D,4,FALSE))/100)</f>
        <v/>
      </c>
      <c r="I207" s="1" t="str">
        <f>IF(B207="","",(VLOOKUP(B207,'Global (Net)'!A:D,4,FALSE)/100))</f>
        <v/>
      </c>
      <c r="J207" s="1" t="str">
        <f>IF(B207="","",(VLOOKUP(B207,'BOGIX (Net)'!A:D,4,FALSE)/100))</f>
        <v/>
      </c>
      <c r="K207" s="1" t="str">
        <f>IF(B207="","",VLOOKUP(Website!B207,'LC (Gross)'!W:X,2,FALSE)/100)</f>
        <v/>
      </c>
      <c r="L207" s="1" t="str">
        <f>IF(B207="","",VLOOKUP(Website!B207,'SC (Gross)'!P:Q,2,FALSE)/100)</f>
        <v/>
      </c>
      <c r="M207" s="1" t="str">
        <f>IF(B207="","",VLOOKUP(Website!B207,'Global (Gross)'!P:Q,2,FALSE)/100)</f>
        <v/>
      </c>
      <c r="O207" s="1" t="str">
        <f>IF(B207="","",VLOOKUP(Website!B207,'LC (Gross)'!J:K,2,FALSE)/100)</f>
        <v/>
      </c>
      <c r="P207" s="233" t="str">
        <f>IF(B207="","",(VLOOKUP(B207,'BOGIX (Gross)'!J:K,2,FALSE))/100)</f>
        <v/>
      </c>
      <c r="Q207" s="233" t="str">
        <f>IF(B207="","",(VLOOKUP(B207,'Global (Gross)'!J:K,2,FALSE)/100))</f>
        <v/>
      </c>
      <c r="S207" s="22" t="str">
        <f t="shared" si="196"/>
        <v/>
      </c>
      <c r="T207" s="22" t="str">
        <f t="shared" si="197"/>
        <v/>
      </c>
      <c r="U207" s="22" t="str">
        <f t="shared" si="198"/>
        <v/>
      </c>
      <c r="V207" s="22" t="str">
        <f t="shared" si="195"/>
        <v/>
      </c>
      <c r="W207" s="22" t="str">
        <f t="shared" si="199"/>
        <v/>
      </c>
      <c r="X207" s="22" t="str">
        <f t="shared" si="200"/>
        <v/>
      </c>
      <c r="Y207" s="22" t="str">
        <f t="shared" si="201"/>
        <v/>
      </c>
    </row>
    <row r="208" spans="1:25" x14ac:dyDescent="0.25">
      <c r="A208" t="str">
        <f t="shared" si="202"/>
        <v/>
      </c>
      <c r="B208" s="169" t="str">
        <f>IF('LC (Gross)'!A355="","",IF('LC (Gross)'!A355&gt;$AC$9,"",'LC (Gross)'!A355))</f>
        <v/>
      </c>
      <c r="C208" s="1" t="str">
        <f>IF(B208="","",(VLOOKUP(B208,'LC (Gross)'!A:D,4,FALSE)/100))</f>
        <v/>
      </c>
      <c r="D208" s="1" t="str">
        <f>IF(B208="","",(VLOOKUP(B208,'SC (Gross)'!A:D,4,FALSE))/100)</f>
        <v/>
      </c>
      <c r="E208" s="1" t="str">
        <f>IF(B208="","",(VLOOKUP(B208,'Global (Gross)'!A:D,4,FALSE)/100))</f>
        <v/>
      </c>
      <c r="F208" s="1" t="str">
        <f>IF(B208="","",(VLOOKUP(B208,'BOGIX (Gross)'!A:D,4,FALSE)/100))</f>
        <v/>
      </c>
      <c r="G208" s="1" t="str">
        <f>IF(B208="","",(VLOOKUP(B208,'LC (Net)'!A:D,4,FALSE)/100))</f>
        <v/>
      </c>
      <c r="H208" s="1" t="str">
        <f>IF(B208="","",(VLOOKUP(B208,'SC (Net)'!A:D,4,FALSE))/100)</f>
        <v/>
      </c>
      <c r="I208" s="1" t="str">
        <f>IF(B208="","",(VLOOKUP(B208,'Global (Net)'!A:D,4,FALSE)/100))</f>
        <v/>
      </c>
      <c r="J208" s="1" t="str">
        <f>IF(B208="","",(VLOOKUP(B208,'BOGIX (Net)'!A:D,4,FALSE)/100))</f>
        <v/>
      </c>
      <c r="K208" s="1" t="str">
        <f>IF(B208="","",VLOOKUP(Website!B208,'LC (Gross)'!W:X,2,FALSE)/100)</f>
        <v/>
      </c>
      <c r="L208" s="1" t="str">
        <f>IF(B208="","",VLOOKUP(Website!B208,'SC (Gross)'!P:Q,2,FALSE)/100)</f>
        <v/>
      </c>
      <c r="M208" s="1" t="str">
        <f>IF(B208="","",VLOOKUP(Website!B208,'Global (Gross)'!P:Q,2,FALSE)/100)</f>
        <v/>
      </c>
      <c r="O208" s="1" t="str">
        <f>IF(B208="","",VLOOKUP(Website!B208,'LC (Gross)'!J:K,2,FALSE)/100)</f>
        <v/>
      </c>
      <c r="P208" s="233" t="str">
        <f>IF(B208="","",(VLOOKUP(B208,'BOGIX (Gross)'!J:K,2,FALSE))/100)</f>
        <v/>
      </c>
      <c r="Q208" s="233" t="str">
        <f>IF(B208="","",(VLOOKUP(B208,'Global (Gross)'!J:K,2,FALSE)/100))</f>
        <v/>
      </c>
      <c r="S208" s="22" t="str">
        <f t="shared" si="196"/>
        <v/>
      </c>
      <c r="T208" s="22" t="str">
        <f t="shared" si="197"/>
        <v/>
      </c>
      <c r="U208" s="22" t="str">
        <f t="shared" si="198"/>
        <v/>
      </c>
      <c r="V208" s="22" t="str">
        <f t="shared" si="195"/>
        <v/>
      </c>
      <c r="W208" s="22" t="str">
        <f t="shared" si="199"/>
        <v/>
      </c>
      <c r="X208" s="22" t="str">
        <f t="shared" si="200"/>
        <v/>
      </c>
      <c r="Y208" s="22" t="str">
        <f t="shared" si="201"/>
        <v/>
      </c>
    </row>
    <row r="209" spans="1:25" x14ac:dyDescent="0.25">
      <c r="A209" t="str">
        <f t="shared" si="202"/>
        <v/>
      </c>
      <c r="B209" s="169" t="str">
        <f>IF('LC (Gross)'!A356="","",IF('LC (Gross)'!A356&gt;$AC$9,"",'LC (Gross)'!A356))</f>
        <v/>
      </c>
      <c r="C209" s="1" t="str">
        <f>IF(B209="","",(VLOOKUP(B209,'LC (Gross)'!A:D,4,FALSE)/100))</f>
        <v/>
      </c>
      <c r="D209" s="1" t="str">
        <f>IF(B209="","",(VLOOKUP(B209,'SC (Gross)'!A:D,4,FALSE))/100)</f>
        <v/>
      </c>
      <c r="E209" s="1" t="str">
        <f>IF(B209="","",(VLOOKUP(B209,'Global (Gross)'!A:D,4,FALSE)/100))</f>
        <v/>
      </c>
      <c r="F209" s="1" t="str">
        <f>IF(B209="","",(VLOOKUP(B209,'BOGIX (Gross)'!A:D,4,FALSE)/100))</f>
        <v/>
      </c>
      <c r="G209" s="1" t="str">
        <f>IF(B209="","",(VLOOKUP(B209,'LC (Net)'!A:D,4,FALSE)/100))</f>
        <v/>
      </c>
      <c r="H209" s="1" t="str">
        <f>IF(B209="","",(VLOOKUP(B209,'SC (Net)'!A:D,4,FALSE))/100)</f>
        <v/>
      </c>
      <c r="I209" s="1" t="str">
        <f>IF(B209="","",(VLOOKUP(B209,'Global (Net)'!A:D,4,FALSE)/100))</f>
        <v/>
      </c>
      <c r="J209" s="1" t="str">
        <f>IF(B209="","",(VLOOKUP(B209,'BOGIX (Net)'!A:D,4,FALSE)/100))</f>
        <v/>
      </c>
      <c r="K209" s="1" t="str">
        <f>IF(B209="","",VLOOKUP(Website!B209,'LC (Gross)'!W:X,2,FALSE)/100)</f>
        <v/>
      </c>
      <c r="L209" s="1" t="str">
        <f>IF(B209="","",VLOOKUP(Website!B209,'SC (Gross)'!P:Q,2,FALSE)/100)</f>
        <v/>
      </c>
      <c r="M209" s="1" t="str">
        <f>IF(B209="","",VLOOKUP(Website!B209,'Global (Gross)'!P:Q,2,FALSE)/100)</f>
        <v/>
      </c>
      <c r="O209" s="1" t="str">
        <f>IF(B209="","",VLOOKUP(Website!B209,'LC (Gross)'!J:K,2,FALSE)/100)</f>
        <v/>
      </c>
      <c r="P209" s="233" t="str">
        <f>IF(B209="","",(VLOOKUP(B209,'BOGIX (Gross)'!J:K,2,FALSE))/100)</f>
        <v/>
      </c>
      <c r="Q209" s="233" t="str">
        <f>IF(B209="","",(VLOOKUP(B209,'Global (Gross)'!J:K,2,FALSE)/100))</f>
        <v/>
      </c>
      <c r="S209" s="22" t="str">
        <f t="shared" si="196"/>
        <v/>
      </c>
      <c r="T209" s="22" t="str">
        <f t="shared" si="197"/>
        <v/>
      </c>
      <c r="U209" s="22" t="str">
        <f t="shared" si="198"/>
        <v/>
      </c>
      <c r="V209" s="22" t="str">
        <f t="shared" si="195"/>
        <v/>
      </c>
      <c r="W209" s="22" t="str">
        <f t="shared" si="199"/>
        <v/>
      </c>
      <c r="X209" s="22" t="str">
        <f t="shared" si="200"/>
        <v/>
      </c>
      <c r="Y209" s="22" t="str">
        <f t="shared" si="201"/>
        <v/>
      </c>
    </row>
    <row r="210" spans="1:25" x14ac:dyDescent="0.25">
      <c r="A210" t="str">
        <f t="shared" si="202"/>
        <v/>
      </c>
      <c r="B210" s="169" t="str">
        <f>IF('LC (Gross)'!A357="","",IF('LC (Gross)'!A357&gt;$AC$9,"",'LC (Gross)'!A357))</f>
        <v/>
      </c>
      <c r="C210" s="1" t="str">
        <f>IF(B210="","",(VLOOKUP(B210,'LC (Gross)'!A:D,4,FALSE)/100))</f>
        <v/>
      </c>
      <c r="D210" s="1" t="str">
        <f>IF(B210="","",(VLOOKUP(B210,'SC (Gross)'!A:D,4,FALSE))/100)</f>
        <v/>
      </c>
      <c r="E210" s="1" t="str">
        <f>IF(B210="","",(VLOOKUP(B210,'Global (Gross)'!A:D,4,FALSE)/100))</f>
        <v/>
      </c>
      <c r="F210" s="1" t="str">
        <f>IF(B210="","",(VLOOKUP(B210,'BOGIX (Gross)'!A:D,4,FALSE)/100))</f>
        <v/>
      </c>
      <c r="G210" s="1" t="str">
        <f>IF(B210="","",(VLOOKUP(B210,'LC (Net)'!A:D,4,FALSE)/100))</f>
        <v/>
      </c>
      <c r="H210" s="1" t="str">
        <f>IF(B210="","",(VLOOKUP(B210,'SC (Net)'!A:D,4,FALSE))/100)</f>
        <v/>
      </c>
      <c r="I210" s="1" t="str">
        <f>IF(B210="","",(VLOOKUP(B210,'Global (Net)'!A:D,4,FALSE)/100))</f>
        <v/>
      </c>
      <c r="J210" s="1" t="str">
        <f>IF(B210="","",(VLOOKUP(B210,'BOGIX (Net)'!A:D,4,FALSE)/100))</f>
        <v/>
      </c>
      <c r="K210" s="1" t="str">
        <f>IF(B210="","",VLOOKUP(Website!B210,'LC (Gross)'!W:X,2,FALSE)/100)</f>
        <v/>
      </c>
      <c r="L210" s="1" t="str">
        <f>IF(B210="","",VLOOKUP(Website!B210,'SC (Gross)'!P:Q,2,FALSE)/100)</f>
        <v/>
      </c>
      <c r="M210" s="1" t="str">
        <f>IF(B210="","",VLOOKUP(Website!B210,'Global (Gross)'!P:Q,2,FALSE)/100)</f>
        <v/>
      </c>
      <c r="O210" s="1" t="str">
        <f>IF(B210="","",VLOOKUP(Website!B210,'LC (Gross)'!J:K,2,FALSE)/100)</f>
        <v/>
      </c>
      <c r="P210" s="233" t="str">
        <f>IF(B210="","",(VLOOKUP(B210,'BOGIX (Gross)'!J:K,2,FALSE))/100)</f>
        <v/>
      </c>
      <c r="Q210" s="233" t="str">
        <f>IF(B210="","",(VLOOKUP(B210,'Global (Gross)'!J:K,2,FALSE)/100))</f>
        <v/>
      </c>
      <c r="S210" s="22" t="str">
        <f t="shared" si="196"/>
        <v/>
      </c>
      <c r="T210" s="22" t="str">
        <f t="shared" si="197"/>
        <v/>
      </c>
      <c r="U210" s="22" t="str">
        <f t="shared" si="198"/>
        <v/>
      </c>
      <c r="V210" s="22" t="str">
        <f t="shared" si="195"/>
        <v/>
      </c>
      <c r="W210" s="22" t="str">
        <f t="shared" si="199"/>
        <v/>
      </c>
      <c r="X210" s="22" t="str">
        <f t="shared" si="200"/>
        <v/>
      </c>
      <c r="Y210" s="22" t="str">
        <f t="shared" si="201"/>
        <v/>
      </c>
    </row>
    <row r="211" spans="1:25" x14ac:dyDescent="0.25">
      <c r="A211" t="str">
        <f t="shared" si="202"/>
        <v/>
      </c>
      <c r="B211" s="169" t="str">
        <f>IF('LC (Gross)'!A358="","",IF('LC (Gross)'!A358&gt;$AC$9,"",'LC (Gross)'!A358))</f>
        <v/>
      </c>
      <c r="C211" s="1" t="str">
        <f>IF(B211="","",(VLOOKUP(B211,'LC (Gross)'!A:D,4,FALSE)/100))</f>
        <v/>
      </c>
      <c r="D211" s="1" t="str">
        <f>IF(B211="","",(VLOOKUP(B211,'SC (Gross)'!A:D,4,FALSE))/100)</f>
        <v/>
      </c>
      <c r="E211" s="1" t="str">
        <f>IF(B211="","",(VLOOKUP(B211,'Global (Gross)'!A:D,4,FALSE)/100))</f>
        <v/>
      </c>
      <c r="F211" s="1" t="str">
        <f>IF(B211="","",(VLOOKUP(B211,'BOGIX (Gross)'!A:D,4,FALSE)/100))</f>
        <v/>
      </c>
      <c r="G211" s="1" t="str">
        <f>IF(B211="","",(VLOOKUP(B211,'LC (Net)'!A:D,4,FALSE)/100))</f>
        <v/>
      </c>
      <c r="H211" s="1" t="str">
        <f>IF(B211="","",(VLOOKUP(B211,'SC (Net)'!A:D,4,FALSE))/100)</f>
        <v/>
      </c>
      <c r="I211" s="1" t="str">
        <f>IF(B211="","",(VLOOKUP(B211,'Global (Net)'!A:D,4,FALSE)/100))</f>
        <v/>
      </c>
      <c r="J211" s="1" t="str">
        <f>IF(B211="","",(VLOOKUP(B211,'BOGIX (Net)'!A:D,4,FALSE)/100))</f>
        <v/>
      </c>
      <c r="K211" s="1" t="str">
        <f>IF(B211="","",VLOOKUP(Website!B211,'LC (Gross)'!W:X,2,FALSE)/100)</f>
        <v/>
      </c>
      <c r="L211" s="1" t="str">
        <f>IF(B211="","",VLOOKUP(Website!B211,'SC (Gross)'!P:Q,2,FALSE)/100)</f>
        <v/>
      </c>
      <c r="M211" s="1" t="str">
        <f>IF(B211="","",VLOOKUP(Website!B211,'Global (Gross)'!P:Q,2,FALSE)/100)</f>
        <v/>
      </c>
      <c r="O211" s="1" t="str">
        <f>IF(B211="","",VLOOKUP(Website!B211,'LC (Gross)'!J:K,2,FALSE)/100)</f>
        <v/>
      </c>
      <c r="P211" s="233" t="str">
        <f>IF(B211="","",(VLOOKUP(B211,'BOGIX (Gross)'!J:K,2,FALSE))/100)</f>
        <v/>
      </c>
      <c r="Q211" s="233" t="str">
        <f>IF(B211="","",(VLOOKUP(B211,'Global (Gross)'!J:K,2,FALSE)/100))</f>
        <v/>
      </c>
      <c r="S211" s="22" t="str">
        <f t="shared" si="196"/>
        <v/>
      </c>
      <c r="T211" s="22" t="str">
        <f t="shared" si="197"/>
        <v/>
      </c>
      <c r="U211" s="22" t="str">
        <f t="shared" si="198"/>
        <v/>
      </c>
      <c r="V211" s="22" t="str">
        <f t="shared" si="195"/>
        <v/>
      </c>
      <c r="W211" s="22" t="str">
        <f t="shared" si="199"/>
        <v/>
      </c>
      <c r="X211" s="22" t="str">
        <f t="shared" si="200"/>
        <v/>
      </c>
      <c r="Y211" s="22" t="str">
        <f t="shared" si="201"/>
        <v/>
      </c>
    </row>
    <row r="212" spans="1:25" x14ac:dyDescent="0.25">
      <c r="A212" t="str">
        <f t="shared" si="202"/>
        <v/>
      </c>
      <c r="B212" s="169" t="str">
        <f>IF('LC (Gross)'!A359="","",IF('LC (Gross)'!A359&gt;$AC$9,"",'LC (Gross)'!A359))</f>
        <v/>
      </c>
      <c r="C212" s="1" t="str">
        <f>IF(B212="","",(VLOOKUP(B212,'LC (Gross)'!A:D,4,FALSE)/100))</f>
        <v/>
      </c>
      <c r="D212" s="1" t="str">
        <f>IF(B212="","",(VLOOKUP(B212,'SC (Gross)'!A:D,4,FALSE))/100)</f>
        <v/>
      </c>
      <c r="E212" s="1" t="str">
        <f>IF(B212="","",(VLOOKUP(B212,'Global (Gross)'!A:D,4,FALSE)/100))</f>
        <v/>
      </c>
      <c r="F212" s="1" t="str">
        <f>IF(B212="","",(VLOOKUP(B212,'BOGIX (Gross)'!A:D,4,FALSE)/100))</f>
        <v/>
      </c>
      <c r="G212" s="1" t="str">
        <f>IF(B212="","",(VLOOKUP(B212,'LC (Net)'!A:D,4,FALSE)/100))</f>
        <v/>
      </c>
      <c r="H212" s="1" t="str">
        <f>IF(B212="","",(VLOOKUP(B212,'SC (Net)'!A:D,4,FALSE))/100)</f>
        <v/>
      </c>
      <c r="I212" s="1" t="str">
        <f>IF(B212="","",(VLOOKUP(B212,'Global (Net)'!A:D,4,FALSE)/100))</f>
        <v/>
      </c>
      <c r="J212" s="1" t="str">
        <f>IF(B212="","",(VLOOKUP(B212,'BOGIX (Net)'!A:D,4,FALSE)/100))</f>
        <v/>
      </c>
      <c r="K212" s="1" t="str">
        <f>IF(B212="","",VLOOKUP(Website!B212,'LC (Gross)'!W:X,2,FALSE)/100)</f>
        <v/>
      </c>
      <c r="L212" s="1" t="str">
        <f>IF(B212="","",VLOOKUP(Website!B212,'SC (Gross)'!P:Q,2,FALSE)/100)</f>
        <v/>
      </c>
      <c r="M212" s="1" t="str">
        <f>IF(B212="","",VLOOKUP(Website!B212,'Global (Gross)'!P:Q,2,FALSE)/100)</f>
        <v/>
      </c>
      <c r="O212" s="1" t="str">
        <f>IF(B212="","",VLOOKUP(Website!B212,'LC (Gross)'!J:K,2,FALSE)/100)</f>
        <v/>
      </c>
      <c r="P212" s="233" t="str">
        <f>IF(B212="","",(VLOOKUP(B212,'BOGIX (Gross)'!J:K,2,FALSE))/100)</f>
        <v/>
      </c>
      <c r="Q212" s="233" t="str">
        <f>IF(B212="","",(VLOOKUP(B212,'Global (Gross)'!J:K,2,FALSE)/100))</f>
        <v/>
      </c>
      <c r="S212" s="22" t="str">
        <f t="shared" si="196"/>
        <v/>
      </c>
      <c r="T212" s="22" t="str">
        <f t="shared" si="197"/>
        <v/>
      </c>
      <c r="U212" s="22" t="str">
        <f t="shared" si="198"/>
        <v/>
      </c>
      <c r="V212" s="22" t="str">
        <f t="shared" si="195"/>
        <v/>
      </c>
      <c r="W212" s="22" t="str">
        <f t="shared" si="199"/>
        <v/>
      </c>
      <c r="X212" s="22" t="str">
        <f t="shared" si="200"/>
        <v/>
      </c>
      <c r="Y212" s="22" t="str">
        <f t="shared" si="201"/>
        <v/>
      </c>
    </row>
    <row r="213" spans="1:25" x14ac:dyDescent="0.25">
      <c r="A213" t="str">
        <f t="shared" si="202"/>
        <v/>
      </c>
      <c r="B213" s="169" t="str">
        <f>IF('LC (Gross)'!A360="","",IF('LC (Gross)'!A360&gt;$AC$9,"",'LC (Gross)'!A360))</f>
        <v/>
      </c>
      <c r="C213" s="1" t="str">
        <f>IF(B213="","",(VLOOKUP(B213,'LC (Gross)'!A:D,4,FALSE)/100))</f>
        <v/>
      </c>
      <c r="D213" s="1" t="str">
        <f>IF(B213="","",(VLOOKUP(B213,'SC (Gross)'!A:D,4,FALSE))/100)</f>
        <v/>
      </c>
      <c r="E213" s="1" t="str">
        <f>IF(B213="","",(VLOOKUP(B213,'Global (Gross)'!A:D,4,FALSE)/100))</f>
        <v/>
      </c>
      <c r="F213" s="1" t="str">
        <f>IF(B213="","",(VLOOKUP(B213,'BOGIX (Gross)'!A:D,4,FALSE)/100))</f>
        <v/>
      </c>
      <c r="G213" s="1" t="str">
        <f>IF(B213="","",(VLOOKUP(B213,'LC (Net)'!A:D,4,FALSE)/100))</f>
        <v/>
      </c>
      <c r="H213" s="1" t="str">
        <f>IF(B213="","",(VLOOKUP(B213,'SC (Net)'!A:D,4,FALSE))/100)</f>
        <v/>
      </c>
      <c r="I213" s="1" t="str">
        <f>IF(B213="","",(VLOOKUP(B213,'Global (Net)'!A:D,4,FALSE)/100))</f>
        <v/>
      </c>
      <c r="J213" s="1" t="str">
        <f>IF(B213="","",(VLOOKUP(B213,'BOGIX (Net)'!A:D,4,FALSE)/100))</f>
        <v/>
      </c>
      <c r="K213" s="1" t="str">
        <f>IF(B213="","",VLOOKUP(Website!B213,'LC (Gross)'!W:X,2,FALSE)/100)</f>
        <v/>
      </c>
      <c r="L213" s="1" t="str">
        <f>IF(B213="","",VLOOKUP(Website!B213,'SC (Gross)'!P:Q,2,FALSE)/100)</f>
        <v/>
      </c>
      <c r="M213" s="1" t="str">
        <f>IF(B213="","",VLOOKUP(Website!B213,'Global (Gross)'!P:Q,2,FALSE)/100)</f>
        <v/>
      </c>
      <c r="O213" s="1" t="str">
        <f>IF(B213="","",VLOOKUP(Website!B213,'LC (Gross)'!J:K,2,FALSE)/100)</f>
        <v/>
      </c>
      <c r="P213" s="233" t="str">
        <f>IF(B213="","",(VLOOKUP(B213,'BOGIX (Gross)'!J:K,2,FALSE))/100)</f>
        <v/>
      </c>
      <c r="Q213" s="233" t="str">
        <f>IF(B213="","",(VLOOKUP(B213,'Global (Gross)'!J:K,2,FALSE)/100))</f>
        <v/>
      </c>
      <c r="S213" s="22" t="str">
        <f t="shared" si="196"/>
        <v/>
      </c>
      <c r="T213" s="22" t="str">
        <f t="shared" si="197"/>
        <v/>
      </c>
      <c r="U213" s="22" t="str">
        <f t="shared" si="198"/>
        <v/>
      </c>
      <c r="V213" s="22" t="str">
        <f t="shared" si="195"/>
        <v/>
      </c>
      <c r="W213" s="22" t="str">
        <f t="shared" si="199"/>
        <v/>
      </c>
      <c r="X213" s="22" t="str">
        <f t="shared" si="200"/>
        <v/>
      </c>
      <c r="Y213" s="22" t="str">
        <f t="shared" si="201"/>
        <v/>
      </c>
    </row>
    <row r="214" spans="1:25" x14ac:dyDescent="0.25">
      <c r="A214" t="str">
        <f t="shared" si="202"/>
        <v/>
      </c>
      <c r="B214" s="169" t="str">
        <f>IF('LC (Gross)'!A361="","",IF('LC (Gross)'!A361&gt;$AC$9,"",'LC (Gross)'!A361))</f>
        <v/>
      </c>
      <c r="C214" s="1" t="str">
        <f>IF(B214="","",(VLOOKUP(B214,'LC (Gross)'!A:D,4,FALSE)/100))</f>
        <v/>
      </c>
      <c r="D214" s="1" t="str">
        <f>IF(B214="","",(VLOOKUP(B214,'SC (Gross)'!A:D,4,FALSE))/100)</f>
        <v/>
      </c>
      <c r="E214" s="1" t="str">
        <f>IF(B214="","",(VLOOKUP(B214,'Global (Gross)'!A:D,4,FALSE)/100))</f>
        <v/>
      </c>
      <c r="F214" s="1" t="str">
        <f>IF(B214="","",(VLOOKUP(B214,'BOGIX (Gross)'!A:D,4,FALSE)/100))</f>
        <v/>
      </c>
      <c r="G214" s="1" t="str">
        <f>IF(B214="","",(VLOOKUP(B214,'LC (Net)'!A:D,4,FALSE)/100))</f>
        <v/>
      </c>
      <c r="H214" s="1" t="str">
        <f>IF(B214="","",(VLOOKUP(B214,'SC (Net)'!A:D,4,FALSE))/100)</f>
        <v/>
      </c>
      <c r="I214" s="1" t="str">
        <f>IF(B214="","",(VLOOKUP(B214,'Global (Net)'!A:D,4,FALSE)/100))</f>
        <v/>
      </c>
      <c r="J214" s="1" t="str">
        <f>IF(B214="","",(VLOOKUP(B214,'BOGIX (Net)'!A:D,4,FALSE)/100))</f>
        <v/>
      </c>
      <c r="K214" s="1" t="str">
        <f>IF(B214="","",VLOOKUP(Website!B214,'LC (Gross)'!W:X,2,FALSE)/100)</f>
        <v/>
      </c>
      <c r="L214" s="1" t="str">
        <f>IF(B214="","",VLOOKUP(Website!B214,'SC (Gross)'!P:Q,2,FALSE)/100)</f>
        <v/>
      </c>
      <c r="M214" s="1" t="str">
        <f>IF(B214="","",VLOOKUP(Website!B214,'Global (Gross)'!P:Q,2,FALSE)/100)</f>
        <v/>
      </c>
      <c r="O214" s="1" t="str">
        <f>IF(B214="","",VLOOKUP(Website!B214,'LC (Gross)'!J:K,2,FALSE)/100)</f>
        <v/>
      </c>
      <c r="P214" s="233" t="str">
        <f>IF(B214="","",(VLOOKUP(B214,'BOGIX (Gross)'!J:K,2,FALSE))/100)</f>
        <v/>
      </c>
      <c r="Q214" s="233" t="str">
        <f>IF(B214="","",(VLOOKUP(B214,'Global (Gross)'!J:K,2,FALSE)/100))</f>
        <v/>
      </c>
      <c r="S214" s="22" t="str">
        <f t="shared" si="196"/>
        <v/>
      </c>
      <c r="T214" s="22" t="str">
        <f t="shared" si="197"/>
        <v/>
      </c>
      <c r="U214" s="22" t="str">
        <f t="shared" si="198"/>
        <v/>
      </c>
      <c r="V214" s="22" t="str">
        <f t="shared" si="195"/>
        <v/>
      </c>
      <c r="W214" s="22" t="str">
        <f t="shared" si="199"/>
        <v/>
      </c>
      <c r="X214" s="22" t="str">
        <f t="shared" si="200"/>
        <v/>
      </c>
      <c r="Y214" s="22" t="str">
        <f t="shared" si="201"/>
        <v/>
      </c>
    </row>
    <row r="215" spans="1:25" x14ac:dyDescent="0.25">
      <c r="A215" t="str">
        <f t="shared" si="202"/>
        <v/>
      </c>
      <c r="B215" s="169" t="str">
        <f>IF('LC (Gross)'!A362="","",IF('LC (Gross)'!A362&gt;$AC$9,"",'LC (Gross)'!A362))</f>
        <v/>
      </c>
      <c r="C215" s="1" t="str">
        <f>IF(B215="","",(VLOOKUP(B215,'LC (Gross)'!A:D,4,FALSE)/100))</f>
        <v/>
      </c>
      <c r="D215" s="1" t="str">
        <f>IF(B215="","",(VLOOKUP(B215,'SC (Gross)'!A:D,4,FALSE))/100)</f>
        <v/>
      </c>
      <c r="E215" s="1" t="str">
        <f>IF(B215="","",(VLOOKUP(B215,'Global (Gross)'!A:D,4,FALSE)/100))</f>
        <v/>
      </c>
      <c r="F215" s="1" t="str">
        <f>IF(B215="","",(VLOOKUP(B215,'BOGIX (Gross)'!A:D,4,FALSE)/100))</f>
        <v/>
      </c>
      <c r="G215" s="1" t="str">
        <f>IF(B215="","",(VLOOKUP(B215,'LC (Net)'!A:D,4,FALSE)/100))</f>
        <v/>
      </c>
      <c r="H215" s="1" t="str">
        <f>IF(B215="","",(VLOOKUP(B215,'SC (Net)'!A:D,4,FALSE))/100)</f>
        <v/>
      </c>
      <c r="I215" s="1" t="str">
        <f>IF(B215="","",(VLOOKUP(B215,'Global (Net)'!A:D,4,FALSE)/100))</f>
        <v/>
      </c>
      <c r="J215" s="1" t="str">
        <f>IF(B215="","",(VLOOKUP(B215,'BOGIX (Net)'!A:D,4,FALSE)/100))</f>
        <v/>
      </c>
      <c r="K215" s="1" t="str">
        <f>IF(B215="","",VLOOKUP(Website!B215,'LC (Gross)'!W:X,2,FALSE)/100)</f>
        <v/>
      </c>
      <c r="L215" s="1" t="str">
        <f>IF(B215="","",VLOOKUP(Website!B215,'SC (Gross)'!P:Q,2,FALSE)/100)</f>
        <v/>
      </c>
      <c r="M215" s="1" t="str">
        <f>IF(B215="","",VLOOKUP(Website!B215,'Global (Gross)'!P:Q,2,FALSE)/100)</f>
        <v/>
      </c>
      <c r="O215" s="1" t="str">
        <f>IF(B215="","",VLOOKUP(Website!B215,'LC (Gross)'!J:K,2,FALSE)/100)</f>
        <v/>
      </c>
      <c r="P215" s="233" t="str">
        <f>IF(B215="","",(VLOOKUP(B215,'BOGIX (Gross)'!J:K,2,FALSE))/100)</f>
        <v/>
      </c>
      <c r="Q215" s="233" t="str">
        <f>IF(B215="","",(VLOOKUP(B215,'Global (Gross)'!J:K,2,FALSE)/100))</f>
        <v/>
      </c>
      <c r="S215" s="22" t="str">
        <f t="shared" si="196"/>
        <v/>
      </c>
      <c r="T215" s="22" t="str">
        <f t="shared" si="197"/>
        <v/>
      </c>
      <c r="U215" s="22" t="str">
        <f t="shared" si="198"/>
        <v/>
      </c>
      <c r="V215" s="22" t="str">
        <f t="shared" si="195"/>
        <v/>
      </c>
      <c r="W215" s="22" t="str">
        <f t="shared" si="199"/>
        <v/>
      </c>
      <c r="X215" s="22" t="str">
        <f t="shared" si="200"/>
        <v/>
      </c>
      <c r="Y215" s="22" t="str">
        <f t="shared" si="201"/>
        <v/>
      </c>
    </row>
    <row r="216" spans="1:25" x14ac:dyDescent="0.25">
      <c r="A216" t="str">
        <f t="shared" si="202"/>
        <v/>
      </c>
      <c r="B216" s="169" t="str">
        <f>IF('LC (Gross)'!A363="","",IF('LC (Gross)'!A363&gt;$AC$9,"",'LC (Gross)'!A363))</f>
        <v/>
      </c>
      <c r="C216" s="1" t="str">
        <f>IF(B216="","",(VLOOKUP(B216,'LC (Gross)'!A:D,4,FALSE)/100))</f>
        <v/>
      </c>
      <c r="D216" s="1" t="str">
        <f>IF(B216="","",(VLOOKUP(B216,'SC (Gross)'!A:D,4,FALSE))/100)</f>
        <v/>
      </c>
      <c r="E216" s="1" t="str">
        <f>IF(B216="","",(VLOOKUP(B216,'Global (Gross)'!A:D,4,FALSE)/100))</f>
        <v/>
      </c>
      <c r="F216" s="1" t="str">
        <f>IF(B216="","",(VLOOKUP(B216,'BOGIX (Gross)'!A:D,4,FALSE)/100))</f>
        <v/>
      </c>
      <c r="G216" s="1" t="str">
        <f>IF(B216="","",(VLOOKUP(B216,'LC (Net)'!A:D,4,FALSE)/100))</f>
        <v/>
      </c>
      <c r="H216" s="1" t="str">
        <f>IF(B216="","",(VLOOKUP(B216,'SC (Net)'!A:D,4,FALSE))/100)</f>
        <v/>
      </c>
      <c r="I216" s="1" t="str">
        <f>IF(B216="","",(VLOOKUP(B216,'Global (Net)'!A:D,4,FALSE)/100))</f>
        <v/>
      </c>
      <c r="J216" s="1" t="str">
        <f>IF(B216="","",(VLOOKUP(B216,'BOGIX (Net)'!A:D,4,FALSE)/100))</f>
        <v/>
      </c>
      <c r="K216" s="1" t="str">
        <f>IF(B216="","",VLOOKUP(Website!B216,'LC (Gross)'!W:X,2,FALSE)/100)</f>
        <v/>
      </c>
      <c r="L216" s="1" t="str">
        <f>IF(B216="","",VLOOKUP(Website!B216,'SC (Gross)'!P:Q,2,FALSE)/100)</f>
        <v/>
      </c>
      <c r="M216" s="1" t="str">
        <f>IF(B216="","",VLOOKUP(Website!B216,'Global (Gross)'!P:Q,2,FALSE)/100)</f>
        <v/>
      </c>
      <c r="O216" s="1" t="str">
        <f>IF(B216="","",VLOOKUP(Website!B216,'LC (Gross)'!J:K,2,FALSE)/100)</f>
        <v/>
      </c>
      <c r="P216" s="233" t="str">
        <f>IF(B216="","",(VLOOKUP(B216,'BOGIX (Gross)'!J:K,2,FALSE))/100)</f>
        <v/>
      </c>
      <c r="Q216" s="233" t="str">
        <f>IF(B216="","",(VLOOKUP(B216,'Global (Gross)'!J:K,2,FALSE)/100))</f>
        <v/>
      </c>
      <c r="S216" s="22" t="str">
        <f t="shared" si="196"/>
        <v/>
      </c>
      <c r="T216" s="22" t="str">
        <f t="shared" si="197"/>
        <v/>
      </c>
      <c r="U216" s="22" t="str">
        <f t="shared" si="198"/>
        <v/>
      </c>
      <c r="V216" s="22" t="str">
        <f t="shared" si="195"/>
        <v/>
      </c>
      <c r="W216" s="22" t="str">
        <f t="shared" si="199"/>
        <v/>
      </c>
      <c r="X216" s="22" t="str">
        <f t="shared" si="200"/>
        <v/>
      </c>
      <c r="Y216" s="22" t="str">
        <f t="shared" si="201"/>
        <v/>
      </c>
    </row>
    <row r="217" spans="1:25" x14ac:dyDescent="0.25">
      <c r="A217" t="str">
        <f t="shared" si="202"/>
        <v/>
      </c>
      <c r="B217" s="169" t="str">
        <f>IF('LC (Gross)'!A364="","",IF('LC (Gross)'!A364&gt;$AC$9,"",'LC (Gross)'!A364))</f>
        <v/>
      </c>
      <c r="C217" s="1" t="str">
        <f>IF(B217="","",(VLOOKUP(B217,'LC (Gross)'!A:D,4,FALSE)/100))</f>
        <v/>
      </c>
      <c r="D217" s="1" t="str">
        <f>IF(B217="","",(VLOOKUP(B217,'SC (Gross)'!A:D,4,FALSE))/100)</f>
        <v/>
      </c>
      <c r="E217" s="1" t="str">
        <f>IF(B217="","",(VLOOKUP(B217,'Global (Gross)'!A:D,4,FALSE)/100))</f>
        <v/>
      </c>
      <c r="F217" s="1" t="str">
        <f>IF(B217="","",(VLOOKUP(B217,'BOGIX (Gross)'!A:D,4,FALSE)/100))</f>
        <v/>
      </c>
      <c r="G217" s="1" t="str">
        <f>IF(B217="","",(VLOOKUP(B217,'LC (Net)'!A:D,4,FALSE)/100))</f>
        <v/>
      </c>
      <c r="H217" s="1" t="str">
        <f>IF(B217="","",(VLOOKUP(B217,'SC (Net)'!A:D,4,FALSE))/100)</f>
        <v/>
      </c>
      <c r="I217" s="1" t="str">
        <f>IF(B217="","",(VLOOKUP(B217,'Global (Net)'!A:D,4,FALSE)/100))</f>
        <v/>
      </c>
      <c r="J217" s="1" t="str">
        <f>IF(B217="","",(VLOOKUP(B217,'BOGIX (Net)'!A:D,4,FALSE)/100))</f>
        <v/>
      </c>
      <c r="K217" s="1" t="str">
        <f>IF(B217="","",VLOOKUP(Website!B217,'LC (Gross)'!W:X,2,FALSE)/100)</f>
        <v/>
      </c>
      <c r="L217" s="1" t="str">
        <f>IF(B217="","",VLOOKUP(Website!B217,'SC (Gross)'!P:Q,2,FALSE)/100)</f>
        <v/>
      </c>
      <c r="M217" s="1" t="str">
        <f>IF(B217="","",VLOOKUP(Website!B217,'Global (Gross)'!P:Q,2,FALSE)/100)</f>
        <v/>
      </c>
      <c r="O217" s="1" t="str">
        <f>IF(B217="","",VLOOKUP(Website!B217,'LC (Gross)'!J:K,2,FALSE)/100)</f>
        <v/>
      </c>
      <c r="P217" s="233" t="str">
        <f>IF(B217="","",(VLOOKUP(B217,'BOGIX (Gross)'!J:K,2,FALSE))/100)</f>
        <v/>
      </c>
      <c r="Q217" s="233" t="str">
        <f>IF(B217="","",(VLOOKUP(B217,'Global (Gross)'!J:K,2,FALSE)/100))</f>
        <v/>
      </c>
      <c r="S217" s="22" t="str">
        <f t="shared" si="196"/>
        <v/>
      </c>
      <c r="T217" s="22" t="str">
        <f t="shared" si="197"/>
        <v/>
      </c>
      <c r="U217" s="22" t="str">
        <f t="shared" si="198"/>
        <v/>
      </c>
      <c r="V217" s="22" t="str">
        <f t="shared" si="195"/>
        <v/>
      </c>
      <c r="W217" s="22" t="str">
        <f t="shared" si="199"/>
        <v/>
      </c>
      <c r="X217" s="22" t="str">
        <f t="shared" si="200"/>
        <v/>
      </c>
      <c r="Y217" s="22" t="str">
        <f t="shared" si="201"/>
        <v/>
      </c>
    </row>
    <row r="218" spans="1:25" x14ac:dyDescent="0.25">
      <c r="A218" t="str">
        <f t="shared" si="202"/>
        <v/>
      </c>
      <c r="B218" s="169" t="str">
        <f>IF('LC (Gross)'!A365="","",IF('LC (Gross)'!A365&gt;$AC$9,"",'LC (Gross)'!A365))</f>
        <v/>
      </c>
      <c r="C218" s="1" t="str">
        <f>IF(B218="","",(VLOOKUP(B218,'LC (Gross)'!A:D,4,FALSE)/100))</f>
        <v/>
      </c>
      <c r="D218" s="1" t="str">
        <f>IF(B218="","",(VLOOKUP(B218,'SC (Gross)'!A:D,4,FALSE))/100)</f>
        <v/>
      </c>
      <c r="E218" s="1" t="str">
        <f>IF(B218="","",(VLOOKUP(B218,'Global (Gross)'!A:D,4,FALSE)/100))</f>
        <v/>
      </c>
      <c r="F218" s="1" t="str">
        <f>IF(B218="","",(VLOOKUP(B218,'BOGIX (Gross)'!A:D,4,FALSE)/100))</f>
        <v/>
      </c>
      <c r="G218" s="1" t="str">
        <f>IF(B218="","",(VLOOKUP(B218,'LC (Net)'!A:D,4,FALSE)/100))</f>
        <v/>
      </c>
      <c r="H218" s="1" t="str">
        <f>IF(B218="","",(VLOOKUP(B218,'SC (Net)'!A:D,4,FALSE))/100)</f>
        <v/>
      </c>
      <c r="I218" s="1" t="str">
        <f>IF(B218="","",(VLOOKUP(B218,'Global (Net)'!A:D,4,FALSE)/100))</f>
        <v/>
      </c>
      <c r="J218" s="1" t="str">
        <f>IF(B218="","",(VLOOKUP(B218,'BOGIX (Net)'!A:D,4,FALSE)/100))</f>
        <v/>
      </c>
      <c r="K218" s="1" t="str">
        <f>IF(B218="","",VLOOKUP(Website!B218,'LC (Gross)'!W:X,2,FALSE)/100)</f>
        <v/>
      </c>
      <c r="L218" s="1" t="str">
        <f>IF(B218="","",VLOOKUP(Website!B218,'SC (Gross)'!P:Q,2,FALSE)/100)</f>
        <v/>
      </c>
      <c r="M218" s="1" t="str">
        <f>IF(B218="","",VLOOKUP(Website!B218,'Global (Gross)'!P:Q,2,FALSE)/100)</f>
        <v/>
      </c>
      <c r="O218" s="1" t="str">
        <f>IF(B218="","",VLOOKUP(Website!B218,'LC (Gross)'!J:K,2,FALSE)/100)</f>
        <v/>
      </c>
      <c r="P218" s="233" t="str">
        <f>IF(B218="","",(VLOOKUP(B218,'BOGIX (Gross)'!J:K,2,FALSE))/100)</f>
        <v/>
      </c>
      <c r="Q218" s="233" t="str">
        <f>IF(B218="","",(VLOOKUP(B218,'Global (Gross)'!J:K,2,FALSE)/100))</f>
        <v/>
      </c>
      <c r="S218" s="22" t="str">
        <f t="shared" si="196"/>
        <v/>
      </c>
      <c r="T218" s="22" t="str">
        <f t="shared" si="197"/>
        <v/>
      </c>
      <c r="U218" s="22" t="str">
        <f t="shared" si="198"/>
        <v/>
      </c>
      <c r="V218" s="22" t="str">
        <f t="shared" si="195"/>
        <v/>
      </c>
      <c r="W218" s="22" t="str">
        <f t="shared" si="199"/>
        <v/>
      </c>
      <c r="X218" s="22" t="str">
        <f t="shared" si="200"/>
        <v/>
      </c>
      <c r="Y218" s="22" t="str">
        <f t="shared" si="201"/>
        <v/>
      </c>
    </row>
    <row r="219" spans="1:25" x14ac:dyDescent="0.25">
      <c r="A219" t="str">
        <f t="shared" si="202"/>
        <v/>
      </c>
      <c r="B219" s="169" t="str">
        <f>IF('LC (Gross)'!A366="","",IF('LC (Gross)'!A366&gt;$AC$9,"",'LC (Gross)'!A366))</f>
        <v/>
      </c>
      <c r="C219" s="1" t="str">
        <f>IF(B219="","",(VLOOKUP(B219,'LC (Gross)'!A:D,4,FALSE)/100))</f>
        <v/>
      </c>
      <c r="D219" s="1" t="str">
        <f>IF(B219="","",(VLOOKUP(B219,'SC (Gross)'!A:D,4,FALSE))/100)</f>
        <v/>
      </c>
      <c r="E219" s="1" t="str">
        <f>IF(B219="","",(VLOOKUP(B219,'Global (Gross)'!A:D,4,FALSE)/100))</f>
        <v/>
      </c>
      <c r="F219" s="1" t="str">
        <f>IF(B219="","",(VLOOKUP(B219,'BOGIX (Gross)'!A:D,4,FALSE)/100))</f>
        <v/>
      </c>
      <c r="G219" s="1" t="str">
        <f>IF(B219="","",(VLOOKUP(B219,'LC (Net)'!A:D,4,FALSE)/100))</f>
        <v/>
      </c>
      <c r="H219" s="1" t="str">
        <f>IF(B219="","",(VLOOKUP(B219,'SC (Net)'!A:D,4,FALSE))/100)</f>
        <v/>
      </c>
      <c r="I219" s="1" t="str">
        <f>IF(B219="","",(VLOOKUP(B219,'Global (Net)'!A:D,4,FALSE)/100))</f>
        <v/>
      </c>
      <c r="J219" s="1" t="str">
        <f>IF(B219="","",(VLOOKUP(B219,'BOGIX (Net)'!A:D,4,FALSE)/100))</f>
        <v/>
      </c>
      <c r="K219" s="1" t="str">
        <f>IF(B219="","",VLOOKUP(Website!B219,'LC (Gross)'!W:X,2,FALSE)/100)</f>
        <v/>
      </c>
      <c r="L219" s="1" t="str">
        <f>IF(B219="","",VLOOKUP(Website!B219,'SC (Gross)'!P:Q,2,FALSE)/100)</f>
        <v/>
      </c>
      <c r="M219" s="1" t="str">
        <f>IF(B219="","",VLOOKUP(Website!B219,'Global (Gross)'!P:Q,2,FALSE)/100)</f>
        <v/>
      </c>
      <c r="O219" s="1" t="str">
        <f>IF(B219="","",VLOOKUP(Website!B219,'LC (Gross)'!J:K,2,FALSE)/100)</f>
        <v/>
      </c>
      <c r="P219" s="233" t="str">
        <f>IF(B219="","",(VLOOKUP(B219,'BOGIX (Gross)'!J:K,2,FALSE))/100)</f>
        <v/>
      </c>
      <c r="Q219" s="233" t="str">
        <f>IF(B219="","",(VLOOKUP(B219,'Global (Gross)'!J:K,2,FALSE)/100))</f>
        <v/>
      </c>
      <c r="S219" s="22" t="str">
        <f t="shared" si="196"/>
        <v/>
      </c>
      <c r="T219" s="22" t="str">
        <f t="shared" si="197"/>
        <v/>
      </c>
      <c r="U219" s="22" t="str">
        <f t="shared" si="198"/>
        <v/>
      </c>
      <c r="V219" s="22" t="str">
        <f t="shared" si="195"/>
        <v/>
      </c>
      <c r="W219" s="22" t="str">
        <f t="shared" si="199"/>
        <v/>
      </c>
      <c r="X219" s="22" t="str">
        <f t="shared" si="200"/>
        <v/>
      </c>
      <c r="Y219" s="22" t="str">
        <f t="shared" si="201"/>
        <v/>
      </c>
    </row>
    <row r="220" spans="1:25" x14ac:dyDescent="0.25">
      <c r="A220" t="str">
        <f t="shared" si="202"/>
        <v/>
      </c>
      <c r="B220" s="169" t="str">
        <f>IF('LC (Gross)'!A367="","",IF('LC (Gross)'!A367&gt;$AC$9,"",'LC (Gross)'!A367))</f>
        <v/>
      </c>
      <c r="C220" s="1" t="str">
        <f>IF(B220="","",(VLOOKUP(B220,'LC (Gross)'!A:D,4,FALSE)/100))</f>
        <v/>
      </c>
      <c r="D220" s="1" t="str">
        <f>IF(B220="","",(VLOOKUP(B220,'SC (Gross)'!A:D,4,FALSE))/100)</f>
        <v/>
      </c>
      <c r="E220" s="1" t="str">
        <f>IF(B220="","",(VLOOKUP(B220,'Global (Gross)'!A:D,4,FALSE)/100))</f>
        <v/>
      </c>
      <c r="F220" s="1" t="str">
        <f>IF(B220="","",(VLOOKUP(B220,'BOGIX (Gross)'!A:D,4,FALSE)/100))</f>
        <v/>
      </c>
      <c r="G220" s="1" t="str">
        <f>IF(B220="","",(VLOOKUP(B220,'LC (Net)'!A:D,4,FALSE)/100))</f>
        <v/>
      </c>
      <c r="H220" s="1" t="str">
        <f>IF(B220="","",(VLOOKUP(B220,'SC (Net)'!A:D,4,FALSE))/100)</f>
        <v/>
      </c>
      <c r="I220" s="1" t="str">
        <f>IF(B220="","",(VLOOKUP(B220,'Global (Net)'!A:D,4,FALSE)/100))</f>
        <v/>
      </c>
      <c r="J220" s="1" t="str">
        <f>IF(B220="","",(VLOOKUP(B220,'BOGIX (Net)'!A:D,4,FALSE)/100))</f>
        <v/>
      </c>
      <c r="K220" s="1" t="str">
        <f>IF(B220="","",VLOOKUP(Website!B220,'LC (Gross)'!W:X,2,FALSE)/100)</f>
        <v/>
      </c>
      <c r="L220" s="1" t="str">
        <f>IF(B220="","",VLOOKUP(Website!B220,'SC (Gross)'!P:Q,2,FALSE)/100)</f>
        <v/>
      </c>
      <c r="M220" s="1" t="str">
        <f>IF(B220="","",VLOOKUP(Website!B220,'Global (Gross)'!P:Q,2,FALSE)/100)</f>
        <v/>
      </c>
      <c r="O220" s="1" t="str">
        <f>IF(B220="","",VLOOKUP(Website!B220,'LC (Gross)'!J:K,2,FALSE)/100)</f>
        <v/>
      </c>
      <c r="P220" s="233" t="str">
        <f>IF(B220="","",(VLOOKUP(B220,'BOGIX (Gross)'!J:K,2,FALSE))/100)</f>
        <v/>
      </c>
      <c r="Q220" s="233" t="str">
        <f>IF(B220="","",(VLOOKUP(B220,'Global (Gross)'!J:K,2,FALSE)/100))</f>
        <v/>
      </c>
      <c r="S220" s="22" t="str">
        <f t="shared" si="196"/>
        <v/>
      </c>
      <c r="T220" s="22" t="str">
        <f t="shared" si="197"/>
        <v/>
      </c>
      <c r="U220" s="22" t="str">
        <f t="shared" si="198"/>
        <v/>
      </c>
      <c r="V220" s="22" t="str">
        <f t="shared" si="195"/>
        <v/>
      </c>
      <c r="W220" s="22" t="str">
        <f t="shared" si="199"/>
        <v/>
      </c>
      <c r="X220" s="22" t="str">
        <f t="shared" si="200"/>
        <v/>
      </c>
      <c r="Y220" s="22" t="str">
        <f t="shared" si="201"/>
        <v/>
      </c>
    </row>
    <row r="221" spans="1:25" x14ac:dyDescent="0.25">
      <c r="A221" t="str">
        <f t="shared" si="202"/>
        <v/>
      </c>
      <c r="B221" s="169" t="str">
        <f>IF('LC (Gross)'!A368="","",IF('LC (Gross)'!A368&gt;$AC$9,"",'LC (Gross)'!A368))</f>
        <v/>
      </c>
      <c r="C221" s="1" t="str">
        <f>IF(B221="","",(VLOOKUP(B221,'LC (Gross)'!A:D,4,FALSE)/100))</f>
        <v/>
      </c>
      <c r="D221" s="1" t="str">
        <f>IF(B221="","",(VLOOKUP(B221,'SC (Gross)'!A:D,4,FALSE))/100)</f>
        <v/>
      </c>
      <c r="E221" s="1" t="str">
        <f>IF(B221="","",(VLOOKUP(B221,'Global (Gross)'!A:D,4,FALSE)/100))</f>
        <v/>
      </c>
      <c r="F221" s="1" t="str">
        <f>IF(B221="","",(VLOOKUP(B221,'BOGIX (Gross)'!A:D,4,FALSE)/100))</f>
        <v/>
      </c>
      <c r="G221" s="1" t="str">
        <f>IF(B221="","",(VLOOKUP(B221,'LC (Net)'!A:D,4,FALSE)/100))</f>
        <v/>
      </c>
      <c r="H221" s="1" t="str">
        <f>IF(B221="","",(VLOOKUP(B221,'SC (Net)'!A:D,4,FALSE))/100)</f>
        <v/>
      </c>
      <c r="I221" s="1" t="str">
        <f>IF(B221="","",(VLOOKUP(B221,'Global (Net)'!A:D,4,FALSE)/100))</f>
        <v/>
      </c>
      <c r="J221" s="1" t="str">
        <f>IF(B221="","",(VLOOKUP(B221,'BOGIX (Net)'!A:D,4,FALSE)/100))</f>
        <v/>
      </c>
      <c r="K221" s="1" t="str">
        <f>IF(B221="","",VLOOKUP(Website!B221,'LC (Gross)'!W:X,2,FALSE)/100)</f>
        <v/>
      </c>
      <c r="L221" s="1" t="str">
        <f>IF(B221="","",VLOOKUP(Website!B221,'SC (Gross)'!P:Q,2,FALSE)/100)</f>
        <v/>
      </c>
      <c r="M221" s="1" t="str">
        <f>IF(B221="","",VLOOKUP(Website!B221,'Global (Gross)'!P:Q,2,FALSE)/100)</f>
        <v/>
      </c>
      <c r="O221" s="1" t="str">
        <f>IF(B221="","",VLOOKUP(Website!B221,'LC (Gross)'!J:K,2,FALSE)/100)</f>
        <v/>
      </c>
      <c r="P221" s="233" t="str">
        <f>IF(B221="","",(VLOOKUP(B221,'BOGIX (Gross)'!J:K,2,FALSE))/100)</f>
        <v/>
      </c>
      <c r="Q221" s="233" t="str">
        <f>IF(B221="","",(VLOOKUP(B221,'Global (Gross)'!J:K,2,FALSE)/100))</f>
        <v/>
      </c>
      <c r="S221" s="22" t="str">
        <f t="shared" si="196"/>
        <v/>
      </c>
      <c r="T221" s="22" t="str">
        <f t="shared" si="197"/>
        <v/>
      </c>
      <c r="U221" s="22" t="str">
        <f t="shared" si="198"/>
        <v/>
      </c>
      <c r="V221" s="22" t="str">
        <f t="shared" si="195"/>
        <v/>
      </c>
      <c r="W221" s="22" t="str">
        <f t="shared" si="199"/>
        <v/>
      </c>
      <c r="X221" s="22" t="str">
        <f t="shared" si="200"/>
        <v/>
      </c>
      <c r="Y221" s="22" t="str">
        <f t="shared" si="201"/>
        <v/>
      </c>
    </row>
    <row r="222" spans="1:25" x14ac:dyDescent="0.25">
      <c r="A222" t="str">
        <f t="shared" si="202"/>
        <v/>
      </c>
      <c r="B222" s="169" t="str">
        <f>IF('LC (Gross)'!A369="","",IF('LC (Gross)'!A369&gt;$AC$9,"",'LC (Gross)'!A369))</f>
        <v/>
      </c>
      <c r="C222" s="1" t="str">
        <f>IF(B222="","",(VLOOKUP(B222,'LC (Gross)'!A:D,4,FALSE)/100))</f>
        <v/>
      </c>
      <c r="D222" s="1" t="str">
        <f>IF(B222="","",(VLOOKUP(B222,'SC (Gross)'!A:D,4,FALSE))/100)</f>
        <v/>
      </c>
      <c r="E222" s="1" t="str">
        <f>IF(B222="","",(VLOOKUP(B222,'Global (Gross)'!A:D,4,FALSE)/100))</f>
        <v/>
      </c>
      <c r="F222" s="1" t="str">
        <f>IF(B222="","",(VLOOKUP(B222,'BOGIX (Gross)'!A:D,4,FALSE)/100))</f>
        <v/>
      </c>
      <c r="G222" s="1" t="str">
        <f>IF(B222="","",(VLOOKUP(B222,'LC (Net)'!A:D,4,FALSE)/100))</f>
        <v/>
      </c>
      <c r="H222" s="1" t="str">
        <f>IF(B222="","",(VLOOKUP(B222,'SC (Net)'!A:D,4,FALSE))/100)</f>
        <v/>
      </c>
      <c r="I222" s="1" t="str">
        <f>IF(B222="","",(VLOOKUP(B222,'Global (Net)'!A:D,4,FALSE)/100))</f>
        <v/>
      </c>
      <c r="J222" s="1" t="str">
        <f>IF(B222="","",(VLOOKUP(B222,'BOGIX (Net)'!A:D,4,FALSE)/100))</f>
        <v/>
      </c>
      <c r="K222" s="1" t="str">
        <f>IF(B222="","",VLOOKUP(Website!B222,'LC (Gross)'!W:X,2,FALSE)/100)</f>
        <v/>
      </c>
      <c r="L222" s="1" t="str">
        <f>IF(B222="","",VLOOKUP(Website!B222,'SC (Gross)'!P:Q,2,FALSE)/100)</f>
        <v/>
      </c>
      <c r="M222" s="1" t="str">
        <f>IF(B222="","",VLOOKUP(Website!B222,'Global (Gross)'!P:Q,2,FALSE)/100)</f>
        <v/>
      </c>
      <c r="O222" s="1" t="str">
        <f>IF(B222="","",VLOOKUP(Website!B222,'LC (Gross)'!J:K,2,FALSE)/100)</f>
        <v/>
      </c>
      <c r="P222" s="233" t="str">
        <f>IF(B222="","",(VLOOKUP(B222,'BOGIX (Gross)'!J:K,2,FALSE))/100)</f>
        <v/>
      </c>
      <c r="Q222" s="233" t="str">
        <f>IF(B222="","",(VLOOKUP(B222,'Global (Gross)'!J:K,2,FALSE)/100))</f>
        <v/>
      </c>
      <c r="S222" s="22" t="str">
        <f t="shared" si="196"/>
        <v/>
      </c>
      <c r="T222" s="22" t="str">
        <f t="shared" si="197"/>
        <v/>
      </c>
      <c r="U222" s="22" t="str">
        <f t="shared" si="198"/>
        <v/>
      </c>
      <c r="V222" s="22" t="str">
        <f t="shared" si="195"/>
        <v/>
      </c>
      <c r="W222" s="22" t="str">
        <f t="shared" si="199"/>
        <v/>
      </c>
      <c r="X222" s="22" t="str">
        <f t="shared" si="200"/>
        <v/>
      </c>
      <c r="Y222" s="22" t="str">
        <f t="shared" si="201"/>
        <v/>
      </c>
    </row>
    <row r="223" spans="1:25" x14ac:dyDescent="0.25">
      <c r="A223" t="str">
        <f t="shared" si="202"/>
        <v/>
      </c>
      <c r="B223" s="169" t="str">
        <f>IF('LC (Gross)'!A370="","",IF('LC (Gross)'!A370&gt;$AC$9,"",'LC (Gross)'!A370))</f>
        <v/>
      </c>
      <c r="C223" s="1" t="str">
        <f>IF(B223="","",(VLOOKUP(B223,'LC (Gross)'!A:D,4,FALSE)/100))</f>
        <v/>
      </c>
      <c r="D223" s="1" t="str">
        <f>IF(B223="","",(VLOOKUP(B223,'SC (Gross)'!A:D,4,FALSE))/100)</f>
        <v/>
      </c>
      <c r="E223" s="1" t="str">
        <f>IF(B223="","",(VLOOKUP(B223,'Global (Gross)'!A:D,4,FALSE)/100))</f>
        <v/>
      </c>
      <c r="F223" s="1" t="str">
        <f>IF(B223="","",(VLOOKUP(B223,'BOGIX (Gross)'!A:D,4,FALSE)/100))</f>
        <v/>
      </c>
      <c r="G223" s="1" t="str">
        <f>IF(B223="","",(VLOOKUP(B223,'LC (Net)'!A:D,4,FALSE)/100))</f>
        <v/>
      </c>
      <c r="H223" s="1" t="str">
        <f>IF(B223="","",(VLOOKUP(B223,'SC (Net)'!A:D,4,FALSE))/100)</f>
        <v/>
      </c>
      <c r="I223" s="1" t="str">
        <f>IF(B223="","",(VLOOKUP(B223,'Global (Net)'!A:D,4,FALSE)/100))</f>
        <v/>
      </c>
      <c r="J223" s="1" t="str">
        <f>IF(B223="","",(VLOOKUP(B223,'BOGIX (Net)'!A:D,4,FALSE)/100))</f>
        <v/>
      </c>
      <c r="K223" s="1" t="str">
        <f>IF(B223="","",VLOOKUP(Website!B223,'LC (Gross)'!W:X,2,FALSE)/100)</f>
        <v/>
      </c>
      <c r="L223" s="1" t="str">
        <f>IF(B223="","",VLOOKUP(Website!B223,'SC (Gross)'!P:Q,2,FALSE)/100)</f>
        <v/>
      </c>
      <c r="M223" s="1" t="str">
        <f>IF(B223="","",VLOOKUP(Website!B223,'Global (Gross)'!P:Q,2,FALSE)/100)</f>
        <v/>
      </c>
      <c r="O223" s="1" t="str">
        <f>IF(B223="","",VLOOKUP(Website!B223,'LC (Gross)'!J:K,2,FALSE)/100)</f>
        <v/>
      </c>
      <c r="P223" s="233" t="str">
        <f>IF(B223="","",(VLOOKUP(B223,'BOGIX (Gross)'!J:K,2,FALSE))/100)</f>
        <v/>
      </c>
      <c r="Q223" s="233" t="str">
        <f>IF(B223="","",(VLOOKUP(B223,'Global (Gross)'!J:K,2,FALSE)/100))</f>
        <v/>
      </c>
      <c r="S223" s="22" t="str">
        <f t="shared" si="196"/>
        <v/>
      </c>
      <c r="T223" s="22" t="str">
        <f t="shared" si="197"/>
        <v/>
      </c>
      <c r="U223" s="22" t="str">
        <f t="shared" si="198"/>
        <v/>
      </c>
      <c r="V223" s="22" t="str">
        <f t="shared" si="195"/>
        <v/>
      </c>
      <c r="W223" s="22" t="str">
        <f t="shared" si="199"/>
        <v/>
      </c>
      <c r="X223" s="22" t="str">
        <f t="shared" si="200"/>
        <v/>
      </c>
      <c r="Y223" s="22" t="str">
        <f t="shared" si="201"/>
        <v/>
      </c>
    </row>
    <row r="224" spans="1:25" x14ac:dyDescent="0.25">
      <c r="A224" t="str">
        <f t="shared" si="202"/>
        <v/>
      </c>
      <c r="B224" s="169" t="str">
        <f>IF('LC (Gross)'!A371="","",IF('LC (Gross)'!A371&gt;$AC$9,"",'LC (Gross)'!A371))</f>
        <v/>
      </c>
      <c r="C224" s="1" t="str">
        <f>IF(B224="","",(VLOOKUP(B224,'LC (Gross)'!A:D,4,FALSE)/100))</f>
        <v/>
      </c>
      <c r="D224" s="1" t="str">
        <f>IF(B224="","",(VLOOKUP(B224,'SC (Gross)'!A:D,4,FALSE))/100)</f>
        <v/>
      </c>
      <c r="E224" s="1" t="str">
        <f>IF(B224="","",(VLOOKUP(B224,'Global (Gross)'!A:D,4,FALSE)/100))</f>
        <v/>
      </c>
      <c r="F224" s="1" t="str">
        <f>IF(B224="","",(VLOOKUP(B224,'BOGIX (Gross)'!A:D,4,FALSE)/100))</f>
        <v/>
      </c>
      <c r="G224" s="1" t="str">
        <f>IF(B224="","",(VLOOKUP(B224,'LC (Net)'!A:D,4,FALSE)/100))</f>
        <v/>
      </c>
      <c r="H224" s="1" t="str">
        <f>IF(B224="","",(VLOOKUP(B224,'SC (Net)'!A:D,4,FALSE))/100)</f>
        <v/>
      </c>
      <c r="I224" s="1" t="str">
        <f>IF(B224="","",(VLOOKUP(B224,'Global (Net)'!A:D,4,FALSE)/100))</f>
        <v/>
      </c>
      <c r="J224" s="1" t="str">
        <f>IF(B224="","",(VLOOKUP(B224,'BOGIX (Net)'!A:D,4,FALSE)/100))</f>
        <v/>
      </c>
      <c r="K224" s="1" t="str">
        <f>IF(B224="","",VLOOKUP(Website!B224,'LC (Gross)'!W:X,2,FALSE)/100)</f>
        <v/>
      </c>
      <c r="L224" s="1" t="str">
        <f>IF(B224="","",VLOOKUP(Website!B224,'SC (Gross)'!P:Q,2,FALSE)/100)</f>
        <v/>
      </c>
      <c r="M224" s="1" t="str">
        <f>IF(B224="","",VLOOKUP(Website!B224,'Global (Gross)'!P:Q,2,FALSE)/100)</f>
        <v/>
      </c>
      <c r="O224" s="1" t="str">
        <f>IF(B224="","",VLOOKUP(Website!B224,'LC (Gross)'!J:K,2,FALSE)/100)</f>
        <v/>
      </c>
      <c r="P224" s="233" t="str">
        <f>IF(B224="","",(VLOOKUP(B224,'BOGIX (Gross)'!J:K,2,FALSE))/100)</f>
        <v/>
      </c>
      <c r="Q224" s="233" t="str">
        <f>IF(B224="","",(VLOOKUP(B224,'Global (Gross)'!J:K,2,FALSE)/100))</f>
        <v/>
      </c>
      <c r="S224" s="22" t="str">
        <f t="shared" si="196"/>
        <v/>
      </c>
      <c r="T224" s="22" t="str">
        <f t="shared" si="197"/>
        <v/>
      </c>
      <c r="U224" s="22" t="str">
        <f t="shared" si="198"/>
        <v/>
      </c>
      <c r="V224" s="22" t="str">
        <f t="shared" si="195"/>
        <v/>
      </c>
      <c r="W224" s="22" t="str">
        <f t="shared" si="199"/>
        <v/>
      </c>
      <c r="X224" s="22" t="str">
        <f t="shared" si="200"/>
        <v/>
      </c>
      <c r="Y224" s="22" t="str">
        <f t="shared" si="201"/>
        <v/>
      </c>
    </row>
    <row r="225" spans="1:25" x14ac:dyDescent="0.25">
      <c r="A225" t="str">
        <f t="shared" si="202"/>
        <v/>
      </c>
      <c r="B225" s="169" t="str">
        <f>IF('LC (Gross)'!A372="","",IF('LC (Gross)'!A372&gt;$AC$9,"",'LC (Gross)'!A372))</f>
        <v/>
      </c>
      <c r="C225" s="1" t="str">
        <f>IF(B225="","",(VLOOKUP(B225,'LC (Gross)'!A:D,4,FALSE)/100))</f>
        <v/>
      </c>
      <c r="D225" s="1" t="str">
        <f>IF(B225="","",(VLOOKUP(B225,'SC (Gross)'!A:D,4,FALSE))/100)</f>
        <v/>
      </c>
      <c r="E225" s="1" t="str">
        <f>IF(B225="","",(VLOOKUP(B225,'Global (Gross)'!A:D,4,FALSE)/100))</f>
        <v/>
      </c>
      <c r="F225" s="1" t="str">
        <f>IF(B225="","",(VLOOKUP(B225,'BOGIX (Gross)'!A:D,4,FALSE)/100))</f>
        <v/>
      </c>
      <c r="G225" s="1" t="str">
        <f>IF(B225="","",(VLOOKUP(B225,'LC (Net)'!A:D,4,FALSE)/100))</f>
        <v/>
      </c>
      <c r="H225" s="1" t="str">
        <f>IF(B225="","",(VLOOKUP(B225,'SC (Net)'!A:D,4,FALSE))/100)</f>
        <v/>
      </c>
      <c r="I225" s="1" t="str">
        <f>IF(B225="","",(VLOOKUP(B225,'Global (Net)'!A:D,4,FALSE)/100))</f>
        <v/>
      </c>
      <c r="J225" s="1" t="str">
        <f>IF(B225="","",(VLOOKUP(B225,'BOGIX (Net)'!A:D,4,FALSE)/100))</f>
        <v/>
      </c>
      <c r="K225" s="1" t="str">
        <f>IF(B225="","",VLOOKUP(Website!B225,'LC (Gross)'!W:X,2,FALSE)/100)</f>
        <v/>
      </c>
      <c r="L225" s="1" t="str">
        <f>IF(B225="","",VLOOKUP(Website!B225,'SC (Gross)'!P:Q,2,FALSE)/100)</f>
        <v/>
      </c>
      <c r="M225" s="1" t="str">
        <f>IF(B225="","",VLOOKUP(Website!B225,'Global (Gross)'!P:Q,2,FALSE)/100)</f>
        <v/>
      </c>
      <c r="O225" s="1" t="str">
        <f>IF(B225="","",VLOOKUP(Website!B225,'LC (Gross)'!J:K,2,FALSE)/100)</f>
        <v/>
      </c>
      <c r="P225" s="233" t="str">
        <f>IF(B225="","",(VLOOKUP(B225,'BOGIX (Gross)'!J:K,2,FALSE))/100)</f>
        <v/>
      </c>
      <c r="Q225" s="233" t="str">
        <f>IF(B225="","",(VLOOKUP(B225,'Global (Gross)'!J:K,2,FALSE)/100))</f>
        <v/>
      </c>
      <c r="S225" s="22" t="str">
        <f t="shared" si="196"/>
        <v/>
      </c>
      <c r="T225" s="22" t="str">
        <f t="shared" si="197"/>
        <v/>
      </c>
      <c r="U225" s="22" t="str">
        <f t="shared" si="198"/>
        <v/>
      </c>
      <c r="V225" s="22" t="str">
        <f t="shared" si="195"/>
        <v/>
      </c>
      <c r="W225" s="22" t="str">
        <f t="shared" si="199"/>
        <v/>
      </c>
      <c r="X225" s="22" t="str">
        <f t="shared" si="200"/>
        <v/>
      </c>
      <c r="Y225" s="22" t="str">
        <f t="shared" si="201"/>
        <v/>
      </c>
    </row>
    <row r="226" spans="1:25" x14ac:dyDescent="0.25">
      <c r="A226" t="str">
        <f t="shared" si="202"/>
        <v/>
      </c>
      <c r="B226" s="169" t="str">
        <f>IF('LC (Gross)'!A373="","",IF('LC (Gross)'!A373&gt;$AC$9,"",'LC (Gross)'!A373))</f>
        <v/>
      </c>
      <c r="C226" s="1" t="str">
        <f>IF(B226="","",(VLOOKUP(B226,'LC (Gross)'!A:D,4,FALSE)/100))</f>
        <v/>
      </c>
      <c r="D226" s="1" t="str">
        <f>IF(B226="","",(VLOOKUP(B226,'SC (Gross)'!A:D,4,FALSE))/100)</f>
        <v/>
      </c>
      <c r="E226" s="1" t="str">
        <f>IF(B226="","",(VLOOKUP(B226,'Global (Gross)'!A:D,4,FALSE)/100))</f>
        <v/>
      </c>
      <c r="F226" s="1" t="str">
        <f>IF(B226="","",(VLOOKUP(B226,'BOGIX (Gross)'!A:D,4,FALSE)/100))</f>
        <v/>
      </c>
      <c r="G226" s="1" t="str">
        <f>IF(B226="","",(VLOOKUP(B226,'LC (Net)'!A:D,4,FALSE)/100))</f>
        <v/>
      </c>
      <c r="H226" s="1" t="str">
        <f>IF(B226="","",(VLOOKUP(B226,'SC (Net)'!A:D,4,FALSE))/100)</f>
        <v/>
      </c>
      <c r="I226" s="1" t="str">
        <f>IF(B226="","",(VLOOKUP(B226,'Global (Net)'!A:D,4,FALSE)/100))</f>
        <v/>
      </c>
      <c r="J226" s="1" t="str">
        <f>IF(B226="","",(VLOOKUP(B226,'BOGIX (Net)'!A:D,4,FALSE)/100))</f>
        <v/>
      </c>
      <c r="K226" s="1" t="str">
        <f>IF(B226="","",VLOOKUP(Website!B226,'LC (Gross)'!W:X,2,FALSE)/100)</f>
        <v/>
      </c>
      <c r="L226" s="1" t="str">
        <f>IF(B226="","",VLOOKUP(Website!B226,'SC (Gross)'!P:Q,2,FALSE)/100)</f>
        <v/>
      </c>
      <c r="M226" s="1" t="str">
        <f>IF(B226="","",VLOOKUP(Website!B226,'Global (Gross)'!P:Q,2,FALSE)/100)</f>
        <v/>
      </c>
      <c r="O226" s="1" t="str">
        <f>IF(B226="","",VLOOKUP(Website!B226,'LC (Gross)'!J:K,2,FALSE)/100)</f>
        <v/>
      </c>
      <c r="P226" s="233" t="str">
        <f>IF(B226="","",(VLOOKUP(B226,'BOGIX (Gross)'!J:K,2,FALSE))/100)</f>
        <v/>
      </c>
      <c r="Q226" s="233" t="str">
        <f>IF(B226="","",(VLOOKUP(B226,'Global (Gross)'!J:K,2,FALSE)/100))</f>
        <v/>
      </c>
      <c r="S226" s="22" t="str">
        <f t="shared" si="196"/>
        <v/>
      </c>
      <c r="T226" s="22" t="str">
        <f t="shared" si="197"/>
        <v/>
      </c>
      <c r="U226" s="22" t="str">
        <f t="shared" si="198"/>
        <v/>
      </c>
      <c r="V226" s="22" t="str">
        <f t="shared" si="195"/>
        <v/>
      </c>
      <c r="W226" s="22" t="str">
        <f t="shared" si="199"/>
        <v/>
      </c>
      <c r="X226" s="22" t="str">
        <f t="shared" si="200"/>
        <v/>
      </c>
      <c r="Y226" s="22" t="str">
        <f t="shared" si="201"/>
        <v/>
      </c>
    </row>
    <row r="227" spans="1:25" x14ac:dyDescent="0.25">
      <c r="A227" t="str">
        <f t="shared" si="202"/>
        <v/>
      </c>
      <c r="B227" s="169" t="str">
        <f>IF('LC (Gross)'!A374="","",IF('LC (Gross)'!A374&gt;$AC$9,"",'LC (Gross)'!A374))</f>
        <v/>
      </c>
      <c r="C227" s="1" t="str">
        <f>IF(B227="","",(VLOOKUP(B227,'LC (Gross)'!A:D,4,FALSE)/100))</f>
        <v/>
      </c>
      <c r="D227" s="1" t="str">
        <f>IF(B227="","",(VLOOKUP(B227,'SC (Gross)'!A:D,4,FALSE))/100)</f>
        <v/>
      </c>
      <c r="E227" s="1" t="str">
        <f>IF(B227="","",(VLOOKUP(B227,'Global (Gross)'!A:D,4,FALSE)/100))</f>
        <v/>
      </c>
      <c r="F227" s="1" t="str">
        <f>IF(B227="","",(VLOOKUP(B227,'BOGIX (Gross)'!A:D,4,FALSE)/100))</f>
        <v/>
      </c>
      <c r="G227" s="1" t="str">
        <f>IF(B227="","",(VLOOKUP(B227,'LC (Net)'!A:D,4,FALSE)/100))</f>
        <v/>
      </c>
      <c r="H227" s="1" t="str">
        <f>IF(B227="","",(VLOOKUP(B227,'SC (Net)'!A:D,4,FALSE))/100)</f>
        <v/>
      </c>
      <c r="I227" s="1" t="str">
        <f>IF(B227="","",(VLOOKUP(B227,'Global (Net)'!A:D,4,FALSE)/100))</f>
        <v/>
      </c>
      <c r="J227" s="1" t="str">
        <f>IF(B227="","",(VLOOKUP(B227,'BOGIX (Net)'!A:D,4,FALSE)/100))</f>
        <v/>
      </c>
      <c r="K227" s="1" t="str">
        <f>IF(B227="","",VLOOKUP(Website!B227,'LC (Gross)'!W:X,2,FALSE)/100)</f>
        <v/>
      </c>
      <c r="L227" s="1" t="str">
        <f>IF(B227="","",VLOOKUP(Website!B227,'SC (Gross)'!P:Q,2,FALSE)/100)</f>
        <v/>
      </c>
      <c r="M227" s="1" t="str">
        <f>IF(B227="","",VLOOKUP(Website!B227,'Global (Gross)'!P:Q,2,FALSE)/100)</f>
        <v/>
      </c>
      <c r="O227" s="1" t="str">
        <f>IF(B227="","",VLOOKUP(Website!B227,'LC (Gross)'!J:K,2,FALSE)/100)</f>
        <v/>
      </c>
      <c r="P227" s="233" t="str">
        <f>IF(B227="","",(VLOOKUP(B227,'BOGIX (Gross)'!J:K,2,FALSE))/100)</f>
        <v/>
      </c>
      <c r="Q227" s="233" t="str">
        <f>IF(B227="","",(VLOOKUP(B227,'Global (Gross)'!J:K,2,FALSE)/100))</f>
        <v/>
      </c>
      <c r="S227" s="22" t="str">
        <f t="shared" si="196"/>
        <v/>
      </c>
      <c r="T227" s="22" t="str">
        <f t="shared" si="197"/>
        <v/>
      </c>
      <c r="U227" s="22" t="str">
        <f t="shared" si="198"/>
        <v/>
      </c>
      <c r="V227" s="22" t="str">
        <f t="shared" si="195"/>
        <v/>
      </c>
      <c r="W227" s="22" t="str">
        <f t="shared" si="199"/>
        <v/>
      </c>
      <c r="X227" s="22" t="str">
        <f t="shared" si="200"/>
        <v/>
      </c>
      <c r="Y227" s="22" t="str">
        <f t="shared" si="201"/>
        <v/>
      </c>
    </row>
    <row r="228" spans="1:25" x14ac:dyDescent="0.25">
      <c r="A228" t="str">
        <f t="shared" si="202"/>
        <v/>
      </c>
      <c r="B228" s="169" t="str">
        <f>IF('LC (Gross)'!A375="","",IF('LC (Gross)'!A375&gt;$AC$9,"",'LC (Gross)'!A375))</f>
        <v/>
      </c>
      <c r="C228" s="1" t="str">
        <f>IF(B228="","",(VLOOKUP(B228,'LC (Gross)'!A:D,4,FALSE)/100))</f>
        <v/>
      </c>
      <c r="D228" s="1" t="str">
        <f>IF(B228="","",(VLOOKUP(B228,'SC (Gross)'!A:D,4,FALSE))/100)</f>
        <v/>
      </c>
      <c r="E228" s="1" t="str">
        <f>IF(B228="","",(VLOOKUP(B228,'Global (Gross)'!A:D,4,FALSE)/100))</f>
        <v/>
      </c>
      <c r="F228" s="1" t="str">
        <f>IF(B228="","",(VLOOKUP(B228,'BOGIX (Gross)'!A:D,4,FALSE)/100))</f>
        <v/>
      </c>
      <c r="G228" s="1" t="str">
        <f>IF(B228="","",(VLOOKUP(B228,'LC (Net)'!A:D,4,FALSE)/100))</f>
        <v/>
      </c>
      <c r="H228" s="1" t="str">
        <f>IF(B228="","",(VLOOKUP(B228,'SC (Net)'!A:D,4,FALSE))/100)</f>
        <v/>
      </c>
      <c r="I228" s="1" t="str">
        <f>IF(B228="","",(VLOOKUP(B228,'Global (Net)'!A:D,4,FALSE)/100))</f>
        <v/>
      </c>
      <c r="J228" s="1" t="str">
        <f>IF(B228="","",(VLOOKUP(B228,'BOGIX (Net)'!A:D,4,FALSE)/100))</f>
        <v/>
      </c>
      <c r="K228" s="1" t="str">
        <f>IF(B228="","",VLOOKUP(Website!B228,'LC (Gross)'!W:X,2,FALSE)/100)</f>
        <v/>
      </c>
      <c r="L228" s="1" t="str">
        <f>IF(B228="","",VLOOKUP(Website!B228,'SC (Gross)'!P:Q,2,FALSE)/100)</f>
        <v/>
      </c>
      <c r="M228" s="1" t="str">
        <f>IF(B228="","",VLOOKUP(Website!B228,'Global (Gross)'!P:Q,2,FALSE)/100)</f>
        <v/>
      </c>
      <c r="O228" s="1" t="str">
        <f>IF(B228="","",VLOOKUP(Website!B228,'LC (Gross)'!J:K,2,FALSE)/100)</f>
        <v/>
      </c>
      <c r="P228" s="233" t="str">
        <f>IF(B228="","",(VLOOKUP(B228,'BOGIX (Gross)'!J:K,2,FALSE))/100)</f>
        <v/>
      </c>
      <c r="Q228" s="233" t="str">
        <f>IF(B228="","",(VLOOKUP(B228,'Global (Gross)'!J:K,2,FALSE)/100))</f>
        <v/>
      </c>
      <c r="S228" s="22" t="str">
        <f t="shared" si="196"/>
        <v/>
      </c>
      <c r="T228" s="22" t="str">
        <f t="shared" si="197"/>
        <v/>
      </c>
      <c r="U228" s="22" t="str">
        <f t="shared" si="198"/>
        <v/>
      </c>
      <c r="V228" s="22" t="str">
        <f t="shared" si="195"/>
        <v/>
      </c>
      <c r="W228" s="22" t="str">
        <f t="shared" si="199"/>
        <v/>
      </c>
      <c r="X228" s="22" t="str">
        <f t="shared" si="200"/>
        <v/>
      </c>
      <c r="Y228" s="22" t="str">
        <f t="shared" si="201"/>
        <v/>
      </c>
    </row>
    <row r="229" spans="1:25" x14ac:dyDescent="0.25">
      <c r="A229" t="str">
        <f t="shared" si="202"/>
        <v/>
      </c>
      <c r="B229" s="169" t="str">
        <f>IF('LC (Gross)'!A376="","",IF('LC (Gross)'!A376&gt;$AC$9,"",'LC (Gross)'!A376))</f>
        <v/>
      </c>
      <c r="C229" s="1" t="str">
        <f>IF(B229="","",(VLOOKUP(B229,'LC (Gross)'!A:D,4,FALSE)/100))</f>
        <v/>
      </c>
      <c r="D229" s="1" t="str">
        <f>IF(B229="","",(VLOOKUP(B229,'SC (Gross)'!A:D,4,FALSE))/100)</f>
        <v/>
      </c>
      <c r="E229" s="1" t="str">
        <f>IF(B229="","",(VLOOKUP(B229,'Global (Gross)'!A:D,4,FALSE)/100))</f>
        <v/>
      </c>
      <c r="F229" s="1" t="str">
        <f>IF(B229="","",(VLOOKUP(B229,'BOGIX (Gross)'!A:D,4,FALSE)/100))</f>
        <v/>
      </c>
      <c r="G229" s="1" t="str">
        <f>IF(B229="","",(VLOOKUP(B229,'LC (Net)'!A:D,4,FALSE)/100))</f>
        <v/>
      </c>
      <c r="H229" s="1" t="str">
        <f>IF(B229="","",(VLOOKUP(B229,'SC (Net)'!A:D,4,FALSE))/100)</f>
        <v/>
      </c>
      <c r="I229" s="1" t="str">
        <f>IF(B229="","",(VLOOKUP(B229,'Global (Net)'!A:D,4,FALSE)/100))</f>
        <v/>
      </c>
      <c r="J229" s="1" t="str">
        <f>IF(B229="","",(VLOOKUP(B229,'BOGIX (Net)'!A:D,4,FALSE)/100))</f>
        <v/>
      </c>
      <c r="K229" s="1" t="str">
        <f>IF(B229="","",VLOOKUP(Website!B229,'LC (Gross)'!W:X,2,FALSE)/100)</f>
        <v/>
      </c>
      <c r="L229" s="1" t="str">
        <f>IF(B229="","",VLOOKUP(Website!B229,'SC (Gross)'!P:Q,2,FALSE)/100)</f>
        <v/>
      </c>
      <c r="M229" s="1" t="str">
        <f>IF(B229="","",VLOOKUP(Website!B229,'Global (Gross)'!P:Q,2,FALSE)/100)</f>
        <v/>
      </c>
      <c r="O229" s="1" t="str">
        <f>IF(B229="","",VLOOKUP(Website!B229,'LC (Gross)'!J:K,2,FALSE)/100)</f>
        <v/>
      </c>
      <c r="P229" s="233" t="str">
        <f>IF(B229="","",(VLOOKUP(B229,'BOGIX (Gross)'!J:K,2,FALSE))/100)</f>
        <v/>
      </c>
      <c r="Q229" s="233" t="str">
        <f>IF(B229="","",(VLOOKUP(B229,'Global (Gross)'!J:K,2,FALSE)/100))</f>
        <v/>
      </c>
      <c r="S229" s="22" t="str">
        <f t="shared" si="196"/>
        <v/>
      </c>
      <c r="T229" s="22" t="str">
        <f t="shared" si="197"/>
        <v/>
      </c>
      <c r="U229" s="22" t="str">
        <f t="shared" si="198"/>
        <v/>
      </c>
      <c r="V229" s="22" t="str">
        <f t="shared" si="195"/>
        <v/>
      </c>
      <c r="W229" s="22" t="str">
        <f t="shared" si="199"/>
        <v/>
      </c>
      <c r="X229" s="22" t="str">
        <f t="shared" si="200"/>
        <v/>
      </c>
      <c r="Y229" s="22" t="str">
        <f t="shared" si="201"/>
        <v/>
      </c>
    </row>
    <row r="230" spans="1:25" x14ac:dyDescent="0.25">
      <c r="A230" t="str">
        <f t="shared" si="202"/>
        <v/>
      </c>
      <c r="B230" s="169" t="str">
        <f>IF('LC (Gross)'!A377="","",IF('LC (Gross)'!A377&gt;$AC$9,"",'LC (Gross)'!A377))</f>
        <v/>
      </c>
      <c r="C230" s="1" t="str">
        <f>IF(B230="","",(VLOOKUP(B230,'LC (Gross)'!A:D,4,FALSE)/100))</f>
        <v/>
      </c>
      <c r="D230" s="1" t="str">
        <f>IF(B230="","",(VLOOKUP(B230,'SC (Gross)'!A:D,4,FALSE))/100)</f>
        <v/>
      </c>
      <c r="E230" s="1" t="str">
        <f>IF(B230="","",(VLOOKUP(B230,'Global (Gross)'!A:D,4,FALSE)/100))</f>
        <v/>
      </c>
      <c r="F230" s="1" t="str">
        <f>IF(B230="","",(VLOOKUP(B230,'BOGIX (Gross)'!A:D,4,FALSE)/100))</f>
        <v/>
      </c>
      <c r="G230" s="1" t="str">
        <f>IF(B230="","",(VLOOKUP(B230,'LC (Net)'!A:D,4,FALSE)/100))</f>
        <v/>
      </c>
      <c r="H230" s="1" t="str">
        <f>IF(B230="","",(VLOOKUP(B230,'SC (Net)'!A:D,4,FALSE))/100)</f>
        <v/>
      </c>
      <c r="I230" s="1" t="str">
        <f>IF(B230="","",(VLOOKUP(B230,'Global (Net)'!A:D,4,FALSE)/100))</f>
        <v/>
      </c>
      <c r="J230" s="1" t="str">
        <f>IF(B230="","",(VLOOKUP(B230,'BOGIX (Net)'!A:D,4,FALSE)/100))</f>
        <v/>
      </c>
      <c r="K230" s="1" t="str">
        <f>IF(B230="","",VLOOKUP(Website!B230,'LC (Gross)'!W:X,2,FALSE)/100)</f>
        <v/>
      </c>
      <c r="L230" s="1" t="str">
        <f>IF(B230="","",VLOOKUP(Website!B230,'SC (Gross)'!P:Q,2,FALSE)/100)</f>
        <v/>
      </c>
      <c r="M230" s="1" t="str">
        <f>IF(B230="","",VLOOKUP(Website!B230,'Global (Gross)'!P:Q,2,FALSE)/100)</f>
        <v/>
      </c>
      <c r="O230" s="1" t="str">
        <f>IF(B230="","",VLOOKUP(Website!B230,'LC (Gross)'!J:K,2,FALSE)/100)</f>
        <v/>
      </c>
      <c r="P230" s="233" t="str">
        <f>IF(B230="","",(VLOOKUP(B230,'BOGIX (Gross)'!J:K,2,FALSE))/100)</f>
        <v/>
      </c>
      <c r="Q230" s="233" t="str">
        <f>IF(B230="","",(VLOOKUP(B230,'Global (Gross)'!J:K,2,FALSE)/100))</f>
        <v/>
      </c>
      <c r="S230" s="22" t="str">
        <f t="shared" si="196"/>
        <v/>
      </c>
      <c r="T230" s="22" t="str">
        <f t="shared" si="197"/>
        <v/>
      </c>
      <c r="U230" s="22" t="str">
        <f t="shared" si="198"/>
        <v/>
      </c>
      <c r="V230" s="22" t="str">
        <f t="shared" si="195"/>
        <v/>
      </c>
      <c r="W230" s="22" t="str">
        <f t="shared" si="199"/>
        <v/>
      </c>
      <c r="X230" s="22" t="str">
        <f t="shared" si="200"/>
        <v/>
      </c>
      <c r="Y230" s="22" t="str">
        <f t="shared" si="201"/>
        <v/>
      </c>
    </row>
    <row r="231" spans="1:25" x14ac:dyDescent="0.25">
      <c r="A231" t="str">
        <f t="shared" si="202"/>
        <v/>
      </c>
      <c r="B231" s="169" t="str">
        <f>IF('LC (Gross)'!A378="","",IF('LC (Gross)'!A378&gt;$AC$9,"",'LC (Gross)'!A378))</f>
        <v/>
      </c>
      <c r="C231" s="1" t="str">
        <f>IF(B231="","",(VLOOKUP(B231,'LC (Gross)'!A:D,4,FALSE)/100))</f>
        <v/>
      </c>
      <c r="D231" s="1" t="str">
        <f>IF(B231="","",(VLOOKUP(B231,'SC (Gross)'!A:D,4,FALSE))/100)</f>
        <v/>
      </c>
      <c r="E231" s="1" t="str">
        <f>IF(B231="","",(VLOOKUP(B231,'Global (Gross)'!A:D,4,FALSE)/100))</f>
        <v/>
      </c>
      <c r="F231" s="1" t="str">
        <f>IF(B231="","",(VLOOKUP(B231,'BOGIX (Gross)'!A:D,4,FALSE)/100))</f>
        <v/>
      </c>
      <c r="G231" s="1" t="str">
        <f>IF(B231="","",(VLOOKUP(B231,'LC (Net)'!A:D,4,FALSE)/100))</f>
        <v/>
      </c>
      <c r="H231" s="1" t="str">
        <f>IF(B231="","",(VLOOKUP(B231,'SC (Net)'!A:D,4,FALSE))/100)</f>
        <v/>
      </c>
      <c r="I231" s="1" t="str">
        <f>IF(B231="","",(VLOOKUP(B231,'Global (Net)'!A:D,4,FALSE)/100))</f>
        <v/>
      </c>
      <c r="J231" s="1" t="str">
        <f>IF(B231="","",(VLOOKUP(B231,'BOGIX (Net)'!A:D,4,FALSE)/100))</f>
        <v/>
      </c>
      <c r="K231" s="1" t="str">
        <f>IF(B231="","",VLOOKUP(Website!B231,'LC (Gross)'!W:X,2,FALSE)/100)</f>
        <v/>
      </c>
      <c r="L231" s="1" t="str">
        <f>IF(B231="","",VLOOKUP(Website!B231,'SC (Gross)'!P:Q,2,FALSE)/100)</f>
        <v/>
      </c>
      <c r="M231" s="1" t="str">
        <f>IF(B231="","",VLOOKUP(Website!B231,'Global (Gross)'!P:Q,2,FALSE)/100)</f>
        <v/>
      </c>
      <c r="O231" s="1" t="str">
        <f>IF(B231="","",VLOOKUP(Website!B231,'LC (Gross)'!J:K,2,FALSE)/100)</f>
        <v/>
      </c>
      <c r="P231" s="233" t="str">
        <f>IF(B231="","",(VLOOKUP(B231,'BOGIX (Gross)'!J:K,2,FALSE))/100)</f>
        <v/>
      </c>
      <c r="Q231" s="233" t="str">
        <f>IF(B231="","",(VLOOKUP(B231,'Global (Gross)'!J:K,2,FALSE)/100))</f>
        <v/>
      </c>
      <c r="S231" s="22" t="str">
        <f t="shared" si="196"/>
        <v/>
      </c>
      <c r="T231" s="22" t="str">
        <f t="shared" si="197"/>
        <v/>
      </c>
      <c r="U231" s="22" t="str">
        <f t="shared" si="198"/>
        <v/>
      </c>
      <c r="V231" s="22" t="str">
        <f t="shared" si="195"/>
        <v/>
      </c>
      <c r="W231" s="22" t="str">
        <f t="shared" si="199"/>
        <v/>
      </c>
      <c r="X231" s="22" t="str">
        <f t="shared" si="200"/>
        <v/>
      </c>
      <c r="Y231" s="22" t="str">
        <f t="shared" si="201"/>
        <v/>
      </c>
    </row>
    <row r="232" spans="1:25" x14ac:dyDescent="0.25">
      <c r="A232" t="str">
        <f t="shared" si="202"/>
        <v/>
      </c>
      <c r="B232" s="169" t="str">
        <f>IF('LC (Gross)'!A379="","",IF('LC (Gross)'!A379&gt;$AC$9,"",'LC (Gross)'!A379))</f>
        <v/>
      </c>
      <c r="C232" s="1" t="str">
        <f>IF(B232="","",(VLOOKUP(B232,'LC (Gross)'!A:D,4,FALSE)/100))</f>
        <v/>
      </c>
      <c r="D232" s="1" t="str">
        <f>IF(B232="","",(VLOOKUP(B232,'SC (Gross)'!A:D,4,FALSE))/100)</f>
        <v/>
      </c>
      <c r="E232" s="1" t="str">
        <f>IF(B232="","",(VLOOKUP(B232,'Global (Gross)'!A:D,4,FALSE)/100))</f>
        <v/>
      </c>
      <c r="F232" s="1" t="str">
        <f>IF(B232="","",(VLOOKUP(B232,'BOGIX (Gross)'!A:D,4,FALSE)/100))</f>
        <v/>
      </c>
      <c r="G232" s="1" t="str">
        <f>IF(B232="","",(VLOOKUP(B232,'LC (Net)'!A:D,4,FALSE)/100))</f>
        <v/>
      </c>
      <c r="H232" s="1" t="str">
        <f>IF(B232="","",(VLOOKUP(B232,'SC (Net)'!A:D,4,FALSE))/100)</f>
        <v/>
      </c>
      <c r="I232" s="1" t="str">
        <f>IF(B232="","",(VLOOKUP(B232,'Global (Net)'!A:D,4,FALSE)/100))</f>
        <v/>
      </c>
      <c r="J232" s="1" t="str">
        <f>IF(B232="","",(VLOOKUP(B232,'BOGIX (Net)'!A:D,4,FALSE)/100))</f>
        <v/>
      </c>
      <c r="K232" s="1" t="str">
        <f>IF(B232="","",VLOOKUP(Website!B232,'LC (Gross)'!W:X,2,FALSE)/100)</f>
        <v/>
      </c>
      <c r="L232" s="1" t="str">
        <f>IF(B232="","",VLOOKUP(Website!B232,'SC (Gross)'!P:Q,2,FALSE)/100)</f>
        <v/>
      </c>
      <c r="M232" s="1" t="str">
        <f>IF(B232="","",VLOOKUP(Website!B232,'Global (Gross)'!P:Q,2,FALSE)/100)</f>
        <v/>
      </c>
      <c r="O232" s="1" t="str">
        <f>IF(B232="","",VLOOKUP(Website!B232,'LC (Gross)'!J:K,2,FALSE)/100)</f>
        <v/>
      </c>
      <c r="P232" s="233" t="str">
        <f>IF(B232="","",(VLOOKUP(B232,'BOGIX (Gross)'!J:K,2,FALSE))/100)</f>
        <v/>
      </c>
      <c r="Q232" s="233" t="str">
        <f>IF(B232="","",(VLOOKUP(B232,'Global (Gross)'!J:K,2,FALSE)/100))</f>
        <v/>
      </c>
      <c r="S232" s="22" t="str">
        <f t="shared" si="196"/>
        <v/>
      </c>
      <c r="T232" s="22" t="str">
        <f t="shared" si="197"/>
        <v/>
      </c>
      <c r="U232" s="22" t="str">
        <f t="shared" si="198"/>
        <v/>
      </c>
      <c r="V232" s="22" t="str">
        <f t="shared" si="195"/>
        <v/>
      </c>
      <c r="W232" s="22" t="str">
        <f t="shared" si="199"/>
        <v/>
      </c>
      <c r="X232" s="22" t="str">
        <f t="shared" si="200"/>
        <v/>
      </c>
      <c r="Y232" s="22" t="str">
        <f t="shared" si="201"/>
        <v/>
      </c>
    </row>
    <row r="233" spans="1:25" x14ac:dyDescent="0.25">
      <c r="A233" t="str">
        <f t="shared" si="202"/>
        <v/>
      </c>
      <c r="B233" s="169" t="str">
        <f>IF('LC (Gross)'!A380="","",IF('LC (Gross)'!A380&gt;$AC$9,"",'LC (Gross)'!A380))</f>
        <v/>
      </c>
      <c r="C233" s="1" t="str">
        <f>IF(B233="","",(VLOOKUP(B233,'LC (Gross)'!A:D,4,FALSE)/100))</f>
        <v/>
      </c>
      <c r="D233" s="1" t="str">
        <f>IF(B233="","",(VLOOKUP(B233,'SC (Gross)'!A:D,4,FALSE))/100)</f>
        <v/>
      </c>
      <c r="E233" s="1" t="str">
        <f>IF(B233="","",(VLOOKUP(B233,'Global (Gross)'!A:D,4,FALSE)/100))</f>
        <v/>
      </c>
      <c r="F233" s="1" t="str">
        <f>IF(B233="","",(VLOOKUP(B233,'BOGIX (Gross)'!A:D,4,FALSE)/100))</f>
        <v/>
      </c>
      <c r="G233" s="1" t="str">
        <f>IF(B233="","",(VLOOKUP(B233,'LC (Net)'!A:D,4,FALSE)/100))</f>
        <v/>
      </c>
      <c r="H233" s="1" t="str">
        <f>IF(B233="","",(VLOOKUP(B233,'SC (Net)'!A:D,4,FALSE))/100)</f>
        <v/>
      </c>
      <c r="I233" s="1" t="str">
        <f>IF(B233="","",(VLOOKUP(B233,'Global (Net)'!A:D,4,FALSE)/100))</f>
        <v/>
      </c>
      <c r="J233" s="1" t="str">
        <f>IF(B233="","",(VLOOKUP(B233,'BOGIX (Net)'!A:D,4,FALSE)/100))</f>
        <v/>
      </c>
      <c r="K233" s="1" t="str">
        <f>IF(B233="","",VLOOKUP(Website!B233,'LC (Gross)'!W:X,2,FALSE)/100)</f>
        <v/>
      </c>
      <c r="L233" s="1" t="str">
        <f>IF(B233="","",VLOOKUP(Website!B233,'SC (Gross)'!P:Q,2,FALSE)/100)</f>
        <v/>
      </c>
      <c r="M233" s="1" t="str">
        <f>IF(B233="","",VLOOKUP(Website!B233,'Global (Gross)'!P:Q,2,FALSE)/100)</f>
        <v/>
      </c>
      <c r="O233" s="1" t="str">
        <f>IF(B233="","",VLOOKUP(Website!B233,'LC (Gross)'!J:K,2,FALSE)/100)</f>
        <v/>
      </c>
      <c r="P233" s="233" t="str">
        <f>IF(B233="","",(VLOOKUP(B233,'BOGIX (Gross)'!J:K,2,FALSE))/100)</f>
        <v/>
      </c>
      <c r="Q233" s="233" t="str">
        <f>IF(B233="","",(VLOOKUP(B233,'Global (Gross)'!J:K,2,FALSE)/100))</f>
        <v/>
      </c>
      <c r="S233" s="22" t="str">
        <f t="shared" si="196"/>
        <v/>
      </c>
      <c r="T233" s="22" t="str">
        <f t="shared" si="197"/>
        <v/>
      </c>
      <c r="U233" s="22" t="str">
        <f t="shared" si="198"/>
        <v/>
      </c>
      <c r="V233" s="22" t="str">
        <f t="shared" si="195"/>
        <v/>
      </c>
      <c r="W233" s="22" t="str">
        <f t="shared" si="199"/>
        <v/>
      </c>
      <c r="X233" s="22" t="str">
        <f t="shared" si="200"/>
        <v/>
      </c>
      <c r="Y233" s="22" t="str">
        <f t="shared" si="201"/>
        <v/>
      </c>
    </row>
    <row r="234" spans="1:25" x14ac:dyDescent="0.25">
      <c r="A234" t="str">
        <f t="shared" si="202"/>
        <v/>
      </c>
      <c r="B234" s="169" t="str">
        <f>IF('LC (Gross)'!A381="","",IF('LC (Gross)'!A381&gt;$AC$9,"",'LC (Gross)'!A381))</f>
        <v/>
      </c>
      <c r="C234" s="1" t="str">
        <f>IF(B234="","",(VLOOKUP(B234,'LC (Gross)'!A:D,4,FALSE)/100))</f>
        <v/>
      </c>
      <c r="D234" s="1" t="str">
        <f>IF(B234="","",(VLOOKUP(B234,'SC (Gross)'!A:D,4,FALSE))/100)</f>
        <v/>
      </c>
      <c r="E234" s="1" t="str">
        <f>IF(B234="","",(VLOOKUP(B234,'Global (Gross)'!A:D,4,FALSE)/100))</f>
        <v/>
      </c>
      <c r="F234" s="1" t="str">
        <f>IF(B234="","",(VLOOKUP(B234,'BOGIX (Gross)'!A:D,4,FALSE)/100))</f>
        <v/>
      </c>
      <c r="G234" s="1" t="str">
        <f>IF(B234="","",(VLOOKUP(B234,'LC (Net)'!A:D,4,FALSE)/100))</f>
        <v/>
      </c>
      <c r="H234" s="1" t="str">
        <f>IF(B234="","",(VLOOKUP(B234,'SC (Net)'!A:D,4,FALSE))/100)</f>
        <v/>
      </c>
      <c r="I234" s="1" t="str">
        <f>IF(B234="","",(VLOOKUP(B234,'Global (Net)'!A:D,4,FALSE)/100))</f>
        <v/>
      </c>
      <c r="J234" s="1" t="str">
        <f>IF(B234="","",(VLOOKUP(B234,'BOGIX (Net)'!A:D,4,FALSE)/100))</f>
        <v/>
      </c>
      <c r="K234" s="1" t="str">
        <f>IF(B234="","",VLOOKUP(Website!B234,'LC (Gross)'!W:X,2,FALSE)/100)</f>
        <v/>
      </c>
      <c r="L234" s="1" t="str">
        <f>IF(B234="","",VLOOKUP(Website!B234,'SC (Gross)'!P:Q,2,FALSE)/100)</f>
        <v/>
      </c>
      <c r="M234" s="1" t="str">
        <f>IF(B234="","",VLOOKUP(Website!B234,'Global (Gross)'!P:Q,2,FALSE)/100)</f>
        <v/>
      </c>
      <c r="O234" s="1" t="str">
        <f>IF(B234="","",VLOOKUP(Website!B234,'LC (Gross)'!J:K,2,FALSE)/100)</f>
        <v/>
      </c>
      <c r="P234" s="233" t="str">
        <f>IF(B234="","",(VLOOKUP(B234,'BOGIX (Gross)'!J:K,2,FALSE))/100)</f>
        <v/>
      </c>
      <c r="Q234" s="233" t="str">
        <f>IF(B234="","",(VLOOKUP(B234,'Global (Gross)'!J:K,2,FALSE)/100))</f>
        <v/>
      </c>
      <c r="S234" s="22" t="str">
        <f t="shared" si="196"/>
        <v/>
      </c>
      <c r="T234" s="22" t="str">
        <f t="shared" si="197"/>
        <v/>
      </c>
      <c r="U234" s="22" t="str">
        <f t="shared" si="198"/>
        <v/>
      </c>
      <c r="V234" s="22" t="str">
        <f t="shared" si="195"/>
        <v/>
      </c>
      <c r="W234" s="22" t="str">
        <f t="shared" si="199"/>
        <v/>
      </c>
      <c r="X234" s="22" t="str">
        <f t="shared" si="200"/>
        <v/>
      </c>
      <c r="Y234" s="22" t="str">
        <f t="shared" si="201"/>
        <v/>
      </c>
    </row>
    <row r="235" spans="1:25" x14ac:dyDescent="0.25">
      <c r="A235" t="str">
        <f t="shared" si="202"/>
        <v/>
      </c>
      <c r="B235" s="169" t="str">
        <f>IF('LC (Gross)'!A382="","",IF('LC (Gross)'!A382&gt;$AC$9,"",'LC (Gross)'!A382))</f>
        <v/>
      </c>
      <c r="C235" s="1" t="str">
        <f>IF(B235="","",(VLOOKUP(B235,'LC (Gross)'!A:D,4,FALSE)/100))</f>
        <v/>
      </c>
      <c r="D235" s="1" t="str">
        <f>IF(B235="","",(VLOOKUP(B235,'SC (Gross)'!A:D,4,FALSE))/100)</f>
        <v/>
      </c>
      <c r="E235" s="1" t="str">
        <f>IF(B235="","",(VLOOKUP(B235,'Global (Gross)'!A:D,4,FALSE)/100))</f>
        <v/>
      </c>
      <c r="F235" s="1" t="str">
        <f>IF(B235="","",(VLOOKUP(B235,'BOGIX (Gross)'!A:D,4,FALSE)/100))</f>
        <v/>
      </c>
      <c r="G235" s="1" t="str">
        <f>IF(B235="","",(VLOOKUP(B235,'LC (Net)'!A:D,4,FALSE)/100))</f>
        <v/>
      </c>
      <c r="H235" s="1" t="str">
        <f>IF(B235="","",(VLOOKUP(B235,'SC (Net)'!A:D,4,FALSE))/100)</f>
        <v/>
      </c>
      <c r="I235" s="1" t="str">
        <f>IF(B235="","",(VLOOKUP(B235,'Global (Net)'!A:D,4,FALSE)/100))</f>
        <v/>
      </c>
      <c r="J235" s="1" t="str">
        <f>IF(B235="","",(VLOOKUP(B235,'BOGIX (Net)'!A:D,4,FALSE)/100))</f>
        <v/>
      </c>
      <c r="K235" s="1" t="str">
        <f>IF(B235="","",VLOOKUP(Website!B235,'LC (Gross)'!W:X,2,FALSE)/100)</f>
        <v/>
      </c>
      <c r="L235" s="1" t="str">
        <f>IF(B235="","",VLOOKUP(Website!B235,'SC (Gross)'!P:Q,2,FALSE)/100)</f>
        <v/>
      </c>
      <c r="M235" s="1" t="str">
        <f>IF(B235="","",VLOOKUP(Website!B235,'Global (Gross)'!P:Q,2,FALSE)/100)</f>
        <v/>
      </c>
      <c r="O235" s="1" t="str">
        <f>IF(B235="","",VLOOKUP(Website!B235,'LC (Gross)'!J:K,2,FALSE)/100)</f>
        <v/>
      </c>
      <c r="P235" s="233" t="str">
        <f>IF(B235="","",(VLOOKUP(B235,'BOGIX (Gross)'!J:K,2,FALSE))/100)</f>
        <v/>
      </c>
      <c r="Q235" s="233" t="str">
        <f>IF(B235="","",(VLOOKUP(B235,'Global (Gross)'!J:K,2,FALSE)/100))</f>
        <v/>
      </c>
      <c r="S235" s="22" t="str">
        <f t="shared" si="196"/>
        <v/>
      </c>
      <c r="T235" s="22" t="str">
        <f t="shared" si="197"/>
        <v/>
      </c>
      <c r="U235" s="22" t="str">
        <f t="shared" si="198"/>
        <v/>
      </c>
      <c r="V235" s="22" t="str">
        <f t="shared" si="195"/>
        <v/>
      </c>
      <c r="W235" s="22" t="str">
        <f t="shared" si="199"/>
        <v/>
      </c>
      <c r="X235" s="22" t="str">
        <f t="shared" si="200"/>
        <v/>
      </c>
      <c r="Y235" s="22" t="str">
        <f t="shared" si="201"/>
        <v/>
      </c>
    </row>
    <row r="236" spans="1:25" x14ac:dyDescent="0.25">
      <c r="A236" t="str">
        <f t="shared" si="202"/>
        <v/>
      </c>
      <c r="B236" s="169" t="str">
        <f>IF('LC (Gross)'!A383="","",IF('LC (Gross)'!A383&gt;$AC$9,"",'LC (Gross)'!A383))</f>
        <v/>
      </c>
      <c r="C236" s="1" t="str">
        <f>IF(B236="","",(VLOOKUP(B236,'LC (Gross)'!A:D,4,FALSE)/100))</f>
        <v/>
      </c>
      <c r="D236" s="1" t="str">
        <f>IF(B236="","",(VLOOKUP(B236,'SC (Gross)'!A:D,4,FALSE))/100)</f>
        <v/>
      </c>
      <c r="E236" s="1" t="str">
        <f>IF(B236="","",(VLOOKUP(B236,'Global (Gross)'!A:D,4,FALSE)/100))</f>
        <v/>
      </c>
      <c r="F236" s="1" t="str">
        <f>IF(B236="","",(VLOOKUP(B236,'BOGIX (Gross)'!A:D,4,FALSE)/100))</f>
        <v/>
      </c>
      <c r="G236" s="1" t="str">
        <f>IF(B236="","",(VLOOKUP(B236,'LC (Net)'!A:D,4,FALSE)/100))</f>
        <v/>
      </c>
      <c r="H236" s="1" t="str">
        <f>IF(B236="","",(VLOOKUP(B236,'SC (Net)'!A:D,4,FALSE))/100)</f>
        <v/>
      </c>
      <c r="I236" s="1" t="str">
        <f>IF(B236="","",(VLOOKUP(B236,'Global (Net)'!A:D,4,FALSE)/100))</f>
        <v/>
      </c>
      <c r="J236" s="1" t="str">
        <f>IF(B236="","",(VLOOKUP(B236,'BOGIX (Net)'!A:D,4,FALSE)/100))</f>
        <v/>
      </c>
      <c r="K236" s="1" t="str">
        <f>IF(B236="","",VLOOKUP(Website!B236,'LC (Gross)'!W:X,2,FALSE)/100)</f>
        <v/>
      </c>
      <c r="L236" s="1" t="str">
        <f>IF(B236="","",VLOOKUP(Website!B236,'SC (Gross)'!P:Q,2,FALSE)/100)</f>
        <v/>
      </c>
      <c r="M236" s="1" t="str">
        <f>IF(B236="","",VLOOKUP(Website!B236,'Global (Gross)'!P:Q,2,FALSE)/100)</f>
        <v/>
      </c>
      <c r="O236" s="1" t="str">
        <f>IF(B236="","",VLOOKUP(Website!B236,'LC (Gross)'!J:K,2,FALSE)/100)</f>
        <v/>
      </c>
      <c r="P236" s="233" t="str">
        <f>IF(B236="","",(VLOOKUP(B236,'BOGIX (Gross)'!J:K,2,FALSE))/100)</f>
        <v/>
      </c>
      <c r="Q236" s="233" t="str">
        <f>IF(B236="","",(VLOOKUP(B236,'Global (Gross)'!J:K,2,FALSE)/100))</f>
        <v/>
      </c>
      <c r="S236" s="22" t="str">
        <f t="shared" si="196"/>
        <v/>
      </c>
      <c r="T236" s="22" t="str">
        <f t="shared" si="197"/>
        <v/>
      </c>
      <c r="U236" s="22" t="str">
        <f t="shared" si="198"/>
        <v/>
      </c>
      <c r="V236" s="22" t="str">
        <f t="shared" si="195"/>
        <v/>
      </c>
      <c r="W236" s="22" t="str">
        <f t="shared" si="199"/>
        <v/>
      </c>
      <c r="X236" s="22" t="str">
        <f t="shared" si="200"/>
        <v/>
      </c>
      <c r="Y236" s="22" t="str">
        <f t="shared" si="201"/>
        <v/>
      </c>
    </row>
    <row r="237" spans="1:25" x14ac:dyDescent="0.25">
      <c r="A237" t="str">
        <f t="shared" si="202"/>
        <v/>
      </c>
      <c r="B237" s="169" t="str">
        <f>IF('LC (Gross)'!A384="","",IF('LC (Gross)'!A384&gt;$AC$9,"",'LC (Gross)'!A384))</f>
        <v/>
      </c>
      <c r="C237" s="1" t="str">
        <f>IF(B237="","",(VLOOKUP(B237,'LC (Gross)'!A:D,4,FALSE)/100))</f>
        <v/>
      </c>
      <c r="D237" s="1" t="str">
        <f>IF(B237="","",(VLOOKUP(B237,'SC (Gross)'!A:D,4,FALSE))/100)</f>
        <v/>
      </c>
      <c r="E237" s="1" t="str">
        <f>IF(B237="","",(VLOOKUP(B237,'Global (Gross)'!A:D,4,FALSE)/100))</f>
        <v/>
      </c>
      <c r="F237" s="1" t="str">
        <f>IF(B237="","",(VLOOKUP(B237,'BOGIX (Gross)'!A:D,4,FALSE)/100))</f>
        <v/>
      </c>
      <c r="G237" s="1" t="str">
        <f>IF(B237="","",(VLOOKUP(B237,'LC (Net)'!A:D,4,FALSE)/100))</f>
        <v/>
      </c>
      <c r="H237" s="1" t="str">
        <f>IF(B237="","",(VLOOKUP(B237,'SC (Net)'!A:D,4,FALSE))/100)</f>
        <v/>
      </c>
      <c r="I237" s="1" t="str">
        <f>IF(B237="","",(VLOOKUP(B237,'Global (Net)'!A:D,4,FALSE)/100))</f>
        <v/>
      </c>
      <c r="J237" s="1" t="str">
        <f>IF(B237="","",(VLOOKUP(B237,'BOGIX (Net)'!A:D,4,FALSE)/100))</f>
        <v/>
      </c>
      <c r="K237" s="1" t="str">
        <f>IF(B237="","",VLOOKUP(Website!B237,'LC (Gross)'!W:X,2,FALSE)/100)</f>
        <v/>
      </c>
      <c r="L237" s="1" t="str">
        <f>IF(B237="","",VLOOKUP(Website!B237,'SC (Gross)'!P:Q,2,FALSE)/100)</f>
        <v/>
      </c>
      <c r="M237" s="1" t="str">
        <f>IF(B237="","",VLOOKUP(Website!B237,'Global (Gross)'!P:Q,2,FALSE)/100)</f>
        <v/>
      </c>
      <c r="O237" s="1" t="str">
        <f>IF(B237="","",VLOOKUP(Website!B237,'LC (Gross)'!J:K,2,FALSE)/100)</f>
        <v/>
      </c>
      <c r="P237" s="233" t="str">
        <f>IF(B237="","",(VLOOKUP(B237,'BOGIX (Gross)'!J:K,2,FALSE))/100)</f>
        <v/>
      </c>
      <c r="Q237" s="233" t="str">
        <f>IF(B237="","",(VLOOKUP(B237,'Global (Gross)'!J:K,2,FALSE)/100))</f>
        <v/>
      </c>
      <c r="S237" s="22" t="str">
        <f t="shared" si="196"/>
        <v/>
      </c>
      <c r="T237" s="22" t="str">
        <f t="shared" si="197"/>
        <v/>
      </c>
      <c r="U237" s="22" t="str">
        <f t="shared" si="198"/>
        <v/>
      </c>
      <c r="V237" s="22" t="str">
        <f t="shared" si="195"/>
        <v/>
      </c>
      <c r="W237" s="22" t="str">
        <f t="shared" si="199"/>
        <v/>
      </c>
      <c r="X237" s="22" t="str">
        <f t="shared" si="200"/>
        <v/>
      </c>
      <c r="Y237" s="22" t="str">
        <f t="shared" si="201"/>
        <v/>
      </c>
    </row>
    <row r="238" spans="1:25" x14ac:dyDescent="0.25">
      <c r="A238" t="str">
        <f t="shared" si="202"/>
        <v/>
      </c>
      <c r="B238" s="169" t="str">
        <f>IF('LC (Gross)'!A385="","",IF('LC (Gross)'!A385&gt;$AC$9,"",'LC (Gross)'!A385))</f>
        <v/>
      </c>
      <c r="C238" s="1" t="str">
        <f>IF(B238="","",(VLOOKUP(B238,'LC (Gross)'!A:D,4,FALSE)/100))</f>
        <v/>
      </c>
      <c r="D238" s="1" t="str">
        <f>IF(B238="","",(VLOOKUP(B238,'SC (Gross)'!A:D,4,FALSE))/100)</f>
        <v/>
      </c>
      <c r="E238" s="1" t="str">
        <f>IF(B238="","",(VLOOKUP(B238,'Global (Gross)'!A:D,4,FALSE)/100))</f>
        <v/>
      </c>
      <c r="F238" s="1" t="str">
        <f>IF(B238="","",(VLOOKUP(B238,'BOGIX (Gross)'!A:D,4,FALSE)/100))</f>
        <v/>
      </c>
      <c r="G238" s="1" t="str">
        <f>IF(B238="","",(VLOOKUP(B238,'LC (Net)'!A:D,4,FALSE)/100))</f>
        <v/>
      </c>
      <c r="H238" s="1" t="str">
        <f>IF(B238="","",(VLOOKUP(B238,'SC (Net)'!A:D,4,FALSE))/100)</f>
        <v/>
      </c>
      <c r="I238" s="1" t="str">
        <f>IF(B238="","",(VLOOKUP(B238,'Global (Net)'!A:D,4,FALSE)/100))</f>
        <v/>
      </c>
      <c r="J238" s="1" t="str">
        <f>IF(B238="","",(VLOOKUP(B238,'BOGIX (Net)'!A:D,4,FALSE)/100))</f>
        <v/>
      </c>
      <c r="K238" s="1" t="str">
        <f>IF(B238="","",VLOOKUP(Website!B238,'LC (Gross)'!W:X,2,FALSE)/100)</f>
        <v/>
      </c>
      <c r="L238" s="1" t="str">
        <f>IF(B238="","",VLOOKUP(Website!B238,'SC (Gross)'!P:Q,2,FALSE)/100)</f>
        <v/>
      </c>
      <c r="M238" s="1" t="str">
        <f>IF(B238="","",VLOOKUP(Website!B238,'Global (Gross)'!P:Q,2,FALSE)/100)</f>
        <v/>
      </c>
      <c r="O238" s="1" t="str">
        <f>IF(B238="","",VLOOKUP(Website!B238,'LC (Gross)'!J:K,2,FALSE)/100)</f>
        <v/>
      </c>
      <c r="P238" s="233" t="str">
        <f>IF(B238="","",(VLOOKUP(B238,'BOGIX (Gross)'!J:K,2,FALSE))/100)</f>
        <v/>
      </c>
      <c r="Q238" s="233" t="str">
        <f>IF(B238="","",(VLOOKUP(B238,'Global (Gross)'!J:K,2,FALSE)/100))</f>
        <v/>
      </c>
      <c r="S238" s="22" t="str">
        <f t="shared" si="196"/>
        <v/>
      </c>
      <c r="T238" s="22" t="str">
        <f t="shared" si="197"/>
        <v/>
      </c>
      <c r="U238" s="22" t="str">
        <f t="shared" si="198"/>
        <v/>
      </c>
      <c r="V238" s="22" t="str">
        <f t="shared" si="195"/>
        <v/>
      </c>
      <c r="W238" s="22" t="str">
        <f t="shared" si="199"/>
        <v/>
      </c>
      <c r="X238" s="22" t="str">
        <f t="shared" si="200"/>
        <v/>
      </c>
      <c r="Y238" s="22" t="str">
        <f t="shared" si="201"/>
        <v/>
      </c>
    </row>
    <row r="239" spans="1:25" x14ac:dyDescent="0.25">
      <c r="A239" t="str">
        <f t="shared" si="202"/>
        <v/>
      </c>
      <c r="B239" s="169" t="str">
        <f>IF('LC (Gross)'!A386="","",IF('LC (Gross)'!A386&gt;$AC$9,"",'LC (Gross)'!A386))</f>
        <v/>
      </c>
      <c r="C239" s="1" t="str">
        <f>IF(B239="","",(VLOOKUP(B239,'LC (Gross)'!A:D,4,FALSE)/100))</f>
        <v/>
      </c>
      <c r="D239" s="1" t="str">
        <f>IF(B239="","",(VLOOKUP(B239,'SC (Gross)'!A:D,4,FALSE))/100)</f>
        <v/>
      </c>
      <c r="E239" s="1" t="str">
        <f>IF(B239="","",(VLOOKUP(B239,'Global (Gross)'!A:D,4,FALSE)/100))</f>
        <v/>
      </c>
      <c r="F239" s="1" t="str">
        <f>IF(B239="","",(VLOOKUP(B239,'BOGIX (Gross)'!A:D,4,FALSE)/100))</f>
        <v/>
      </c>
      <c r="G239" s="1" t="str">
        <f>IF(B239="","",(VLOOKUP(B239,'LC (Net)'!A:D,4,FALSE)/100))</f>
        <v/>
      </c>
      <c r="H239" s="1" t="str">
        <f>IF(B239="","",(VLOOKUP(B239,'SC (Net)'!A:D,4,FALSE))/100)</f>
        <v/>
      </c>
      <c r="I239" s="1" t="str">
        <f>IF(B239="","",(VLOOKUP(B239,'Global (Net)'!A:D,4,FALSE)/100))</f>
        <v/>
      </c>
      <c r="J239" s="1" t="str">
        <f>IF(B239="","",(VLOOKUP(B239,'BOGIX (Net)'!A:D,4,FALSE)/100))</f>
        <v/>
      </c>
      <c r="K239" s="1" t="str">
        <f>IF(B239="","",VLOOKUP(Website!B239,'LC (Gross)'!W:X,2,FALSE)/100)</f>
        <v/>
      </c>
      <c r="L239" s="1" t="str">
        <f>IF(B239="","",VLOOKUP(Website!B239,'SC (Gross)'!P:Q,2,FALSE)/100)</f>
        <v/>
      </c>
      <c r="M239" s="1" t="str">
        <f>IF(B239="","",VLOOKUP(Website!B239,'Global (Gross)'!P:Q,2,FALSE)/100)</f>
        <v/>
      </c>
      <c r="O239" s="1" t="str">
        <f>IF(B239="","",VLOOKUP(Website!B239,'LC (Gross)'!J:K,2,FALSE)/100)</f>
        <v/>
      </c>
      <c r="P239" s="233" t="str">
        <f>IF(B239="","",(VLOOKUP(B239,'BOGIX (Gross)'!J:K,2,FALSE))/100)</f>
        <v/>
      </c>
      <c r="Q239" s="233" t="str">
        <f>IF(B239="","",(VLOOKUP(B239,'Global (Gross)'!J:K,2,FALSE)/100))</f>
        <v/>
      </c>
      <c r="S239" s="22" t="str">
        <f t="shared" si="196"/>
        <v/>
      </c>
      <c r="T239" s="22" t="str">
        <f t="shared" si="197"/>
        <v/>
      </c>
      <c r="U239" s="22" t="str">
        <f t="shared" si="198"/>
        <v/>
      </c>
      <c r="V239" s="22" t="str">
        <f t="shared" si="195"/>
        <v/>
      </c>
      <c r="W239" s="22" t="str">
        <f t="shared" si="199"/>
        <v/>
      </c>
      <c r="X239" s="22" t="str">
        <f t="shared" si="200"/>
        <v/>
      </c>
      <c r="Y239" s="22" t="str">
        <f t="shared" si="201"/>
        <v/>
      </c>
    </row>
    <row r="240" spans="1:25" x14ac:dyDescent="0.25">
      <c r="A240" t="str">
        <f t="shared" si="202"/>
        <v/>
      </c>
      <c r="B240" s="169" t="str">
        <f>IF('LC (Gross)'!A387="","",IF('LC (Gross)'!A387&gt;$AC$9,"",'LC (Gross)'!A387))</f>
        <v/>
      </c>
      <c r="C240" s="1" t="str">
        <f>IF(B240="","",(VLOOKUP(B240,'LC (Gross)'!A:D,4,FALSE)/100))</f>
        <v/>
      </c>
      <c r="D240" s="1" t="str">
        <f>IF(B240="","",(VLOOKUP(B240,'SC (Gross)'!A:D,4,FALSE))/100)</f>
        <v/>
      </c>
      <c r="E240" s="1" t="str">
        <f>IF(B240="","",(VLOOKUP(B240,'Global (Gross)'!A:D,4,FALSE)/100))</f>
        <v/>
      </c>
      <c r="F240" s="1" t="str">
        <f>IF(B240="","",(VLOOKUP(B240,'BOGIX (Gross)'!A:D,4,FALSE)/100))</f>
        <v/>
      </c>
      <c r="G240" s="1" t="str">
        <f>IF(B240="","",(VLOOKUP(B240,'LC (Net)'!A:D,4,FALSE)/100))</f>
        <v/>
      </c>
      <c r="H240" s="1" t="str">
        <f>IF(B240="","",(VLOOKUP(B240,'SC (Net)'!A:D,4,FALSE))/100)</f>
        <v/>
      </c>
      <c r="I240" s="1" t="str">
        <f>IF(B240="","",(VLOOKUP(B240,'Global (Net)'!A:D,4,FALSE)/100))</f>
        <v/>
      </c>
      <c r="J240" s="1" t="str">
        <f>IF(B240="","",(VLOOKUP(B240,'BOGIX (Net)'!A:D,4,FALSE)/100))</f>
        <v/>
      </c>
      <c r="K240" s="1" t="str">
        <f>IF(B240="","",VLOOKUP(Website!B240,'LC (Gross)'!W:X,2,FALSE)/100)</f>
        <v/>
      </c>
      <c r="L240" s="1" t="str">
        <f>IF(B240="","",VLOOKUP(Website!B240,'SC (Gross)'!P:Q,2,FALSE)/100)</f>
        <v/>
      </c>
      <c r="M240" s="1" t="str">
        <f>IF(B240="","",VLOOKUP(Website!B240,'Global (Gross)'!P:Q,2,FALSE)/100)</f>
        <v/>
      </c>
      <c r="O240" s="1" t="str">
        <f>IF(B240="","",VLOOKUP(Website!B240,'LC (Gross)'!J:K,2,FALSE)/100)</f>
        <v/>
      </c>
      <c r="P240" s="233" t="str">
        <f>IF(B240="","",(VLOOKUP(B240,'BOGIX (Gross)'!J:K,2,FALSE))/100)</f>
        <v/>
      </c>
      <c r="Q240" s="233" t="str">
        <f>IF(B240="","",(VLOOKUP(B240,'Global (Gross)'!J:K,2,FALSE)/100))</f>
        <v/>
      </c>
      <c r="S240" s="22" t="str">
        <f t="shared" si="196"/>
        <v/>
      </c>
      <c r="T240" s="22" t="str">
        <f t="shared" si="197"/>
        <v/>
      </c>
      <c r="U240" s="22" t="str">
        <f t="shared" si="198"/>
        <v/>
      </c>
      <c r="V240" s="22" t="str">
        <f t="shared" si="195"/>
        <v/>
      </c>
      <c r="W240" s="22" t="str">
        <f t="shared" si="199"/>
        <v/>
      </c>
      <c r="X240" s="22" t="str">
        <f t="shared" si="200"/>
        <v/>
      </c>
      <c r="Y240" s="22" t="str">
        <f t="shared" si="201"/>
        <v/>
      </c>
    </row>
    <row r="241" spans="1:25" x14ac:dyDescent="0.25">
      <c r="A241" t="str">
        <f t="shared" si="202"/>
        <v/>
      </c>
      <c r="B241" s="169" t="str">
        <f>IF('LC (Gross)'!A388="","",IF('LC (Gross)'!A388&gt;$AC$9,"",'LC (Gross)'!A388))</f>
        <v/>
      </c>
      <c r="C241" s="1" t="str">
        <f>IF(B241="","",(VLOOKUP(B241,'LC (Gross)'!A:D,4,FALSE)/100))</f>
        <v/>
      </c>
      <c r="D241" s="1" t="str">
        <f>IF(B241="","",(VLOOKUP(B241,'SC (Gross)'!A:D,4,FALSE))/100)</f>
        <v/>
      </c>
      <c r="E241" s="1" t="str">
        <f>IF(B241="","",(VLOOKUP(B241,'Global (Gross)'!A:D,4,FALSE)/100))</f>
        <v/>
      </c>
      <c r="F241" s="1" t="str">
        <f>IF(B241="","",(VLOOKUP(B241,'BOGIX (Gross)'!A:D,4,FALSE)/100))</f>
        <v/>
      </c>
      <c r="G241" s="1" t="str">
        <f>IF(B241="","",(VLOOKUP(B241,'LC (Net)'!A:D,4,FALSE)/100))</f>
        <v/>
      </c>
      <c r="H241" s="1" t="str">
        <f>IF(B241="","",(VLOOKUP(B241,'SC (Net)'!A:D,4,FALSE))/100)</f>
        <v/>
      </c>
      <c r="I241" s="1" t="str">
        <f>IF(B241="","",(VLOOKUP(B241,'Global (Net)'!A:D,4,FALSE)/100))</f>
        <v/>
      </c>
      <c r="J241" s="1" t="str">
        <f>IF(B241="","",(VLOOKUP(B241,'BOGIX (Net)'!A:D,4,FALSE)/100))</f>
        <v/>
      </c>
      <c r="K241" s="1" t="str">
        <f>IF(B241="","",VLOOKUP(Website!B241,'LC (Gross)'!W:X,2,FALSE)/100)</f>
        <v/>
      </c>
      <c r="L241" s="1" t="str">
        <f>IF(B241="","",VLOOKUP(Website!B241,'SC (Gross)'!P:Q,2,FALSE)/100)</f>
        <v/>
      </c>
      <c r="M241" s="1" t="str">
        <f>IF(B241="","",VLOOKUP(Website!B241,'Global (Gross)'!P:Q,2,FALSE)/100)</f>
        <v/>
      </c>
      <c r="O241" s="1" t="str">
        <f>IF(B241="","",VLOOKUP(Website!B241,'LC (Gross)'!J:K,2,FALSE)/100)</f>
        <v/>
      </c>
      <c r="P241" s="233" t="str">
        <f>IF(B241="","",(VLOOKUP(B241,'BOGIX (Gross)'!J:K,2,FALSE))/100)</f>
        <v/>
      </c>
      <c r="Q241" s="233" t="str">
        <f>IF(B241="","",(VLOOKUP(B241,'Global (Gross)'!J:K,2,FALSE)/100))</f>
        <v/>
      </c>
      <c r="S241" s="22" t="str">
        <f t="shared" si="196"/>
        <v/>
      </c>
      <c r="T241" s="22" t="str">
        <f t="shared" si="197"/>
        <v/>
      </c>
      <c r="U241" s="22" t="str">
        <f t="shared" si="198"/>
        <v/>
      </c>
      <c r="V241" s="22" t="str">
        <f t="shared" si="195"/>
        <v/>
      </c>
      <c r="W241" s="22" t="str">
        <f t="shared" si="199"/>
        <v/>
      </c>
      <c r="X241" s="22" t="str">
        <f t="shared" si="200"/>
        <v/>
      </c>
      <c r="Y241" s="22" t="str">
        <f t="shared" si="201"/>
        <v/>
      </c>
    </row>
    <row r="242" spans="1:25" x14ac:dyDescent="0.25">
      <c r="A242" t="str">
        <f t="shared" si="202"/>
        <v/>
      </c>
      <c r="B242" s="169" t="str">
        <f>IF('LC (Gross)'!A389="","",IF('LC (Gross)'!A389&gt;$AC$9,"",'LC (Gross)'!A389))</f>
        <v/>
      </c>
      <c r="C242" s="1" t="str">
        <f>IF(B242="","",(VLOOKUP(B242,'LC (Gross)'!A:D,4,FALSE)/100))</f>
        <v/>
      </c>
      <c r="D242" s="1" t="str">
        <f>IF(B242="","",(VLOOKUP(B242,'SC (Gross)'!A:D,4,FALSE))/100)</f>
        <v/>
      </c>
      <c r="E242" s="1" t="str">
        <f>IF(B242="","",(VLOOKUP(B242,'Global (Gross)'!A:D,4,FALSE)/100))</f>
        <v/>
      </c>
      <c r="F242" s="1" t="str">
        <f>IF(B242="","",(VLOOKUP(B242,'BOGIX (Gross)'!A:D,4,FALSE)/100))</f>
        <v/>
      </c>
      <c r="G242" s="1" t="str">
        <f>IF(B242="","",(VLOOKUP(B242,'LC (Net)'!A:D,4,FALSE)/100))</f>
        <v/>
      </c>
      <c r="H242" s="1" t="str">
        <f>IF(B242="","",(VLOOKUP(B242,'SC (Net)'!A:D,4,FALSE))/100)</f>
        <v/>
      </c>
      <c r="I242" s="1" t="str">
        <f>IF(B242="","",(VLOOKUP(B242,'Global (Net)'!A:D,4,FALSE)/100))</f>
        <v/>
      </c>
      <c r="J242" s="1" t="str">
        <f>IF(B242="","",(VLOOKUP(B242,'BOGIX (Net)'!A:D,4,FALSE)/100))</f>
        <v/>
      </c>
      <c r="K242" s="1" t="str">
        <f>IF(B242="","",VLOOKUP(Website!B242,'LC (Gross)'!W:X,2,FALSE)/100)</f>
        <v/>
      </c>
      <c r="L242" s="1" t="str">
        <f>IF(B242="","",VLOOKUP(Website!B242,'SC (Gross)'!P:Q,2,FALSE)/100)</f>
        <v/>
      </c>
      <c r="M242" s="1" t="str">
        <f>IF(B242="","",VLOOKUP(Website!B242,'Global (Gross)'!P:Q,2,FALSE)/100)</f>
        <v/>
      </c>
      <c r="O242" s="1" t="str">
        <f>IF(B242="","",VLOOKUP(Website!B242,'LC (Gross)'!J:K,2,FALSE)/100)</f>
        <v/>
      </c>
      <c r="P242" s="233" t="str">
        <f>IF(B242="","",(VLOOKUP(B242,'BOGIX (Gross)'!J:K,2,FALSE))/100)</f>
        <v/>
      </c>
      <c r="Q242" s="233" t="str">
        <f>IF(B242="","",(VLOOKUP(B242,'Global (Gross)'!J:K,2,FALSE)/100))</f>
        <v/>
      </c>
      <c r="S242" s="22" t="str">
        <f t="shared" si="196"/>
        <v/>
      </c>
      <c r="T242" s="22" t="str">
        <f t="shared" si="197"/>
        <v/>
      </c>
      <c r="U242" s="22" t="str">
        <f t="shared" si="198"/>
        <v/>
      </c>
      <c r="V242" s="22" t="str">
        <f t="shared" si="195"/>
        <v/>
      </c>
      <c r="W242" s="22" t="str">
        <f t="shared" si="199"/>
        <v/>
      </c>
      <c r="X242" s="22" t="str">
        <f t="shared" si="200"/>
        <v/>
      </c>
      <c r="Y242" s="22" t="str">
        <f t="shared" si="201"/>
        <v/>
      </c>
    </row>
    <row r="243" spans="1:25" x14ac:dyDescent="0.25">
      <c r="A243" t="str">
        <f t="shared" si="202"/>
        <v/>
      </c>
      <c r="B243" s="169" t="str">
        <f>IF('LC (Gross)'!A390="","",IF('LC (Gross)'!A390&gt;$AC$9,"",'LC (Gross)'!A390))</f>
        <v/>
      </c>
      <c r="C243" s="1" t="str">
        <f>IF(B243="","",(VLOOKUP(B243,'LC (Gross)'!A:D,4,FALSE)/100))</f>
        <v/>
      </c>
      <c r="D243" s="1" t="str">
        <f>IF(B243="","",(VLOOKUP(B243,'SC (Gross)'!A:D,4,FALSE))/100)</f>
        <v/>
      </c>
      <c r="E243" s="1" t="str">
        <f>IF(B243="","",(VLOOKUP(B243,'Global (Gross)'!A:D,4,FALSE)/100))</f>
        <v/>
      </c>
      <c r="F243" s="1" t="str">
        <f>IF(B243="","",(VLOOKUP(B243,'BOGIX (Gross)'!A:D,4,FALSE)/100))</f>
        <v/>
      </c>
      <c r="G243" s="1" t="str">
        <f>IF(B243="","",(VLOOKUP(B243,'LC (Net)'!A:D,4,FALSE)/100))</f>
        <v/>
      </c>
      <c r="H243" s="1" t="str">
        <f>IF(B243="","",(VLOOKUP(B243,'SC (Net)'!A:D,4,FALSE))/100)</f>
        <v/>
      </c>
      <c r="I243" s="1" t="str">
        <f>IF(B243="","",(VLOOKUP(B243,'Global (Net)'!A:D,4,FALSE)/100))</f>
        <v/>
      </c>
      <c r="J243" s="1" t="str">
        <f>IF(B243="","",(VLOOKUP(B243,'BOGIX (Net)'!A:D,4,FALSE)/100))</f>
        <v/>
      </c>
      <c r="K243" s="1" t="str">
        <f>IF(B243="","",VLOOKUP(Website!B243,'LC (Gross)'!W:X,2,FALSE)/100)</f>
        <v/>
      </c>
      <c r="L243" s="1" t="str">
        <f>IF(B243="","",VLOOKUP(Website!B243,'SC (Gross)'!P:Q,2,FALSE)/100)</f>
        <v/>
      </c>
      <c r="M243" s="1" t="str">
        <f>IF(B243="","",VLOOKUP(Website!B243,'Global (Gross)'!P:Q,2,FALSE)/100)</f>
        <v/>
      </c>
      <c r="O243" s="1" t="str">
        <f>IF(B243="","",VLOOKUP(Website!B243,'LC (Gross)'!J:K,2,FALSE)/100)</f>
        <v/>
      </c>
      <c r="P243" s="233" t="str">
        <f>IF(B243="","",(VLOOKUP(B243,'BOGIX (Gross)'!J:K,2,FALSE))/100)</f>
        <v/>
      </c>
      <c r="Q243" s="233" t="str">
        <f>IF(B243="","",(VLOOKUP(B243,'Global (Gross)'!J:K,2,FALSE)/100))</f>
        <v/>
      </c>
      <c r="S243" s="22" t="str">
        <f t="shared" si="196"/>
        <v/>
      </c>
      <c r="T243" s="22" t="str">
        <f t="shared" si="197"/>
        <v/>
      </c>
      <c r="U243" s="22" t="str">
        <f t="shared" si="198"/>
        <v/>
      </c>
      <c r="V243" s="22" t="str">
        <f t="shared" si="195"/>
        <v/>
      </c>
      <c r="W243" s="22" t="str">
        <f t="shared" si="199"/>
        <v/>
      </c>
      <c r="X243" s="22" t="str">
        <f t="shared" si="200"/>
        <v/>
      </c>
      <c r="Y243" s="22" t="str">
        <f t="shared" si="201"/>
        <v/>
      </c>
    </row>
    <row r="244" spans="1:25" x14ac:dyDescent="0.25">
      <c r="A244" t="str">
        <f t="shared" si="202"/>
        <v/>
      </c>
      <c r="B244" s="169" t="str">
        <f>IF('LC (Gross)'!A391="","",IF('LC (Gross)'!A391&gt;$AC$9,"",'LC (Gross)'!A391))</f>
        <v/>
      </c>
      <c r="C244" s="1" t="str">
        <f>IF(B244="","",(VLOOKUP(B244,'LC (Gross)'!A:D,4,FALSE)/100))</f>
        <v/>
      </c>
      <c r="D244" s="1" t="str">
        <f>IF(B244="","",(VLOOKUP(B244,'SC (Gross)'!A:D,4,FALSE))/100)</f>
        <v/>
      </c>
      <c r="E244" s="1" t="str">
        <f>IF(B244="","",(VLOOKUP(B244,'Global (Gross)'!A:D,4,FALSE)/100))</f>
        <v/>
      </c>
      <c r="F244" s="1" t="str">
        <f>IF(B244="","",(VLOOKUP(B244,'BOGIX (Gross)'!A:D,4,FALSE)/100))</f>
        <v/>
      </c>
      <c r="G244" s="1" t="str">
        <f>IF(B244="","",(VLOOKUP(B244,'LC (Net)'!A:D,4,FALSE)/100))</f>
        <v/>
      </c>
      <c r="H244" s="1" t="str">
        <f>IF(B244="","",(VLOOKUP(B244,'SC (Net)'!A:D,4,FALSE))/100)</f>
        <v/>
      </c>
      <c r="I244" s="1" t="str">
        <f>IF(B244="","",(VLOOKUP(B244,'Global (Net)'!A:D,4,FALSE)/100))</f>
        <v/>
      </c>
      <c r="J244" s="1" t="str">
        <f>IF(B244="","",(VLOOKUP(B244,'BOGIX (Net)'!A:D,4,FALSE)/100))</f>
        <v/>
      </c>
      <c r="K244" s="1" t="str">
        <f>IF(B244="","",VLOOKUP(Website!B244,'LC (Gross)'!W:X,2,FALSE)/100)</f>
        <v/>
      </c>
      <c r="L244" s="1" t="str">
        <f>IF(B244="","",VLOOKUP(Website!B244,'SC (Gross)'!P:Q,2,FALSE)/100)</f>
        <v/>
      </c>
      <c r="M244" s="1" t="str">
        <f>IF(B244="","",VLOOKUP(Website!B244,'Global (Gross)'!P:Q,2,FALSE)/100)</f>
        <v/>
      </c>
      <c r="O244" s="1" t="str">
        <f>IF(B244="","",VLOOKUP(Website!B244,'LC (Gross)'!J:K,2,FALSE)/100)</f>
        <v/>
      </c>
      <c r="P244" s="233" t="str">
        <f>IF(B244="","",(VLOOKUP(B244,'BOGIX (Gross)'!J:K,2,FALSE))/100)</f>
        <v/>
      </c>
      <c r="Q244" s="233" t="str">
        <f>IF(B244="","",(VLOOKUP(B244,'Global (Gross)'!J:K,2,FALSE)/100))</f>
        <v/>
      </c>
      <c r="S244" s="22" t="str">
        <f t="shared" si="196"/>
        <v/>
      </c>
      <c r="T244" s="22" t="str">
        <f t="shared" si="197"/>
        <v/>
      </c>
      <c r="U244" s="22" t="str">
        <f t="shared" si="198"/>
        <v/>
      </c>
      <c r="V244" s="22" t="str">
        <f t="shared" si="195"/>
        <v/>
      </c>
      <c r="W244" s="22" t="str">
        <f t="shared" si="199"/>
        <v/>
      </c>
      <c r="X244" s="22" t="str">
        <f t="shared" si="200"/>
        <v/>
      </c>
      <c r="Y244" s="22" t="str">
        <f t="shared" si="201"/>
        <v/>
      </c>
    </row>
    <row r="245" spans="1:25" x14ac:dyDescent="0.25">
      <c r="A245" t="str">
        <f t="shared" si="202"/>
        <v/>
      </c>
      <c r="B245" s="169" t="str">
        <f>IF('LC (Gross)'!A392="","",IF('LC (Gross)'!A392&gt;$AC$9,"",'LC (Gross)'!A392))</f>
        <v/>
      </c>
      <c r="C245" s="1" t="str">
        <f>IF(B245="","",(VLOOKUP(B245,'LC (Gross)'!A:D,4,FALSE)/100))</f>
        <v/>
      </c>
      <c r="D245" s="1" t="str">
        <f>IF(B245="","",(VLOOKUP(B245,'SC (Gross)'!A:D,4,FALSE))/100)</f>
        <v/>
      </c>
      <c r="E245" s="1" t="str">
        <f>IF(B245="","",(VLOOKUP(B245,'Global (Gross)'!A:D,4,FALSE)/100))</f>
        <v/>
      </c>
      <c r="F245" s="1" t="str">
        <f>IF(B245="","",(VLOOKUP(B245,'BOGIX (Gross)'!A:D,4,FALSE)/100))</f>
        <v/>
      </c>
      <c r="G245" s="1" t="str">
        <f>IF(B245="","",(VLOOKUP(B245,'LC (Net)'!A:D,4,FALSE)/100))</f>
        <v/>
      </c>
      <c r="H245" s="1" t="str">
        <f>IF(B245="","",(VLOOKUP(B245,'SC (Net)'!A:D,4,FALSE))/100)</f>
        <v/>
      </c>
      <c r="I245" s="1" t="str">
        <f>IF(B245="","",(VLOOKUP(B245,'Global (Net)'!A:D,4,FALSE)/100))</f>
        <v/>
      </c>
      <c r="J245" s="1" t="str">
        <f>IF(B245="","",(VLOOKUP(B245,'BOGIX (Net)'!A:D,4,FALSE)/100))</f>
        <v/>
      </c>
      <c r="K245" s="1" t="str">
        <f>IF(B245="","",VLOOKUP(Website!B245,'LC (Gross)'!W:X,2,FALSE)/100)</f>
        <v/>
      </c>
      <c r="L245" s="1" t="str">
        <f>IF(B245="","",VLOOKUP(Website!B245,'SC (Gross)'!P:Q,2,FALSE)/100)</f>
        <v/>
      </c>
      <c r="M245" s="1" t="str">
        <f>IF(B245="","",VLOOKUP(Website!B245,'Global (Gross)'!P:Q,2,FALSE)/100)</f>
        <v/>
      </c>
      <c r="O245" s="1" t="str">
        <f>IF(B245="","",VLOOKUP(Website!B245,'LC (Gross)'!J:K,2,FALSE)/100)</f>
        <v/>
      </c>
      <c r="P245" s="233" t="str">
        <f>IF(B245="","",(VLOOKUP(B245,'BOGIX (Gross)'!J:K,2,FALSE))/100)</f>
        <v/>
      </c>
      <c r="Q245" s="233" t="str">
        <f>IF(B245="","",(VLOOKUP(B245,'Global (Gross)'!J:K,2,FALSE)/100))</f>
        <v/>
      </c>
      <c r="S245" s="22" t="str">
        <f t="shared" si="196"/>
        <v/>
      </c>
      <c r="T245" s="22" t="str">
        <f t="shared" si="197"/>
        <v/>
      </c>
      <c r="U245" s="22" t="str">
        <f t="shared" si="198"/>
        <v/>
      </c>
      <c r="V245" s="22" t="str">
        <f t="shared" si="195"/>
        <v/>
      </c>
      <c r="W245" s="22" t="str">
        <f t="shared" si="199"/>
        <v/>
      </c>
      <c r="X245" s="22" t="str">
        <f t="shared" si="200"/>
        <v/>
      </c>
      <c r="Y245" s="22" t="str">
        <f t="shared" si="201"/>
        <v/>
      </c>
    </row>
    <row r="246" spans="1:25" x14ac:dyDescent="0.25">
      <c r="A246" t="str">
        <f t="shared" si="202"/>
        <v/>
      </c>
      <c r="B246" s="169" t="str">
        <f>IF('LC (Gross)'!A393="","",IF('LC (Gross)'!A393&gt;$AC$9,"",'LC (Gross)'!A393))</f>
        <v/>
      </c>
      <c r="C246" s="1" t="str">
        <f>IF(B246="","",(VLOOKUP(B246,'LC (Gross)'!A:D,4,FALSE)/100))</f>
        <v/>
      </c>
      <c r="D246" s="1" t="str">
        <f>IF(B246="","",(VLOOKUP(B246,'SC (Gross)'!A:D,4,FALSE))/100)</f>
        <v/>
      </c>
      <c r="E246" s="1" t="str">
        <f>IF(B246="","",(VLOOKUP(B246,'Global (Gross)'!A:D,4,FALSE)/100))</f>
        <v/>
      </c>
      <c r="F246" s="1" t="str">
        <f>IF(B246="","",(VLOOKUP(B246,'BOGIX (Gross)'!A:D,4,FALSE)/100))</f>
        <v/>
      </c>
      <c r="G246" s="1" t="str">
        <f>IF(B246="","",(VLOOKUP(B246,'LC (Net)'!A:D,4,FALSE)/100))</f>
        <v/>
      </c>
      <c r="H246" s="1" t="str">
        <f>IF(B246="","",(VLOOKUP(B246,'SC (Net)'!A:D,4,FALSE))/100)</f>
        <v/>
      </c>
      <c r="I246" s="1" t="str">
        <f>IF(B246="","",(VLOOKUP(B246,'Global (Net)'!A:D,4,FALSE)/100))</f>
        <v/>
      </c>
      <c r="J246" s="1" t="str">
        <f>IF(B246="","",(VLOOKUP(B246,'BOGIX (Net)'!A:D,4,FALSE)/100))</f>
        <v/>
      </c>
      <c r="K246" s="1" t="str">
        <f>IF(B246="","",VLOOKUP(Website!B246,'LC (Gross)'!W:X,2,FALSE)/100)</f>
        <v/>
      </c>
      <c r="L246" s="1" t="str">
        <f>IF(B246="","",VLOOKUP(Website!B246,'SC (Gross)'!P:Q,2,FALSE)/100)</f>
        <v/>
      </c>
      <c r="M246" s="1" t="str">
        <f>IF(B246="","",VLOOKUP(Website!B246,'Global (Gross)'!P:Q,2,FALSE)/100)</f>
        <v/>
      </c>
      <c r="O246" s="1" t="str">
        <f>IF(B246="","",VLOOKUP(Website!B246,'LC (Gross)'!J:K,2,FALSE)/100)</f>
        <v/>
      </c>
      <c r="P246" s="233" t="str">
        <f>IF(B246="","",(VLOOKUP(B246,'BOGIX (Gross)'!J:K,2,FALSE))/100)</f>
        <v/>
      </c>
      <c r="Q246" s="233" t="str">
        <f>IF(B246="","",(VLOOKUP(B246,'Global (Gross)'!J:K,2,FALSE)/100))</f>
        <v/>
      </c>
      <c r="S246" s="22" t="str">
        <f t="shared" si="196"/>
        <v/>
      </c>
      <c r="T246" s="22" t="str">
        <f t="shared" si="197"/>
        <v/>
      </c>
      <c r="U246" s="22" t="str">
        <f t="shared" si="198"/>
        <v/>
      </c>
      <c r="V246" s="22" t="str">
        <f t="shared" si="195"/>
        <v/>
      </c>
      <c r="W246" s="22" t="str">
        <f t="shared" si="199"/>
        <v/>
      </c>
      <c r="X246" s="22" t="str">
        <f t="shared" si="200"/>
        <v/>
      </c>
      <c r="Y246" s="22" t="str">
        <f t="shared" si="201"/>
        <v/>
      </c>
    </row>
    <row r="247" spans="1:25" x14ac:dyDescent="0.25">
      <c r="A247" t="str">
        <f t="shared" si="202"/>
        <v/>
      </c>
      <c r="B247" s="169" t="str">
        <f>IF('LC (Gross)'!A394="","",IF('LC (Gross)'!A394&gt;$AC$9,"",'LC (Gross)'!A394))</f>
        <v/>
      </c>
      <c r="C247" s="1" t="str">
        <f>IF(B247="","",(VLOOKUP(B247,'LC (Gross)'!A:D,4,FALSE)/100))</f>
        <v/>
      </c>
      <c r="D247" s="1" t="str">
        <f>IF(B247="","",(VLOOKUP(B247,'SC (Gross)'!A:D,4,FALSE))/100)</f>
        <v/>
      </c>
      <c r="E247" s="1" t="str">
        <f>IF(B247="","",(VLOOKUP(B247,'Global (Gross)'!A:D,4,FALSE)/100))</f>
        <v/>
      </c>
      <c r="F247" s="1" t="str">
        <f>IF(B247="","",(VLOOKUP(B247,'BOGIX (Gross)'!A:D,4,FALSE)/100))</f>
        <v/>
      </c>
      <c r="G247" s="1" t="str">
        <f>IF(B247="","",(VLOOKUP(B247,'LC (Net)'!A:D,4,FALSE)/100))</f>
        <v/>
      </c>
      <c r="H247" s="1" t="str">
        <f>IF(B247="","",(VLOOKUP(B247,'SC (Net)'!A:D,4,FALSE))/100)</f>
        <v/>
      </c>
      <c r="I247" s="1" t="str">
        <f>IF(B247="","",(VLOOKUP(B247,'Global (Net)'!A:D,4,FALSE)/100))</f>
        <v/>
      </c>
      <c r="J247" s="1" t="str">
        <f>IF(B247="","",(VLOOKUP(B247,'BOGIX (Net)'!A:D,4,FALSE)/100))</f>
        <v/>
      </c>
      <c r="K247" s="1" t="str">
        <f>IF(B247="","",VLOOKUP(Website!B247,'LC (Gross)'!W:X,2,FALSE)/100)</f>
        <v/>
      </c>
      <c r="L247" s="1" t="str">
        <f>IF(B247="","",VLOOKUP(Website!B247,'SC (Gross)'!P:Q,2,FALSE)/100)</f>
        <v/>
      </c>
      <c r="M247" s="1" t="str">
        <f>IF(B247="","",VLOOKUP(Website!B247,'Global (Gross)'!P:Q,2,FALSE)/100)</f>
        <v/>
      </c>
      <c r="O247" s="1" t="str">
        <f>IF(B247="","",VLOOKUP(Website!B247,'LC (Gross)'!J:K,2,FALSE)/100)</f>
        <v/>
      </c>
      <c r="P247" s="233" t="str">
        <f>IF(B247="","",(VLOOKUP(B247,'BOGIX (Gross)'!J:K,2,FALSE))/100)</f>
        <v/>
      </c>
      <c r="Q247" s="233" t="str">
        <f>IF(B247="","",(VLOOKUP(B247,'Global (Gross)'!J:K,2,FALSE)/100))</f>
        <v/>
      </c>
      <c r="S247" s="22" t="str">
        <f t="shared" si="196"/>
        <v/>
      </c>
      <c r="T247" s="22" t="str">
        <f t="shared" si="197"/>
        <v/>
      </c>
      <c r="U247" s="22" t="str">
        <f t="shared" si="198"/>
        <v/>
      </c>
      <c r="V247" s="22" t="str">
        <f t="shared" si="195"/>
        <v/>
      </c>
      <c r="W247" s="22" t="str">
        <f t="shared" si="199"/>
        <v/>
      </c>
      <c r="X247" s="22" t="str">
        <f t="shared" si="200"/>
        <v/>
      </c>
      <c r="Y247" s="22" t="str">
        <f t="shared" si="201"/>
        <v/>
      </c>
    </row>
    <row r="248" spans="1:25" x14ac:dyDescent="0.25">
      <c r="A248" t="str">
        <f t="shared" si="202"/>
        <v/>
      </c>
      <c r="B248" s="169" t="str">
        <f>IF('LC (Gross)'!A395="","",IF('LC (Gross)'!A395&gt;$AC$9,"",'LC (Gross)'!A395))</f>
        <v/>
      </c>
      <c r="C248" s="1" t="str">
        <f>IF(B248="","",(VLOOKUP(B248,'LC (Gross)'!A:D,4,FALSE)/100))</f>
        <v/>
      </c>
      <c r="D248" s="1" t="str">
        <f>IF(B248="","",(VLOOKUP(B248,'SC (Gross)'!A:D,4,FALSE))/100)</f>
        <v/>
      </c>
      <c r="E248" s="1" t="str">
        <f>IF(B248="","",(VLOOKUP(B248,'Global (Gross)'!A:D,4,FALSE)/100))</f>
        <v/>
      </c>
      <c r="F248" s="1" t="str">
        <f>IF(B248="","",(VLOOKUP(B248,'BOGIX (Gross)'!A:D,4,FALSE)/100))</f>
        <v/>
      </c>
      <c r="G248" s="1" t="str">
        <f>IF(B248="","",(VLOOKUP(B248,'LC (Net)'!A:D,4,FALSE)/100))</f>
        <v/>
      </c>
      <c r="H248" s="1" t="str">
        <f>IF(B248="","",(VLOOKUP(B248,'SC (Net)'!A:D,4,FALSE))/100)</f>
        <v/>
      </c>
      <c r="I248" s="1" t="str">
        <f>IF(B248="","",(VLOOKUP(B248,'Global (Net)'!A:D,4,FALSE)/100))</f>
        <v/>
      </c>
      <c r="J248" s="1" t="str">
        <f>IF(B248="","",(VLOOKUP(B248,'BOGIX (Net)'!A:D,4,FALSE)/100))</f>
        <v/>
      </c>
      <c r="K248" s="1" t="str">
        <f>IF(B248="","",VLOOKUP(Website!B248,'LC (Gross)'!W:X,2,FALSE)/100)</f>
        <v/>
      </c>
      <c r="L248" s="1" t="str">
        <f>IF(B248="","",VLOOKUP(Website!B248,'SC (Gross)'!P:Q,2,FALSE)/100)</f>
        <v/>
      </c>
      <c r="M248" s="1" t="str">
        <f>IF(B248="","",VLOOKUP(Website!B248,'Global (Gross)'!P:Q,2,FALSE)/100)</f>
        <v/>
      </c>
      <c r="O248" s="1" t="str">
        <f>IF(B248="","",VLOOKUP(Website!B248,'LC (Gross)'!J:K,2,FALSE)/100)</f>
        <v/>
      </c>
      <c r="P248" s="233" t="str">
        <f>IF(B248="","",(VLOOKUP(B248,'BOGIX (Gross)'!J:K,2,FALSE))/100)</f>
        <v/>
      </c>
      <c r="Q248" s="233" t="str">
        <f>IF(B248="","",(VLOOKUP(B248,'Global (Gross)'!J:K,2,FALSE)/100))</f>
        <v/>
      </c>
      <c r="S248" s="22" t="str">
        <f t="shared" si="196"/>
        <v/>
      </c>
      <c r="T248" s="22" t="str">
        <f t="shared" si="197"/>
        <v/>
      </c>
      <c r="U248" s="22" t="str">
        <f t="shared" si="198"/>
        <v/>
      </c>
      <c r="V248" s="22" t="str">
        <f t="shared" si="195"/>
        <v/>
      </c>
      <c r="W248" s="22" t="str">
        <f t="shared" si="199"/>
        <v/>
      </c>
      <c r="X248" s="22" t="str">
        <f t="shared" si="200"/>
        <v/>
      </c>
      <c r="Y248" s="22" t="str">
        <f t="shared" si="201"/>
        <v/>
      </c>
    </row>
    <row r="249" spans="1:25" x14ac:dyDescent="0.25">
      <c r="A249" t="str">
        <f t="shared" si="202"/>
        <v/>
      </c>
      <c r="B249" s="169" t="str">
        <f>IF('LC (Gross)'!A396="","",IF('LC (Gross)'!A396&gt;$AC$9,"",'LC (Gross)'!A396))</f>
        <v/>
      </c>
      <c r="C249" s="1" t="str">
        <f>IF(B249="","",(VLOOKUP(B249,'LC (Gross)'!A:D,4,FALSE)/100))</f>
        <v/>
      </c>
      <c r="D249" s="1" t="str">
        <f>IF(B249="","",(VLOOKUP(B249,'SC (Gross)'!A:D,4,FALSE))/100)</f>
        <v/>
      </c>
      <c r="E249" s="1" t="str">
        <f>IF(B249="","",(VLOOKUP(B249,'Global (Gross)'!A:D,4,FALSE)/100))</f>
        <v/>
      </c>
      <c r="F249" s="1" t="str">
        <f>IF(B249="","",(VLOOKUP(B249,'BOGIX (Gross)'!A:D,4,FALSE)/100))</f>
        <v/>
      </c>
      <c r="G249" s="1" t="str">
        <f>IF(B249="","",(VLOOKUP(B249,'LC (Net)'!A:D,4,FALSE)/100))</f>
        <v/>
      </c>
      <c r="H249" s="1" t="str">
        <f>IF(B249="","",(VLOOKUP(B249,'SC (Net)'!A:D,4,FALSE))/100)</f>
        <v/>
      </c>
      <c r="I249" s="1" t="str">
        <f>IF(B249="","",(VLOOKUP(B249,'Global (Net)'!A:D,4,FALSE)/100))</f>
        <v/>
      </c>
      <c r="J249" s="1" t="str">
        <f>IF(B249="","",(VLOOKUP(B249,'BOGIX (Net)'!A:D,4,FALSE)/100))</f>
        <v/>
      </c>
      <c r="K249" s="1" t="str">
        <f>IF(B249="","",VLOOKUP(Website!B249,'LC (Gross)'!W:X,2,FALSE)/100)</f>
        <v/>
      </c>
      <c r="L249" s="1" t="str">
        <f>IF(B249="","",VLOOKUP(Website!B249,'SC (Gross)'!P:Q,2,FALSE)/100)</f>
        <v/>
      </c>
      <c r="M249" s="1" t="str">
        <f>IF(B249="","",VLOOKUP(Website!B249,'Global (Gross)'!P:Q,2,FALSE)/100)</f>
        <v/>
      </c>
      <c r="O249" s="1" t="str">
        <f>IF(B249="","",VLOOKUP(Website!B249,'LC (Gross)'!J:K,2,FALSE)/100)</f>
        <v/>
      </c>
      <c r="P249" s="233" t="str">
        <f>IF(B249="","",(VLOOKUP(B249,'BOGIX (Gross)'!J:K,2,FALSE))/100)</f>
        <v/>
      </c>
      <c r="Q249" s="233" t="str">
        <f>IF(B249="","",(VLOOKUP(B249,'Global (Gross)'!J:K,2,FALSE)/100))</f>
        <v/>
      </c>
      <c r="S249" s="22" t="str">
        <f t="shared" si="196"/>
        <v/>
      </c>
      <c r="T249" s="22" t="str">
        <f t="shared" si="197"/>
        <v/>
      </c>
      <c r="U249" s="22" t="str">
        <f t="shared" si="198"/>
        <v/>
      </c>
      <c r="V249" s="22" t="str">
        <f t="shared" si="195"/>
        <v/>
      </c>
      <c r="W249" s="22" t="str">
        <f t="shared" si="199"/>
        <v/>
      </c>
      <c r="X249" s="22" t="str">
        <f t="shared" si="200"/>
        <v/>
      </c>
      <c r="Y249" s="22" t="str">
        <f t="shared" si="201"/>
        <v/>
      </c>
    </row>
    <row r="250" spans="1:25" x14ac:dyDescent="0.25">
      <c r="A250" t="str">
        <f t="shared" si="202"/>
        <v/>
      </c>
      <c r="B250" s="169" t="str">
        <f>IF('LC (Gross)'!A397="","",IF('LC (Gross)'!A397&gt;$AC$9,"",'LC (Gross)'!A397))</f>
        <v/>
      </c>
      <c r="C250" s="1" t="str">
        <f>IF(B250="","",(VLOOKUP(B250,'LC (Gross)'!A:D,4,FALSE)/100))</f>
        <v/>
      </c>
      <c r="D250" s="1" t="str">
        <f>IF(B250="","",(VLOOKUP(B250,'SC (Gross)'!A:D,4,FALSE))/100)</f>
        <v/>
      </c>
      <c r="E250" s="1" t="str">
        <f>IF(B250="","",(VLOOKUP(B250,'Global (Gross)'!A:D,4,FALSE)/100))</f>
        <v/>
      </c>
      <c r="F250" s="1" t="str">
        <f>IF(B250="","",(VLOOKUP(B250,'BOGIX (Gross)'!A:D,4,FALSE)/100))</f>
        <v/>
      </c>
      <c r="G250" s="1" t="str">
        <f>IF(B250="","",(VLOOKUP(B250,'LC (Net)'!A:D,4,FALSE)/100))</f>
        <v/>
      </c>
      <c r="H250" s="1" t="str">
        <f>IF(B250="","",(VLOOKUP(B250,'SC (Net)'!A:D,4,FALSE))/100)</f>
        <v/>
      </c>
      <c r="I250" s="1" t="str">
        <f>IF(B250="","",(VLOOKUP(B250,'Global (Net)'!A:D,4,FALSE)/100))</f>
        <v/>
      </c>
      <c r="J250" s="1" t="str">
        <f>IF(B250="","",(VLOOKUP(B250,'BOGIX (Net)'!A:D,4,FALSE)/100))</f>
        <v/>
      </c>
      <c r="K250" s="1" t="str">
        <f>IF(B250="","",VLOOKUP(Website!B250,'LC (Gross)'!W:X,2,FALSE)/100)</f>
        <v/>
      </c>
      <c r="L250" s="1" t="str">
        <f>IF(B250="","",VLOOKUP(Website!B250,'SC (Gross)'!P:Q,2,FALSE)/100)</f>
        <v/>
      </c>
      <c r="M250" s="1" t="str">
        <f>IF(B250="","",VLOOKUP(Website!B250,'Global (Gross)'!P:Q,2,FALSE)/100)</f>
        <v/>
      </c>
      <c r="O250" s="1" t="str">
        <f>IF(B250="","",VLOOKUP(Website!B250,'LC (Gross)'!J:K,2,FALSE)/100)</f>
        <v/>
      </c>
      <c r="P250" s="233" t="str">
        <f>IF(B250="","",(VLOOKUP(B250,'BOGIX (Gross)'!J:K,2,FALSE))/100)</f>
        <v/>
      </c>
      <c r="Q250" s="233" t="str">
        <f>IF(B250="","",(VLOOKUP(B250,'Global (Gross)'!J:K,2,FALSE)/100))</f>
        <v/>
      </c>
      <c r="S250" s="22" t="str">
        <f t="shared" si="196"/>
        <v/>
      </c>
      <c r="T250" s="22" t="str">
        <f t="shared" si="197"/>
        <v/>
      </c>
      <c r="U250" s="22" t="str">
        <f t="shared" si="198"/>
        <v/>
      </c>
      <c r="V250" s="22" t="str">
        <f t="shared" si="195"/>
        <v/>
      </c>
      <c r="W250" s="22" t="str">
        <f t="shared" si="199"/>
        <v/>
      </c>
      <c r="X250" s="22" t="str">
        <f t="shared" si="200"/>
        <v/>
      </c>
      <c r="Y250" s="22" t="str">
        <f t="shared" si="201"/>
        <v/>
      </c>
    </row>
    <row r="251" spans="1:25" x14ac:dyDescent="0.25">
      <c r="A251" t="str">
        <f t="shared" si="202"/>
        <v/>
      </c>
      <c r="B251" s="169" t="str">
        <f>IF('LC (Gross)'!A398="","",IF('LC (Gross)'!A398&gt;$AC$9,"",'LC (Gross)'!A398))</f>
        <v/>
      </c>
      <c r="C251" s="1" t="str">
        <f>IF(B251="","",(VLOOKUP(B251,'LC (Gross)'!A:D,4,FALSE)/100))</f>
        <v/>
      </c>
      <c r="D251" s="1" t="str">
        <f>IF(B251="","",(VLOOKUP(B251,'SC (Gross)'!A:D,4,FALSE))/100)</f>
        <v/>
      </c>
      <c r="E251" s="1" t="str">
        <f>IF(B251="","",(VLOOKUP(B251,'Global (Gross)'!A:D,4,FALSE)/100))</f>
        <v/>
      </c>
      <c r="F251" s="1" t="str">
        <f>IF(B251="","",(VLOOKUP(B251,'BOGIX (Gross)'!A:D,4,FALSE)/100))</f>
        <v/>
      </c>
      <c r="G251" s="1" t="str">
        <f>IF(B251="","",(VLOOKUP(B251,'LC (Net)'!A:D,4,FALSE)/100))</f>
        <v/>
      </c>
      <c r="H251" s="1" t="str">
        <f>IF(B251="","",(VLOOKUP(B251,'SC (Net)'!A:D,4,FALSE))/100)</f>
        <v/>
      </c>
      <c r="I251" s="1" t="str">
        <f>IF(B251="","",(VLOOKUP(B251,'Global (Net)'!A:D,4,FALSE)/100))</f>
        <v/>
      </c>
      <c r="J251" s="1" t="str">
        <f>IF(B251="","",(VLOOKUP(B251,'BOGIX (Net)'!A:D,4,FALSE)/100))</f>
        <v/>
      </c>
      <c r="K251" s="1" t="str">
        <f>IF(B251="","",VLOOKUP(Website!B251,'LC (Gross)'!W:X,2,FALSE)/100)</f>
        <v/>
      </c>
      <c r="L251" s="1" t="str">
        <f>IF(B251="","",VLOOKUP(Website!B251,'SC (Gross)'!P:Q,2,FALSE)/100)</f>
        <v/>
      </c>
      <c r="M251" s="1" t="str">
        <f>IF(B251="","",VLOOKUP(Website!B251,'Global (Gross)'!P:Q,2,FALSE)/100)</f>
        <v/>
      </c>
      <c r="O251" s="1" t="str">
        <f>IF(B251="","",VLOOKUP(Website!B251,'LC (Gross)'!J:K,2,FALSE)/100)</f>
        <v/>
      </c>
      <c r="P251" s="233" t="str">
        <f>IF(B251="","",(VLOOKUP(B251,'BOGIX (Gross)'!J:K,2,FALSE))/100)</f>
        <v/>
      </c>
      <c r="Q251" s="233" t="str">
        <f>IF(B251="","",(VLOOKUP(B251,'Global (Gross)'!J:K,2,FALSE)/100))</f>
        <v/>
      </c>
      <c r="S251" s="22" t="str">
        <f t="shared" si="196"/>
        <v/>
      </c>
      <c r="T251" s="22" t="str">
        <f t="shared" si="197"/>
        <v/>
      </c>
      <c r="U251" s="22" t="str">
        <f t="shared" si="198"/>
        <v/>
      </c>
      <c r="V251" s="22" t="str">
        <f t="shared" si="195"/>
        <v/>
      </c>
      <c r="W251" s="22" t="str">
        <f t="shared" si="199"/>
        <v/>
      </c>
      <c r="X251" s="22" t="str">
        <f t="shared" si="200"/>
        <v/>
      </c>
      <c r="Y251" s="22" t="str">
        <f t="shared" si="201"/>
        <v/>
      </c>
    </row>
    <row r="252" spans="1:25" x14ac:dyDescent="0.25">
      <c r="A252" t="str">
        <f t="shared" si="202"/>
        <v/>
      </c>
      <c r="B252" s="169" t="str">
        <f>IF('LC (Gross)'!A399="","",IF('LC (Gross)'!A399&gt;$AC$9,"",'LC (Gross)'!A399))</f>
        <v/>
      </c>
      <c r="C252" s="1" t="str">
        <f>IF(B252="","",(VLOOKUP(B252,'LC (Gross)'!A:D,4,FALSE)/100))</f>
        <v/>
      </c>
      <c r="D252" s="1" t="str">
        <f>IF(B252="","",(VLOOKUP(B252,'SC (Gross)'!A:D,4,FALSE))/100)</f>
        <v/>
      </c>
      <c r="E252" s="1" t="str">
        <f>IF(B252="","",(VLOOKUP(B252,'Global (Gross)'!A:D,4,FALSE)/100))</f>
        <v/>
      </c>
      <c r="F252" s="1" t="str">
        <f>IF(B252="","",(VLOOKUP(B252,'BOGIX (Gross)'!A:D,4,FALSE)/100))</f>
        <v/>
      </c>
      <c r="G252" s="1" t="str">
        <f>IF(B252="","",(VLOOKUP(B252,'LC (Net)'!A:D,4,FALSE)/100))</f>
        <v/>
      </c>
      <c r="H252" s="1" t="str">
        <f>IF(B252="","",(VLOOKUP(B252,'SC (Net)'!A:D,4,FALSE))/100)</f>
        <v/>
      </c>
      <c r="I252" s="1" t="str">
        <f>IF(B252="","",(VLOOKUP(B252,'Global (Net)'!A:D,4,FALSE)/100))</f>
        <v/>
      </c>
      <c r="J252" s="1" t="str">
        <f>IF(B252="","",(VLOOKUP(B252,'BOGIX (Net)'!A:D,4,FALSE)/100))</f>
        <v/>
      </c>
      <c r="K252" s="1" t="str">
        <f>IF(B252="","",VLOOKUP(Website!B252,'LC (Gross)'!W:X,2,FALSE)/100)</f>
        <v/>
      </c>
      <c r="L252" s="1" t="str">
        <f>IF(B252="","",VLOOKUP(Website!B252,'SC (Gross)'!P:Q,2,FALSE)/100)</f>
        <v/>
      </c>
      <c r="M252" s="1" t="str">
        <f>IF(B252="","",VLOOKUP(Website!B252,'Global (Gross)'!P:Q,2,FALSE)/100)</f>
        <v/>
      </c>
      <c r="O252" s="1" t="str">
        <f>IF(B252="","",VLOOKUP(Website!B252,'LC (Gross)'!J:K,2,FALSE)/100)</f>
        <v/>
      </c>
      <c r="P252" s="233" t="str">
        <f>IF(B252="","",(VLOOKUP(B252,'BOGIX (Gross)'!J:K,2,FALSE))/100)</f>
        <v/>
      </c>
      <c r="Q252" s="233" t="str">
        <f>IF(B252="","",(VLOOKUP(B252,'Global (Gross)'!J:K,2,FALSE)/100))</f>
        <v/>
      </c>
      <c r="S252" s="22" t="str">
        <f t="shared" si="196"/>
        <v/>
      </c>
      <c r="T252" s="22" t="str">
        <f t="shared" si="197"/>
        <v/>
      </c>
      <c r="U252" s="22" t="str">
        <f t="shared" si="198"/>
        <v/>
      </c>
      <c r="V252" s="22" t="str">
        <f t="shared" si="195"/>
        <v/>
      </c>
      <c r="W252" s="22" t="str">
        <f t="shared" si="199"/>
        <v/>
      </c>
      <c r="X252" s="22" t="str">
        <f t="shared" si="200"/>
        <v/>
      </c>
      <c r="Y252" s="22" t="str">
        <f t="shared" si="201"/>
        <v/>
      </c>
    </row>
    <row r="253" spans="1:25" x14ac:dyDescent="0.25">
      <c r="A253" t="str">
        <f t="shared" si="202"/>
        <v/>
      </c>
      <c r="B253" s="169" t="str">
        <f>IF('LC (Gross)'!A400="","",IF('LC (Gross)'!A400&gt;$AC$9,"",'LC (Gross)'!A400))</f>
        <v/>
      </c>
      <c r="C253" s="1" t="str">
        <f>IF(B253="","",(VLOOKUP(B253,'LC (Gross)'!A:D,4,FALSE)/100))</f>
        <v/>
      </c>
      <c r="D253" s="1" t="str">
        <f>IF(B253="","",(VLOOKUP(B253,'SC (Gross)'!A:D,4,FALSE))/100)</f>
        <v/>
      </c>
      <c r="E253" s="1" t="str">
        <f>IF(B253="","",(VLOOKUP(B253,'Global (Gross)'!A:D,4,FALSE)/100))</f>
        <v/>
      </c>
      <c r="F253" s="1" t="str">
        <f>IF(B253="","",(VLOOKUP(B253,'BOGIX (Gross)'!A:D,4,FALSE)/100))</f>
        <v/>
      </c>
      <c r="G253" s="1" t="str">
        <f>IF(B253="","",(VLOOKUP(B253,'LC (Net)'!A:D,4,FALSE)/100))</f>
        <v/>
      </c>
      <c r="H253" s="1" t="str">
        <f>IF(B253="","",(VLOOKUP(B253,'SC (Net)'!A:D,4,FALSE))/100)</f>
        <v/>
      </c>
      <c r="I253" s="1" t="str">
        <f>IF(B253="","",(VLOOKUP(B253,'Global (Net)'!A:D,4,FALSE)/100))</f>
        <v/>
      </c>
      <c r="J253" s="1" t="str">
        <f>IF(B253="","",(VLOOKUP(B253,'BOGIX (Net)'!A:D,4,FALSE)/100))</f>
        <v/>
      </c>
      <c r="K253" s="1" t="str">
        <f>IF(B253="","",VLOOKUP(Website!B253,'LC (Gross)'!W:X,2,FALSE)/100)</f>
        <v/>
      </c>
      <c r="L253" s="1" t="str">
        <f>IF(B253="","",VLOOKUP(Website!B253,'SC (Gross)'!P:Q,2,FALSE)/100)</f>
        <v/>
      </c>
      <c r="M253" s="1" t="str">
        <f>IF(B253="","",VLOOKUP(Website!B253,'Global (Gross)'!P:Q,2,FALSE)/100)</f>
        <v/>
      </c>
      <c r="O253" s="1" t="str">
        <f>IF(B253="","",VLOOKUP(Website!B253,'LC (Gross)'!J:K,2,FALSE)/100)</f>
        <v/>
      </c>
      <c r="P253" s="233" t="str">
        <f>IF(B253="","",(VLOOKUP(B253,'BOGIX (Gross)'!J:K,2,FALSE))/100)</f>
        <v/>
      </c>
      <c r="Q253" s="233" t="str">
        <f>IF(B253="","",(VLOOKUP(B253,'Global (Gross)'!J:K,2,FALSE)/100))</f>
        <v/>
      </c>
      <c r="S253" s="22" t="str">
        <f t="shared" si="196"/>
        <v/>
      </c>
      <c r="T253" s="22" t="str">
        <f t="shared" si="197"/>
        <v/>
      </c>
      <c r="U253" s="22" t="str">
        <f t="shared" si="198"/>
        <v/>
      </c>
      <c r="V253" s="22" t="str">
        <f t="shared" ref="V253:V316" si="203">IF(F253="","",F253-P253)</f>
        <v/>
      </c>
      <c r="W253" s="22" t="str">
        <f t="shared" si="199"/>
        <v/>
      </c>
      <c r="X253" s="22" t="str">
        <f t="shared" si="200"/>
        <v/>
      </c>
      <c r="Y253" s="22" t="str">
        <f t="shared" si="201"/>
        <v/>
      </c>
    </row>
    <row r="254" spans="1:25" x14ac:dyDescent="0.25">
      <c r="A254" t="str">
        <f t="shared" si="202"/>
        <v/>
      </c>
      <c r="B254" s="169" t="str">
        <f>IF('LC (Gross)'!A401="","",IF('LC (Gross)'!A401&gt;$AC$9,"",'LC (Gross)'!A401))</f>
        <v/>
      </c>
      <c r="C254" s="1" t="str">
        <f>IF(B254="","",(VLOOKUP(B254,'LC (Gross)'!A:D,4,FALSE)/100))</f>
        <v/>
      </c>
      <c r="D254" s="1" t="str">
        <f>IF(B254="","",(VLOOKUP(B254,'SC (Gross)'!A:D,4,FALSE))/100)</f>
        <v/>
      </c>
      <c r="E254" s="1" t="str">
        <f>IF(B254="","",(VLOOKUP(B254,'Global (Gross)'!A:D,4,FALSE)/100))</f>
        <v/>
      </c>
      <c r="F254" s="1" t="str">
        <f>IF(B254="","",(VLOOKUP(B254,'BOGIX (Gross)'!A:D,4,FALSE)/100))</f>
        <v/>
      </c>
      <c r="G254" s="1" t="str">
        <f>IF(B254="","",(VLOOKUP(B254,'LC (Net)'!A:D,4,FALSE)/100))</f>
        <v/>
      </c>
      <c r="H254" s="1" t="str">
        <f>IF(B254="","",(VLOOKUP(B254,'SC (Net)'!A:D,4,FALSE))/100)</f>
        <v/>
      </c>
      <c r="I254" s="1" t="str">
        <f>IF(B254="","",(VLOOKUP(B254,'Global (Net)'!A:D,4,FALSE)/100))</f>
        <v/>
      </c>
      <c r="J254" s="1" t="str">
        <f>IF(B254="","",(VLOOKUP(B254,'BOGIX (Net)'!A:D,4,FALSE)/100))</f>
        <v/>
      </c>
      <c r="K254" s="1" t="str">
        <f>IF(B254="","",VLOOKUP(Website!B254,'LC (Gross)'!W:X,2,FALSE)/100)</f>
        <v/>
      </c>
      <c r="L254" s="1" t="str">
        <f>IF(B254="","",VLOOKUP(Website!B254,'SC (Gross)'!P:Q,2,FALSE)/100)</f>
        <v/>
      </c>
      <c r="M254" s="1" t="str">
        <f>IF(B254="","",VLOOKUP(Website!B254,'Global (Gross)'!P:Q,2,FALSE)/100)</f>
        <v/>
      </c>
      <c r="O254" s="1" t="str">
        <f>IF(B254="","",VLOOKUP(Website!B254,'LC (Gross)'!J:K,2,FALSE)/100)</f>
        <v/>
      </c>
      <c r="P254" s="233" t="str">
        <f>IF(B254="","",(VLOOKUP(B254,'BOGIX (Gross)'!J:K,2,FALSE))/100)</f>
        <v/>
      </c>
      <c r="Q254" s="233" t="str">
        <f>IF(B254="","",(VLOOKUP(B254,'Global (Gross)'!J:K,2,FALSE)/100))</f>
        <v/>
      </c>
      <c r="S254" s="22" t="str">
        <f t="shared" si="196"/>
        <v/>
      </c>
      <c r="T254" s="22" t="str">
        <f t="shared" si="197"/>
        <v/>
      </c>
      <c r="U254" s="22" t="str">
        <f t="shared" si="198"/>
        <v/>
      </c>
      <c r="V254" s="22" t="str">
        <f t="shared" si="203"/>
        <v/>
      </c>
      <c r="W254" s="22" t="str">
        <f t="shared" si="199"/>
        <v/>
      </c>
      <c r="X254" s="22" t="str">
        <f t="shared" si="200"/>
        <v/>
      </c>
      <c r="Y254" s="22" t="str">
        <f t="shared" si="201"/>
        <v/>
      </c>
    </row>
    <row r="255" spans="1:25" x14ac:dyDescent="0.25">
      <c r="A255" t="str">
        <f t="shared" si="202"/>
        <v/>
      </c>
      <c r="B255" s="169" t="str">
        <f>IF('LC (Gross)'!A402="","",IF('LC (Gross)'!A402&gt;$AC$9,"",'LC (Gross)'!A402))</f>
        <v/>
      </c>
      <c r="C255" s="1" t="str">
        <f>IF(B255="","",(VLOOKUP(B255,'LC (Gross)'!A:D,4,FALSE)/100))</f>
        <v/>
      </c>
      <c r="D255" s="1" t="str">
        <f>IF(B255="","",(VLOOKUP(B255,'SC (Gross)'!A:D,4,FALSE))/100)</f>
        <v/>
      </c>
      <c r="E255" s="1" t="str">
        <f>IF(B255="","",(VLOOKUP(B255,'Global (Gross)'!A:D,4,FALSE)/100))</f>
        <v/>
      </c>
      <c r="F255" s="1" t="str">
        <f>IF(B255="","",(VLOOKUP(B255,'BOGIX (Gross)'!A:D,4,FALSE)/100))</f>
        <v/>
      </c>
      <c r="G255" s="1" t="str">
        <f>IF(B255="","",(VLOOKUP(B255,'LC (Net)'!A:D,4,FALSE)/100))</f>
        <v/>
      </c>
      <c r="H255" s="1" t="str">
        <f>IF(B255="","",(VLOOKUP(B255,'SC (Net)'!A:D,4,FALSE))/100)</f>
        <v/>
      </c>
      <c r="I255" s="1" t="str">
        <f>IF(B255="","",(VLOOKUP(B255,'Global (Net)'!A:D,4,FALSE)/100))</f>
        <v/>
      </c>
      <c r="J255" s="1" t="str">
        <f>IF(B255="","",(VLOOKUP(B255,'BOGIX (Net)'!A:D,4,FALSE)/100))</f>
        <v/>
      </c>
      <c r="K255" s="1" t="str">
        <f>IF(B255="","",VLOOKUP(Website!B255,'LC (Gross)'!W:X,2,FALSE)/100)</f>
        <v/>
      </c>
      <c r="L255" s="1" t="str">
        <f>IF(B255="","",VLOOKUP(Website!B255,'SC (Gross)'!P:Q,2,FALSE)/100)</f>
        <v/>
      </c>
      <c r="M255" s="1" t="str">
        <f>IF(B255="","",VLOOKUP(Website!B255,'Global (Gross)'!P:Q,2,FALSE)/100)</f>
        <v/>
      </c>
      <c r="O255" s="1" t="str">
        <f>IF(B255="","",VLOOKUP(Website!B255,'LC (Gross)'!J:K,2,FALSE)/100)</f>
        <v/>
      </c>
      <c r="P255" s="233" t="str">
        <f>IF(B255="","",(VLOOKUP(B255,'BOGIX (Gross)'!J:K,2,FALSE))/100)</f>
        <v/>
      </c>
      <c r="Q255" s="233" t="str">
        <f>IF(B255="","",(VLOOKUP(B255,'Global (Gross)'!J:K,2,FALSE)/100))</f>
        <v/>
      </c>
      <c r="S255" s="22" t="str">
        <f t="shared" si="196"/>
        <v/>
      </c>
      <c r="T255" s="22" t="str">
        <f t="shared" si="197"/>
        <v/>
      </c>
      <c r="U255" s="22" t="str">
        <f t="shared" si="198"/>
        <v/>
      </c>
      <c r="V255" s="22" t="str">
        <f t="shared" si="203"/>
        <v/>
      </c>
      <c r="W255" s="22" t="str">
        <f t="shared" si="199"/>
        <v/>
      </c>
      <c r="X255" s="22" t="str">
        <f t="shared" si="200"/>
        <v/>
      </c>
      <c r="Y255" s="22" t="str">
        <f t="shared" si="201"/>
        <v/>
      </c>
    </row>
    <row r="256" spans="1:25" x14ac:dyDescent="0.25">
      <c r="A256" t="str">
        <f t="shared" si="202"/>
        <v/>
      </c>
      <c r="B256" s="169" t="str">
        <f>IF('LC (Gross)'!A403="","",IF('LC (Gross)'!A403&gt;$AC$9,"",'LC (Gross)'!A403))</f>
        <v/>
      </c>
      <c r="C256" s="1" t="str">
        <f>IF(B256="","",(VLOOKUP(B256,'LC (Gross)'!A:D,4,FALSE)/100))</f>
        <v/>
      </c>
      <c r="D256" s="1" t="str">
        <f>IF(B256="","",(VLOOKUP(B256,'SC (Gross)'!A:D,4,FALSE))/100)</f>
        <v/>
      </c>
      <c r="E256" s="1" t="str">
        <f>IF(B256="","",(VLOOKUP(B256,'Global (Gross)'!A:D,4,FALSE)/100))</f>
        <v/>
      </c>
      <c r="F256" s="1" t="str">
        <f>IF(B256="","",(VLOOKUP(B256,'BOGIX (Gross)'!A:D,4,FALSE)/100))</f>
        <v/>
      </c>
      <c r="G256" s="1" t="str">
        <f>IF(B256="","",(VLOOKUP(B256,'LC (Net)'!A:D,4,FALSE)/100))</f>
        <v/>
      </c>
      <c r="H256" s="1" t="str">
        <f>IF(B256="","",(VLOOKUP(B256,'SC (Net)'!A:D,4,FALSE))/100)</f>
        <v/>
      </c>
      <c r="I256" s="1" t="str">
        <f>IF(B256="","",(VLOOKUP(B256,'Global (Net)'!A:D,4,FALSE)/100))</f>
        <v/>
      </c>
      <c r="J256" s="1" t="str">
        <f>IF(B256="","",(VLOOKUP(B256,'BOGIX (Net)'!A:D,4,FALSE)/100))</f>
        <v/>
      </c>
      <c r="K256" s="1" t="str">
        <f>IF(B256="","",VLOOKUP(Website!B256,'LC (Gross)'!W:X,2,FALSE)/100)</f>
        <v/>
      </c>
      <c r="L256" s="1" t="str">
        <f>IF(B256="","",VLOOKUP(Website!B256,'SC (Gross)'!P:Q,2,FALSE)/100)</f>
        <v/>
      </c>
      <c r="M256" s="1" t="str">
        <f>IF(B256="","",VLOOKUP(Website!B256,'Global (Gross)'!P:Q,2,FALSE)/100)</f>
        <v/>
      </c>
      <c r="O256" s="1" t="str">
        <f>IF(B256="","",VLOOKUP(Website!B256,'LC (Gross)'!J:K,2,FALSE)/100)</f>
        <v/>
      </c>
      <c r="P256" s="233" t="str">
        <f>IF(B256="","",(VLOOKUP(B256,'BOGIX (Gross)'!J:K,2,FALSE))/100)</f>
        <v/>
      </c>
      <c r="Q256" s="233" t="str">
        <f>IF(B256="","",(VLOOKUP(B256,'Global (Gross)'!J:K,2,FALSE)/100))</f>
        <v/>
      </c>
      <c r="S256" s="22" t="str">
        <f t="shared" si="196"/>
        <v/>
      </c>
      <c r="T256" s="22" t="str">
        <f t="shared" si="197"/>
        <v/>
      </c>
      <c r="U256" s="22" t="str">
        <f t="shared" si="198"/>
        <v/>
      </c>
      <c r="V256" s="22" t="str">
        <f t="shared" si="203"/>
        <v/>
      </c>
      <c r="W256" s="22" t="str">
        <f t="shared" si="199"/>
        <v/>
      </c>
      <c r="X256" s="22" t="str">
        <f t="shared" si="200"/>
        <v/>
      </c>
      <c r="Y256" s="22" t="str">
        <f t="shared" si="201"/>
        <v/>
      </c>
    </row>
    <row r="257" spans="1:25" x14ac:dyDescent="0.25">
      <c r="A257" t="str">
        <f t="shared" si="202"/>
        <v/>
      </c>
      <c r="B257" s="169" t="str">
        <f>IF('LC (Gross)'!A404="","",IF('LC (Gross)'!A404&gt;$AC$9,"",'LC (Gross)'!A404))</f>
        <v/>
      </c>
      <c r="C257" s="1" t="str">
        <f>IF(B257="","",(VLOOKUP(B257,'LC (Gross)'!A:D,4,FALSE)/100))</f>
        <v/>
      </c>
      <c r="D257" s="1" t="str">
        <f>IF(B257="","",(VLOOKUP(B257,'SC (Gross)'!A:D,4,FALSE))/100)</f>
        <v/>
      </c>
      <c r="E257" s="1" t="str">
        <f>IF(B257="","",(VLOOKUP(B257,'Global (Gross)'!A:D,4,FALSE)/100))</f>
        <v/>
      </c>
      <c r="F257" s="1" t="str">
        <f>IF(B257="","",(VLOOKUP(B257,'BOGIX (Gross)'!A:D,4,FALSE)/100))</f>
        <v/>
      </c>
      <c r="G257" s="1" t="str">
        <f>IF(B257="","",(VLOOKUP(B257,'LC (Net)'!A:D,4,FALSE)/100))</f>
        <v/>
      </c>
      <c r="H257" s="1" t="str">
        <f>IF(B257="","",(VLOOKUP(B257,'SC (Net)'!A:D,4,FALSE))/100)</f>
        <v/>
      </c>
      <c r="I257" s="1" t="str">
        <f>IF(B257="","",(VLOOKUP(B257,'Global (Net)'!A:D,4,FALSE)/100))</f>
        <v/>
      </c>
      <c r="J257" s="1" t="str">
        <f>IF(B257="","",(VLOOKUP(B257,'BOGIX (Net)'!A:D,4,FALSE)/100))</f>
        <v/>
      </c>
      <c r="K257" s="1" t="str">
        <f>IF(B257="","",VLOOKUP(Website!B257,'LC (Gross)'!W:X,2,FALSE)/100)</f>
        <v/>
      </c>
      <c r="L257" s="1" t="str">
        <f>IF(B257="","",VLOOKUP(Website!B257,'SC (Gross)'!P:Q,2,FALSE)/100)</f>
        <v/>
      </c>
      <c r="M257" s="1" t="str">
        <f>IF(B257="","",VLOOKUP(Website!B257,'Global (Gross)'!P:Q,2,FALSE)/100)</f>
        <v/>
      </c>
      <c r="O257" s="1" t="str">
        <f>IF(B257="","",VLOOKUP(Website!B257,'LC (Gross)'!J:K,2,FALSE)/100)</f>
        <v/>
      </c>
      <c r="P257" s="233" t="str">
        <f>IF(B257="","",(VLOOKUP(B257,'BOGIX (Gross)'!J:K,2,FALSE))/100)</f>
        <v/>
      </c>
      <c r="Q257" s="233" t="str">
        <f>IF(B257="","",(VLOOKUP(B257,'Global (Gross)'!J:K,2,FALSE)/100))</f>
        <v/>
      </c>
      <c r="S257" s="22" t="str">
        <f t="shared" si="196"/>
        <v/>
      </c>
      <c r="T257" s="22" t="str">
        <f t="shared" si="197"/>
        <v/>
      </c>
      <c r="U257" s="22" t="str">
        <f t="shared" si="198"/>
        <v/>
      </c>
      <c r="V257" s="22" t="str">
        <f t="shared" si="203"/>
        <v/>
      </c>
      <c r="W257" s="22" t="str">
        <f t="shared" si="199"/>
        <v/>
      </c>
      <c r="X257" s="22" t="str">
        <f t="shared" si="200"/>
        <v/>
      </c>
      <c r="Y257" s="22" t="str">
        <f t="shared" si="201"/>
        <v/>
      </c>
    </row>
    <row r="258" spans="1:25" x14ac:dyDescent="0.25">
      <c r="A258" t="str">
        <f t="shared" si="202"/>
        <v/>
      </c>
      <c r="B258" s="169" t="str">
        <f>IF('LC (Gross)'!A405="","",IF('LC (Gross)'!A405&gt;$AC$9,"",'LC (Gross)'!A405))</f>
        <v/>
      </c>
      <c r="C258" s="1" t="str">
        <f>IF(B258="","",(VLOOKUP(B258,'LC (Gross)'!A:D,4,FALSE)/100))</f>
        <v/>
      </c>
      <c r="D258" s="1" t="str">
        <f>IF(B258="","",(VLOOKUP(B258,'SC (Gross)'!A:D,4,FALSE))/100)</f>
        <v/>
      </c>
      <c r="E258" s="1" t="str">
        <f>IF(B258="","",(VLOOKUP(B258,'Global (Gross)'!A:D,4,FALSE)/100))</f>
        <v/>
      </c>
      <c r="F258" s="1" t="str">
        <f>IF(B258="","",(VLOOKUP(B258,'BOGIX (Gross)'!A:D,4,FALSE)/100))</f>
        <v/>
      </c>
      <c r="G258" s="1" t="str">
        <f>IF(B258="","",(VLOOKUP(B258,'LC (Net)'!A:D,4,FALSE)/100))</f>
        <v/>
      </c>
      <c r="H258" s="1" t="str">
        <f>IF(B258="","",(VLOOKUP(B258,'SC (Net)'!A:D,4,FALSE))/100)</f>
        <v/>
      </c>
      <c r="I258" s="1" t="str">
        <f>IF(B258="","",(VLOOKUP(B258,'Global (Net)'!A:D,4,FALSE)/100))</f>
        <v/>
      </c>
      <c r="J258" s="1" t="str">
        <f>IF(B258="","",(VLOOKUP(B258,'BOGIX (Net)'!A:D,4,FALSE)/100))</f>
        <v/>
      </c>
      <c r="K258" s="1" t="str">
        <f>IF(B258="","",VLOOKUP(Website!B258,'LC (Gross)'!W:X,2,FALSE)/100)</f>
        <v/>
      </c>
      <c r="L258" s="1" t="str">
        <f>IF(B258="","",VLOOKUP(Website!B258,'SC (Gross)'!P:Q,2,FALSE)/100)</f>
        <v/>
      </c>
      <c r="M258" s="1" t="str">
        <f>IF(B258="","",VLOOKUP(Website!B258,'Global (Gross)'!P:Q,2,FALSE)/100)</f>
        <v/>
      </c>
      <c r="O258" s="1" t="str">
        <f>IF(B258="","",VLOOKUP(Website!B258,'LC (Gross)'!J:K,2,FALSE)/100)</f>
        <v/>
      </c>
      <c r="P258" s="233" t="str">
        <f>IF(B258="","",(VLOOKUP(B258,'BOGIX (Gross)'!J:K,2,FALSE))/100)</f>
        <v/>
      </c>
      <c r="Q258" s="233" t="str">
        <f>IF(B258="","",(VLOOKUP(B258,'Global (Gross)'!J:K,2,FALSE)/100))</f>
        <v/>
      </c>
      <c r="S258" s="22" t="str">
        <f t="shared" si="196"/>
        <v/>
      </c>
      <c r="T258" s="22" t="str">
        <f t="shared" si="197"/>
        <v/>
      </c>
      <c r="U258" s="22" t="str">
        <f t="shared" si="198"/>
        <v/>
      </c>
      <c r="V258" s="22" t="str">
        <f t="shared" si="203"/>
        <v/>
      </c>
      <c r="W258" s="22" t="str">
        <f t="shared" si="199"/>
        <v/>
      </c>
      <c r="X258" s="22" t="str">
        <f t="shared" si="200"/>
        <v/>
      </c>
      <c r="Y258" s="22" t="str">
        <f t="shared" si="201"/>
        <v/>
      </c>
    </row>
    <row r="259" spans="1:25" x14ac:dyDescent="0.25">
      <c r="A259" t="str">
        <f t="shared" si="202"/>
        <v/>
      </c>
      <c r="B259" s="169" t="str">
        <f>IF('LC (Gross)'!A406="","",IF('LC (Gross)'!A406&gt;$AC$9,"",'LC (Gross)'!A406))</f>
        <v/>
      </c>
      <c r="C259" s="1" t="str">
        <f>IF(B259="","",(VLOOKUP(B259,'LC (Gross)'!A:D,4,FALSE)/100))</f>
        <v/>
      </c>
      <c r="D259" s="1" t="str">
        <f>IF(B259="","",(VLOOKUP(B259,'SC (Gross)'!A:D,4,FALSE))/100)</f>
        <v/>
      </c>
      <c r="E259" s="1" t="str">
        <f>IF(B259="","",(VLOOKUP(B259,'Global (Gross)'!A:D,4,FALSE)/100))</f>
        <v/>
      </c>
      <c r="F259" s="1" t="str">
        <f>IF(B259="","",(VLOOKUP(B259,'BOGIX (Gross)'!A:D,4,FALSE)/100))</f>
        <v/>
      </c>
      <c r="G259" s="1" t="str">
        <f>IF(B259="","",(VLOOKUP(B259,'LC (Net)'!A:D,4,FALSE)/100))</f>
        <v/>
      </c>
      <c r="H259" s="1" t="str">
        <f>IF(B259="","",(VLOOKUP(B259,'SC (Net)'!A:D,4,FALSE))/100)</f>
        <v/>
      </c>
      <c r="I259" s="1" t="str">
        <f>IF(B259="","",(VLOOKUP(B259,'Global (Net)'!A:D,4,FALSE)/100))</f>
        <v/>
      </c>
      <c r="J259" s="1" t="str">
        <f>IF(B259="","",(VLOOKUP(B259,'BOGIX (Net)'!A:D,4,FALSE)/100))</f>
        <v/>
      </c>
      <c r="K259" s="1" t="str">
        <f>IF(B259="","",VLOOKUP(Website!B259,'LC (Gross)'!W:X,2,FALSE)/100)</f>
        <v/>
      </c>
      <c r="L259" s="1" t="str">
        <f>IF(B259="","",VLOOKUP(Website!B259,'SC (Gross)'!P:Q,2,FALSE)/100)</f>
        <v/>
      </c>
      <c r="M259" s="1" t="str">
        <f>IF(B259="","",VLOOKUP(Website!B259,'Global (Gross)'!P:Q,2,FALSE)/100)</f>
        <v/>
      </c>
      <c r="O259" s="1" t="str">
        <f>IF(B259="","",VLOOKUP(Website!B259,'LC (Gross)'!J:K,2,FALSE)/100)</f>
        <v/>
      </c>
      <c r="P259" s="233" t="str">
        <f>IF(B259="","",(VLOOKUP(B259,'BOGIX (Gross)'!J:K,2,FALSE))/100)</f>
        <v/>
      </c>
      <c r="Q259" s="233" t="str">
        <f>IF(B259="","",(VLOOKUP(B259,'Global (Gross)'!J:K,2,FALSE)/100))</f>
        <v/>
      </c>
      <c r="S259" s="22" t="str">
        <f t="shared" ref="S259:S322" si="204">IF(C259="","",C259-O259)</f>
        <v/>
      </c>
      <c r="T259" s="22" t="str">
        <f t="shared" ref="T259:T322" si="205">IF(D259="","",D259-P259)</f>
        <v/>
      </c>
      <c r="U259" s="22" t="str">
        <f t="shared" ref="U259:U322" si="206">IF(E259="","",E259-Q259)</f>
        <v/>
      </c>
      <c r="V259" s="22" t="str">
        <f t="shared" si="203"/>
        <v/>
      </c>
      <c r="W259" s="22" t="str">
        <f t="shared" si="199"/>
        <v/>
      </c>
      <c r="X259" s="22" t="str">
        <f t="shared" si="200"/>
        <v/>
      </c>
      <c r="Y259" s="22" t="str">
        <f t="shared" si="201"/>
        <v/>
      </c>
    </row>
    <row r="260" spans="1:25" x14ac:dyDescent="0.25">
      <c r="A260" t="str">
        <f t="shared" si="202"/>
        <v/>
      </c>
      <c r="B260" s="169" t="str">
        <f>IF('LC (Gross)'!A407="","",IF('LC (Gross)'!A407&gt;$AC$9,"",'LC (Gross)'!A407))</f>
        <v/>
      </c>
      <c r="C260" s="1" t="str">
        <f>IF(B260="","",(VLOOKUP(B260,'LC (Gross)'!A:D,4,FALSE)/100))</f>
        <v/>
      </c>
      <c r="D260" s="1" t="str">
        <f>IF(B260="","",(VLOOKUP(B260,'SC (Gross)'!A:D,4,FALSE))/100)</f>
        <v/>
      </c>
      <c r="E260" s="1" t="str">
        <f>IF(B260="","",(VLOOKUP(B260,'Global (Gross)'!A:D,4,FALSE)/100))</f>
        <v/>
      </c>
      <c r="F260" s="1" t="str">
        <f>IF(B260="","",(VLOOKUP(B260,'BOGIX (Gross)'!A:D,4,FALSE)/100))</f>
        <v/>
      </c>
      <c r="G260" s="1" t="str">
        <f>IF(B260="","",(VLOOKUP(B260,'LC (Net)'!A:D,4,FALSE)/100))</f>
        <v/>
      </c>
      <c r="H260" s="1" t="str">
        <f>IF(B260="","",(VLOOKUP(B260,'SC (Net)'!A:D,4,FALSE))/100)</f>
        <v/>
      </c>
      <c r="I260" s="1" t="str">
        <f>IF(B260="","",(VLOOKUP(B260,'Global (Net)'!A:D,4,FALSE)/100))</f>
        <v/>
      </c>
      <c r="J260" s="1" t="str">
        <f>IF(B260="","",(VLOOKUP(B260,'BOGIX (Net)'!A:D,4,FALSE)/100))</f>
        <v/>
      </c>
      <c r="K260" s="1" t="str">
        <f>IF(B260="","",VLOOKUP(Website!B260,'LC (Gross)'!W:X,2,FALSE)/100)</f>
        <v/>
      </c>
      <c r="L260" s="1" t="str">
        <f>IF(B260="","",VLOOKUP(Website!B260,'SC (Gross)'!P:Q,2,FALSE)/100)</f>
        <v/>
      </c>
      <c r="M260" s="1" t="str">
        <f>IF(B260="","",VLOOKUP(Website!B260,'Global (Gross)'!P:Q,2,FALSE)/100)</f>
        <v/>
      </c>
      <c r="O260" s="1" t="str">
        <f>IF(B260="","",VLOOKUP(Website!B260,'LC (Gross)'!J:K,2,FALSE)/100)</f>
        <v/>
      </c>
      <c r="P260" s="233" t="str">
        <f>IF(B260="","",(VLOOKUP(B260,'BOGIX (Gross)'!J:K,2,FALSE))/100)</f>
        <v/>
      </c>
      <c r="Q260" s="233" t="str">
        <f>IF(B260="","",(VLOOKUP(B260,'Global (Gross)'!J:K,2,FALSE)/100))</f>
        <v/>
      </c>
      <c r="S260" s="22" t="str">
        <f t="shared" si="204"/>
        <v/>
      </c>
      <c r="T260" s="22" t="str">
        <f t="shared" si="205"/>
        <v/>
      </c>
      <c r="U260" s="22" t="str">
        <f t="shared" si="206"/>
        <v/>
      </c>
      <c r="V260" s="22" t="str">
        <f t="shared" si="203"/>
        <v/>
      </c>
      <c r="W260" s="22" t="str">
        <f t="shared" ref="W260:W323" si="207">IF(O260="","",K260-O260)</f>
        <v/>
      </c>
      <c r="X260" s="22" t="str">
        <f t="shared" ref="X260:X323" si="208">IF(P260="","",L260-P260)</f>
        <v/>
      </c>
      <c r="Y260" s="22" t="str">
        <f t="shared" ref="Y260:Y323" si="209">IF(Q260="","",M260-Q260)</f>
        <v/>
      </c>
    </row>
    <row r="261" spans="1:25" x14ac:dyDescent="0.25">
      <c r="A261" t="str">
        <f t="shared" ref="A261:A324" si="210">IF(B261="","",A260+1)</f>
        <v/>
      </c>
      <c r="B261" s="169" t="str">
        <f>IF('LC (Gross)'!A408="","",IF('LC (Gross)'!A408&gt;$AC$9,"",'LC (Gross)'!A408))</f>
        <v/>
      </c>
      <c r="C261" s="1" t="str">
        <f>IF(B261="","",(VLOOKUP(B261,'LC (Gross)'!A:D,4,FALSE)/100))</f>
        <v/>
      </c>
      <c r="D261" s="1" t="str">
        <f>IF(B261="","",(VLOOKUP(B261,'SC (Gross)'!A:D,4,FALSE))/100)</f>
        <v/>
      </c>
      <c r="E261" s="1" t="str">
        <f>IF(B261="","",(VLOOKUP(B261,'Global (Gross)'!A:D,4,FALSE)/100))</f>
        <v/>
      </c>
      <c r="F261" s="1" t="str">
        <f>IF(B261="","",(VLOOKUP(B261,'BOGIX (Gross)'!A:D,4,FALSE)/100))</f>
        <v/>
      </c>
      <c r="G261" s="1" t="str">
        <f>IF(B261="","",(VLOOKUP(B261,'LC (Net)'!A:D,4,FALSE)/100))</f>
        <v/>
      </c>
      <c r="H261" s="1" t="str">
        <f>IF(B261="","",(VLOOKUP(B261,'SC (Net)'!A:D,4,FALSE))/100)</f>
        <v/>
      </c>
      <c r="I261" s="1" t="str">
        <f>IF(B261="","",(VLOOKUP(B261,'Global (Net)'!A:D,4,FALSE)/100))</f>
        <v/>
      </c>
      <c r="J261" s="1" t="str">
        <f>IF(B261="","",(VLOOKUP(B261,'BOGIX (Net)'!A:D,4,FALSE)/100))</f>
        <v/>
      </c>
      <c r="K261" s="1" t="str">
        <f>IF(B261="","",VLOOKUP(Website!B261,'LC (Gross)'!W:X,2,FALSE)/100)</f>
        <v/>
      </c>
      <c r="L261" s="1" t="str">
        <f>IF(B261="","",VLOOKUP(Website!B261,'SC (Gross)'!P:Q,2,FALSE)/100)</f>
        <v/>
      </c>
      <c r="M261" s="1" t="str">
        <f>IF(B261="","",VLOOKUP(Website!B261,'Global (Gross)'!P:Q,2,FALSE)/100)</f>
        <v/>
      </c>
      <c r="O261" s="1" t="str">
        <f>IF(B261="","",VLOOKUP(Website!B261,'LC (Gross)'!J:K,2,FALSE)/100)</f>
        <v/>
      </c>
      <c r="P261" s="233" t="str">
        <f>IF(B261="","",(VLOOKUP(B261,'BOGIX (Gross)'!J:K,2,FALSE))/100)</f>
        <v/>
      </c>
      <c r="Q261" s="233" t="str">
        <f>IF(B261="","",(VLOOKUP(B261,'Global (Gross)'!J:K,2,FALSE)/100))</f>
        <v/>
      </c>
      <c r="S261" s="22" t="str">
        <f t="shared" si="204"/>
        <v/>
      </c>
      <c r="T261" s="22" t="str">
        <f t="shared" si="205"/>
        <v/>
      </c>
      <c r="U261" s="22" t="str">
        <f t="shared" si="206"/>
        <v/>
      </c>
      <c r="V261" s="22" t="str">
        <f t="shared" si="203"/>
        <v/>
      </c>
      <c r="W261" s="22" t="str">
        <f t="shared" si="207"/>
        <v/>
      </c>
      <c r="X261" s="22" t="str">
        <f t="shared" si="208"/>
        <v/>
      </c>
      <c r="Y261" s="22" t="str">
        <f t="shared" si="209"/>
        <v/>
      </c>
    </row>
    <row r="262" spans="1:25" x14ac:dyDescent="0.25">
      <c r="A262" t="str">
        <f t="shared" si="210"/>
        <v/>
      </c>
      <c r="B262" s="169" t="str">
        <f>IF('LC (Gross)'!A409="","",'LC (Gross)'!A409)</f>
        <v/>
      </c>
      <c r="C262" s="1" t="str">
        <f>IF(B262="","",(VLOOKUP(B262,'LC (Gross)'!A:D,4,FALSE)/100))</f>
        <v/>
      </c>
      <c r="D262" s="1" t="str">
        <f>IF(B262="","",(VLOOKUP(B262,'SC (Gross)'!A:D,4,FALSE))/100)</f>
        <v/>
      </c>
      <c r="E262" s="1" t="str">
        <f>IF(B262="","",(VLOOKUP(B262,'Global (Gross)'!A:D,4,FALSE)/100))</f>
        <v/>
      </c>
      <c r="F262" s="1" t="str">
        <f>IF(B262="","",(VLOOKUP(B262,'BOGIX (Gross)'!A:D,4,FALSE)/100))</f>
        <v/>
      </c>
      <c r="G262" s="1" t="str">
        <f>IF(B262="","",(VLOOKUP(B262,'LC (Net)'!A:D,4,FALSE)/100))</f>
        <v/>
      </c>
      <c r="H262" s="1" t="str">
        <f>IF(B262="","",(VLOOKUP(B262,'SC (Net)'!A:D,4,FALSE))/100)</f>
        <v/>
      </c>
      <c r="I262" s="1" t="str">
        <f>IF(B262="","",(VLOOKUP(B262,'Global (Net)'!A:D,4,FALSE)/100))</f>
        <v/>
      </c>
      <c r="J262" s="1" t="str">
        <f>IF(B262="","",(VLOOKUP(B262,'BOGIX (Net)'!A:D,4,FALSE)/100))</f>
        <v/>
      </c>
      <c r="K262" s="1" t="str">
        <f>IF(B262="","",VLOOKUP(Website!B262,'LC (Gross)'!W:X,2,FALSE)/100)</f>
        <v/>
      </c>
      <c r="L262" s="1" t="str">
        <f>IF(B262="","",VLOOKUP(Website!B262,'SC (Gross)'!P:Q,2,FALSE)/100)</f>
        <v/>
      </c>
      <c r="M262" s="1" t="str">
        <f>IF(B262="","",VLOOKUP(Website!B262,'Global (Gross)'!P:Q,2,FALSE)/100)</f>
        <v/>
      </c>
      <c r="O262" s="1" t="str">
        <f>IF(B262="","",VLOOKUP(Website!B262,'LC (Gross)'!J:K,2,FALSE)/100)</f>
        <v/>
      </c>
      <c r="P262" s="233" t="str">
        <f>IF(B262="","",(VLOOKUP(B262,'BOGIX (Gross)'!J:K,2,FALSE))/100)</f>
        <v/>
      </c>
      <c r="Q262" s="233" t="str">
        <f>IF(B262="","",(VLOOKUP(B262,'Global (Gross)'!J:K,2,FALSE)/100))</f>
        <v/>
      </c>
      <c r="S262" s="22" t="str">
        <f t="shared" si="204"/>
        <v/>
      </c>
      <c r="T262" s="22" t="str">
        <f t="shared" si="205"/>
        <v/>
      </c>
      <c r="U262" s="22" t="str">
        <f t="shared" si="206"/>
        <v/>
      </c>
      <c r="V262" s="22" t="str">
        <f t="shared" si="203"/>
        <v/>
      </c>
      <c r="W262" s="22" t="str">
        <f t="shared" si="207"/>
        <v/>
      </c>
      <c r="X262" s="22" t="str">
        <f t="shared" si="208"/>
        <v/>
      </c>
      <c r="Y262" s="22" t="str">
        <f t="shared" si="209"/>
        <v/>
      </c>
    </row>
    <row r="263" spans="1:25" x14ac:dyDescent="0.25">
      <c r="A263" t="str">
        <f t="shared" si="210"/>
        <v/>
      </c>
      <c r="B263" s="169" t="str">
        <f>IF('LC (Gross)'!A410="","",'LC (Gross)'!A410)</f>
        <v/>
      </c>
      <c r="C263" s="1" t="str">
        <f>IF(B263="","",(VLOOKUP(B263,'LC (Gross)'!A:D,4,FALSE)/100))</f>
        <v/>
      </c>
      <c r="D263" s="1" t="str">
        <f>IF(B263="","",(VLOOKUP(B263,'SC (Gross)'!A:D,4,FALSE))/100)</f>
        <v/>
      </c>
      <c r="E263" s="1" t="str">
        <f>IF(B263="","",(VLOOKUP(B263,'Global (Gross)'!A:D,4,FALSE)/100))</f>
        <v/>
      </c>
      <c r="F263" s="1" t="str">
        <f>IF(B263="","",(VLOOKUP(B263,'BOGIX (Gross)'!A:D,4,FALSE)/100))</f>
        <v/>
      </c>
      <c r="G263" s="1" t="str">
        <f>IF(B263="","",(VLOOKUP(B263,'LC (Net)'!A:D,4,FALSE)/100))</f>
        <v/>
      </c>
      <c r="H263" s="1" t="str">
        <f>IF(B263="","",(VLOOKUP(B263,'SC (Net)'!A:D,4,FALSE))/100)</f>
        <v/>
      </c>
      <c r="I263" s="1" t="str">
        <f>IF(B263="","",(VLOOKUP(B263,'Global (Net)'!A:D,4,FALSE)/100))</f>
        <v/>
      </c>
      <c r="J263" s="1" t="str">
        <f>IF(B263="","",(VLOOKUP(B263,'BOGIX (Net)'!A:D,4,FALSE)/100))</f>
        <v/>
      </c>
      <c r="K263" s="1" t="str">
        <f>IF(B263="","",VLOOKUP(Website!B263,'LC (Gross)'!W:X,2,FALSE)/100)</f>
        <v/>
      </c>
      <c r="L263" s="1" t="str">
        <f>IF(B263="","",VLOOKUP(Website!B263,'SC (Gross)'!P:Q,2,FALSE)/100)</f>
        <v/>
      </c>
      <c r="M263" s="1" t="str">
        <f>IF(B263="","",VLOOKUP(Website!B263,'Global (Gross)'!P:Q,2,FALSE)/100)</f>
        <v/>
      </c>
      <c r="O263" s="1" t="str">
        <f>IF(B263="","",VLOOKUP(Website!B263,'LC (Gross)'!J:K,2,FALSE)/100)</f>
        <v/>
      </c>
      <c r="P263" s="233" t="str">
        <f>IF(B263="","",(VLOOKUP(B263,'BOGIX (Gross)'!J:K,2,FALSE))/100)</f>
        <v/>
      </c>
      <c r="Q263" s="233" t="str">
        <f>IF(B263="","",(VLOOKUP(B263,'Global (Gross)'!J:K,2,FALSE)/100))</f>
        <v/>
      </c>
      <c r="S263" s="22" t="str">
        <f t="shared" si="204"/>
        <v/>
      </c>
      <c r="T263" s="22" t="str">
        <f t="shared" si="205"/>
        <v/>
      </c>
      <c r="U263" s="22" t="str">
        <f t="shared" si="206"/>
        <v/>
      </c>
      <c r="V263" s="22" t="str">
        <f t="shared" si="203"/>
        <v/>
      </c>
      <c r="W263" s="22" t="str">
        <f t="shared" si="207"/>
        <v/>
      </c>
      <c r="X263" s="22" t="str">
        <f t="shared" si="208"/>
        <v/>
      </c>
      <c r="Y263" s="22" t="str">
        <f t="shared" si="209"/>
        <v/>
      </c>
    </row>
    <row r="264" spans="1:25" x14ac:dyDescent="0.25">
      <c r="A264" t="str">
        <f t="shared" si="210"/>
        <v/>
      </c>
      <c r="B264" s="169" t="str">
        <f>IF('LC (Gross)'!A411="","",'LC (Gross)'!A411)</f>
        <v/>
      </c>
      <c r="C264" s="1" t="str">
        <f>IF(B264="","",(VLOOKUP(B264,'LC (Gross)'!A:D,4,FALSE)/100))</f>
        <v/>
      </c>
      <c r="D264" s="1" t="str">
        <f>IF(B264="","",(VLOOKUP(B264,'SC (Gross)'!A:D,4,FALSE))/100)</f>
        <v/>
      </c>
      <c r="E264" s="1" t="str">
        <f>IF(B264="","",(VLOOKUP(B264,'Global (Gross)'!A:D,4,FALSE)/100))</f>
        <v/>
      </c>
      <c r="F264" s="1" t="str">
        <f>IF(B264="","",(VLOOKUP(B264,'BOGIX (Gross)'!A:D,4,FALSE)/100))</f>
        <v/>
      </c>
      <c r="G264" s="1" t="str">
        <f>IF(B264="","",(VLOOKUP(B264,'LC (Net)'!A:D,4,FALSE)/100))</f>
        <v/>
      </c>
      <c r="H264" s="1" t="str">
        <f>IF(B264="","",(VLOOKUP(B264,'SC (Net)'!A:D,4,FALSE))/100)</f>
        <v/>
      </c>
      <c r="I264" s="1" t="str">
        <f>IF(B264="","",(VLOOKUP(B264,'Global (Net)'!A:D,4,FALSE)/100))</f>
        <v/>
      </c>
      <c r="J264" s="1" t="str">
        <f>IF(B264="","",(VLOOKUP(B264,'BOGIX (Net)'!A:D,4,FALSE)/100))</f>
        <v/>
      </c>
      <c r="K264" s="1" t="str">
        <f>IF(B264="","",VLOOKUP(Website!B264,'LC (Gross)'!W:X,2,FALSE)/100)</f>
        <v/>
      </c>
      <c r="L264" s="1" t="str">
        <f>IF(B264="","",VLOOKUP(Website!B264,'SC (Gross)'!P:Q,2,FALSE)/100)</f>
        <v/>
      </c>
      <c r="M264" s="1" t="str">
        <f>IF(B264="","",VLOOKUP(Website!B264,'Global (Gross)'!P:Q,2,FALSE)/100)</f>
        <v/>
      </c>
      <c r="O264" s="1" t="str">
        <f>IF(B264="","",VLOOKUP(Website!B264,'LC (Gross)'!J:K,2,FALSE)/100)</f>
        <v/>
      </c>
      <c r="P264" s="233" t="str">
        <f>IF(B264="","",(VLOOKUP(B264,'BOGIX (Gross)'!J:K,2,FALSE))/100)</f>
        <v/>
      </c>
      <c r="Q264" s="233" t="str">
        <f>IF(B264="","",(VLOOKUP(B264,'Global (Gross)'!J:K,2,FALSE)/100))</f>
        <v/>
      </c>
      <c r="S264" s="22" t="str">
        <f t="shared" si="204"/>
        <v/>
      </c>
      <c r="T264" s="22" t="str">
        <f t="shared" si="205"/>
        <v/>
      </c>
      <c r="U264" s="22" t="str">
        <f t="shared" si="206"/>
        <v/>
      </c>
      <c r="V264" s="22" t="str">
        <f t="shared" si="203"/>
        <v/>
      </c>
      <c r="W264" s="22" t="str">
        <f t="shared" si="207"/>
        <v/>
      </c>
      <c r="X264" s="22" t="str">
        <f t="shared" si="208"/>
        <v/>
      </c>
      <c r="Y264" s="22" t="str">
        <f t="shared" si="209"/>
        <v/>
      </c>
    </row>
    <row r="265" spans="1:25" x14ac:dyDescent="0.25">
      <c r="A265" t="str">
        <f t="shared" si="210"/>
        <v/>
      </c>
      <c r="B265" s="169" t="str">
        <f>IF('LC (Gross)'!A412="","",'LC (Gross)'!A412)</f>
        <v/>
      </c>
      <c r="C265" s="1" t="str">
        <f>IF(B265="","",(VLOOKUP(B265,'LC (Gross)'!A:D,4,FALSE)/100))</f>
        <v/>
      </c>
      <c r="D265" s="1" t="str">
        <f>IF(B265="","",(VLOOKUP(B265,'SC (Gross)'!A:D,4,FALSE))/100)</f>
        <v/>
      </c>
      <c r="E265" s="1" t="str">
        <f>IF(B265="","",(VLOOKUP(B265,'Global (Gross)'!A:D,4,FALSE)/100))</f>
        <v/>
      </c>
      <c r="F265" s="1" t="str">
        <f>IF(B265="","",(VLOOKUP(B265,'BOGIX (Gross)'!A:D,4,FALSE)/100))</f>
        <v/>
      </c>
      <c r="G265" s="1" t="str">
        <f>IF(B265="","",(VLOOKUP(B265,'LC (Net)'!A:D,4,FALSE)/100))</f>
        <v/>
      </c>
      <c r="H265" s="1" t="str">
        <f>IF(B265="","",(VLOOKUP(B265,'SC (Net)'!A:D,4,FALSE))/100)</f>
        <v/>
      </c>
      <c r="I265" s="1" t="str">
        <f>IF(B265="","",(VLOOKUP(B265,'Global (Net)'!A:D,4,FALSE)/100))</f>
        <v/>
      </c>
      <c r="J265" s="1" t="str">
        <f>IF(B265="","",(VLOOKUP(B265,'BOGIX (Net)'!A:D,4,FALSE)/100))</f>
        <v/>
      </c>
      <c r="K265" s="1" t="str">
        <f>IF(B265="","",VLOOKUP(Website!B265,'LC (Gross)'!W:X,2,FALSE)/100)</f>
        <v/>
      </c>
      <c r="L265" s="1" t="str">
        <f>IF(B265="","",VLOOKUP(Website!B265,'SC (Gross)'!P:Q,2,FALSE)/100)</f>
        <v/>
      </c>
      <c r="M265" s="1" t="str">
        <f>IF(B265="","",VLOOKUP(Website!B265,'Global (Gross)'!P:Q,2,FALSE)/100)</f>
        <v/>
      </c>
      <c r="O265" s="1" t="str">
        <f>IF(B265="","",VLOOKUP(Website!B265,'LC (Gross)'!J:K,2,FALSE)/100)</f>
        <v/>
      </c>
      <c r="P265" s="233" t="str">
        <f>IF(B265="","",(VLOOKUP(B265,'BOGIX (Gross)'!J:K,2,FALSE))/100)</f>
        <v/>
      </c>
      <c r="Q265" s="233" t="str">
        <f>IF(B265="","",(VLOOKUP(B265,'Global (Gross)'!J:K,2,FALSE)/100))</f>
        <v/>
      </c>
      <c r="S265" s="22" t="str">
        <f t="shared" si="204"/>
        <v/>
      </c>
      <c r="T265" s="22" t="str">
        <f t="shared" si="205"/>
        <v/>
      </c>
      <c r="U265" s="22" t="str">
        <f t="shared" si="206"/>
        <v/>
      </c>
      <c r="V265" s="22" t="str">
        <f t="shared" si="203"/>
        <v/>
      </c>
      <c r="W265" s="22" t="str">
        <f t="shared" si="207"/>
        <v/>
      </c>
      <c r="X265" s="22" t="str">
        <f t="shared" si="208"/>
        <v/>
      </c>
      <c r="Y265" s="22" t="str">
        <f t="shared" si="209"/>
        <v/>
      </c>
    </row>
    <row r="266" spans="1:25" x14ac:dyDescent="0.25">
      <c r="A266" t="str">
        <f t="shared" si="210"/>
        <v/>
      </c>
      <c r="B266" s="169" t="str">
        <f>IF('LC (Gross)'!A413="","",'LC (Gross)'!A413)</f>
        <v/>
      </c>
      <c r="C266" s="1" t="str">
        <f>IF(B266="","",(VLOOKUP(B266,'LC (Gross)'!A:D,4,FALSE)/100))</f>
        <v/>
      </c>
      <c r="D266" s="1" t="str">
        <f>IF(B266="","",(VLOOKUP(B266,'SC (Gross)'!A:D,4,FALSE))/100)</f>
        <v/>
      </c>
      <c r="E266" s="1" t="str">
        <f>IF(B266="","",(VLOOKUP(B266,'Global (Gross)'!A:D,4,FALSE)/100))</f>
        <v/>
      </c>
      <c r="F266" s="1" t="str">
        <f>IF(B266="","",(VLOOKUP(B266,'BOGIX (Gross)'!A:D,4,FALSE)/100))</f>
        <v/>
      </c>
      <c r="G266" s="1" t="str">
        <f>IF(B266="","",(VLOOKUP(B266,'LC (Net)'!A:D,4,FALSE)/100))</f>
        <v/>
      </c>
      <c r="H266" s="1" t="str">
        <f>IF(B266="","",(VLOOKUP(B266,'SC (Net)'!A:D,4,FALSE))/100)</f>
        <v/>
      </c>
      <c r="I266" s="1" t="str">
        <f>IF(B266="","",(VLOOKUP(B266,'Global (Net)'!A:D,4,FALSE)/100))</f>
        <v/>
      </c>
      <c r="J266" s="1" t="str">
        <f>IF(B266="","",(VLOOKUP(B266,'BOGIX (Net)'!A:D,4,FALSE)/100))</f>
        <v/>
      </c>
      <c r="K266" s="1" t="str">
        <f>IF(B266="","",VLOOKUP(Website!B266,'LC (Gross)'!W:X,2,FALSE)/100)</f>
        <v/>
      </c>
      <c r="L266" s="1" t="str">
        <f>IF(B266="","",VLOOKUP(Website!B266,'SC (Gross)'!P:Q,2,FALSE)/100)</f>
        <v/>
      </c>
      <c r="M266" s="1" t="str">
        <f>IF(B266="","",VLOOKUP(Website!B266,'Global (Gross)'!P:Q,2,FALSE)/100)</f>
        <v/>
      </c>
      <c r="O266" s="1" t="str">
        <f>IF(B266="","",VLOOKUP(Website!B266,'LC (Gross)'!J:K,2,FALSE)/100)</f>
        <v/>
      </c>
      <c r="P266" s="233" t="str">
        <f>IF(B266="","",(VLOOKUP(B266,'BOGIX (Gross)'!J:K,2,FALSE))/100)</f>
        <v/>
      </c>
      <c r="Q266" s="233" t="str">
        <f>IF(B266="","",(VLOOKUP(B266,'Global (Gross)'!J:K,2,FALSE)/100))</f>
        <v/>
      </c>
      <c r="S266" s="22" t="str">
        <f t="shared" si="204"/>
        <v/>
      </c>
      <c r="T266" s="22" t="str">
        <f t="shared" si="205"/>
        <v/>
      </c>
      <c r="U266" s="22" t="str">
        <f t="shared" si="206"/>
        <v/>
      </c>
      <c r="V266" s="22" t="str">
        <f t="shared" si="203"/>
        <v/>
      </c>
      <c r="W266" s="22" t="str">
        <f t="shared" si="207"/>
        <v/>
      </c>
      <c r="X266" s="22" t="str">
        <f t="shared" si="208"/>
        <v/>
      </c>
      <c r="Y266" s="22" t="str">
        <f t="shared" si="209"/>
        <v/>
      </c>
    </row>
    <row r="267" spans="1:25" x14ac:dyDescent="0.25">
      <c r="A267" t="str">
        <f t="shared" si="210"/>
        <v/>
      </c>
      <c r="B267" s="169" t="str">
        <f>IF('LC (Gross)'!A414="","",'LC (Gross)'!A414)</f>
        <v/>
      </c>
      <c r="C267" s="1" t="str">
        <f>IF(B267="","",(VLOOKUP(B267,'LC (Gross)'!A:D,4,FALSE)/100))</f>
        <v/>
      </c>
      <c r="D267" s="1" t="str">
        <f>IF(B267="","",(VLOOKUP(B267,'SC (Gross)'!A:D,4,FALSE))/100)</f>
        <v/>
      </c>
      <c r="E267" s="1" t="str">
        <f>IF(B267="","",(VLOOKUP(B267,'Global (Gross)'!A:D,4,FALSE)/100))</f>
        <v/>
      </c>
      <c r="F267" s="1" t="str">
        <f>IF(B267="","",(VLOOKUP(B267,'BOGIX (Gross)'!A:D,4,FALSE)/100))</f>
        <v/>
      </c>
      <c r="G267" s="1" t="str">
        <f>IF(B267="","",(VLOOKUP(B267,'LC (Net)'!A:D,4,FALSE)/100))</f>
        <v/>
      </c>
      <c r="H267" s="1" t="str">
        <f>IF(B267="","",(VLOOKUP(B267,'SC (Net)'!A:D,4,FALSE))/100)</f>
        <v/>
      </c>
      <c r="I267" s="1" t="str">
        <f>IF(B267="","",(VLOOKUP(B267,'Global (Net)'!A:D,4,FALSE)/100))</f>
        <v/>
      </c>
      <c r="J267" s="1" t="str">
        <f>IF(B267="","",(VLOOKUP(B267,'BOGIX (Net)'!A:D,4,FALSE)/100))</f>
        <v/>
      </c>
      <c r="K267" s="1" t="str">
        <f>IF(B267="","",VLOOKUP(Website!B267,'LC (Gross)'!W:X,2,FALSE)/100)</f>
        <v/>
      </c>
      <c r="L267" s="1" t="str">
        <f>IF(B267="","",VLOOKUP(Website!B267,'SC (Gross)'!P:Q,2,FALSE)/100)</f>
        <v/>
      </c>
      <c r="M267" s="1" t="str">
        <f>IF(B267="","",VLOOKUP(Website!B267,'Global (Gross)'!P:Q,2,FALSE)/100)</f>
        <v/>
      </c>
      <c r="O267" s="1" t="str">
        <f>IF(B267="","",VLOOKUP(Website!B267,'LC (Gross)'!J:K,2,FALSE)/100)</f>
        <v/>
      </c>
      <c r="P267" s="233" t="str">
        <f>IF(B267="","",(VLOOKUP(B267,'BOGIX (Gross)'!J:K,2,FALSE))/100)</f>
        <v/>
      </c>
      <c r="Q267" s="233" t="str">
        <f>IF(B267="","",(VLOOKUP(B267,'Global (Gross)'!J:K,2,FALSE)/100))</f>
        <v/>
      </c>
      <c r="S267" s="22" t="str">
        <f t="shared" si="204"/>
        <v/>
      </c>
      <c r="T267" s="22" t="str">
        <f t="shared" si="205"/>
        <v/>
      </c>
      <c r="U267" s="22" t="str">
        <f t="shared" si="206"/>
        <v/>
      </c>
      <c r="V267" s="22" t="str">
        <f t="shared" si="203"/>
        <v/>
      </c>
      <c r="W267" s="22" t="str">
        <f t="shared" si="207"/>
        <v/>
      </c>
      <c r="X267" s="22" t="str">
        <f t="shared" si="208"/>
        <v/>
      </c>
      <c r="Y267" s="22" t="str">
        <f t="shared" si="209"/>
        <v/>
      </c>
    </row>
    <row r="268" spans="1:25" x14ac:dyDescent="0.25">
      <c r="A268" t="str">
        <f t="shared" si="210"/>
        <v/>
      </c>
      <c r="B268" s="169" t="str">
        <f>IF('LC (Gross)'!A415="","",'LC (Gross)'!A415)</f>
        <v/>
      </c>
      <c r="C268" s="1" t="str">
        <f>IF(B268="","",(VLOOKUP(B268,'LC (Gross)'!A:D,4,FALSE)/100))</f>
        <v/>
      </c>
      <c r="D268" s="1" t="str">
        <f>IF(B268="","",(VLOOKUP(B268,'SC (Gross)'!A:D,4,FALSE))/100)</f>
        <v/>
      </c>
      <c r="E268" s="1" t="str">
        <f>IF(B268="","",(VLOOKUP(B268,'Global (Gross)'!A:D,4,FALSE)/100))</f>
        <v/>
      </c>
      <c r="F268" s="1" t="str">
        <f>IF(B268="","",(VLOOKUP(B268,'BOGIX (Gross)'!A:D,4,FALSE)/100))</f>
        <v/>
      </c>
      <c r="G268" s="1" t="str">
        <f>IF(B268="","",(VLOOKUP(B268,'LC (Net)'!A:D,4,FALSE)/100))</f>
        <v/>
      </c>
      <c r="H268" s="1" t="str">
        <f>IF(B268="","",(VLOOKUP(B268,'SC (Net)'!A:D,4,FALSE))/100)</f>
        <v/>
      </c>
      <c r="I268" s="1" t="str">
        <f>IF(B268="","",(VLOOKUP(B268,'Global (Net)'!A:D,4,FALSE)/100))</f>
        <v/>
      </c>
      <c r="J268" s="1" t="str">
        <f>IF(B268="","",(VLOOKUP(B268,'BOGIX (Net)'!A:D,4,FALSE)/100))</f>
        <v/>
      </c>
      <c r="K268" s="1" t="str">
        <f>IF(B268="","",VLOOKUP(Website!B268,'LC (Gross)'!W:X,2,FALSE)/100)</f>
        <v/>
      </c>
      <c r="L268" s="1" t="str">
        <f>IF(B268="","",VLOOKUP(Website!B268,'SC (Gross)'!P:Q,2,FALSE)/100)</f>
        <v/>
      </c>
      <c r="M268" s="1" t="str">
        <f>IF(B268="","",VLOOKUP(Website!B268,'Global (Gross)'!P:Q,2,FALSE)/100)</f>
        <v/>
      </c>
      <c r="O268" s="1" t="str">
        <f>IF(B268="","",VLOOKUP(Website!B268,'LC (Gross)'!J:K,2,FALSE)/100)</f>
        <v/>
      </c>
      <c r="P268" s="233" t="str">
        <f>IF(B268="","",(VLOOKUP(B268,'BOGIX (Gross)'!J:K,2,FALSE))/100)</f>
        <v/>
      </c>
      <c r="Q268" s="233" t="str">
        <f>IF(B268="","",(VLOOKUP(B268,'Global (Gross)'!J:K,2,FALSE)/100))</f>
        <v/>
      </c>
      <c r="S268" s="22" t="str">
        <f t="shared" si="204"/>
        <v/>
      </c>
      <c r="T268" s="22" t="str">
        <f t="shared" si="205"/>
        <v/>
      </c>
      <c r="U268" s="22" t="str">
        <f t="shared" si="206"/>
        <v/>
      </c>
      <c r="V268" s="22" t="str">
        <f t="shared" si="203"/>
        <v/>
      </c>
      <c r="W268" s="22" t="str">
        <f t="shared" si="207"/>
        <v/>
      </c>
      <c r="X268" s="22" t="str">
        <f t="shared" si="208"/>
        <v/>
      </c>
      <c r="Y268" s="22" t="str">
        <f t="shared" si="209"/>
        <v/>
      </c>
    </row>
    <row r="269" spans="1:25" x14ac:dyDescent="0.25">
      <c r="A269" t="str">
        <f t="shared" si="210"/>
        <v/>
      </c>
      <c r="B269" s="169" t="str">
        <f>IF('LC (Gross)'!A416="","",'LC (Gross)'!A416)</f>
        <v/>
      </c>
      <c r="C269" s="1" t="str">
        <f>IF(B269="","",(VLOOKUP(B269,'LC (Gross)'!A:D,4,FALSE)/100))</f>
        <v/>
      </c>
      <c r="D269" s="1" t="str">
        <f>IF(B269="","",(VLOOKUP(B269,'SC (Gross)'!A:D,4,FALSE))/100)</f>
        <v/>
      </c>
      <c r="E269" s="1" t="str">
        <f>IF(B269="","",(VLOOKUP(B269,'Global (Gross)'!A:D,4,FALSE)/100))</f>
        <v/>
      </c>
      <c r="F269" s="1" t="str">
        <f>IF(B269="","",(VLOOKUP(B269,'BOGIX (Gross)'!A:D,4,FALSE)/100))</f>
        <v/>
      </c>
      <c r="G269" s="1" t="str">
        <f>IF(B269="","",(VLOOKUP(B269,'LC (Net)'!A:D,4,FALSE)/100))</f>
        <v/>
      </c>
      <c r="H269" s="1" t="str">
        <f>IF(B269="","",(VLOOKUP(B269,'SC (Net)'!A:D,4,FALSE))/100)</f>
        <v/>
      </c>
      <c r="I269" s="1" t="str">
        <f>IF(B269="","",(VLOOKUP(B269,'Global (Net)'!A:D,4,FALSE)/100))</f>
        <v/>
      </c>
      <c r="J269" s="1" t="str">
        <f>IF(B269="","",(VLOOKUP(B269,'BOGIX (Net)'!A:D,4,FALSE)/100))</f>
        <v/>
      </c>
      <c r="K269" s="1" t="str">
        <f>IF(B269="","",VLOOKUP(Website!B269,'LC (Gross)'!W:X,2,FALSE)/100)</f>
        <v/>
      </c>
      <c r="L269" s="1" t="str">
        <f>IF(B269="","",VLOOKUP(Website!B269,'SC (Gross)'!P:Q,2,FALSE)/100)</f>
        <v/>
      </c>
      <c r="M269" s="1" t="str">
        <f>IF(B269="","",VLOOKUP(Website!B269,'Global (Gross)'!P:Q,2,FALSE)/100)</f>
        <v/>
      </c>
      <c r="O269" s="1" t="str">
        <f>IF(B269="","",VLOOKUP(Website!B269,'LC (Gross)'!J:K,2,FALSE)/100)</f>
        <v/>
      </c>
      <c r="P269" s="233" t="str">
        <f>IF(B269="","",(VLOOKUP(B269,'BOGIX (Gross)'!J:K,2,FALSE))/100)</f>
        <v/>
      </c>
      <c r="Q269" s="233" t="str">
        <f>IF(B269="","",(VLOOKUP(B269,'Global (Gross)'!J:K,2,FALSE)/100))</f>
        <v/>
      </c>
      <c r="S269" s="22" t="str">
        <f t="shared" si="204"/>
        <v/>
      </c>
      <c r="T269" s="22" t="str">
        <f t="shared" si="205"/>
        <v/>
      </c>
      <c r="U269" s="22" t="str">
        <f t="shared" si="206"/>
        <v/>
      </c>
      <c r="V269" s="22" t="str">
        <f t="shared" si="203"/>
        <v/>
      </c>
      <c r="W269" s="22" t="str">
        <f t="shared" si="207"/>
        <v/>
      </c>
      <c r="X269" s="22" t="str">
        <f t="shared" si="208"/>
        <v/>
      </c>
      <c r="Y269" s="22" t="str">
        <f t="shared" si="209"/>
        <v/>
      </c>
    </row>
    <row r="270" spans="1:25" x14ac:dyDescent="0.25">
      <c r="A270" t="str">
        <f t="shared" si="210"/>
        <v/>
      </c>
      <c r="B270" s="169" t="str">
        <f>IF('LC (Gross)'!A417="","",'LC (Gross)'!A417)</f>
        <v/>
      </c>
      <c r="C270" s="1" t="str">
        <f>IF(B270="","",(VLOOKUP(B270,'LC (Gross)'!A:D,4,FALSE)/100))</f>
        <v/>
      </c>
      <c r="D270" s="1" t="str">
        <f>IF(B270="","",(VLOOKUP(B270,'SC (Gross)'!A:D,4,FALSE))/100)</f>
        <v/>
      </c>
      <c r="E270" s="1" t="str">
        <f>IF(B270="","",(VLOOKUP(B270,'Global (Gross)'!A:D,4,FALSE)/100))</f>
        <v/>
      </c>
      <c r="F270" s="1" t="str">
        <f>IF(B270="","",(VLOOKUP(B270,'BOGIX (Gross)'!A:D,4,FALSE)/100))</f>
        <v/>
      </c>
      <c r="G270" s="1" t="str">
        <f>IF(B270="","",(VLOOKUP(B270,'LC (Net)'!A:D,4,FALSE)/100))</f>
        <v/>
      </c>
      <c r="H270" s="1" t="str">
        <f>IF(B270="","",(VLOOKUP(B270,'SC (Net)'!A:D,4,FALSE))/100)</f>
        <v/>
      </c>
      <c r="I270" s="1" t="str">
        <f>IF(B270="","",(VLOOKUP(B270,'Global (Net)'!A:D,4,FALSE)/100))</f>
        <v/>
      </c>
      <c r="J270" s="1" t="str">
        <f>IF(B270="","",(VLOOKUP(B270,'BOGIX (Net)'!A:D,4,FALSE)/100))</f>
        <v/>
      </c>
      <c r="K270" s="1" t="str">
        <f>IF(B270="","",VLOOKUP(Website!B270,'LC (Gross)'!W:X,2,FALSE)/100)</f>
        <v/>
      </c>
      <c r="L270" s="1" t="str">
        <f>IF(B270="","",VLOOKUP(Website!B270,'SC (Gross)'!P:Q,2,FALSE)/100)</f>
        <v/>
      </c>
      <c r="M270" s="1" t="str">
        <f>IF(B270="","",VLOOKUP(Website!B270,'Global (Gross)'!P:Q,2,FALSE)/100)</f>
        <v/>
      </c>
      <c r="O270" s="1" t="str">
        <f>IF(B270="","",VLOOKUP(Website!B270,'LC (Gross)'!J:K,2,FALSE)/100)</f>
        <v/>
      </c>
      <c r="P270" s="233" t="str">
        <f>IF(B270="","",(VLOOKUP(B270,'BOGIX (Gross)'!J:K,2,FALSE))/100)</f>
        <v/>
      </c>
      <c r="Q270" s="233" t="str">
        <f>IF(B270="","",(VLOOKUP(B270,'Global (Gross)'!J:K,2,FALSE)/100))</f>
        <v/>
      </c>
      <c r="S270" s="22" t="str">
        <f t="shared" si="204"/>
        <v/>
      </c>
      <c r="T270" s="22" t="str">
        <f t="shared" si="205"/>
        <v/>
      </c>
      <c r="U270" s="22" t="str">
        <f t="shared" si="206"/>
        <v/>
      </c>
      <c r="V270" s="22" t="str">
        <f t="shared" si="203"/>
        <v/>
      </c>
      <c r="W270" s="22" t="str">
        <f t="shared" si="207"/>
        <v/>
      </c>
      <c r="X270" s="22" t="str">
        <f t="shared" si="208"/>
        <v/>
      </c>
      <c r="Y270" s="22" t="str">
        <f t="shared" si="209"/>
        <v/>
      </c>
    </row>
    <row r="271" spans="1:25" x14ac:dyDescent="0.25">
      <c r="A271" t="str">
        <f t="shared" si="210"/>
        <v/>
      </c>
      <c r="B271" s="169" t="str">
        <f>IF('LC (Gross)'!A418="","",'LC (Gross)'!A418)</f>
        <v/>
      </c>
      <c r="C271" s="1" t="str">
        <f>IF(B271="","",(VLOOKUP(B271,'LC (Gross)'!A:D,4,FALSE)/100))</f>
        <v/>
      </c>
      <c r="D271" s="1" t="str">
        <f>IF(B271="","",(VLOOKUP(B271,'SC (Gross)'!A:D,4,FALSE))/100)</f>
        <v/>
      </c>
      <c r="E271" s="1" t="str">
        <f>IF(B271="","",(VLOOKUP(B271,'Global (Gross)'!A:D,4,FALSE)/100))</f>
        <v/>
      </c>
      <c r="F271" s="1" t="str">
        <f>IF(B271="","",(VLOOKUP(B271,'BOGIX (Gross)'!A:D,4,FALSE)/100))</f>
        <v/>
      </c>
      <c r="G271" s="1" t="str">
        <f>IF(B271="","",(VLOOKUP(B271,'LC (Net)'!A:D,4,FALSE)/100))</f>
        <v/>
      </c>
      <c r="H271" s="1" t="str">
        <f>IF(B271="","",(VLOOKUP(B271,'SC (Net)'!A:D,4,FALSE))/100)</f>
        <v/>
      </c>
      <c r="I271" s="1" t="str">
        <f>IF(B271="","",(VLOOKUP(B271,'Global (Net)'!A:D,4,FALSE)/100))</f>
        <v/>
      </c>
      <c r="J271" s="1" t="str">
        <f>IF(B271="","",(VLOOKUP(B271,'BOGIX (Net)'!A:D,4,FALSE)/100))</f>
        <v/>
      </c>
      <c r="K271" s="1" t="str">
        <f>IF(B271="","",VLOOKUP(Website!B271,'LC (Gross)'!W:X,2,FALSE)/100)</f>
        <v/>
      </c>
      <c r="L271" s="1" t="str">
        <f>IF(B271="","",VLOOKUP(Website!B271,'SC (Gross)'!P:Q,2,FALSE)/100)</f>
        <v/>
      </c>
      <c r="M271" s="1" t="str">
        <f>IF(B271="","",VLOOKUP(Website!B271,'Global (Gross)'!P:Q,2,FALSE)/100)</f>
        <v/>
      </c>
      <c r="O271" s="1" t="str">
        <f>IF(B271="","",VLOOKUP(Website!B271,'LC (Gross)'!J:K,2,FALSE)/100)</f>
        <v/>
      </c>
      <c r="P271" s="233" t="str">
        <f>IF(B271="","",(VLOOKUP(B271,'BOGIX (Gross)'!J:K,2,FALSE))/100)</f>
        <v/>
      </c>
      <c r="Q271" s="233" t="str">
        <f>IF(B271="","",(VLOOKUP(B271,'Global (Gross)'!J:K,2,FALSE)/100))</f>
        <v/>
      </c>
      <c r="S271" s="22" t="str">
        <f t="shared" si="204"/>
        <v/>
      </c>
      <c r="T271" s="22" t="str">
        <f t="shared" si="205"/>
        <v/>
      </c>
      <c r="U271" s="22" t="str">
        <f t="shared" si="206"/>
        <v/>
      </c>
      <c r="V271" s="22" t="str">
        <f t="shared" si="203"/>
        <v/>
      </c>
      <c r="W271" s="22" t="str">
        <f t="shared" si="207"/>
        <v/>
      </c>
      <c r="X271" s="22" t="str">
        <f t="shared" si="208"/>
        <v/>
      </c>
      <c r="Y271" s="22" t="str">
        <f t="shared" si="209"/>
        <v/>
      </c>
    </row>
    <row r="272" spans="1:25" x14ac:dyDescent="0.25">
      <c r="A272" t="str">
        <f t="shared" si="210"/>
        <v/>
      </c>
      <c r="B272" s="169" t="str">
        <f>IF('LC (Gross)'!A419="","",'LC (Gross)'!A419)</f>
        <v/>
      </c>
      <c r="C272" s="1" t="str">
        <f>IF(B272="","",(VLOOKUP(B272,'LC (Gross)'!A:D,4,FALSE)/100))</f>
        <v/>
      </c>
      <c r="D272" s="1" t="str">
        <f>IF(B272="","",(VLOOKUP(B272,'SC (Gross)'!A:D,4,FALSE))/100)</f>
        <v/>
      </c>
      <c r="E272" s="1" t="str">
        <f>IF(B272="","",(VLOOKUP(B272,'Global (Gross)'!A:D,4,FALSE)/100))</f>
        <v/>
      </c>
      <c r="F272" s="1" t="str">
        <f>IF(B272="","",(VLOOKUP(B272,'BOGIX (Gross)'!A:D,4,FALSE)/100))</f>
        <v/>
      </c>
      <c r="G272" s="1" t="str">
        <f>IF(B272="","",(VLOOKUP(B272,'LC (Net)'!A:D,4,FALSE)/100))</f>
        <v/>
      </c>
      <c r="H272" s="1" t="str">
        <f>IF(B272="","",(VLOOKUP(B272,'SC (Net)'!A:D,4,FALSE))/100)</f>
        <v/>
      </c>
      <c r="I272" s="1" t="str">
        <f>IF(B272="","",(VLOOKUP(B272,'Global (Net)'!A:D,4,FALSE)/100))</f>
        <v/>
      </c>
      <c r="J272" s="1" t="str">
        <f>IF(B272="","",(VLOOKUP(B272,'BOGIX (Net)'!A:D,4,FALSE)/100))</f>
        <v/>
      </c>
      <c r="K272" s="1" t="str">
        <f>IF(B272="","",VLOOKUP(Website!B272,'LC (Gross)'!W:X,2,FALSE)/100)</f>
        <v/>
      </c>
      <c r="L272" s="1" t="str">
        <f>IF(B272="","",VLOOKUP(Website!B272,'SC (Gross)'!P:Q,2,FALSE)/100)</f>
        <v/>
      </c>
      <c r="M272" s="1" t="str">
        <f>IF(B272="","",VLOOKUP(Website!B272,'Global (Gross)'!P:Q,2,FALSE)/100)</f>
        <v/>
      </c>
      <c r="O272" s="1" t="str">
        <f>IF(B272="","",VLOOKUP(Website!B272,'LC (Gross)'!J:K,2,FALSE)/100)</f>
        <v/>
      </c>
      <c r="P272" s="233" t="str">
        <f>IF(B272="","",(VLOOKUP(B272,'BOGIX (Gross)'!J:K,2,FALSE))/100)</f>
        <v/>
      </c>
      <c r="Q272" s="233" t="str">
        <f>IF(B272="","",(VLOOKUP(B272,'Global (Gross)'!J:K,2,FALSE)/100))</f>
        <v/>
      </c>
      <c r="S272" s="22" t="str">
        <f t="shared" si="204"/>
        <v/>
      </c>
      <c r="T272" s="22" t="str">
        <f t="shared" si="205"/>
        <v/>
      </c>
      <c r="U272" s="22" t="str">
        <f t="shared" si="206"/>
        <v/>
      </c>
      <c r="V272" s="22" t="str">
        <f t="shared" si="203"/>
        <v/>
      </c>
      <c r="W272" s="22" t="str">
        <f t="shared" si="207"/>
        <v/>
      </c>
      <c r="X272" s="22" t="str">
        <f t="shared" si="208"/>
        <v/>
      </c>
      <c r="Y272" s="22" t="str">
        <f t="shared" si="209"/>
        <v/>
      </c>
    </row>
    <row r="273" spans="1:25" x14ac:dyDescent="0.25">
      <c r="A273" t="str">
        <f t="shared" si="210"/>
        <v/>
      </c>
      <c r="B273" s="169" t="str">
        <f>IF('LC (Gross)'!A420="","",'LC (Gross)'!A420)</f>
        <v/>
      </c>
      <c r="C273" s="1" t="str">
        <f>IF(B273="","",(VLOOKUP(B273,'LC (Gross)'!A:D,4,FALSE)/100))</f>
        <v/>
      </c>
      <c r="D273" s="1" t="str">
        <f>IF(B273="","",(VLOOKUP(B273,'SC (Gross)'!A:D,4,FALSE))/100)</f>
        <v/>
      </c>
      <c r="E273" s="1" t="str">
        <f>IF(B273="","",(VLOOKUP(B273,'Global (Gross)'!A:D,4,FALSE)/100))</f>
        <v/>
      </c>
      <c r="F273" s="1" t="str">
        <f>IF(B273="","",(VLOOKUP(B273,'BOGIX (Gross)'!A:D,4,FALSE)/100))</f>
        <v/>
      </c>
      <c r="G273" s="1" t="str">
        <f>IF(B273="","",(VLOOKUP(B273,'LC (Net)'!A:D,4,FALSE)/100))</f>
        <v/>
      </c>
      <c r="H273" s="1" t="str">
        <f>IF(B273="","",(VLOOKUP(B273,'SC (Net)'!A:D,4,FALSE))/100)</f>
        <v/>
      </c>
      <c r="I273" s="1" t="str">
        <f>IF(B273="","",(VLOOKUP(B273,'Global (Net)'!A:D,4,FALSE)/100))</f>
        <v/>
      </c>
      <c r="J273" s="1" t="str">
        <f>IF(B273="","",(VLOOKUP(B273,'BOGIX (Net)'!A:D,4,FALSE)/100))</f>
        <v/>
      </c>
      <c r="K273" s="1" t="str">
        <f>IF(B273="","",VLOOKUP(Website!B273,'LC (Gross)'!W:X,2,FALSE)/100)</f>
        <v/>
      </c>
      <c r="L273" s="1" t="str">
        <f>IF(B273="","",VLOOKUP(Website!B273,'SC (Gross)'!P:Q,2,FALSE)/100)</f>
        <v/>
      </c>
      <c r="M273" s="1" t="str">
        <f>IF(B273="","",VLOOKUP(Website!B273,'Global (Gross)'!P:Q,2,FALSE)/100)</f>
        <v/>
      </c>
      <c r="O273" s="1" t="str">
        <f>IF(B273="","",VLOOKUP(Website!B273,'LC (Gross)'!J:K,2,FALSE)/100)</f>
        <v/>
      </c>
      <c r="P273" s="233" t="str">
        <f>IF(B273="","",(VLOOKUP(B273,'BOGIX (Gross)'!J:K,2,FALSE))/100)</f>
        <v/>
      </c>
      <c r="Q273" s="233" t="str">
        <f>IF(B273="","",(VLOOKUP(B273,'Global (Gross)'!J:K,2,FALSE)/100))</f>
        <v/>
      </c>
      <c r="S273" s="22" t="str">
        <f t="shared" si="204"/>
        <v/>
      </c>
      <c r="T273" s="22" t="str">
        <f t="shared" si="205"/>
        <v/>
      </c>
      <c r="U273" s="22" t="str">
        <f t="shared" si="206"/>
        <v/>
      </c>
      <c r="V273" s="22" t="str">
        <f t="shared" si="203"/>
        <v/>
      </c>
      <c r="W273" s="22" t="str">
        <f t="shared" si="207"/>
        <v/>
      </c>
      <c r="X273" s="22" t="str">
        <f t="shared" si="208"/>
        <v/>
      </c>
      <c r="Y273" s="22" t="str">
        <f t="shared" si="209"/>
        <v/>
      </c>
    </row>
    <row r="274" spans="1:25" x14ac:dyDescent="0.25">
      <c r="A274" t="str">
        <f t="shared" si="210"/>
        <v/>
      </c>
      <c r="B274" s="169" t="str">
        <f>IF('LC (Gross)'!A421="","",'LC (Gross)'!A421)</f>
        <v/>
      </c>
      <c r="C274" s="1" t="str">
        <f>IF(B274="","",(VLOOKUP(B274,'LC (Gross)'!A:D,4,FALSE)/100))</f>
        <v/>
      </c>
      <c r="D274" s="1" t="str">
        <f>IF(B274="","",(VLOOKUP(B274,'SC (Gross)'!A:D,4,FALSE))/100)</f>
        <v/>
      </c>
      <c r="E274" s="1" t="str">
        <f>IF(B274="","",(VLOOKUP(B274,'Global (Gross)'!A:D,4,FALSE)/100))</f>
        <v/>
      </c>
      <c r="F274" s="1" t="str">
        <f>IF(B274="","",(VLOOKUP(B274,'BOGIX (Gross)'!A:D,4,FALSE)/100))</f>
        <v/>
      </c>
      <c r="G274" s="1" t="str">
        <f>IF(B274="","",(VLOOKUP(B274,'LC (Net)'!A:D,4,FALSE)/100))</f>
        <v/>
      </c>
      <c r="H274" s="1" t="str">
        <f>IF(B274="","",(VLOOKUP(B274,'SC (Net)'!A:D,4,FALSE))/100)</f>
        <v/>
      </c>
      <c r="I274" s="1" t="str">
        <f>IF(B274="","",(VLOOKUP(B274,'Global (Net)'!A:D,4,FALSE)/100))</f>
        <v/>
      </c>
      <c r="J274" s="1" t="str">
        <f>IF(B274="","",(VLOOKUP(B274,'BOGIX (Net)'!A:D,4,FALSE)/100))</f>
        <v/>
      </c>
      <c r="K274" s="1" t="str">
        <f>IF(B274="","",VLOOKUP(Website!B274,'LC (Gross)'!W:X,2,FALSE)/100)</f>
        <v/>
      </c>
      <c r="L274" s="1" t="str">
        <f>IF(B274="","",VLOOKUP(Website!B274,'SC (Gross)'!P:Q,2,FALSE)/100)</f>
        <v/>
      </c>
      <c r="M274" s="1" t="str">
        <f>IF(B274="","",VLOOKUP(Website!B274,'Global (Gross)'!P:Q,2,FALSE)/100)</f>
        <v/>
      </c>
      <c r="O274" s="1" t="str">
        <f>IF(B274="","",VLOOKUP(Website!B274,'LC (Gross)'!J:K,2,FALSE)/100)</f>
        <v/>
      </c>
      <c r="P274" s="233" t="str">
        <f>IF(B274="","",(VLOOKUP(B274,'BOGIX (Gross)'!J:K,2,FALSE))/100)</f>
        <v/>
      </c>
      <c r="Q274" s="233" t="str">
        <f>IF(B274="","",(VLOOKUP(B274,'Global (Gross)'!J:K,2,FALSE)/100))</f>
        <v/>
      </c>
      <c r="S274" s="22" t="str">
        <f t="shared" si="204"/>
        <v/>
      </c>
      <c r="T274" s="22" t="str">
        <f t="shared" si="205"/>
        <v/>
      </c>
      <c r="U274" s="22" t="str">
        <f t="shared" si="206"/>
        <v/>
      </c>
      <c r="V274" s="22" t="str">
        <f t="shared" si="203"/>
        <v/>
      </c>
      <c r="W274" s="22" t="str">
        <f t="shared" si="207"/>
        <v/>
      </c>
      <c r="X274" s="22" t="str">
        <f t="shared" si="208"/>
        <v/>
      </c>
      <c r="Y274" s="22" t="str">
        <f t="shared" si="209"/>
        <v/>
      </c>
    </row>
    <row r="275" spans="1:25" x14ac:dyDescent="0.25">
      <c r="A275" t="str">
        <f t="shared" si="210"/>
        <v/>
      </c>
      <c r="B275" s="169" t="str">
        <f>IF('LC (Gross)'!A422="","",'LC (Gross)'!A422)</f>
        <v/>
      </c>
      <c r="C275" s="1" t="str">
        <f>IF(B275="","",(VLOOKUP(B275,'LC (Gross)'!A:D,4,FALSE)/100))</f>
        <v/>
      </c>
      <c r="D275" s="1" t="str">
        <f>IF(B275="","",(VLOOKUP(B275,'SC (Gross)'!A:D,4,FALSE))/100)</f>
        <v/>
      </c>
      <c r="E275" s="1" t="str">
        <f>IF(B275="","",(VLOOKUP(B275,'Global (Gross)'!A:D,4,FALSE)/100))</f>
        <v/>
      </c>
      <c r="F275" s="1" t="str">
        <f>IF(B275="","",(VLOOKUP(B275,'BOGIX (Gross)'!A:D,4,FALSE)/100))</f>
        <v/>
      </c>
      <c r="G275" s="1" t="str">
        <f>IF(B275="","",(VLOOKUP(B275,'LC (Net)'!A:D,4,FALSE)/100))</f>
        <v/>
      </c>
      <c r="H275" s="1" t="str">
        <f>IF(B275="","",(VLOOKUP(B275,'SC (Net)'!A:D,4,FALSE))/100)</f>
        <v/>
      </c>
      <c r="I275" s="1" t="str">
        <f>IF(B275="","",(VLOOKUP(B275,'Global (Net)'!A:D,4,FALSE)/100))</f>
        <v/>
      </c>
      <c r="J275" s="1" t="str">
        <f>IF(B275="","",(VLOOKUP(B275,'BOGIX (Net)'!A:D,4,FALSE)/100))</f>
        <v/>
      </c>
      <c r="K275" s="1" t="str">
        <f>IF(B275="","",VLOOKUP(Website!B275,'LC (Gross)'!W:X,2,FALSE)/100)</f>
        <v/>
      </c>
      <c r="L275" s="1" t="str">
        <f>IF(B275="","",VLOOKUP(Website!B275,'SC (Gross)'!P:Q,2,FALSE)/100)</f>
        <v/>
      </c>
      <c r="M275" s="1" t="str">
        <f>IF(B275="","",VLOOKUP(Website!B275,'Global (Gross)'!P:Q,2,FALSE)/100)</f>
        <v/>
      </c>
      <c r="O275" s="1" t="str">
        <f>IF(B275="","",VLOOKUP(Website!B275,'LC (Gross)'!J:K,2,FALSE)/100)</f>
        <v/>
      </c>
      <c r="P275" s="233" t="str">
        <f>IF(B275="","",(VLOOKUP(B275,'BOGIX (Gross)'!J:K,2,FALSE))/100)</f>
        <v/>
      </c>
      <c r="Q275" s="233" t="str">
        <f>IF(B275="","",(VLOOKUP(B275,'Global (Gross)'!J:K,2,FALSE)/100))</f>
        <v/>
      </c>
      <c r="S275" s="22" t="str">
        <f t="shared" si="204"/>
        <v/>
      </c>
      <c r="T275" s="22" t="str">
        <f t="shared" si="205"/>
        <v/>
      </c>
      <c r="U275" s="22" t="str">
        <f t="shared" si="206"/>
        <v/>
      </c>
      <c r="V275" s="22" t="str">
        <f t="shared" si="203"/>
        <v/>
      </c>
      <c r="W275" s="22" t="str">
        <f t="shared" si="207"/>
        <v/>
      </c>
      <c r="X275" s="22" t="str">
        <f t="shared" si="208"/>
        <v/>
      </c>
      <c r="Y275" s="22" t="str">
        <f t="shared" si="209"/>
        <v/>
      </c>
    </row>
    <row r="276" spans="1:25" x14ac:dyDescent="0.25">
      <c r="A276" t="str">
        <f t="shared" si="210"/>
        <v/>
      </c>
      <c r="B276" s="169" t="str">
        <f>IF('LC (Gross)'!A423="","",'LC (Gross)'!A423)</f>
        <v/>
      </c>
      <c r="C276" s="1" t="str">
        <f>IF(B276="","",(VLOOKUP(B276,'LC (Gross)'!A:D,4,FALSE)/100))</f>
        <v/>
      </c>
      <c r="D276" s="1" t="str">
        <f>IF(B276="","",(VLOOKUP(B276,'SC (Gross)'!A:D,4,FALSE))/100)</f>
        <v/>
      </c>
      <c r="E276" s="1" t="str">
        <f>IF(B276="","",(VLOOKUP(B276,'Global (Gross)'!A:D,4,FALSE)/100))</f>
        <v/>
      </c>
      <c r="F276" s="1" t="str">
        <f>IF(B276="","",(VLOOKUP(B276,'BOGIX (Gross)'!A:D,4,FALSE)/100))</f>
        <v/>
      </c>
      <c r="G276" s="1" t="str">
        <f>IF(B276="","",(VLOOKUP(B276,'LC (Net)'!A:D,4,FALSE)/100))</f>
        <v/>
      </c>
      <c r="H276" s="1" t="str">
        <f>IF(B276="","",(VLOOKUP(B276,'SC (Net)'!A:D,4,FALSE))/100)</f>
        <v/>
      </c>
      <c r="I276" s="1" t="str">
        <f>IF(B276="","",(VLOOKUP(B276,'Global (Net)'!A:D,4,FALSE)/100))</f>
        <v/>
      </c>
      <c r="J276" s="1" t="str">
        <f>IF(B276="","",(VLOOKUP(B276,'BOGIX (Net)'!A:D,4,FALSE)/100))</f>
        <v/>
      </c>
      <c r="K276" s="1" t="str">
        <f>IF(B276="","",VLOOKUP(Website!B276,'LC (Gross)'!W:X,2,FALSE)/100)</f>
        <v/>
      </c>
      <c r="L276" s="1" t="str">
        <f>IF(B276="","",VLOOKUP(Website!B276,'SC (Gross)'!P:Q,2,FALSE)/100)</f>
        <v/>
      </c>
      <c r="M276" s="1" t="str">
        <f>IF(B276="","",VLOOKUP(Website!B276,'Global (Gross)'!P:Q,2,FALSE)/100)</f>
        <v/>
      </c>
      <c r="O276" s="1" t="str">
        <f>IF(B276="","",VLOOKUP(Website!B276,'LC (Gross)'!J:K,2,FALSE)/100)</f>
        <v/>
      </c>
      <c r="P276" s="233" t="str">
        <f>IF(B276="","",(VLOOKUP(B276,'BOGIX (Gross)'!J:K,2,FALSE))/100)</f>
        <v/>
      </c>
      <c r="Q276" s="233" t="str">
        <f>IF(B276="","",(VLOOKUP(B276,'Global (Gross)'!J:K,2,FALSE)/100))</f>
        <v/>
      </c>
      <c r="S276" s="22" t="str">
        <f t="shared" si="204"/>
        <v/>
      </c>
      <c r="T276" s="22" t="str">
        <f t="shared" si="205"/>
        <v/>
      </c>
      <c r="U276" s="22" t="str">
        <f t="shared" si="206"/>
        <v/>
      </c>
      <c r="V276" s="22" t="str">
        <f t="shared" si="203"/>
        <v/>
      </c>
      <c r="W276" s="22" t="str">
        <f t="shared" si="207"/>
        <v/>
      </c>
      <c r="X276" s="22" t="str">
        <f t="shared" si="208"/>
        <v/>
      </c>
      <c r="Y276" s="22" t="str">
        <f t="shared" si="209"/>
        <v/>
      </c>
    </row>
    <row r="277" spans="1:25" x14ac:dyDescent="0.25">
      <c r="A277" t="str">
        <f t="shared" si="210"/>
        <v/>
      </c>
      <c r="B277" s="169" t="str">
        <f>IF('LC (Gross)'!A424="","",'LC (Gross)'!A424)</f>
        <v/>
      </c>
      <c r="C277" s="1" t="str">
        <f>IF(B277="","",(VLOOKUP(B277,'LC (Gross)'!A:D,4,FALSE)/100))</f>
        <v/>
      </c>
      <c r="D277" s="1" t="str">
        <f>IF(B277="","",(VLOOKUP(B277,'SC (Gross)'!A:D,4,FALSE))/100)</f>
        <v/>
      </c>
      <c r="E277" s="1" t="str">
        <f>IF(B277="","",(VLOOKUP(B277,'Global (Gross)'!A:D,4,FALSE)/100))</f>
        <v/>
      </c>
      <c r="F277" s="1" t="str">
        <f>IF(B277="","",(VLOOKUP(B277,'BOGIX (Gross)'!A:D,4,FALSE)/100))</f>
        <v/>
      </c>
      <c r="G277" s="1" t="str">
        <f>IF(B277="","",(VLOOKUP(B277,'LC (Net)'!A:D,4,FALSE)/100))</f>
        <v/>
      </c>
      <c r="H277" s="1" t="str">
        <f>IF(B277="","",(VLOOKUP(B277,'SC (Net)'!A:D,4,FALSE))/100)</f>
        <v/>
      </c>
      <c r="I277" s="1" t="str">
        <f>IF(B277="","",(VLOOKUP(B277,'Global (Net)'!A:D,4,FALSE)/100))</f>
        <v/>
      </c>
      <c r="J277" s="1" t="str">
        <f>IF(B277="","",(VLOOKUP(B277,'BOGIX (Net)'!A:D,4,FALSE)/100))</f>
        <v/>
      </c>
      <c r="K277" s="1" t="str">
        <f>IF(B277="","",VLOOKUP(Website!B277,'LC (Gross)'!W:X,2,FALSE)/100)</f>
        <v/>
      </c>
      <c r="L277" s="1" t="str">
        <f>IF(B277="","",VLOOKUP(Website!B277,'SC (Gross)'!P:Q,2,FALSE)/100)</f>
        <v/>
      </c>
      <c r="M277" s="1" t="str">
        <f>IF(B277="","",VLOOKUP(Website!B277,'Global (Gross)'!P:Q,2,FALSE)/100)</f>
        <v/>
      </c>
      <c r="O277" s="1" t="str">
        <f>IF(B277="","",VLOOKUP(Website!B277,'LC (Gross)'!J:K,2,FALSE)/100)</f>
        <v/>
      </c>
      <c r="P277" s="233" t="str">
        <f>IF(B277="","",(VLOOKUP(B277,'BOGIX (Gross)'!J:K,2,FALSE))/100)</f>
        <v/>
      </c>
      <c r="Q277" s="233" t="str">
        <f>IF(B277="","",(VLOOKUP(B277,'Global (Gross)'!J:K,2,FALSE)/100))</f>
        <v/>
      </c>
      <c r="S277" s="22" t="str">
        <f t="shared" si="204"/>
        <v/>
      </c>
      <c r="T277" s="22" t="str">
        <f t="shared" si="205"/>
        <v/>
      </c>
      <c r="U277" s="22" t="str">
        <f t="shared" si="206"/>
        <v/>
      </c>
      <c r="V277" s="22" t="str">
        <f t="shared" si="203"/>
        <v/>
      </c>
      <c r="W277" s="22" t="str">
        <f t="shared" si="207"/>
        <v/>
      </c>
      <c r="X277" s="22" t="str">
        <f t="shared" si="208"/>
        <v/>
      </c>
      <c r="Y277" s="22" t="str">
        <f t="shared" si="209"/>
        <v/>
      </c>
    </row>
    <row r="278" spans="1:25" x14ac:dyDescent="0.25">
      <c r="A278" t="str">
        <f t="shared" si="210"/>
        <v/>
      </c>
      <c r="B278" s="169" t="str">
        <f>IF('LC (Gross)'!A425="","",'LC (Gross)'!A425)</f>
        <v/>
      </c>
      <c r="C278" s="1" t="str">
        <f>IF(B278="","",(VLOOKUP(B278,'LC (Gross)'!A:D,4,FALSE)/100))</f>
        <v/>
      </c>
      <c r="D278" s="1" t="str">
        <f>IF(B278="","",(VLOOKUP(B278,'SC (Gross)'!A:D,4,FALSE))/100)</f>
        <v/>
      </c>
      <c r="E278" s="1" t="str">
        <f>IF(B278="","",(VLOOKUP(B278,'Global (Gross)'!A:D,4,FALSE)/100))</f>
        <v/>
      </c>
      <c r="F278" s="1" t="str">
        <f>IF(B278="","",(VLOOKUP(B278,'BOGIX (Gross)'!A:D,4,FALSE)/100))</f>
        <v/>
      </c>
      <c r="G278" s="1" t="str">
        <f>IF(B278="","",(VLOOKUP(B278,'LC (Net)'!A:D,4,FALSE)/100))</f>
        <v/>
      </c>
      <c r="H278" s="1" t="str">
        <f>IF(B278="","",(VLOOKUP(B278,'SC (Net)'!A:D,4,FALSE))/100)</f>
        <v/>
      </c>
      <c r="I278" s="1" t="str">
        <f>IF(B278="","",(VLOOKUP(B278,'Global (Net)'!A:D,4,FALSE)/100))</f>
        <v/>
      </c>
      <c r="J278" s="1" t="str">
        <f>IF(B278="","",(VLOOKUP(B278,'BOGIX (Net)'!A:D,4,FALSE)/100))</f>
        <v/>
      </c>
      <c r="K278" s="1" t="str">
        <f>IF(B278="","",VLOOKUP(Website!B278,'LC (Gross)'!W:X,2,FALSE)/100)</f>
        <v/>
      </c>
      <c r="L278" s="1" t="str">
        <f>IF(B278="","",VLOOKUP(Website!B278,'SC (Gross)'!P:Q,2,FALSE)/100)</f>
        <v/>
      </c>
      <c r="M278" s="1" t="str">
        <f>IF(B278="","",VLOOKUP(Website!B278,'Global (Gross)'!P:Q,2,FALSE)/100)</f>
        <v/>
      </c>
      <c r="O278" s="1" t="str">
        <f>IF(B278="","",VLOOKUP(Website!B278,'LC (Gross)'!J:K,2,FALSE)/100)</f>
        <v/>
      </c>
      <c r="P278" s="233" t="str">
        <f>IF(B278="","",(VLOOKUP(B278,'BOGIX (Gross)'!J:K,2,FALSE))/100)</f>
        <v/>
      </c>
      <c r="Q278" s="233" t="str">
        <f>IF(B278="","",(VLOOKUP(B278,'Global (Gross)'!J:K,2,FALSE)/100))</f>
        <v/>
      </c>
      <c r="S278" s="22" t="str">
        <f t="shared" si="204"/>
        <v/>
      </c>
      <c r="T278" s="22" t="str">
        <f t="shared" si="205"/>
        <v/>
      </c>
      <c r="U278" s="22" t="str">
        <f t="shared" si="206"/>
        <v/>
      </c>
      <c r="V278" s="22" t="str">
        <f t="shared" si="203"/>
        <v/>
      </c>
      <c r="W278" s="22" t="str">
        <f t="shared" si="207"/>
        <v/>
      </c>
      <c r="X278" s="22" t="str">
        <f t="shared" si="208"/>
        <v/>
      </c>
      <c r="Y278" s="22" t="str">
        <f t="shared" si="209"/>
        <v/>
      </c>
    </row>
    <row r="279" spans="1:25" x14ac:dyDescent="0.25">
      <c r="A279" t="str">
        <f t="shared" si="210"/>
        <v/>
      </c>
      <c r="B279" s="169" t="str">
        <f>IF('LC (Gross)'!A426="","",'LC (Gross)'!A426)</f>
        <v/>
      </c>
      <c r="C279" s="1" t="str">
        <f>IF(B279="","",(VLOOKUP(B279,'LC (Gross)'!A:D,4,FALSE)/100))</f>
        <v/>
      </c>
      <c r="D279" s="1" t="str">
        <f>IF(B279="","",(VLOOKUP(B279,'SC (Gross)'!A:D,4,FALSE))/100)</f>
        <v/>
      </c>
      <c r="E279" s="1" t="str">
        <f>IF(B279="","",(VLOOKUP(B279,'Global (Gross)'!A:D,4,FALSE)/100))</f>
        <v/>
      </c>
      <c r="F279" s="1" t="str">
        <f>IF(B279="","",(VLOOKUP(B279,'BOGIX (Gross)'!A:D,4,FALSE)/100))</f>
        <v/>
      </c>
      <c r="G279" s="1" t="str">
        <f>IF(B279="","",(VLOOKUP(B279,'LC (Net)'!A:D,4,FALSE)/100))</f>
        <v/>
      </c>
      <c r="H279" s="1" t="str">
        <f>IF(B279="","",(VLOOKUP(B279,'SC (Net)'!A:D,4,FALSE))/100)</f>
        <v/>
      </c>
      <c r="I279" s="1" t="str">
        <f>IF(B279="","",(VLOOKUP(B279,'Global (Net)'!A:D,4,FALSE)/100))</f>
        <v/>
      </c>
      <c r="J279" s="1" t="str">
        <f>IF(B279="","",(VLOOKUP(B279,'BOGIX (Net)'!A:D,4,FALSE)/100))</f>
        <v/>
      </c>
      <c r="K279" s="1" t="str">
        <f>IF(B279="","",VLOOKUP(Website!B279,'LC (Gross)'!W:X,2,FALSE)/100)</f>
        <v/>
      </c>
      <c r="L279" s="1" t="str">
        <f>IF(B279="","",VLOOKUP(Website!B279,'SC (Gross)'!P:Q,2,FALSE)/100)</f>
        <v/>
      </c>
      <c r="M279" s="1" t="str">
        <f>IF(B279="","",VLOOKUP(Website!B279,'Global (Gross)'!P:Q,2,FALSE)/100)</f>
        <v/>
      </c>
      <c r="O279" s="1" t="str">
        <f>IF(B279="","",VLOOKUP(Website!B279,'LC (Gross)'!J:K,2,FALSE)/100)</f>
        <v/>
      </c>
      <c r="P279" s="233" t="str">
        <f>IF(B279="","",(VLOOKUP(B279,'BOGIX (Gross)'!J:K,2,FALSE))/100)</f>
        <v/>
      </c>
      <c r="Q279" s="233" t="str">
        <f>IF(B279="","",(VLOOKUP(B279,'Global (Gross)'!J:K,2,FALSE)/100))</f>
        <v/>
      </c>
      <c r="S279" s="22" t="str">
        <f t="shared" si="204"/>
        <v/>
      </c>
      <c r="T279" s="22" t="str">
        <f t="shared" si="205"/>
        <v/>
      </c>
      <c r="U279" s="22" t="str">
        <f t="shared" si="206"/>
        <v/>
      </c>
      <c r="V279" s="22" t="str">
        <f t="shared" si="203"/>
        <v/>
      </c>
      <c r="W279" s="22" t="str">
        <f t="shared" si="207"/>
        <v/>
      </c>
      <c r="X279" s="22" t="str">
        <f t="shared" si="208"/>
        <v/>
      </c>
      <c r="Y279" s="22" t="str">
        <f t="shared" si="209"/>
        <v/>
      </c>
    </row>
    <row r="280" spans="1:25" x14ac:dyDescent="0.25">
      <c r="A280" t="str">
        <f t="shared" si="210"/>
        <v/>
      </c>
      <c r="B280" s="169" t="str">
        <f>IF('LC (Gross)'!A427="","",'LC (Gross)'!A427)</f>
        <v/>
      </c>
      <c r="C280" s="1" t="str">
        <f>IF(B280="","",(VLOOKUP(B280,'LC (Gross)'!A:D,4,FALSE)/100))</f>
        <v/>
      </c>
      <c r="D280" s="1" t="str">
        <f>IF(B280="","",(VLOOKUP(B280,'SC (Gross)'!A:D,4,FALSE))/100)</f>
        <v/>
      </c>
      <c r="E280" s="1" t="str">
        <f>IF(B280="","",(VLOOKUP(B280,'Global (Gross)'!A:D,4,FALSE)/100))</f>
        <v/>
      </c>
      <c r="F280" s="1" t="str">
        <f>IF(B280="","",(VLOOKUP(B280,'BOGIX (Gross)'!A:D,4,FALSE)/100))</f>
        <v/>
      </c>
      <c r="G280" s="1" t="str">
        <f>IF(B280="","",(VLOOKUP(B280,'LC (Net)'!A:D,4,FALSE)/100))</f>
        <v/>
      </c>
      <c r="H280" s="1" t="str">
        <f>IF(B280="","",(VLOOKUP(B280,'SC (Net)'!A:D,4,FALSE))/100)</f>
        <v/>
      </c>
      <c r="I280" s="1" t="str">
        <f>IF(B280="","",(VLOOKUP(B280,'Global (Net)'!A:D,4,FALSE)/100))</f>
        <v/>
      </c>
      <c r="J280" s="1" t="str">
        <f>IF(B280="","",(VLOOKUP(B280,'BOGIX (Net)'!A:D,4,FALSE)/100))</f>
        <v/>
      </c>
      <c r="K280" s="1" t="str">
        <f>IF(B280="","",VLOOKUP(Website!B280,'LC (Gross)'!W:X,2,FALSE)/100)</f>
        <v/>
      </c>
      <c r="L280" s="1" t="str">
        <f>IF(B280="","",VLOOKUP(Website!B280,'SC (Gross)'!P:Q,2,FALSE)/100)</f>
        <v/>
      </c>
      <c r="M280" s="1" t="str">
        <f>IF(B280="","",VLOOKUP(Website!B280,'Global (Gross)'!P:Q,2,FALSE)/100)</f>
        <v/>
      </c>
      <c r="O280" s="1" t="str">
        <f>IF(B280="","",VLOOKUP(Website!B280,'LC (Gross)'!J:K,2,FALSE)/100)</f>
        <v/>
      </c>
      <c r="P280" s="233" t="str">
        <f>IF(B280="","",(VLOOKUP(B280,'BOGIX (Gross)'!J:K,2,FALSE))/100)</f>
        <v/>
      </c>
      <c r="Q280" s="233" t="str">
        <f>IF(B280="","",(VLOOKUP(B280,'Global (Gross)'!J:K,2,FALSE)/100))</f>
        <v/>
      </c>
      <c r="S280" s="22" t="str">
        <f t="shared" si="204"/>
        <v/>
      </c>
      <c r="T280" s="22" t="str">
        <f t="shared" si="205"/>
        <v/>
      </c>
      <c r="U280" s="22" t="str">
        <f t="shared" si="206"/>
        <v/>
      </c>
      <c r="V280" s="22" t="str">
        <f t="shared" si="203"/>
        <v/>
      </c>
      <c r="W280" s="22" t="str">
        <f t="shared" si="207"/>
        <v/>
      </c>
      <c r="X280" s="22" t="str">
        <f t="shared" si="208"/>
        <v/>
      </c>
      <c r="Y280" s="22" t="str">
        <f t="shared" si="209"/>
        <v/>
      </c>
    </row>
    <row r="281" spans="1:25" x14ac:dyDescent="0.25">
      <c r="A281" t="str">
        <f t="shared" si="210"/>
        <v/>
      </c>
      <c r="B281" s="169" t="str">
        <f>IF('LC (Gross)'!A428="","",'LC (Gross)'!A428)</f>
        <v/>
      </c>
      <c r="C281" s="1" t="str">
        <f>IF(B281="","",(VLOOKUP(B281,'LC (Gross)'!A:D,4,FALSE)/100))</f>
        <v/>
      </c>
      <c r="D281" s="1" t="str">
        <f>IF(B281="","",(VLOOKUP(B281,'SC (Gross)'!A:D,4,FALSE))/100)</f>
        <v/>
      </c>
      <c r="E281" s="1" t="str">
        <f>IF(B281="","",(VLOOKUP(B281,'Global (Gross)'!A:D,4,FALSE)/100))</f>
        <v/>
      </c>
      <c r="F281" s="1" t="str">
        <f>IF(B281="","",(VLOOKUP(B281,'BOGIX (Gross)'!A:D,4,FALSE)/100))</f>
        <v/>
      </c>
      <c r="G281" s="1" t="str">
        <f>IF(B281="","",(VLOOKUP(B281,'LC (Net)'!A:D,4,FALSE)/100))</f>
        <v/>
      </c>
      <c r="H281" s="1" t="str">
        <f>IF(B281="","",(VLOOKUP(B281,'SC (Net)'!A:D,4,FALSE))/100)</f>
        <v/>
      </c>
      <c r="I281" s="1" t="str">
        <f>IF(B281="","",(VLOOKUP(B281,'Global (Net)'!A:D,4,FALSE)/100))</f>
        <v/>
      </c>
      <c r="J281" s="1" t="str">
        <f>IF(B281="","",(VLOOKUP(B281,'BOGIX (Net)'!A:D,4,FALSE)/100))</f>
        <v/>
      </c>
      <c r="K281" s="1" t="str">
        <f>IF(B281="","",VLOOKUP(Website!B281,'LC (Gross)'!W:X,2,FALSE)/100)</f>
        <v/>
      </c>
      <c r="L281" s="1" t="str">
        <f>IF(B281="","",VLOOKUP(Website!B281,'SC (Gross)'!P:Q,2,FALSE)/100)</f>
        <v/>
      </c>
      <c r="M281" s="1" t="str">
        <f>IF(B281="","",VLOOKUP(Website!B281,'Global (Gross)'!P:Q,2,FALSE)/100)</f>
        <v/>
      </c>
      <c r="O281" s="1" t="str">
        <f>IF(B281="","",VLOOKUP(Website!B281,'LC (Gross)'!J:K,2,FALSE)/100)</f>
        <v/>
      </c>
      <c r="P281" s="233" t="str">
        <f>IF(B281="","",(VLOOKUP(B281,'BOGIX (Gross)'!J:K,2,FALSE))/100)</f>
        <v/>
      </c>
      <c r="Q281" s="233" t="str">
        <f>IF(B281="","",(VLOOKUP(B281,'Global (Gross)'!J:K,2,FALSE)/100))</f>
        <v/>
      </c>
      <c r="S281" s="22" t="str">
        <f t="shared" si="204"/>
        <v/>
      </c>
      <c r="T281" s="22" t="str">
        <f t="shared" si="205"/>
        <v/>
      </c>
      <c r="U281" s="22" t="str">
        <f t="shared" si="206"/>
        <v/>
      </c>
      <c r="V281" s="22" t="str">
        <f t="shared" si="203"/>
        <v/>
      </c>
      <c r="W281" s="22" t="str">
        <f t="shared" si="207"/>
        <v/>
      </c>
      <c r="X281" s="22" t="str">
        <f t="shared" si="208"/>
        <v/>
      </c>
      <c r="Y281" s="22" t="str">
        <f t="shared" si="209"/>
        <v/>
      </c>
    </row>
    <row r="282" spans="1:25" x14ac:dyDescent="0.25">
      <c r="A282" t="str">
        <f t="shared" si="210"/>
        <v/>
      </c>
      <c r="B282" s="169" t="str">
        <f>IF('LC (Gross)'!A429="","",'LC (Gross)'!A429)</f>
        <v/>
      </c>
      <c r="C282" s="1" t="str">
        <f>IF(B282="","",(VLOOKUP(B282,'LC (Gross)'!A:D,4,FALSE)/100))</f>
        <v/>
      </c>
      <c r="D282" s="1" t="str">
        <f>IF(B282="","",(VLOOKUP(B282,'SC (Gross)'!A:D,4,FALSE))/100)</f>
        <v/>
      </c>
      <c r="E282" s="1" t="str">
        <f>IF(B282="","",(VLOOKUP(B282,'Global (Gross)'!A:D,4,FALSE)/100))</f>
        <v/>
      </c>
      <c r="F282" s="1" t="str">
        <f>IF(B282="","",(VLOOKUP(B282,'BOGIX (Gross)'!A:D,4,FALSE)/100))</f>
        <v/>
      </c>
      <c r="G282" s="1" t="str">
        <f>IF(B282="","",(VLOOKUP(B282,'LC (Net)'!A:D,4,FALSE)/100))</f>
        <v/>
      </c>
      <c r="H282" s="1" t="str">
        <f>IF(B282="","",(VLOOKUP(B282,'SC (Net)'!A:D,4,FALSE))/100)</f>
        <v/>
      </c>
      <c r="I282" s="1" t="str">
        <f>IF(B282="","",(VLOOKUP(B282,'Global (Net)'!A:D,4,FALSE)/100))</f>
        <v/>
      </c>
      <c r="J282" s="1" t="str">
        <f>IF(B282="","",(VLOOKUP(B282,'BOGIX (Net)'!A:D,4,FALSE)/100))</f>
        <v/>
      </c>
      <c r="K282" s="1" t="str">
        <f>IF(B282="","",VLOOKUP(Website!B282,'LC (Gross)'!W:X,2,FALSE)/100)</f>
        <v/>
      </c>
      <c r="L282" s="1" t="str">
        <f>IF(B282="","",VLOOKUP(Website!B282,'SC (Gross)'!P:Q,2,FALSE)/100)</f>
        <v/>
      </c>
      <c r="M282" s="1" t="str">
        <f>IF(B282="","",VLOOKUP(Website!B282,'Global (Gross)'!P:Q,2,FALSE)/100)</f>
        <v/>
      </c>
      <c r="O282" s="1" t="str">
        <f>IF(B282="","",VLOOKUP(Website!B282,'LC (Gross)'!J:K,2,FALSE)/100)</f>
        <v/>
      </c>
      <c r="P282" s="233" t="str">
        <f>IF(B282="","",(VLOOKUP(B282,'BOGIX (Gross)'!J:K,2,FALSE))/100)</f>
        <v/>
      </c>
      <c r="Q282" s="233" t="str">
        <f>IF(B282="","",(VLOOKUP(B282,'Global (Gross)'!J:K,2,FALSE)/100))</f>
        <v/>
      </c>
      <c r="S282" s="22" t="str">
        <f t="shared" si="204"/>
        <v/>
      </c>
      <c r="T282" s="22" t="str">
        <f t="shared" si="205"/>
        <v/>
      </c>
      <c r="U282" s="22" t="str">
        <f t="shared" si="206"/>
        <v/>
      </c>
      <c r="V282" s="22" t="str">
        <f t="shared" si="203"/>
        <v/>
      </c>
      <c r="W282" s="22" t="str">
        <f t="shared" si="207"/>
        <v/>
      </c>
      <c r="X282" s="22" t="str">
        <f t="shared" si="208"/>
        <v/>
      </c>
      <c r="Y282" s="22" t="str">
        <f t="shared" si="209"/>
        <v/>
      </c>
    </row>
    <row r="283" spans="1:25" x14ac:dyDescent="0.25">
      <c r="A283" t="str">
        <f t="shared" si="210"/>
        <v/>
      </c>
      <c r="B283" s="169" t="str">
        <f>IF('LC (Gross)'!A430="","",'LC (Gross)'!A430)</f>
        <v/>
      </c>
      <c r="C283" s="1" t="str">
        <f>IF(B283="","",(VLOOKUP(B283,'LC (Gross)'!A:D,4,FALSE)/100))</f>
        <v/>
      </c>
      <c r="D283" s="1" t="str">
        <f>IF(B283="","",(VLOOKUP(B283,'SC (Gross)'!A:D,4,FALSE))/100)</f>
        <v/>
      </c>
      <c r="E283" s="1" t="str">
        <f>IF(B283="","",(VLOOKUP(B283,'Global (Gross)'!A:D,4,FALSE)/100))</f>
        <v/>
      </c>
      <c r="F283" s="1" t="str">
        <f>IF(B283="","",(VLOOKUP(B283,'BOGIX (Gross)'!A:D,4,FALSE)/100))</f>
        <v/>
      </c>
      <c r="G283" s="1" t="str">
        <f>IF(B283="","",(VLOOKUP(B283,'LC (Net)'!A:D,4,FALSE)/100))</f>
        <v/>
      </c>
      <c r="H283" s="1" t="str">
        <f>IF(B283="","",(VLOOKUP(B283,'SC (Net)'!A:D,4,FALSE))/100)</f>
        <v/>
      </c>
      <c r="I283" s="1" t="str">
        <f>IF(B283="","",(VLOOKUP(B283,'Global (Net)'!A:D,4,FALSE)/100))</f>
        <v/>
      </c>
      <c r="J283" s="1" t="str">
        <f>IF(B283="","",(VLOOKUP(B283,'BOGIX (Net)'!A:D,4,FALSE)/100))</f>
        <v/>
      </c>
      <c r="K283" s="1" t="str">
        <f>IF(B283="","",VLOOKUP(Website!B283,'LC (Gross)'!W:X,2,FALSE)/100)</f>
        <v/>
      </c>
      <c r="L283" s="1" t="str">
        <f>IF(B283="","",VLOOKUP(Website!B283,'SC (Gross)'!P:Q,2,FALSE)/100)</f>
        <v/>
      </c>
      <c r="M283" s="1" t="str">
        <f>IF(B283="","",VLOOKUP(Website!B283,'Global (Gross)'!P:Q,2,FALSE)/100)</f>
        <v/>
      </c>
      <c r="O283" s="1" t="str">
        <f>IF(B283="","",VLOOKUP(Website!B283,'LC (Gross)'!J:K,2,FALSE)/100)</f>
        <v/>
      </c>
      <c r="P283" s="233" t="str">
        <f>IF(B283="","",(VLOOKUP(B283,'BOGIX (Gross)'!J:K,2,FALSE))/100)</f>
        <v/>
      </c>
      <c r="Q283" s="233" t="str">
        <f>IF(B283="","",(VLOOKUP(B283,'Global (Gross)'!J:K,2,FALSE)/100))</f>
        <v/>
      </c>
      <c r="S283" s="22" t="str">
        <f t="shared" si="204"/>
        <v/>
      </c>
      <c r="T283" s="22" t="str">
        <f t="shared" si="205"/>
        <v/>
      </c>
      <c r="U283" s="22" t="str">
        <f t="shared" si="206"/>
        <v/>
      </c>
      <c r="V283" s="22" t="str">
        <f t="shared" si="203"/>
        <v/>
      </c>
      <c r="W283" s="22" t="str">
        <f t="shared" si="207"/>
        <v/>
      </c>
      <c r="X283" s="22" t="str">
        <f t="shared" si="208"/>
        <v/>
      </c>
      <c r="Y283" s="22" t="str">
        <f t="shared" si="209"/>
        <v/>
      </c>
    </row>
    <row r="284" spans="1:25" x14ac:dyDescent="0.25">
      <c r="A284" t="str">
        <f t="shared" si="210"/>
        <v/>
      </c>
      <c r="B284" s="169" t="str">
        <f>IF('LC (Gross)'!A431="","",'LC (Gross)'!A431)</f>
        <v/>
      </c>
      <c r="C284" s="1" t="str">
        <f>IF(B284="","",(VLOOKUP(B284,'LC (Gross)'!A:D,4,FALSE)/100))</f>
        <v/>
      </c>
      <c r="D284" s="1" t="str">
        <f>IF(B284="","",(VLOOKUP(B284,'SC (Gross)'!A:D,4,FALSE))/100)</f>
        <v/>
      </c>
      <c r="E284" s="1" t="str">
        <f>IF(B284="","",(VLOOKUP(B284,'Global (Gross)'!A:D,4,FALSE)/100))</f>
        <v/>
      </c>
      <c r="F284" s="1" t="str">
        <f>IF(B284="","",(VLOOKUP(B284,'BOGIX (Gross)'!A:D,4,FALSE)/100))</f>
        <v/>
      </c>
      <c r="G284" s="1" t="str">
        <f>IF(B284="","",(VLOOKUP(B284,'LC (Net)'!A:D,4,FALSE)/100))</f>
        <v/>
      </c>
      <c r="H284" s="1" t="str">
        <f>IF(B284="","",(VLOOKUP(B284,'SC (Net)'!A:D,4,FALSE))/100)</f>
        <v/>
      </c>
      <c r="I284" s="1" t="str">
        <f>IF(B284="","",(VLOOKUP(B284,'Global (Net)'!A:D,4,FALSE)/100))</f>
        <v/>
      </c>
      <c r="J284" s="1" t="str">
        <f>IF(B284="","",(VLOOKUP(B284,'BOGIX (Net)'!A:D,4,FALSE)/100))</f>
        <v/>
      </c>
      <c r="K284" s="1" t="str">
        <f>IF(B284="","",VLOOKUP(Website!B284,'LC (Gross)'!W:X,2,FALSE)/100)</f>
        <v/>
      </c>
      <c r="L284" s="1" t="str">
        <f>IF(B284="","",VLOOKUP(Website!B284,'SC (Gross)'!P:Q,2,FALSE)/100)</f>
        <v/>
      </c>
      <c r="M284" s="1" t="str">
        <f>IF(B284="","",VLOOKUP(Website!B284,'Global (Gross)'!P:Q,2,FALSE)/100)</f>
        <v/>
      </c>
      <c r="O284" s="1" t="str">
        <f>IF(B284="","",VLOOKUP(Website!B284,'LC (Gross)'!J:K,2,FALSE)/100)</f>
        <v/>
      </c>
      <c r="P284" s="233" t="str">
        <f>IF(B284="","",(VLOOKUP(B284,'BOGIX (Gross)'!J:K,2,FALSE))/100)</f>
        <v/>
      </c>
      <c r="Q284" s="233" t="str">
        <f>IF(B284="","",(VLOOKUP(B284,'Global (Gross)'!J:K,2,FALSE)/100))</f>
        <v/>
      </c>
      <c r="S284" s="22" t="str">
        <f t="shared" si="204"/>
        <v/>
      </c>
      <c r="T284" s="22" t="str">
        <f t="shared" si="205"/>
        <v/>
      </c>
      <c r="U284" s="22" t="str">
        <f t="shared" si="206"/>
        <v/>
      </c>
      <c r="V284" s="22" t="str">
        <f t="shared" si="203"/>
        <v/>
      </c>
      <c r="W284" s="22" t="str">
        <f t="shared" si="207"/>
        <v/>
      </c>
      <c r="X284" s="22" t="str">
        <f t="shared" si="208"/>
        <v/>
      </c>
      <c r="Y284" s="22" t="str">
        <f t="shared" si="209"/>
        <v/>
      </c>
    </row>
    <row r="285" spans="1:25" x14ac:dyDescent="0.25">
      <c r="A285" t="str">
        <f t="shared" si="210"/>
        <v/>
      </c>
      <c r="B285" s="169" t="str">
        <f>IF('LC (Gross)'!A432="","",'LC (Gross)'!A432)</f>
        <v/>
      </c>
      <c r="C285" s="1" t="str">
        <f>IF(B285="","",(VLOOKUP(B285,'LC (Gross)'!A:D,4,FALSE)/100))</f>
        <v/>
      </c>
      <c r="D285" s="1" t="str">
        <f>IF(B285="","",(VLOOKUP(B285,'SC (Gross)'!A:D,4,FALSE))/100)</f>
        <v/>
      </c>
      <c r="E285" s="1" t="str">
        <f>IF(B285="","",(VLOOKUP(B285,'Global (Gross)'!A:D,4,FALSE)/100))</f>
        <v/>
      </c>
      <c r="F285" s="1" t="str">
        <f>IF(B285="","",(VLOOKUP(B285,'BOGIX (Gross)'!A:D,4,FALSE)/100))</f>
        <v/>
      </c>
      <c r="G285" s="1" t="str">
        <f>IF(B285="","",(VLOOKUP(B285,'LC (Net)'!A:D,4,FALSE)/100))</f>
        <v/>
      </c>
      <c r="H285" s="1" t="str">
        <f>IF(B285="","",(VLOOKUP(B285,'SC (Net)'!A:D,4,FALSE))/100)</f>
        <v/>
      </c>
      <c r="I285" s="1" t="str">
        <f>IF(B285="","",(VLOOKUP(B285,'Global (Net)'!A:D,4,FALSE)/100))</f>
        <v/>
      </c>
      <c r="J285" s="1" t="str">
        <f>IF(B285="","",(VLOOKUP(B285,'BOGIX (Net)'!A:D,4,FALSE)/100))</f>
        <v/>
      </c>
      <c r="K285" s="1" t="str">
        <f>IF(B285="","",VLOOKUP(Website!B285,'LC (Gross)'!W:X,2,FALSE)/100)</f>
        <v/>
      </c>
      <c r="L285" s="1" t="str">
        <f>IF(B285="","",VLOOKUP(Website!B285,'SC (Gross)'!P:Q,2,FALSE)/100)</f>
        <v/>
      </c>
      <c r="M285" s="1" t="str">
        <f>IF(B285="","",VLOOKUP(Website!B285,'Global (Gross)'!P:Q,2,FALSE)/100)</f>
        <v/>
      </c>
      <c r="O285" s="1" t="str">
        <f>IF(B285="","",VLOOKUP(Website!B285,'LC (Gross)'!J:K,2,FALSE)/100)</f>
        <v/>
      </c>
      <c r="P285" s="233" t="str">
        <f>IF(B285="","",(VLOOKUP(B285,'BOGIX (Gross)'!J:K,2,FALSE))/100)</f>
        <v/>
      </c>
      <c r="Q285" s="233" t="str">
        <f>IF(B285="","",(VLOOKUP(B285,'Global (Gross)'!J:K,2,FALSE)/100))</f>
        <v/>
      </c>
      <c r="S285" s="22" t="str">
        <f t="shared" si="204"/>
        <v/>
      </c>
      <c r="T285" s="22" t="str">
        <f t="shared" si="205"/>
        <v/>
      </c>
      <c r="U285" s="22" t="str">
        <f t="shared" si="206"/>
        <v/>
      </c>
      <c r="V285" s="22" t="str">
        <f t="shared" si="203"/>
        <v/>
      </c>
      <c r="W285" s="22" t="str">
        <f t="shared" si="207"/>
        <v/>
      </c>
      <c r="X285" s="22" t="str">
        <f t="shared" si="208"/>
        <v/>
      </c>
      <c r="Y285" s="22" t="str">
        <f t="shared" si="209"/>
        <v/>
      </c>
    </row>
    <row r="286" spans="1:25" x14ac:dyDescent="0.25">
      <c r="A286" t="str">
        <f t="shared" si="210"/>
        <v/>
      </c>
      <c r="B286" s="169" t="str">
        <f>IF('LC (Gross)'!A433="","",'LC (Gross)'!A433)</f>
        <v/>
      </c>
      <c r="C286" s="1" t="str">
        <f>IF(B286="","",(VLOOKUP(B286,'LC (Gross)'!A:D,4,FALSE)/100))</f>
        <v/>
      </c>
      <c r="D286" s="1" t="str">
        <f>IF(B286="","",(VLOOKUP(B286,'SC (Gross)'!A:D,4,FALSE))/100)</f>
        <v/>
      </c>
      <c r="E286" s="1" t="str">
        <f>IF(B286="","",(VLOOKUP(B286,'Global (Gross)'!A:D,4,FALSE)/100))</f>
        <v/>
      </c>
      <c r="F286" s="1" t="str">
        <f>IF(B286="","",(VLOOKUP(B286,'BOGIX (Gross)'!A:D,4,FALSE)/100))</f>
        <v/>
      </c>
      <c r="G286" s="1" t="str">
        <f>IF(B286="","",(VLOOKUP(B286,'LC (Net)'!A:D,4,FALSE)/100))</f>
        <v/>
      </c>
      <c r="H286" s="1" t="str">
        <f>IF(B286="","",(VLOOKUP(B286,'SC (Net)'!A:D,4,FALSE))/100)</f>
        <v/>
      </c>
      <c r="I286" s="1" t="str">
        <f>IF(B286="","",(VLOOKUP(B286,'Global (Net)'!A:D,4,FALSE)/100))</f>
        <v/>
      </c>
      <c r="J286" s="1" t="str">
        <f>IF(B286="","",(VLOOKUP(B286,'BOGIX (Net)'!A:D,4,FALSE)/100))</f>
        <v/>
      </c>
      <c r="K286" s="1" t="str">
        <f>IF(B286="","",VLOOKUP(Website!B286,'LC (Gross)'!W:X,2,FALSE)/100)</f>
        <v/>
      </c>
      <c r="L286" s="1" t="str">
        <f>IF(B286="","",VLOOKUP(Website!B286,'SC (Gross)'!P:Q,2,FALSE)/100)</f>
        <v/>
      </c>
      <c r="M286" s="1" t="str">
        <f>IF(B286="","",VLOOKUP(Website!B286,'Global (Gross)'!P:Q,2,FALSE)/100)</f>
        <v/>
      </c>
      <c r="O286" s="1" t="str">
        <f>IF(B286="","",VLOOKUP(Website!B286,'LC (Gross)'!J:K,2,FALSE)/100)</f>
        <v/>
      </c>
      <c r="P286" s="233" t="str">
        <f>IF(B286="","",(VLOOKUP(B286,'BOGIX (Gross)'!J:K,2,FALSE))/100)</f>
        <v/>
      </c>
      <c r="Q286" s="233" t="str">
        <f>IF(B286="","",(VLOOKUP(B286,'Global (Gross)'!J:K,2,FALSE)/100))</f>
        <v/>
      </c>
      <c r="S286" s="22" t="str">
        <f t="shared" si="204"/>
        <v/>
      </c>
      <c r="T286" s="22" t="str">
        <f t="shared" si="205"/>
        <v/>
      </c>
      <c r="U286" s="22" t="str">
        <f t="shared" si="206"/>
        <v/>
      </c>
      <c r="V286" s="22" t="str">
        <f t="shared" si="203"/>
        <v/>
      </c>
      <c r="W286" s="22" t="str">
        <f t="shared" si="207"/>
        <v/>
      </c>
      <c r="X286" s="22" t="str">
        <f t="shared" si="208"/>
        <v/>
      </c>
      <c r="Y286" s="22" t="str">
        <f t="shared" si="209"/>
        <v/>
      </c>
    </row>
    <row r="287" spans="1:25" x14ac:dyDescent="0.25">
      <c r="A287" t="str">
        <f t="shared" si="210"/>
        <v/>
      </c>
      <c r="B287" s="169" t="str">
        <f>IF('LC (Gross)'!A434="","",'LC (Gross)'!A434)</f>
        <v/>
      </c>
      <c r="C287" s="1" t="str">
        <f>IF(B287="","",(VLOOKUP(B287,'LC (Gross)'!A:D,4,FALSE)/100))</f>
        <v/>
      </c>
      <c r="D287" s="1" t="str">
        <f>IF(B287="","",(VLOOKUP(B287,'SC (Gross)'!A:D,4,FALSE))/100)</f>
        <v/>
      </c>
      <c r="E287" s="1" t="str">
        <f>IF(B287="","",(VLOOKUP(B287,'Global (Gross)'!A:D,4,FALSE)/100))</f>
        <v/>
      </c>
      <c r="F287" s="1" t="str">
        <f>IF(B287="","",(VLOOKUP(B287,'BOGIX (Gross)'!A:D,4,FALSE)/100))</f>
        <v/>
      </c>
      <c r="G287" s="1" t="str">
        <f>IF(B287="","",(VLOOKUP(B287,'LC (Net)'!A:D,4,FALSE)/100))</f>
        <v/>
      </c>
      <c r="H287" s="1" t="str">
        <f>IF(B287="","",(VLOOKUP(B287,'SC (Net)'!A:D,4,FALSE))/100)</f>
        <v/>
      </c>
      <c r="I287" s="1" t="str">
        <f>IF(B287="","",(VLOOKUP(B287,'Global (Net)'!A:D,4,FALSE)/100))</f>
        <v/>
      </c>
      <c r="J287" s="1" t="str">
        <f>IF(B287="","",(VLOOKUP(B287,'BOGIX (Net)'!A:D,4,FALSE)/100))</f>
        <v/>
      </c>
      <c r="K287" s="1" t="str">
        <f>IF(B287="","",VLOOKUP(Website!B287,'LC (Gross)'!W:X,2,FALSE)/100)</f>
        <v/>
      </c>
      <c r="L287" s="1" t="str">
        <f>IF(B287="","",VLOOKUP(Website!B287,'SC (Gross)'!P:Q,2,FALSE)/100)</f>
        <v/>
      </c>
      <c r="M287" s="1" t="str">
        <f>IF(B287="","",VLOOKUP(Website!B287,'Global (Gross)'!P:Q,2,FALSE)/100)</f>
        <v/>
      </c>
      <c r="O287" s="1" t="str">
        <f>IF(B287="","",VLOOKUP(Website!B287,'LC (Gross)'!J:K,2,FALSE)/100)</f>
        <v/>
      </c>
      <c r="P287" s="233" t="str">
        <f>IF(B287="","",(VLOOKUP(B287,'BOGIX (Gross)'!J:K,2,FALSE))/100)</f>
        <v/>
      </c>
      <c r="Q287" s="233" t="str">
        <f>IF(B287="","",(VLOOKUP(B287,'Global (Gross)'!J:K,2,FALSE)/100))</f>
        <v/>
      </c>
      <c r="S287" s="22" t="str">
        <f t="shared" si="204"/>
        <v/>
      </c>
      <c r="T287" s="22" t="str">
        <f t="shared" si="205"/>
        <v/>
      </c>
      <c r="U287" s="22" t="str">
        <f t="shared" si="206"/>
        <v/>
      </c>
      <c r="V287" s="22" t="str">
        <f t="shared" si="203"/>
        <v/>
      </c>
      <c r="W287" s="22" t="str">
        <f t="shared" si="207"/>
        <v/>
      </c>
      <c r="X287" s="22" t="str">
        <f t="shared" si="208"/>
        <v/>
      </c>
      <c r="Y287" s="22" t="str">
        <f t="shared" si="209"/>
        <v/>
      </c>
    </row>
    <row r="288" spans="1:25" x14ac:dyDescent="0.25">
      <c r="A288" t="str">
        <f t="shared" si="210"/>
        <v/>
      </c>
      <c r="B288" s="169" t="str">
        <f>IF('LC (Gross)'!A435="","",'LC (Gross)'!A435)</f>
        <v/>
      </c>
      <c r="C288" s="1" t="str">
        <f>IF(B288="","",(VLOOKUP(B288,'LC (Gross)'!A:D,4,FALSE)/100))</f>
        <v/>
      </c>
      <c r="D288" s="1" t="str">
        <f>IF(B288="","",(VLOOKUP(B288,'SC (Gross)'!A:D,4,FALSE))/100)</f>
        <v/>
      </c>
      <c r="E288" s="1" t="str">
        <f>IF(B288="","",(VLOOKUP(B288,'Global (Gross)'!A:D,4,FALSE)/100))</f>
        <v/>
      </c>
      <c r="F288" s="1" t="str">
        <f>IF(B288="","",(VLOOKUP(B288,'BOGIX (Gross)'!A:D,4,FALSE)/100))</f>
        <v/>
      </c>
      <c r="G288" s="1" t="str">
        <f>IF(B288="","",(VLOOKUP(B288,'LC (Net)'!A:D,4,FALSE)/100))</f>
        <v/>
      </c>
      <c r="H288" s="1" t="str">
        <f>IF(B288="","",(VLOOKUP(B288,'SC (Net)'!A:D,4,FALSE))/100)</f>
        <v/>
      </c>
      <c r="I288" s="1" t="str">
        <f>IF(B288="","",(VLOOKUP(B288,'Global (Net)'!A:D,4,FALSE)/100))</f>
        <v/>
      </c>
      <c r="J288" s="1" t="str">
        <f>IF(B288="","",(VLOOKUP(B288,'BOGIX (Net)'!A:D,4,FALSE)/100))</f>
        <v/>
      </c>
      <c r="K288" s="1" t="str">
        <f>IF(B288="","",VLOOKUP(Website!B288,'LC (Gross)'!W:X,2,FALSE)/100)</f>
        <v/>
      </c>
      <c r="L288" s="1" t="str">
        <f>IF(B288="","",VLOOKUP(Website!B288,'SC (Gross)'!P:Q,2,FALSE)/100)</f>
        <v/>
      </c>
      <c r="M288" s="1" t="str">
        <f>IF(B288="","",VLOOKUP(Website!B288,'Global (Gross)'!P:Q,2,FALSE)/100)</f>
        <v/>
      </c>
      <c r="O288" s="1" t="str">
        <f>IF(B288="","",VLOOKUP(Website!B288,'LC (Gross)'!J:K,2,FALSE)/100)</f>
        <v/>
      </c>
      <c r="P288" s="233" t="str">
        <f>IF(B288="","",(VLOOKUP(B288,'BOGIX (Gross)'!J:K,2,FALSE))/100)</f>
        <v/>
      </c>
      <c r="Q288" s="233" t="str">
        <f>IF(B288="","",(VLOOKUP(B288,'Global (Gross)'!J:K,2,FALSE)/100))</f>
        <v/>
      </c>
      <c r="S288" s="22" t="str">
        <f t="shared" si="204"/>
        <v/>
      </c>
      <c r="T288" s="22" t="str">
        <f t="shared" si="205"/>
        <v/>
      </c>
      <c r="U288" s="22" t="str">
        <f t="shared" si="206"/>
        <v/>
      </c>
      <c r="V288" s="22" t="str">
        <f t="shared" si="203"/>
        <v/>
      </c>
      <c r="W288" s="22" t="str">
        <f t="shared" si="207"/>
        <v/>
      </c>
      <c r="X288" s="22" t="str">
        <f t="shared" si="208"/>
        <v/>
      </c>
      <c r="Y288" s="22" t="str">
        <f t="shared" si="209"/>
        <v/>
      </c>
    </row>
    <row r="289" spans="1:25" x14ac:dyDescent="0.25">
      <c r="A289" t="str">
        <f t="shared" si="210"/>
        <v/>
      </c>
      <c r="B289" s="169" t="str">
        <f>IF('LC (Gross)'!A436="","",'LC (Gross)'!A436)</f>
        <v/>
      </c>
      <c r="C289" s="1" t="str">
        <f>IF(B289="","",(VLOOKUP(B289,'LC (Gross)'!A:D,4,FALSE)/100))</f>
        <v/>
      </c>
      <c r="D289" s="1" t="str">
        <f>IF(B289="","",(VLOOKUP(B289,'SC (Gross)'!A:D,4,FALSE))/100)</f>
        <v/>
      </c>
      <c r="E289" s="1" t="str">
        <f>IF(B289="","",(VLOOKUP(B289,'Global (Gross)'!A:D,4,FALSE)/100))</f>
        <v/>
      </c>
      <c r="F289" s="1" t="str">
        <f>IF(B289="","",(VLOOKUP(B289,'BOGIX (Gross)'!A:D,4,FALSE)/100))</f>
        <v/>
      </c>
      <c r="G289" s="1" t="str">
        <f>IF(B289="","",(VLOOKUP(B289,'LC (Net)'!A:D,4,FALSE)/100))</f>
        <v/>
      </c>
      <c r="H289" s="1" t="str">
        <f>IF(B289="","",(VLOOKUP(B289,'SC (Net)'!A:D,4,FALSE))/100)</f>
        <v/>
      </c>
      <c r="I289" s="1" t="str">
        <f>IF(B289="","",(VLOOKUP(B289,'Global (Net)'!A:D,4,FALSE)/100))</f>
        <v/>
      </c>
      <c r="J289" s="1" t="str">
        <f>IF(B289="","",(VLOOKUP(B289,'BOGIX (Net)'!A:D,4,FALSE)/100))</f>
        <v/>
      </c>
      <c r="K289" s="1" t="str">
        <f>IF(B289="","",VLOOKUP(Website!B289,'LC (Gross)'!W:X,2,FALSE)/100)</f>
        <v/>
      </c>
      <c r="L289" s="1" t="str">
        <f>IF(B289="","",VLOOKUP(Website!B289,'SC (Gross)'!P:Q,2,FALSE)/100)</f>
        <v/>
      </c>
      <c r="M289" s="1" t="str">
        <f>IF(B289="","",VLOOKUP(Website!B289,'Global (Gross)'!P:Q,2,FALSE)/100)</f>
        <v/>
      </c>
      <c r="O289" s="1" t="str">
        <f>IF(B289="","",VLOOKUP(Website!B289,'LC (Gross)'!J:K,2,FALSE)/100)</f>
        <v/>
      </c>
      <c r="S289" s="22" t="str">
        <f t="shared" si="204"/>
        <v/>
      </c>
      <c r="T289" s="22" t="str">
        <f t="shared" si="205"/>
        <v/>
      </c>
      <c r="U289" s="22" t="str">
        <f t="shared" si="206"/>
        <v/>
      </c>
      <c r="V289" s="22" t="str">
        <f t="shared" si="203"/>
        <v/>
      </c>
      <c r="W289" s="22" t="str">
        <f t="shared" si="207"/>
        <v/>
      </c>
      <c r="X289" s="22" t="str">
        <f t="shared" si="208"/>
        <v/>
      </c>
      <c r="Y289" s="22" t="str">
        <f t="shared" si="209"/>
        <v/>
      </c>
    </row>
    <row r="290" spans="1:25" x14ac:dyDescent="0.25">
      <c r="A290" t="str">
        <f t="shared" si="210"/>
        <v/>
      </c>
      <c r="B290" s="169" t="str">
        <f>IF('LC (Gross)'!A437="","",'LC (Gross)'!A437)</f>
        <v/>
      </c>
      <c r="C290" s="1" t="str">
        <f>IF(B290="","",(VLOOKUP(B290,'LC (Gross)'!A:D,4,FALSE)/100))</f>
        <v/>
      </c>
      <c r="D290" s="1" t="str">
        <f>IF(B290="","",(VLOOKUP(B290,'SC (Gross)'!A:D,4,FALSE))/100)</f>
        <v/>
      </c>
      <c r="E290" s="1" t="str">
        <f>IF(B290="","",(VLOOKUP(B290,'Global (Gross)'!A:D,4,FALSE)/100))</f>
        <v/>
      </c>
      <c r="F290" s="1" t="str">
        <f>IF(B290="","",(VLOOKUP(B290,'BOGIX (Gross)'!A:D,4,FALSE)/100))</f>
        <v/>
      </c>
      <c r="G290" s="1" t="str">
        <f>IF(B290="","",(VLOOKUP(B290,'LC (Net)'!A:D,4,FALSE)/100))</f>
        <v/>
      </c>
      <c r="H290" s="1" t="str">
        <f>IF(B290="","",(VLOOKUP(B290,'SC (Net)'!A:D,4,FALSE))/100)</f>
        <v/>
      </c>
      <c r="I290" s="1" t="str">
        <f>IF(B290="","",(VLOOKUP(B290,'Global (Net)'!A:D,4,FALSE)/100))</f>
        <v/>
      </c>
      <c r="J290" s="1" t="str">
        <f>IF(B290="","",(VLOOKUP(B290,'BOGIX (Net)'!A:D,4,FALSE)/100))</f>
        <v/>
      </c>
      <c r="K290" s="1" t="str">
        <f>IF(B290="","",VLOOKUP(Website!B290,'LC (Gross)'!W:X,2,FALSE)/100)</f>
        <v/>
      </c>
      <c r="L290" s="1" t="str">
        <f>IF(B290="","",VLOOKUP(Website!B290,'SC (Gross)'!P:Q,2,FALSE)/100)</f>
        <v/>
      </c>
      <c r="M290" s="1" t="str">
        <f>IF(B290="","",VLOOKUP(Website!B290,'Global (Gross)'!P:Q,2,FALSE)/100)</f>
        <v/>
      </c>
      <c r="O290" s="1" t="str">
        <f>IF(B290="","",VLOOKUP(Website!B290,'LC (Gross)'!J:K,2,FALSE)/100)</f>
        <v/>
      </c>
      <c r="S290" s="22" t="str">
        <f t="shared" si="204"/>
        <v/>
      </c>
      <c r="T290" s="22" t="str">
        <f t="shared" si="205"/>
        <v/>
      </c>
      <c r="U290" s="22" t="str">
        <f t="shared" si="206"/>
        <v/>
      </c>
      <c r="V290" s="22" t="str">
        <f t="shared" si="203"/>
        <v/>
      </c>
      <c r="W290" s="22" t="str">
        <f t="shared" si="207"/>
        <v/>
      </c>
      <c r="X290" s="22" t="str">
        <f t="shared" si="208"/>
        <v/>
      </c>
      <c r="Y290" s="22" t="str">
        <f t="shared" si="209"/>
        <v/>
      </c>
    </row>
    <row r="291" spans="1:25" x14ac:dyDescent="0.25">
      <c r="A291" t="str">
        <f t="shared" si="210"/>
        <v/>
      </c>
      <c r="B291" s="169" t="str">
        <f>IF('LC (Gross)'!A438="","",'LC (Gross)'!A438)</f>
        <v/>
      </c>
      <c r="C291" s="1" t="str">
        <f>IF(B291="","",(VLOOKUP(B291,'LC (Gross)'!A:D,4,FALSE)/100))</f>
        <v/>
      </c>
      <c r="D291" s="1" t="str">
        <f>IF(B291="","",(VLOOKUP(B291,'SC (Gross)'!A:D,4,FALSE))/100)</f>
        <v/>
      </c>
      <c r="E291" s="1" t="str">
        <f>IF(B291="","",(VLOOKUP(B291,'Global (Gross)'!A:D,4,FALSE)/100))</f>
        <v/>
      </c>
      <c r="F291" s="1" t="str">
        <f>IF(B291="","",(VLOOKUP(B291,'BOGIX (Gross)'!A:D,4,FALSE)/100))</f>
        <v/>
      </c>
      <c r="G291" s="1" t="str">
        <f>IF(B291="","",(VLOOKUP(B291,'LC (Net)'!A:D,4,FALSE)/100))</f>
        <v/>
      </c>
      <c r="H291" s="1" t="str">
        <f>IF(B291="","",(VLOOKUP(B291,'SC (Net)'!A:D,4,FALSE))/100)</f>
        <v/>
      </c>
      <c r="I291" s="1" t="str">
        <f>IF(B291="","",(VLOOKUP(B291,'Global (Net)'!A:D,4,FALSE)/100))</f>
        <v/>
      </c>
      <c r="J291" s="1" t="str">
        <f>IF(B291="","",(VLOOKUP(B291,'BOGIX (Net)'!A:D,4,FALSE)/100))</f>
        <v/>
      </c>
      <c r="K291" s="1" t="str">
        <f>IF(B291="","",VLOOKUP(Website!B291,'LC (Gross)'!W:X,2,FALSE)/100)</f>
        <v/>
      </c>
      <c r="L291" s="1" t="str">
        <f>IF(B291="","",VLOOKUP(Website!B291,'SC (Gross)'!P:Q,2,FALSE)/100)</f>
        <v/>
      </c>
      <c r="M291" s="1" t="str">
        <f>IF(B291="","",VLOOKUP(Website!B291,'Global (Gross)'!P:Q,2,FALSE)/100)</f>
        <v/>
      </c>
      <c r="O291" s="1" t="str">
        <f>IF(B291="","",VLOOKUP(Website!B291,'LC (Gross)'!J:K,2,FALSE)/100)</f>
        <v/>
      </c>
      <c r="S291" s="22" t="str">
        <f t="shared" si="204"/>
        <v/>
      </c>
      <c r="T291" s="22" t="str">
        <f t="shared" si="205"/>
        <v/>
      </c>
      <c r="U291" s="22" t="str">
        <f t="shared" si="206"/>
        <v/>
      </c>
      <c r="V291" s="22" t="str">
        <f t="shared" si="203"/>
        <v/>
      </c>
      <c r="W291" s="22" t="str">
        <f t="shared" si="207"/>
        <v/>
      </c>
      <c r="X291" s="22" t="str">
        <f t="shared" si="208"/>
        <v/>
      </c>
      <c r="Y291" s="22" t="str">
        <f t="shared" si="209"/>
        <v/>
      </c>
    </row>
    <row r="292" spans="1:25" x14ac:dyDescent="0.25">
      <c r="A292" t="str">
        <f t="shared" si="210"/>
        <v/>
      </c>
      <c r="B292" s="169" t="str">
        <f>IF('LC (Gross)'!A439="","",'LC (Gross)'!A439)</f>
        <v/>
      </c>
      <c r="C292" s="1" t="str">
        <f>IF(B292="","",(VLOOKUP(B292,'LC (Gross)'!A:D,4,FALSE)/100))</f>
        <v/>
      </c>
      <c r="D292" s="1" t="str">
        <f>IF(B292="","",(VLOOKUP(B292,'SC (Gross)'!A:D,4,FALSE))/100)</f>
        <v/>
      </c>
      <c r="E292" s="1" t="str">
        <f>IF(B292="","",(VLOOKUP(B292,'Global (Gross)'!A:D,4,FALSE)/100))</f>
        <v/>
      </c>
      <c r="F292" s="1" t="str">
        <f>IF(B292="","",(VLOOKUP(B292,'BOGIX (Gross)'!A:D,4,FALSE)/100))</f>
        <v/>
      </c>
      <c r="G292" s="1" t="str">
        <f>IF(B292="","",(VLOOKUP(B292,'LC (Net)'!A:D,4,FALSE)/100))</f>
        <v/>
      </c>
      <c r="H292" s="1" t="str">
        <f>IF(B292="","",(VLOOKUP(B292,'SC (Net)'!A:D,4,FALSE))/100)</f>
        <v/>
      </c>
      <c r="I292" s="1" t="str">
        <f>IF(B292="","",(VLOOKUP(B292,'Global (Net)'!A:D,4,FALSE)/100))</f>
        <v/>
      </c>
      <c r="J292" s="1" t="str">
        <f>IF(B292="","",(VLOOKUP(B292,'BOGIX (Net)'!A:D,4,FALSE)/100))</f>
        <v/>
      </c>
      <c r="K292" s="1" t="str">
        <f>IF(B292="","",VLOOKUP(Website!B292,'LC (Gross)'!W:X,2,FALSE)/100)</f>
        <v/>
      </c>
      <c r="L292" s="1" t="str">
        <f>IF(B292="","",VLOOKUP(Website!B292,'SC (Gross)'!P:Q,2,FALSE)/100)</f>
        <v/>
      </c>
      <c r="M292" s="1" t="str">
        <f>IF(B292="","",VLOOKUP(Website!B292,'Global (Gross)'!P:Q,2,FALSE)/100)</f>
        <v/>
      </c>
      <c r="O292" s="1" t="str">
        <f>IF(B292="","",VLOOKUP(Website!B292,'LC (Gross)'!J:K,2,FALSE)/100)</f>
        <v/>
      </c>
      <c r="S292" s="22" t="str">
        <f t="shared" si="204"/>
        <v/>
      </c>
      <c r="T292" s="22" t="str">
        <f t="shared" si="205"/>
        <v/>
      </c>
      <c r="U292" s="22" t="str">
        <f t="shared" si="206"/>
        <v/>
      </c>
      <c r="V292" s="22" t="str">
        <f t="shared" si="203"/>
        <v/>
      </c>
      <c r="W292" s="22" t="str">
        <f t="shared" si="207"/>
        <v/>
      </c>
      <c r="X292" s="22" t="str">
        <f t="shared" si="208"/>
        <v/>
      </c>
      <c r="Y292" s="22" t="str">
        <f t="shared" si="209"/>
        <v/>
      </c>
    </row>
    <row r="293" spans="1:25" x14ac:dyDescent="0.25">
      <c r="A293" t="str">
        <f t="shared" si="210"/>
        <v/>
      </c>
      <c r="B293" s="169" t="str">
        <f>IF('LC (Gross)'!A440="","",'LC (Gross)'!A440)</f>
        <v/>
      </c>
      <c r="C293" s="1" t="str">
        <f>IF(B293="","",(VLOOKUP(B293,'LC (Gross)'!A:D,4,FALSE)/100))</f>
        <v/>
      </c>
      <c r="D293" s="1" t="str">
        <f>IF(B293="","",(VLOOKUP(B293,'SC (Gross)'!A:D,4,FALSE))/100)</f>
        <v/>
      </c>
      <c r="E293" s="1" t="str">
        <f>IF(B293="","",(VLOOKUP(B293,'Global (Gross)'!A:D,4,FALSE)/100))</f>
        <v/>
      </c>
      <c r="F293" s="1" t="str">
        <f>IF(B293="","",(VLOOKUP(B293,'BOGIX (Gross)'!A:D,4,FALSE)/100))</f>
        <v/>
      </c>
      <c r="G293" s="1" t="str">
        <f>IF(B293="","",(VLOOKUP(B293,'LC (Net)'!A:D,4,FALSE)/100))</f>
        <v/>
      </c>
      <c r="H293" s="1" t="str">
        <f>IF(B293="","",(VLOOKUP(B293,'SC (Net)'!A:D,4,FALSE))/100)</f>
        <v/>
      </c>
      <c r="I293" s="1" t="str">
        <f>IF(B293="","",(VLOOKUP(B293,'Global (Net)'!A:D,4,FALSE)/100))</f>
        <v/>
      </c>
      <c r="J293" s="1" t="str">
        <f>IF(B293="","",(VLOOKUP(B293,'BOGIX (Net)'!A:D,4,FALSE)/100))</f>
        <v/>
      </c>
      <c r="K293" s="1" t="str">
        <f>IF(B293="","",VLOOKUP(Website!B293,'LC (Gross)'!W:X,2,FALSE)/100)</f>
        <v/>
      </c>
      <c r="L293" s="1" t="str">
        <f>IF(B293="","",VLOOKUP(Website!B293,'SC (Gross)'!P:Q,2,FALSE)/100)</f>
        <v/>
      </c>
      <c r="M293" s="1" t="str">
        <f>IF(B293="","",VLOOKUP(Website!B293,'Global (Gross)'!P:Q,2,FALSE)/100)</f>
        <v/>
      </c>
      <c r="S293" s="22" t="str">
        <f t="shared" si="204"/>
        <v/>
      </c>
      <c r="T293" s="22" t="str">
        <f t="shared" si="205"/>
        <v/>
      </c>
      <c r="U293" s="22" t="str">
        <f t="shared" si="206"/>
        <v/>
      </c>
      <c r="V293" s="22" t="str">
        <f t="shared" si="203"/>
        <v/>
      </c>
      <c r="W293" s="22" t="str">
        <f t="shared" si="207"/>
        <v/>
      </c>
      <c r="X293" s="22" t="str">
        <f t="shared" si="208"/>
        <v/>
      </c>
      <c r="Y293" s="22" t="str">
        <f t="shared" si="209"/>
        <v/>
      </c>
    </row>
    <row r="294" spans="1:25" x14ac:dyDescent="0.25">
      <c r="A294" t="str">
        <f t="shared" si="210"/>
        <v/>
      </c>
      <c r="B294" s="169" t="str">
        <f>IF('LC (Gross)'!A441="","",'LC (Gross)'!A441)</f>
        <v/>
      </c>
      <c r="C294" s="1" t="str">
        <f>IF(B294="","",(VLOOKUP(B294,'LC (Gross)'!A:D,4,FALSE)/100))</f>
        <v/>
      </c>
      <c r="D294" s="1" t="str">
        <f>IF(B294="","",(VLOOKUP(B294,'SC (Gross)'!A:D,4,FALSE))/100)</f>
        <v/>
      </c>
      <c r="E294" s="1" t="str">
        <f>IF(B294="","",(VLOOKUP(B294,'Global (Gross)'!A:D,4,FALSE)/100))</f>
        <v/>
      </c>
      <c r="F294" s="1" t="str">
        <f>IF(B294="","",(VLOOKUP(B294,'BOGIX (Gross)'!A:D,4,FALSE)/100))</f>
        <v/>
      </c>
      <c r="G294" s="1" t="str">
        <f>IF(B294="","",(VLOOKUP(B294,'LC (Net)'!A:D,4,FALSE)/100))</f>
        <v/>
      </c>
      <c r="H294" s="1" t="str">
        <f>IF(B294="","",(VLOOKUP(B294,'SC (Net)'!A:D,4,FALSE))/100)</f>
        <v/>
      </c>
      <c r="I294" s="1" t="str">
        <f>IF(B294="","",(VLOOKUP(B294,'Global (Net)'!A:D,4,FALSE)/100))</f>
        <v/>
      </c>
      <c r="J294" s="1" t="str">
        <f>IF(B294="","",(VLOOKUP(B294,'BOGIX (Net)'!A:D,4,FALSE)/100))</f>
        <v/>
      </c>
      <c r="K294" s="1" t="str">
        <f>IF(B294="","",VLOOKUP(Website!B294,'LC (Gross)'!W:X,2,FALSE)/100)</f>
        <v/>
      </c>
      <c r="L294" s="1" t="str">
        <f>IF(B294="","",VLOOKUP(Website!B294,'SC (Gross)'!P:Q,2,FALSE)/100)</f>
        <v/>
      </c>
      <c r="M294" s="1" t="str">
        <f>IF(B294="","",VLOOKUP(Website!B294,'Global (Gross)'!P:Q,2,FALSE)/100)</f>
        <v/>
      </c>
      <c r="S294" s="22" t="str">
        <f t="shared" si="204"/>
        <v/>
      </c>
      <c r="T294" s="22" t="str">
        <f t="shared" si="205"/>
        <v/>
      </c>
      <c r="U294" s="22" t="str">
        <f t="shared" si="206"/>
        <v/>
      </c>
      <c r="V294" s="22" t="str">
        <f t="shared" si="203"/>
        <v/>
      </c>
      <c r="W294" s="22" t="str">
        <f t="shared" si="207"/>
        <v/>
      </c>
      <c r="X294" s="22" t="str">
        <f t="shared" si="208"/>
        <v/>
      </c>
      <c r="Y294" s="22" t="str">
        <f t="shared" si="209"/>
        <v/>
      </c>
    </row>
    <row r="295" spans="1:25" x14ac:dyDescent="0.25">
      <c r="A295" t="str">
        <f t="shared" si="210"/>
        <v/>
      </c>
      <c r="B295" s="169" t="str">
        <f>IF('LC (Gross)'!A442="","",'LC (Gross)'!A442)</f>
        <v/>
      </c>
      <c r="C295" s="1" t="str">
        <f>IF(B295="","",(VLOOKUP(B295,'LC (Gross)'!A:D,4,FALSE)/100))</f>
        <v/>
      </c>
      <c r="D295" s="1" t="str">
        <f>IF(B295="","",(VLOOKUP(B295,'SC (Gross)'!A:D,4,FALSE))/100)</f>
        <v/>
      </c>
      <c r="E295" s="1" t="str">
        <f>IF(B295="","",(VLOOKUP(B295,'Global (Gross)'!A:D,4,FALSE)/100))</f>
        <v/>
      </c>
      <c r="F295" s="1" t="str">
        <f>IF(B295="","",(VLOOKUP(B295,'BOGIX (Gross)'!A:D,4,FALSE)/100))</f>
        <v/>
      </c>
      <c r="G295" s="1" t="str">
        <f>IF(B295="","",(VLOOKUP(B295,'LC (Net)'!A:D,4,FALSE)/100))</f>
        <v/>
      </c>
      <c r="H295" s="1" t="str">
        <f>IF(B295="","",(VLOOKUP(B295,'SC (Net)'!A:D,4,FALSE))/100)</f>
        <v/>
      </c>
      <c r="I295" s="1" t="str">
        <f>IF(B295="","",(VLOOKUP(B295,'Global (Net)'!A:D,4,FALSE)/100))</f>
        <v/>
      </c>
      <c r="J295" s="1" t="str">
        <f>IF(B295="","",(VLOOKUP(B295,'BOGIX (Net)'!A:D,4,FALSE)/100))</f>
        <v/>
      </c>
      <c r="K295" s="1" t="str">
        <f>IF(B295="","",VLOOKUP(Website!B295,'LC (Gross)'!W:X,2,FALSE)/100)</f>
        <v/>
      </c>
      <c r="L295" s="1" t="str">
        <f>IF(B295="","",VLOOKUP(Website!B295,'SC (Gross)'!P:Q,2,FALSE)/100)</f>
        <v/>
      </c>
      <c r="M295" s="1" t="str">
        <f>IF(B295="","",VLOOKUP(Website!B295,'Global (Gross)'!P:Q,2,FALSE)/100)</f>
        <v/>
      </c>
      <c r="S295" s="22" t="str">
        <f t="shared" si="204"/>
        <v/>
      </c>
      <c r="T295" s="22" t="str">
        <f t="shared" si="205"/>
        <v/>
      </c>
      <c r="U295" s="22" t="str">
        <f t="shared" si="206"/>
        <v/>
      </c>
      <c r="V295" s="22" t="str">
        <f t="shared" si="203"/>
        <v/>
      </c>
      <c r="W295" s="22" t="str">
        <f t="shared" si="207"/>
        <v/>
      </c>
      <c r="X295" s="22" t="str">
        <f t="shared" si="208"/>
        <v/>
      </c>
      <c r="Y295" s="22" t="str">
        <f t="shared" si="209"/>
        <v/>
      </c>
    </row>
    <row r="296" spans="1:25" x14ac:dyDescent="0.25">
      <c r="A296" t="str">
        <f t="shared" si="210"/>
        <v/>
      </c>
      <c r="B296" s="169" t="str">
        <f>IF('LC (Gross)'!A443="","",'LC (Gross)'!A443)</f>
        <v/>
      </c>
      <c r="C296" s="1" t="str">
        <f>IF(B296="","",(VLOOKUP(B296,'LC (Gross)'!A:D,4,FALSE)/100))</f>
        <v/>
      </c>
      <c r="D296" s="1" t="str">
        <f>IF(B296="","",(VLOOKUP(B296,'SC (Gross)'!A:D,4,FALSE))/100)</f>
        <v/>
      </c>
      <c r="E296" s="1" t="str">
        <f>IF(B296="","",(VLOOKUP(B296,'Global (Gross)'!A:D,4,FALSE)/100))</f>
        <v/>
      </c>
      <c r="F296" s="1" t="str">
        <f>IF(B296="","",(VLOOKUP(B296,'BOGIX (Gross)'!A:D,4,FALSE)/100))</f>
        <v/>
      </c>
      <c r="G296" s="1" t="str">
        <f>IF(B296="","",(VLOOKUP(B296,'LC (Net)'!A:D,4,FALSE)/100))</f>
        <v/>
      </c>
      <c r="H296" s="1" t="str">
        <f>IF(B296="","",(VLOOKUP(B296,'SC (Net)'!A:D,4,FALSE))/100)</f>
        <v/>
      </c>
      <c r="I296" s="1" t="str">
        <f>IF(B296="","",(VLOOKUP(B296,'Global (Net)'!A:D,4,FALSE)/100))</f>
        <v/>
      </c>
      <c r="J296" s="1" t="str">
        <f>IF(B296="","",(VLOOKUP(B296,'BOGIX (Net)'!A:D,4,FALSE)/100))</f>
        <v/>
      </c>
      <c r="K296" s="1" t="str">
        <f>IF(B296="","",VLOOKUP(Website!B296,'LC (Gross)'!W:X,2,FALSE)/100)</f>
        <v/>
      </c>
      <c r="L296" s="1" t="str">
        <f>IF(B296="","",VLOOKUP(Website!B296,'SC (Gross)'!P:Q,2,FALSE)/100)</f>
        <v/>
      </c>
      <c r="M296" s="1" t="str">
        <f>IF(B296="","",VLOOKUP(Website!B296,'Global (Gross)'!P:Q,2,FALSE)/100)</f>
        <v/>
      </c>
      <c r="S296" s="22" t="str">
        <f t="shared" si="204"/>
        <v/>
      </c>
      <c r="T296" s="22" t="str">
        <f t="shared" si="205"/>
        <v/>
      </c>
      <c r="U296" s="22" t="str">
        <f t="shared" si="206"/>
        <v/>
      </c>
      <c r="V296" s="22" t="str">
        <f t="shared" si="203"/>
        <v/>
      </c>
      <c r="W296" s="22" t="str">
        <f t="shared" si="207"/>
        <v/>
      </c>
      <c r="X296" s="22" t="str">
        <f t="shared" si="208"/>
        <v/>
      </c>
      <c r="Y296" s="22" t="str">
        <f t="shared" si="209"/>
        <v/>
      </c>
    </row>
    <row r="297" spans="1:25" x14ac:dyDescent="0.25">
      <c r="A297" t="str">
        <f t="shared" si="210"/>
        <v/>
      </c>
      <c r="B297" s="169" t="str">
        <f>IF('LC (Gross)'!A444="","",'LC (Gross)'!A444)</f>
        <v/>
      </c>
      <c r="C297" s="1" t="str">
        <f>IF(B297="","",(VLOOKUP(B297,'LC (Gross)'!A:D,4,FALSE)/100))</f>
        <v/>
      </c>
      <c r="D297" s="1" t="str">
        <f>IF(B297="","",(VLOOKUP(B297,'SC (Gross)'!A:D,4,FALSE))/100)</f>
        <v/>
      </c>
      <c r="E297" s="1" t="str">
        <f>IF(B297="","",(VLOOKUP(B297,'Global (Gross)'!A:D,4,FALSE)/100))</f>
        <v/>
      </c>
      <c r="F297" s="1" t="str">
        <f>IF(B297="","",(VLOOKUP(B297,'BOGIX (Gross)'!A:D,4,FALSE)/100))</f>
        <v/>
      </c>
      <c r="G297" s="1" t="str">
        <f>IF(B297="","",(VLOOKUP(B297,'LC (Net)'!A:D,4,FALSE)/100))</f>
        <v/>
      </c>
      <c r="H297" s="1" t="str">
        <f>IF(B297="","",(VLOOKUP(B297,'SC (Net)'!A:D,4,FALSE))/100)</f>
        <v/>
      </c>
      <c r="I297" s="1" t="str">
        <f>IF(B297="","",(VLOOKUP(B297,'Global (Net)'!A:D,4,FALSE)/100))</f>
        <v/>
      </c>
      <c r="J297" s="1" t="str">
        <f>IF(B297="","",(VLOOKUP(B297,'BOGIX (Net)'!A:D,4,FALSE)/100))</f>
        <v/>
      </c>
      <c r="K297" s="1" t="str">
        <f>IF(B297="","",VLOOKUP(Website!B297,'LC (Gross)'!W:X,2,FALSE)/100)</f>
        <v/>
      </c>
      <c r="L297" s="1" t="str">
        <f>IF(B297="","",VLOOKUP(Website!B297,'SC (Gross)'!P:Q,2,FALSE)/100)</f>
        <v/>
      </c>
      <c r="M297" s="1" t="str">
        <f>IF(B297="","",VLOOKUP(Website!B297,'Global (Gross)'!P:Q,2,FALSE)/100)</f>
        <v/>
      </c>
      <c r="S297" s="22" t="str">
        <f t="shared" si="204"/>
        <v/>
      </c>
      <c r="T297" s="22" t="str">
        <f t="shared" si="205"/>
        <v/>
      </c>
      <c r="U297" s="22" t="str">
        <f t="shared" si="206"/>
        <v/>
      </c>
      <c r="V297" s="22" t="str">
        <f t="shared" si="203"/>
        <v/>
      </c>
      <c r="W297" s="22" t="str">
        <f t="shared" si="207"/>
        <v/>
      </c>
      <c r="X297" s="22" t="str">
        <f t="shared" si="208"/>
        <v/>
      </c>
      <c r="Y297" s="22" t="str">
        <f t="shared" si="209"/>
        <v/>
      </c>
    </row>
    <row r="298" spans="1:25" x14ac:dyDescent="0.25">
      <c r="A298" t="str">
        <f t="shared" si="210"/>
        <v/>
      </c>
      <c r="B298" s="169" t="str">
        <f>IF('LC (Gross)'!A445="","",'LC (Gross)'!A445)</f>
        <v/>
      </c>
      <c r="C298" s="1" t="str">
        <f>IF(B298="","",(VLOOKUP(B298,'LC (Gross)'!A:D,4,FALSE)/100))</f>
        <v/>
      </c>
      <c r="D298" s="1" t="str">
        <f>IF(B298="","",(VLOOKUP(B298,'SC (Gross)'!A:D,4,FALSE))/100)</f>
        <v/>
      </c>
      <c r="E298" s="1" t="str">
        <f>IF(B298="","",(VLOOKUP(B298,'Global (Gross)'!A:D,4,FALSE)/100))</f>
        <v/>
      </c>
      <c r="F298" s="1" t="str">
        <f>IF(B298="","",(VLOOKUP(B298,'BOGIX (Gross)'!A:D,4,FALSE)/100))</f>
        <v/>
      </c>
      <c r="G298" s="1" t="str">
        <f>IF(B298="","",(VLOOKUP(B298,'LC (Net)'!A:D,4,FALSE)/100))</f>
        <v/>
      </c>
      <c r="H298" s="1" t="str">
        <f>IF(B298="","",(VLOOKUP(B298,'SC (Net)'!A:D,4,FALSE))/100)</f>
        <v/>
      </c>
      <c r="I298" s="1" t="str">
        <f>IF(B298="","",(VLOOKUP(B298,'Global (Net)'!A:D,4,FALSE)/100))</f>
        <v/>
      </c>
      <c r="J298" s="1" t="str">
        <f>IF(B298="","",(VLOOKUP(B298,'BOGIX (Net)'!A:D,4,FALSE)/100))</f>
        <v/>
      </c>
      <c r="K298" s="1" t="str">
        <f>IF(B298="","",VLOOKUP(Website!B298,'LC (Gross)'!W:X,2,FALSE)/100)</f>
        <v/>
      </c>
      <c r="L298" s="1" t="str">
        <f>IF(B298="","",VLOOKUP(Website!B298,'SC (Gross)'!P:Q,2,FALSE)/100)</f>
        <v/>
      </c>
      <c r="M298" s="1" t="str">
        <f>IF(B298="","",VLOOKUP(Website!B298,'Global (Gross)'!P:Q,2,FALSE)/100)</f>
        <v/>
      </c>
      <c r="S298" s="22" t="str">
        <f t="shared" si="204"/>
        <v/>
      </c>
      <c r="T298" s="22" t="str">
        <f t="shared" si="205"/>
        <v/>
      </c>
      <c r="U298" s="22" t="str">
        <f t="shared" si="206"/>
        <v/>
      </c>
      <c r="V298" s="22" t="str">
        <f t="shared" si="203"/>
        <v/>
      </c>
      <c r="W298" s="22" t="str">
        <f t="shared" si="207"/>
        <v/>
      </c>
      <c r="X298" s="22" t="str">
        <f t="shared" si="208"/>
        <v/>
      </c>
      <c r="Y298" s="22" t="str">
        <f t="shared" si="209"/>
        <v/>
      </c>
    </row>
    <row r="299" spans="1:25" x14ac:dyDescent="0.25">
      <c r="A299" t="str">
        <f t="shared" si="210"/>
        <v/>
      </c>
      <c r="B299" s="169" t="str">
        <f>IF('LC (Gross)'!A446="","",'LC (Gross)'!A446)</f>
        <v/>
      </c>
      <c r="C299" s="1" t="str">
        <f>IF(B299="","",(VLOOKUP(B299,'LC (Gross)'!A:D,4,FALSE)/100))</f>
        <v/>
      </c>
      <c r="D299" s="1" t="str">
        <f>IF(B299="","",(VLOOKUP(B299,'SC (Gross)'!A:D,4,FALSE))/100)</f>
        <v/>
      </c>
      <c r="E299" s="1" t="str">
        <f>IF(B299="","",(VLOOKUP(B299,'Global (Gross)'!A:D,4,FALSE)/100))</f>
        <v/>
      </c>
      <c r="F299" s="1" t="str">
        <f>IF(B299="","",(VLOOKUP(B299,'BOGIX (Gross)'!A:D,4,FALSE)/100))</f>
        <v/>
      </c>
      <c r="G299" s="1" t="str">
        <f>IF(B299="","",(VLOOKUP(B299,'LC (Net)'!A:D,4,FALSE)/100))</f>
        <v/>
      </c>
      <c r="H299" s="1" t="str">
        <f>IF(B299="","",(VLOOKUP(B299,'SC (Net)'!A:D,4,FALSE))/100)</f>
        <v/>
      </c>
      <c r="I299" s="1" t="str">
        <f>IF(B299="","",(VLOOKUP(B299,'Global (Net)'!A:D,4,FALSE)/100))</f>
        <v/>
      </c>
      <c r="J299" s="1" t="str">
        <f>IF(B299="","",(VLOOKUP(B299,'BOGIX (Net)'!A:D,4,FALSE)/100))</f>
        <v/>
      </c>
      <c r="K299" s="1" t="str">
        <f>IF(B299="","",VLOOKUP(Website!B299,'LC (Gross)'!W:X,2,FALSE)/100)</f>
        <v/>
      </c>
      <c r="L299" s="1" t="str">
        <f>IF(B299="","",VLOOKUP(Website!B299,'SC (Gross)'!P:Q,2,FALSE)/100)</f>
        <v/>
      </c>
      <c r="M299" s="1" t="str">
        <f>IF(B299="","",VLOOKUP(Website!B299,'Global (Gross)'!P:Q,2,FALSE)/100)</f>
        <v/>
      </c>
      <c r="S299" s="22" t="str">
        <f t="shared" si="204"/>
        <v/>
      </c>
      <c r="T299" s="22" t="str">
        <f t="shared" si="205"/>
        <v/>
      </c>
      <c r="U299" s="22" t="str">
        <f t="shared" si="206"/>
        <v/>
      </c>
      <c r="V299" s="22" t="str">
        <f t="shared" si="203"/>
        <v/>
      </c>
      <c r="W299" s="22" t="str">
        <f t="shared" si="207"/>
        <v/>
      </c>
      <c r="X299" s="22" t="str">
        <f t="shared" si="208"/>
        <v/>
      </c>
      <c r="Y299" s="22" t="str">
        <f t="shared" si="209"/>
        <v/>
      </c>
    </row>
    <row r="300" spans="1:25" x14ac:dyDescent="0.25">
      <c r="A300" t="str">
        <f t="shared" si="210"/>
        <v/>
      </c>
      <c r="B300" s="169" t="str">
        <f>IF('LC (Gross)'!A447="","",'LC (Gross)'!A447)</f>
        <v/>
      </c>
      <c r="C300" s="1" t="str">
        <f>IF(B300="","",(VLOOKUP(B300,'LC (Gross)'!A:D,4,FALSE)/100))</f>
        <v/>
      </c>
      <c r="D300" s="1" t="str">
        <f>IF(B300="","",(VLOOKUP(B300,'SC (Gross)'!A:D,4,FALSE))/100)</f>
        <v/>
      </c>
      <c r="E300" s="1" t="str">
        <f>IF(B300="","",(VLOOKUP(B300,'Global (Gross)'!A:D,4,FALSE)/100))</f>
        <v/>
      </c>
      <c r="F300" s="1" t="str">
        <f>IF(B300="","",(VLOOKUP(B300,'BOGIX (Gross)'!A:D,4,FALSE)/100))</f>
        <v/>
      </c>
      <c r="G300" s="1" t="str">
        <f>IF(B300="","",(VLOOKUP(B300,'LC (Net)'!A:D,4,FALSE)/100))</f>
        <v/>
      </c>
      <c r="H300" s="1" t="str">
        <f>IF(B300="","",(VLOOKUP(B300,'SC (Net)'!A:D,4,FALSE))/100)</f>
        <v/>
      </c>
      <c r="I300" s="1" t="str">
        <f>IF(B300="","",(VLOOKUP(B300,'Global (Net)'!A:D,4,FALSE)/100))</f>
        <v/>
      </c>
      <c r="J300" s="1" t="str">
        <f>IF(B300="","",(VLOOKUP(B300,'BOGIX (Net)'!A:D,4,FALSE)/100))</f>
        <v/>
      </c>
      <c r="K300" s="1" t="str">
        <f>IF(B300="","",VLOOKUP(Website!B300,'LC (Gross)'!W:X,2,FALSE)/100)</f>
        <v/>
      </c>
      <c r="L300" s="1" t="str">
        <f>IF(B300="","",VLOOKUP(Website!B300,'SC (Gross)'!P:Q,2,FALSE)/100)</f>
        <v/>
      </c>
      <c r="M300" s="1" t="str">
        <f>IF(B300="","",VLOOKUP(Website!B300,'Global (Gross)'!P:Q,2,FALSE)/100)</f>
        <v/>
      </c>
      <c r="S300" s="22" t="str">
        <f t="shared" si="204"/>
        <v/>
      </c>
      <c r="T300" s="22" t="str">
        <f t="shared" si="205"/>
        <v/>
      </c>
      <c r="U300" s="22" t="str">
        <f t="shared" si="206"/>
        <v/>
      </c>
      <c r="V300" s="22" t="str">
        <f t="shared" si="203"/>
        <v/>
      </c>
      <c r="W300" s="22" t="str">
        <f t="shared" si="207"/>
        <v/>
      </c>
      <c r="X300" s="22" t="str">
        <f t="shared" si="208"/>
        <v/>
      </c>
      <c r="Y300" s="22" t="str">
        <f t="shared" si="209"/>
        <v/>
      </c>
    </row>
    <row r="301" spans="1:25" x14ac:dyDescent="0.25">
      <c r="A301" t="str">
        <f t="shared" si="210"/>
        <v/>
      </c>
      <c r="B301" s="169" t="str">
        <f>IF('LC (Gross)'!A448="","",'LC (Gross)'!A448)</f>
        <v/>
      </c>
      <c r="C301" s="1" t="str">
        <f>IF(B301="","",(VLOOKUP(B301,'LC (Gross)'!A:D,4,FALSE)/100))</f>
        <v/>
      </c>
      <c r="D301" s="1" t="str">
        <f>IF(B301="","",(VLOOKUP(B301,'SC (Gross)'!A:D,4,FALSE))/100)</f>
        <v/>
      </c>
      <c r="E301" s="1" t="str">
        <f>IF(B301="","",(VLOOKUP(B301,'Global (Gross)'!A:D,4,FALSE)/100))</f>
        <v/>
      </c>
      <c r="F301" s="1" t="str">
        <f>IF(B301="","",(VLOOKUP(B301,'BOGIX (Gross)'!A:D,4,FALSE)/100))</f>
        <v/>
      </c>
      <c r="G301" s="1" t="str">
        <f>IF(B301="","",(VLOOKUP(B301,'LC (Net)'!A:D,4,FALSE)/100))</f>
        <v/>
      </c>
      <c r="H301" s="1" t="str">
        <f>IF(B301="","",(VLOOKUP(B301,'SC (Net)'!A:D,4,FALSE))/100)</f>
        <v/>
      </c>
      <c r="I301" s="1" t="str">
        <f>IF(B301="","",(VLOOKUP(B301,'Global (Net)'!A:D,4,FALSE)/100))</f>
        <v/>
      </c>
      <c r="J301" s="1" t="str">
        <f>IF(B301="","",(VLOOKUP(B301,'BOGIX (Net)'!A:D,4,FALSE)/100))</f>
        <v/>
      </c>
      <c r="K301" s="1" t="str">
        <f>IF(B301="","",VLOOKUP(Website!B301,'LC (Gross)'!W:X,2,FALSE)/100)</f>
        <v/>
      </c>
      <c r="L301" s="1" t="str">
        <f>IF(B301="","",VLOOKUP(Website!B301,'SC (Gross)'!P:Q,2,FALSE)/100)</f>
        <v/>
      </c>
      <c r="M301" s="1" t="str">
        <f>IF(B301="","",VLOOKUP(Website!B301,'Global (Gross)'!P:Q,2,FALSE)/100)</f>
        <v/>
      </c>
      <c r="S301" s="22" t="str">
        <f t="shared" si="204"/>
        <v/>
      </c>
      <c r="T301" s="22" t="str">
        <f t="shared" si="205"/>
        <v/>
      </c>
      <c r="U301" s="22" t="str">
        <f t="shared" si="206"/>
        <v/>
      </c>
      <c r="V301" s="22" t="str">
        <f t="shared" si="203"/>
        <v/>
      </c>
      <c r="W301" s="22" t="str">
        <f t="shared" si="207"/>
        <v/>
      </c>
      <c r="X301" s="22" t="str">
        <f t="shared" si="208"/>
        <v/>
      </c>
      <c r="Y301" s="22" t="str">
        <f t="shared" si="209"/>
        <v/>
      </c>
    </row>
    <row r="302" spans="1:25" x14ac:dyDescent="0.25">
      <c r="A302" t="str">
        <f t="shared" si="210"/>
        <v/>
      </c>
      <c r="B302" s="169" t="str">
        <f>IF('LC (Gross)'!A449="","",'LC (Gross)'!A449)</f>
        <v/>
      </c>
      <c r="C302" s="1" t="str">
        <f>IF(B302="","",(VLOOKUP(B302,'LC (Gross)'!A:D,4,FALSE)/100))</f>
        <v/>
      </c>
      <c r="D302" s="1" t="str">
        <f>IF(B302="","",(VLOOKUP(B302,'SC (Gross)'!A:D,4,FALSE))/100)</f>
        <v/>
      </c>
      <c r="E302" s="1" t="str">
        <f>IF(B302="","",(VLOOKUP(B302,'Global (Gross)'!A:D,4,FALSE)/100))</f>
        <v/>
      </c>
      <c r="F302" s="1" t="str">
        <f>IF(B302="","",(VLOOKUP(B302,'BOGIX (Gross)'!A:D,4,FALSE)/100))</f>
        <v/>
      </c>
      <c r="G302" s="1" t="str">
        <f>IF(B302="","",(VLOOKUP(B302,'LC (Net)'!A:D,4,FALSE)/100))</f>
        <v/>
      </c>
      <c r="H302" s="1" t="str">
        <f>IF(B302="","",(VLOOKUP(B302,'SC (Net)'!A:D,4,FALSE))/100)</f>
        <v/>
      </c>
      <c r="I302" s="1" t="str">
        <f>IF(B302="","",(VLOOKUP(B302,'Global (Net)'!A:D,4,FALSE)/100))</f>
        <v/>
      </c>
      <c r="J302" s="1" t="str">
        <f>IF(B302="","",(VLOOKUP(B302,'BOGIX (Net)'!A:D,4,FALSE)/100))</f>
        <v/>
      </c>
      <c r="K302" s="1" t="str">
        <f>IF(B302="","",VLOOKUP(Website!B302,'LC (Gross)'!W:X,2,FALSE)/100)</f>
        <v/>
      </c>
      <c r="L302" s="1" t="str">
        <f>IF(B302="","",VLOOKUP(Website!B302,'SC (Gross)'!P:Q,2,FALSE)/100)</f>
        <v/>
      </c>
      <c r="M302" s="1" t="str">
        <f>IF(B302="","",VLOOKUP(Website!B302,'Global (Gross)'!P:Q,2,FALSE)/100)</f>
        <v/>
      </c>
      <c r="S302" s="22" t="str">
        <f t="shared" si="204"/>
        <v/>
      </c>
      <c r="T302" s="22" t="str">
        <f t="shared" si="205"/>
        <v/>
      </c>
      <c r="U302" s="22" t="str">
        <f t="shared" si="206"/>
        <v/>
      </c>
      <c r="V302" s="22" t="str">
        <f t="shared" si="203"/>
        <v/>
      </c>
      <c r="W302" s="22" t="str">
        <f t="shared" si="207"/>
        <v/>
      </c>
      <c r="X302" s="22" t="str">
        <f t="shared" si="208"/>
        <v/>
      </c>
      <c r="Y302" s="22" t="str">
        <f t="shared" si="209"/>
        <v/>
      </c>
    </row>
    <row r="303" spans="1:25" x14ac:dyDescent="0.25">
      <c r="A303" t="str">
        <f t="shared" si="210"/>
        <v/>
      </c>
      <c r="B303" s="169" t="str">
        <f>IF('LC (Gross)'!A450="","",'LC (Gross)'!A450)</f>
        <v/>
      </c>
      <c r="C303" s="1" t="str">
        <f>IF(B303="","",(VLOOKUP(B303,'LC (Gross)'!A:D,4,FALSE)/100))</f>
        <v/>
      </c>
      <c r="D303" s="1" t="str">
        <f>IF(B303="","",(VLOOKUP(B303,'SC (Gross)'!A:D,4,FALSE))/100)</f>
        <v/>
      </c>
      <c r="E303" s="1" t="str">
        <f>IF(B303="","",(VLOOKUP(B303,'Global (Gross)'!A:D,4,FALSE)/100))</f>
        <v/>
      </c>
      <c r="F303" s="1" t="str">
        <f>IF(B303="","",(VLOOKUP(B303,'BOGIX (Gross)'!A:D,4,FALSE)/100))</f>
        <v/>
      </c>
      <c r="G303" s="1" t="str">
        <f>IF(B303="","",(VLOOKUP(B303,'LC (Net)'!A:D,4,FALSE)/100))</f>
        <v/>
      </c>
      <c r="H303" s="1" t="str">
        <f>IF(B303="","",(VLOOKUP(B303,'SC (Net)'!A:D,4,FALSE))/100)</f>
        <v/>
      </c>
      <c r="I303" s="1" t="str">
        <f>IF(B303="","",(VLOOKUP(B303,'Global (Net)'!A:D,4,FALSE)/100))</f>
        <v/>
      </c>
      <c r="J303" s="1" t="str">
        <f>IF(B303="","",(VLOOKUP(B303,'BOGIX (Net)'!A:D,4,FALSE)/100))</f>
        <v/>
      </c>
      <c r="K303" s="1" t="str">
        <f>IF(B303="","",VLOOKUP(Website!B303,'LC (Gross)'!W:X,2,FALSE)/100)</f>
        <v/>
      </c>
      <c r="L303" s="1" t="str">
        <f>IF(B303="","",VLOOKUP(Website!B303,'SC (Gross)'!P:Q,2,FALSE)/100)</f>
        <v/>
      </c>
      <c r="M303" s="1" t="str">
        <f>IF(B303="","",VLOOKUP(Website!B303,'Global (Gross)'!P:Q,2,FALSE)/100)</f>
        <v/>
      </c>
      <c r="S303" s="22" t="str">
        <f t="shared" si="204"/>
        <v/>
      </c>
      <c r="T303" s="22" t="str">
        <f t="shared" si="205"/>
        <v/>
      </c>
      <c r="U303" s="22" t="str">
        <f t="shared" si="206"/>
        <v/>
      </c>
      <c r="V303" s="22" t="str">
        <f t="shared" si="203"/>
        <v/>
      </c>
      <c r="W303" s="22" t="str">
        <f t="shared" si="207"/>
        <v/>
      </c>
      <c r="X303" s="22" t="str">
        <f t="shared" si="208"/>
        <v/>
      </c>
      <c r="Y303" s="22" t="str">
        <f t="shared" si="209"/>
        <v/>
      </c>
    </row>
    <row r="304" spans="1:25" x14ac:dyDescent="0.25">
      <c r="A304" t="str">
        <f t="shared" si="210"/>
        <v/>
      </c>
      <c r="B304" s="169" t="str">
        <f>IF('LC (Gross)'!A451="","",'LC (Gross)'!A451)</f>
        <v/>
      </c>
      <c r="C304" s="1" t="str">
        <f>IF(B304="","",(VLOOKUP(B304,'LC (Gross)'!A:D,4,FALSE)/100))</f>
        <v/>
      </c>
      <c r="D304" s="1" t="str">
        <f>IF(B304="","",(VLOOKUP(B304,'SC (Gross)'!A:D,4,FALSE))/100)</f>
        <v/>
      </c>
      <c r="E304" s="1" t="str">
        <f>IF(B304="","",(VLOOKUP(B304,'Global (Gross)'!A:D,4,FALSE)/100))</f>
        <v/>
      </c>
      <c r="F304" s="1" t="str">
        <f>IF(B304="","",(VLOOKUP(B304,'BOGIX (Gross)'!A:D,4,FALSE)/100))</f>
        <v/>
      </c>
      <c r="G304" s="1" t="str">
        <f>IF(B304="","",(VLOOKUP(B304,'LC (Net)'!A:D,4,FALSE)/100))</f>
        <v/>
      </c>
      <c r="H304" s="1" t="str">
        <f>IF(B304="","",(VLOOKUP(B304,'SC (Net)'!A:D,4,FALSE))/100)</f>
        <v/>
      </c>
      <c r="I304" s="1" t="str">
        <f>IF(B304="","",(VLOOKUP(B304,'Global (Net)'!A:D,4,FALSE)/100))</f>
        <v/>
      </c>
      <c r="J304" s="1" t="str">
        <f>IF(B304="","",(VLOOKUP(B304,'BOGIX (Net)'!A:D,4,FALSE)/100))</f>
        <v/>
      </c>
      <c r="K304" s="1" t="str">
        <f>IF(B304="","",VLOOKUP(Website!B304,'LC (Gross)'!W:X,2,FALSE)/100)</f>
        <v/>
      </c>
      <c r="L304" s="1" t="str">
        <f>IF(B304="","",VLOOKUP(Website!B304,'SC (Gross)'!P:Q,2,FALSE)/100)</f>
        <v/>
      </c>
      <c r="M304" s="1" t="str">
        <f>IF(B304="","",VLOOKUP(Website!B304,'Global (Gross)'!P:Q,2,FALSE)/100)</f>
        <v/>
      </c>
      <c r="S304" s="22" t="str">
        <f t="shared" si="204"/>
        <v/>
      </c>
      <c r="T304" s="22" t="str">
        <f t="shared" si="205"/>
        <v/>
      </c>
      <c r="U304" s="22" t="str">
        <f t="shared" si="206"/>
        <v/>
      </c>
      <c r="V304" s="22" t="str">
        <f t="shared" si="203"/>
        <v/>
      </c>
      <c r="W304" s="22" t="str">
        <f t="shared" si="207"/>
        <v/>
      </c>
      <c r="X304" s="22" t="str">
        <f t="shared" si="208"/>
        <v/>
      </c>
      <c r="Y304" s="22" t="str">
        <f t="shared" si="209"/>
        <v/>
      </c>
    </row>
    <row r="305" spans="1:25" x14ac:dyDescent="0.25">
      <c r="A305" t="str">
        <f t="shared" si="210"/>
        <v/>
      </c>
      <c r="B305" s="169" t="str">
        <f>IF('LC (Gross)'!A452="","",'LC (Gross)'!A452)</f>
        <v/>
      </c>
      <c r="C305" s="1" t="str">
        <f>IF(B305="","",(VLOOKUP(B305,'LC (Gross)'!A:D,4,FALSE)/100))</f>
        <v/>
      </c>
      <c r="D305" s="1" t="str">
        <f>IF(B305="","",(VLOOKUP(B305,'SC (Gross)'!A:D,4,FALSE))/100)</f>
        <v/>
      </c>
      <c r="E305" s="1" t="str">
        <f>IF(B305="","",(VLOOKUP(B305,'Global (Gross)'!A:D,4,FALSE)/100))</f>
        <v/>
      </c>
      <c r="F305" s="1" t="str">
        <f>IF(B305="","",(VLOOKUP(B305,'BOGIX (Gross)'!A:D,4,FALSE)/100))</f>
        <v/>
      </c>
      <c r="G305" s="1" t="str">
        <f>IF(B305="","",(VLOOKUP(B305,'LC (Net)'!A:D,4,FALSE)/100))</f>
        <v/>
      </c>
      <c r="H305" s="1" t="str">
        <f>IF(B305="","",(VLOOKUP(B305,'SC (Net)'!A:D,4,FALSE))/100)</f>
        <v/>
      </c>
      <c r="I305" s="1" t="str">
        <f>IF(B305="","",(VLOOKUP(B305,'Global (Net)'!A:D,4,FALSE)/100))</f>
        <v/>
      </c>
      <c r="J305" s="1" t="str">
        <f>IF(B305="","",(VLOOKUP(B305,'BOGIX (Net)'!A:D,4,FALSE)/100))</f>
        <v/>
      </c>
      <c r="K305" s="1" t="str">
        <f>IF(B305="","",VLOOKUP(Website!B305,'LC (Gross)'!W:X,2,FALSE)/100)</f>
        <v/>
      </c>
      <c r="L305" s="1" t="str">
        <f>IF(B305="","",VLOOKUP(Website!B305,'SC (Gross)'!P:Q,2,FALSE)/100)</f>
        <v/>
      </c>
      <c r="M305" s="1" t="str">
        <f>IF(B305="","",VLOOKUP(Website!B305,'Global (Gross)'!P:Q,2,FALSE)/100)</f>
        <v/>
      </c>
      <c r="S305" s="22" t="str">
        <f t="shared" si="204"/>
        <v/>
      </c>
      <c r="T305" s="22" t="str">
        <f t="shared" si="205"/>
        <v/>
      </c>
      <c r="U305" s="22" t="str">
        <f t="shared" si="206"/>
        <v/>
      </c>
      <c r="V305" s="22" t="str">
        <f t="shared" si="203"/>
        <v/>
      </c>
      <c r="W305" s="22" t="str">
        <f t="shared" si="207"/>
        <v/>
      </c>
      <c r="X305" s="22" t="str">
        <f t="shared" si="208"/>
        <v/>
      </c>
      <c r="Y305" s="22" t="str">
        <f t="shared" si="209"/>
        <v/>
      </c>
    </row>
    <row r="306" spans="1:25" x14ac:dyDescent="0.25">
      <c r="A306" t="str">
        <f t="shared" si="210"/>
        <v/>
      </c>
      <c r="B306" s="169" t="str">
        <f>IF('LC (Gross)'!A453="","",'LC (Gross)'!A453)</f>
        <v/>
      </c>
      <c r="C306" s="1" t="str">
        <f>IF(B306="","",(VLOOKUP(B306,'LC (Gross)'!A:D,4,FALSE)/100))</f>
        <v/>
      </c>
      <c r="D306" s="1" t="str">
        <f>IF(B306="","",(VLOOKUP(B306,'SC (Gross)'!A:D,4,FALSE))/100)</f>
        <v/>
      </c>
      <c r="E306" s="1" t="str">
        <f>IF(B306="","",(VLOOKUP(B306,'Global (Gross)'!A:D,4,FALSE)/100))</f>
        <v/>
      </c>
      <c r="F306" s="1" t="str">
        <f>IF(B306="","",(VLOOKUP(B306,'BOGIX (Gross)'!A:D,4,FALSE)/100))</f>
        <v/>
      </c>
      <c r="G306" s="1" t="str">
        <f>IF(B306="","",(VLOOKUP(B306,'LC (Net)'!A:D,4,FALSE)/100))</f>
        <v/>
      </c>
      <c r="H306" s="1" t="str">
        <f>IF(B306="","",(VLOOKUP(B306,'SC (Net)'!A:D,4,FALSE))/100)</f>
        <v/>
      </c>
      <c r="I306" s="1" t="str">
        <f>IF(B306="","",(VLOOKUP(B306,'Global (Net)'!A:D,4,FALSE)/100))</f>
        <v/>
      </c>
      <c r="J306" s="1" t="str">
        <f>IF(B306="","",(VLOOKUP(B306,'BOGIX (Net)'!A:D,4,FALSE)/100))</f>
        <v/>
      </c>
      <c r="K306" s="1" t="str">
        <f>IF(B306="","",VLOOKUP(Website!B306,'LC (Gross)'!W:X,2,FALSE)/100)</f>
        <v/>
      </c>
      <c r="L306" s="1" t="str">
        <f>IF(B306="","",VLOOKUP(Website!B306,'SC (Gross)'!P:Q,2,FALSE)/100)</f>
        <v/>
      </c>
      <c r="M306" s="1" t="str">
        <f>IF(B306="","",VLOOKUP(Website!B306,'Global (Gross)'!P:Q,2,FALSE)/100)</f>
        <v/>
      </c>
      <c r="S306" s="22" t="str">
        <f t="shared" si="204"/>
        <v/>
      </c>
      <c r="T306" s="22" t="str">
        <f t="shared" si="205"/>
        <v/>
      </c>
      <c r="U306" s="22" t="str">
        <f t="shared" si="206"/>
        <v/>
      </c>
      <c r="V306" s="22" t="str">
        <f t="shared" si="203"/>
        <v/>
      </c>
      <c r="W306" s="22" t="str">
        <f t="shared" si="207"/>
        <v/>
      </c>
      <c r="X306" s="22" t="str">
        <f t="shared" si="208"/>
        <v/>
      </c>
      <c r="Y306" s="22" t="str">
        <f t="shared" si="209"/>
        <v/>
      </c>
    </row>
    <row r="307" spans="1:25" x14ac:dyDescent="0.25">
      <c r="A307" t="str">
        <f t="shared" si="210"/>
        <v/>
      </c>
      <c r="B307" s="169" t="str">
        <f>IF('LC (Gross)'!A454="","",'LC (Gross)'!A454)</f>
        <v/>
      </c>
      <c r="C307" s="1" t="str">
        <f>IF(B307="","",(VLOOKUP(B307,'LC (Gross)'!A:D,4,FALSE)/100))</f>
        <v/>
      </c>
      <c r="D307" s="1" t="str">
        <f>IF(B307="","",(VLOOKUP(B307,'SC (Gross)'!A:D,4,FALSE))/100)</f>
        <v/>
      </c>
      <c r="E307" s="1" t="str">
        <f>IF(B307="","",(VLOOKUP(B307,'Global (Gross)'!A:D,4,FALSE)/100))</f>
        <v/>
      </c>
      <c r="F307" s="1" t="str">
        <f>IF(B307="","",(VLOOKUP(B307,'BOGIX (Gross)'!A:D,4,FALSE)/100))</f>
        <v/>
      </c>
      <c r="G307" s="1" t="str">
        <f>IF(B307="","",(VLOOKUP(B307,'LC (Net)'!A:D,4,FALSE)/100))</f>
        <v/>
      </c>
      <c r="H307" s="1" t="str">
        <f>IF(B307="","",(VLOOKUP(B307,'SC (Net)'!A:D,4,FALSE))/100)</f>
        <v/>
      </c>
      <c r="I307" s="1" t="str">
        <f>IF(B307="","",(VLOOKUP(B307,'Global (Net)'!A:D,4,FALSE)/100))</f>
        <v/>
      </c>
      <c r="J307" s="1" t="str">
        <f>IF(B307="","",(VLOOKUP(B307,'BOGIX (Net)'!A:D,4,FALSE)/100))</f>
        <v/>
      </c>
      <c r="K307" s="1" t="str">
        <f>IF(B307="","",VLOOKUP(Website!B307,'LC (Gross)'!W:X,2,FALSE)/100)</f>
        <v/>
      </c>
      <c r="L307" s="1" t="str">
        <f>IF(B307="","",VLOOKUP(Website!B307,'SC (Gross)'!P:Q,2,FALSE)/100)</f>
        <v/>
      </c>
      <c r="M307" s="1" t="str">
        <f>IF(B307="","",VLOOKUP(Website!B307,'Global (Gross)'!P:Q,2,FALSE)/100)</f>
        <v/>
      </c>
      <c r="S307" s="22" t="str">
        <f t="shared" si="204"/>
        <v/>
      </c>
      <c r="T307" s="22" t="str">
        <f t="shared" si="205"/>
        <v/>
      </c>
      <c r="U307" s="22" t="str">
        <f t="shared" si="206"/>
        <v/>
      </c>
      <c r="V307" s="22" t="str">
        <f t="shared" si="203"/>
        <v/>
      </c>
      <c r="W307" s="22" t="str">
        <f t="shared" si="207"/>
        <v/>
      </c>
      <c r="X307" s="22" t="str">
        <f t="shared" si="208"/>
        <v/>
      </c>
      <c r="Y307" s="22" t="str">
        <f t="shared" si="209"/>
        <v/>
      </c>
    </row>
    <row r="308" spans="1:25" x14ac:dyDescent="0.25">
      <c r="A308" t="str">
        <f t="shared" si="210"/>
        <v/>
      </c>
      <c r="B308" s="169" t="str">
        <f>IF('LC (Gross)'!A455="","",'LC (Gross)'!A455)</f>
        <v/>
      </c>
      <c r="C308" s="1" t="str">
        <f>IF(B308="","",(VLOOKUP(B308,'LC (Gross)'!A:D,4,FALSE)/100))</f>
        <v/>
      </c>
      <c r="D308" s="1" t="str">
        <f>IF(B308="","",(VLOOKUP(B308,'SC (Gross)'!A:D,4,FALSE))/100)</f>
        <v/>
      </c>
      <c r="E308" s="1" t="str">
        <f>IF(B308="","",(VLOOKUP(B308,'Global (Gross)'!A:D,4,FALSE)/100))</f>
        <v/>
      </c>
      <c r="F308" s="1" t="str">
        <f>IF(B308="","",(VLOOKUP(B308,'BOGIX (Gross)'!A:D,4,FALSE)/100))</f>
        <v/>
      </c>
      <c r="G308" s="1" t="str">
        <f>IF(B308="","",(VLOOKUP(B308,'LC (Net)'!A:D,4,FALSE)/100))</f>
        <v/>
      </c>
      <c r="H308" s="1" t="str">
        <f>IF(B308="","",(VLOOKUP(B308,'SC (Net)'!A:D,4,FALSE))/100)</f>
        <v/>
      </c>
      <c r="I308" s="1" t="str">
        <f>IF(B308="","",(VLOOKUP(B308,'Global (Net)'!A:D,4,FALSE)/100))</f>
        <v/>
      </c>
      <c r="J308" s="1" t="str">
        <f>IF(B308="","",(VLOOKUP(B308,'BOGIX (Net)'!A:D,4,FALSE)/100))</f>
        <v/>
      </c>
      <c r="K308" s="1" t="str">
        <f>IF(B308="","",VLOOKUP(Website!B308,'LC (Gross)'!W:X,2,FALSE)/100)</f>
        <v/>
      </c>
      <c r="L308" s="1" t="str">
        <f>IF(B308="","",VLOOKUP(Website!B308,'SC (Gross)'!P:Q,2,FALSE)/100)</f>
        <v/>
      </c>
      <c r="M308" s="1" t="str">
        <f>IF(B308="","",VLOOKUP(Website!B308,'Global (Gross)'!P:Q,2,FALSE)/100)</f>
        <v/>
      </c>
      <c r="S308" s="22" t="str">
        <f t="shared" si="204"/>
        <v/>
      </c>
      <c r="T308" s="22" t="str">
        <f t="shared" si="205"/>
        <v/>
      </c>
      <c r="U308" s="22" t="str">
        <f t="shared" si="206"/>
        <v/>
      </c>
      <c r="V308" s="22" t="str">
        <f t="shared" si="203"/>
        <v/>
      </c>
      <c r="W308" s="22" t="str">
        <f t="shared" si="207"/>
        <v/>
      </c>
      <c r="X308" s="22" t="str">
        <f t="shared" si="208"/>
        <v/>
      </c>
      <c r="Y308" s="22" t="str">
        <f t="shared" si="209"/>
        <v/>
      </c>
    </row>
    <row r="309" spans="1:25" x14ac:dyDescent="0.25">
      <c r="A309" t="str">
        <f t="shared" si="210"/>
        <v/>
      </c>
      <c r="B309" s="169" t="str">
        <f>IF('LC (Gross)'!A456="","",'LC (Gross)'!A456)</f>
        <v/>
      </c>
      <c r="C309" s="1" t="str">
        <f>IF(B309="","",(VLOOKUP(B309,'LC (Gross)'!A:D,4,FALSE)/100))</f>
        <v/>
      </c>
      <c r="D309" s="1" t="str">
        <f>IF(B309="","",(VLOOKUP(B309,'SC (Gross)'!A:D,4,FALSE))/100)</f>
        <v/>
      </c>
      <c r="E309" s="1" t="str">
        <f>IF(B309="","",(VLOOKUP(B309,'Global (Gross)'!A:D,4,FALSE)/100))</f>
        <v/>
      </c>
      <c r="F309" s="1" t="str">
        <f>IF(B309="","",(VLOOKUP(B309,'BOGIX (Gross)'!A:D,4,FALSE)/100))</f>
        <v/>
      </c>
      <c r="G309" s="1" t="str">
        <f>IF(B309="","",(VLOOKUP(B309,'LC (Net)'!A:D,4,FALSE)/100))</f>
        <v/>
      </c>
      <c r="H309" s="1" t="str">
        <f>IF(B309="","",(VLOOKUP(B309,'SC (Net)'!A:D,4,FALSE))/100)</f>
        <v/>
      </c>
      <c r="I309" s="1" t="str">
        <f>IF(B309="","",(VLOOKUP(B309,'Global (Net)'!A:D,4,FALSE)/100))</f>
        <v/>
      </c>
      <c r="J309" s="1" t="str">
        <f>IF(B309="","",(VLOOKUP(B309,'BOGIX (Net)'!A:D,4,FALSE)/100))</f>
        <v/>
      </c>
      <c r="K309" s="1" t="str">
        <f>IF(B309="","",VLOOKUP(Website!B309,'LC (Gross)'!W:X,2,FALSE)/100)</f>
        <v/>
      </c>
      <c r="L309" s="1" t="str">
        <f>IF(B309="","",VLOOKUP(Website!B309,'SC (Gross)'!P:Q,2,FALSE)/100)</f>
        <v/>
      </c>
      <c r="M309" s="1" t="str">
        <f>IF(B309="","",VLOOKUP(Website!B309,'Global (Gross)'!P:Q,2,FALSE)/100)</f>
        <v/>
      </c>
      <c r="S309" s="22" t="str">
        <f t="shared" si="204"/>
        <v/>
      </c>
      <c r="T309" s="22" t="str">
        <f t="shared" si="205"/>
        <v/>
      </c>
      <c r="U309" s="22" t="str">
        <f t="shared" si="206"/>
        <v/>
      </c>
      <c r="V309" s="22" t="str">
        <f t="shared" si="203"/>
        <v/>
      </c>
      <c r="W309" s="22" t="str">
        <f t="shared" si="207"/>
        <v/>
      </c>
      <c r="X309" s="22" t="str">
        <f t="shared" si="208"/>
        <v/>
      </c>
      <c r="Y309" s="22" t="str">
        <f t="shared" si="209"/>
        <v/>
      </c>
    </row>
    <row r="310" spans="1:25" x14ac:dyDescent="0.25">
      <c r="A310" t="str">
        <f t="shared" si="210"/>
        <v/>
      </c>
      <c r="B310" s="169" t="str">
        <f>IF('LC (Gross)'!A457="","",'LC (Gross)'!A457)</f>
        <v/>
      </c>
      <c r="C310" s="1" t="str">
        <f>IF(B310="","",(VLOOKUP(B310,'LC (Gross)'!A:D,4,FALSE)/100))</f>
        <v/>
      </c>
      <c r="D310" s="1" t="str">
        <f>IF(B310="","",(VLOOKUP(B310,'SC (Gross)'!A:D,4,FALSE))/100)</f>
        <v/>
      </c>
      <c r="E310" s="1" t="str">
        <f>IF(B310="","",(VLOOKUP(B310,'Global (Gross)'!A:D,4,FALSE)/100))</f>
        <v/>
      </c>
      <c r="F310" s="1" t="str">
        <f>IF(B310="","",(VLOOKUP(B310,'BOGIX (Gross)'!A:D,4,FALSE)/100))</f>
        <v/>
      </c>
      <c r="G310" s="1" t="str">
        <f>IF(B310="","",(VLOOKUP(B310,'LC (Net)'!A:D,4,FALSE)/100))</f>
        <v/>
      </c>
      <c r="H310" s="1" t="str">
        <f>IF(B310="","",(VLOOKUP(B310,'SC (Net)'!A:D,4,FALSE))/100)</f>
        <v/>
      </c>
      <c r="I310" s="1" t="str">
        <f>IF(B310="","",(VLOOKUP(B310,'Global (Net)'!A:D,4,FALSE)/100))</f>
        <v/>
      </c>
      <c r="J310" s="1" t="str">
        <f>IF(B310="","",(VLOOKUP(B310,'BOGIX (Net)'!A:D,4,FALSE)/100))</f>
        <v/>
      </c>
      <c r="K310" s="1" t="str">
        <f>IF(B310="","",VLOOKUP(Website!B310,'LC (Gross)'!W:X,2,FALSE)/100)</f>
        <v/>
      </c>
      <c r="L310" s="1" t="str">
        <f>IF(B310="","",VLOOKUP(Website!B310,'SC (Gross)'!P:Q,2,FALSE)/100)</f>
        <v/>
      </c>
      <c r="M310" s="1" t="str">
        <f>IF(B310="","",VLOOKUP(Website!B310,'Global (Gross)'!P:Q,2,FALSE)/100)</f>
        <v/>
      </c>
      <c r="S310" s="22" t="str">
        <f t="shared" si="204"/>
        <v/>
      </c>
      <c r="T310" s="22" t="str">
        <f t="shared" si="205"/>
        <v/>
      </c>
      <c r="U310" s="22" t="str">
        <f t="shared" si="206"/>
        <v/>
      </c>
      <c r="V310" s="22" t="str">
        <f t="shared" si="203"/>
        <v/>
      </c>
      <c r="W310" s="22" t="str">
        <f t="shared" si="207"/>
        <v/>
      </c>
      <c r="X310" s="22" t="str">
        <f t="shared" si="208"/>
        <v/>
      </c>
      <c r="Y310" s="22" t="str">
        <f t="shared" si="209"/>
        <v/>
      </c>
    </row>
    <row r="311" spans="1:25" x14ac:dyDescent="0.25">
      <c r="A311" t="str">
        <f t="shared" si="210"/>
        <v/>
      </c>
      <c r="B311" s="169" t="str">
        <f>IF('LC (Gross)'!A458="","",'LC (Gross)'!A458)</f>
        <v/>
      </c>
      <c r="C311" s="1" t="str">
        <f>IF(B311="","",(VLOOKUP(B311,'LC (Gross)'!A:D,4,FALSE)/100))</f>
        <v/>
      </c>
      <c r="D311" s="1" t="str">
        <f>IF(B311="","",(VLOOKUP(B311,'SC (Gross)'!A:D,4,FALSE))/100)</f>
        <v/>
      </c>
      <c r="E311" s="1" t="str">
        <f>IF(B311="","",(VLOOKUP(B311,'Global (Gross)'!A:D,4,FALSE)/100))</f>
        <v/>
      </c>
      <c r="F311" s="1" t="str">
        <f>IF(B311="","",(VLOOKUP(B311,'BOGIX (Gross)'!A:D,4,FALSE)/100))</f>
        <v/>
      </c>
      <c r="G311" s="1" t="str">
        <f>IF(B311="","",(VLOOKUP(B311,'LC (Net)'!A:D,4,FALSE)/100))</f>
        <v/>
      </c>
      <c r="H311" s="1" t="str">
        <f>IF(B311="","",(VLOOKUP(B311,'SC (Net)'!A:D,4,FALSE))/100)</f>
        <v/>
      </c>
      <c r="I311" s="1" t="str">
        <f>IF(B311="","",(VLOOKUP(B311,'Global (Net)'!A:D,4,FALSE)/100))</f>
        <v/>
      </c>
      <c r="J311" s="1" t="str">
        <f>IF(B311="","",(VLOOKUP(B311,'BOGIX (Net)'!A:D,4,FALSE)/100))</f>
        <v/>
      </c>
      <c r="K311" s="1" t="str">
        <f>IF(B311="","",VLOOKUP(Website!B311,'LC (Gross)'!W:X,2,FALSE)/100)</f>
        <v/>
      </c>
      <c r="L311" s="1" t="str">
        <f>IF(B311="","",VLOOKUP(Website!B311,'SC (Gross)'!P:Q,2,FALSE)/100)</f>
        <v/>
      </c>
      <c r="M311" s="1" t="str">
        <f>IF(B311="","",VLOOKUP(Website!B311,'Global (Gross)'!P:Q,2,FALSE)/100)</f>
        <v/>
      </c>
      <c r="S311" s="22" t="str">
        <f t="shared" si="204"/>
        <v/>
      </c>
      <c r="T311" s="22" t="str">
        <f t="shared" si="205"/>
        <v/>
      </c>
      <c r="U311" s="22" t="str">
        <f t="shared" si="206"/>
        <v/>
      </c>
      <c r="V311" s="22" t="str">
        <f t="shared" si="203"/>
        <v/>
      </c>
      <c r="W311" s="22" t="str">
        <f t="shared" si="207"/>
        <v/>
      </c>
      <c r="X311" s="22" t="str">
        <f t="shared" si="208"/>
        <v/>
      </c>
      <c r="Y311" s="22" t="str">
        <f t="shared" si="209"/>
        <v/>
      </c>
    </row>
    <row r="312" spans="1:25" x14ac:dyDescent="0.25">
      <c r="A312" t="str">
        <f t="shared" si="210"/>
        <v/>
      </c>
      <c r="B312" s="169" t="str">
        <f>IF('LC (Gross)'!A459="","",'LC (Gross)'!A459)</f>
        <v/>
      </c>
      <c r="C312" s="1" t="str">
        <f>IF(B312="","",(VLOOKUP(B312,'LC (Gross)'!A:D,4,FALSE)/100))</f>
        <v/>
      </c>
      <c r="D312" s="1" t="str">
        <f>IF(B312="","",(VLOOKUP(B312,'SC (Gross)'!A:D,4,FALSE))/100)</f>
        <v/>
      </c>
      <c r="E312" s="1" t="str">
        <f>IF(B312="","",(VLOOKUP(B312,'Global (Gross)'!A:D,4,FALSE)/100))</f>
        <v/>
      </c>
      <c r="F312" s="1" t="str">
        <f>IF(B312="","",(VLOOKUP(B312,'BOGIX (Gross)'!A:D,4,FALSE)/100))</f>
        <v/>
      </c>
      <c r="G312" s="1" t="str">
        <f>IF(B312="","",(VLOOKUP(B312,'LC (Net)'!A:D,4,FALSE)/100))</f>
        <v/>
      </c>
      <c r="H312" s="1" t="str">
        <f>IF(B312="","",(VLOOKUP(B312,'SC (Net)'!A:D,4,FALSE))/100)</f>
        <v/>
      </c>
      <c r="I312" s="1" t="str">
        <f>IF(B312="","",(VLOOKUP(B312,'Global (Net)'!A:D,4,FALSE)/100))</f>
        <v/>
      </c>
      <c r="J312" s="1" t="str">
        <f>IF(B312="","",(VLOOKUP(B312,'BOGIX (Net)'!A:D,4,FALSE)/100))</f>
        <v/>
      </c>
      <c r="K312" s="1" t="str">
        <f>IF(B312="","",VLOOKUP(Website!B312,'LC (Gross)'!W:X,2,FALSE)/100)</f>
        <v/>
      </c>
      <c r="L312" s="1" t="str">
        <f>IF(B312="","",VLOOKUP(Website!B312,'SC (Gross)'!P:Q,2,FALSE)/100)</f>
        <v/>
      </c>
      <c r="M312" s="1" t="str">
        <f>IF(B312="","",VLOOKUP(Website!B312,'Global (Gross)'!P:Q,2,FALSE)/100)</f>
        <v/>
      </c>
      <c r="S312" s="22" t="str">
        <f t="shared" si="204"/>
        <v/>
      </c>
      <c r="T312" s="22" t="str">
        <f t="shared" si="205"/>
        <v/>
      </c>
      <c r="U312" s="22" t="str">
        <f t="shared" si="206"/>
        <v/>
      </c>
      <c r="V312" s="22" t="str">
        <f t="shared" si="203"/>
        <v/>
      </c>
      <c r="W312" s="22" t="str">
        <f t="shared" si="207"/>
        <v/>
      </c>
      <c r="X312" s="22" t="str">
        <f t="shared" si="208"/>
        <v/>
      </c>
      <c r="Y312" s="22" t="str">
        <f t="shared" si="209"/>
        <v/>
      </c>
    </row>
    <row r="313" spans="1:25" x14ac:dyDescent="0.25">
      <c r="A313" t="str">
        <f t="shared" si="210"/>
        <v/>
      </c>
      <c r="B313" s="169" t="str">
        <f>IF('LC (Gross)'!A460="","",'LC (Gross)'!A460)</f>
        <v/>
      </c>
      <c r="C313" s="1" t="str">
        <f>IF(B313="","",(VLOOKUP(B313,'LC (Gross)'!A:D,4,FALSE)/100))</f>
        <v/>
      </c>
      <c r="D313" s="1" t="str">
        <f>IF(B313="","",(VLOOKUP(B313,'SC (Gross)'!A:D,4,FALSE))/100)</f>
        <v/>
      </c>
      <c r="E313" s="1" t="str">
        <f>IF(B313="","",(VLOOKUP(B313,'Global (Gross)'!A:D,4,FALSE)/100))</f>
        <v/>
      </c>
      <c r="F313" s="1" t="str">
        <f>IF(B313="","",(VLOOKUP(B313,'BOGIX (Gross)'!A:D,4,FALSE)/100))</f>
        <v/>
      </c>
      <c r="G313" s="1" t="str">
        <f>IF(B313="","",(VLOOKUP(B313,'LC (Net)'!A:D,4,FALSE)/100))</f>
        <v/>
      </c>
      <c r="H313" s="1" t="str">
        <f>IF(B313="","",(VLOOKUP(B313,'SC (Net)'!A:D,4,FALSE))/100)</f>
        <v/>
      </c>
      <c r="I313" s="1" t="str">
        <f>IF(B313="","",(VLOOKUP(B313,'Global (Net)'!A:D,4,FALSE)/100))</f>
        <v/>
      </c>
      <c r="J313" s="1" t="str">
        <f>IF(B313="","",(VLOOKUP(B313,'BOGIX (Net)'!A:D,4,FALSE)/100))</f>
        <v/>
      </c>
      <c r="K313" s="1" t="str">
        <f>IF(B313="","",VLOOKUP(Website!B313,'LC (Gross)'!W:X,2,FALSE)/100)</f>
        <v/>
      </c>
      <c r="L313" s="1" t="str">
        <f>IF(B313="","",VLOOKUP(Website!B313,'SC (Gross)'!P:Q,2,FALSE)/100)</f>
        <v/>
      </c>
      <c r="M313" s="1" t="str">
        <f>IF(B313="","",VLOOKUP(Website!B313,'Global (Gross)'!P:Q,2,FALSE)/100)</f>
        <v/>
      </c>
      <c r="S313" s="22" t="str">
        <f t="shared" si="204"/>
        <v/>
      </c>
      <c r="T313" s="22" t="str">
        <f t="shared" si="205"/>
        <v/>
      </c>
      <c r="U313" s="22" t="str">
        <f t="shared" si="206"/>
        <v/>
      </c>
      <c r="V313" s="22" t="str">
        <f t="shared" si="203"/>
        <v/>
      </c>
      <c r="W313" s="22" t="str">
        <f t="shared" si="207"/>
        <v/>
      </c>
      <c r="X313" s="22" t="str">
        <f t="shared" si="208"/>
        <v/>
      </c>
      <c r="Y313" s="22" t="str">
        <f t="shared" si="209"/>
        <v/>
      </c>
    </row>
    <row r="314" spans="1:25" x14ac:dyDescent="0.25">
      <c r="A314" t="str">
        <f t="shared" si="210"/>
        <v/>
      </c>
      <c r="B314" s="169" t="str">
        <f>IF('LC (Gross)'!A461="","",'LC (Gross)'!A461)</f>
        <v/>
      </c>
      <c r="C314" s="1" t="str">
        <f>IF(B314="","",(VLOOKUP(B314,'LC (Gross)'!A:D,4,FALSE)/100))</f>
        <v/>
      </c>
      <c r="D314" s="1" t="str">
        <f>IF(B314="","",(VLOOKUP(B314,'SC (Gross)'!A:D,4,FALSE))/100)</f>
        <v/>
      </c>
      <c r="E314" s="1" t="str">
        <f>IF(B314="","",(VLOOKUP(B314,'Global (Gross)'!A:D,4,FALSE)/100))</f>
        <v/>
      </c>
      <c r="F314" s="1" t="str">
        <f>IF(B314="","",(VLOOKUP(B314,'BOGIX (Gross)'!A:D,4,FALSE)/100))</f>
        <v/>
      </c>
      <c r="G314" s="1" t="str">
        <f>IF(B314="","",(VLOOKUP(B314,'LC (Net)'!A:D,4,FALSE)/100))</f>
        <v/>
      </c>
      <c r="H314" s="1" t="str">
        <f>IF(B314="","",(VLOOKUP(B314,'SC (Net)'!A:D,4,FALSE))/100)</f>
        <v/>
      </c>
      <c r="I314" s="1" t="str">
        <f>IF(B314="","",(VLOOKUP(B314,'Global (Net)'!A:D,4,FALSE)/100))</f>
        <v/>
      </c>
      <c r="J314" s="1" t="str">
        <f>IF(B314="","",(VLOOKUP(B314,'BOGIX (Net)'!A:D,4,FALSE)/100))</f>
        <v/>
      </c>
      <c r="K314" s="1" t="str">
        <f>IF(B314="","",VLOOKUP(Website!B314,'LC (Gross)'!W:X,2,FALSE)/100)</f>
        <v/>
      </c>
      <c r="L314" s="1" t="str">
        <f>IF(B314="","",VLOOKUP(Website!B314,'SC (Gross)'!P:Q,2,FALSE)/100)</f>
        <v/>
      </c>
      <c r="M314" s="1" t="str">
        <f>IF(B314="","",VLOOKUP(Website!B314,'Global (Gross)'!P:Q,2,FALSE)/100)</f>
        <v/>
      </c>
      <c r="S314" s="22" t="str">
        <f t="shared" si="204"/>
        <v/>
      </c>
      <c r="T314" s="22" t="str">
        <f t="shared" si="205"/>
        <v/>
      </c>
      <c r="U314" s="22" t="str">
        <f t="shared" si="206"/>
        <v/>
      </c>
      <c r="V314" s="22" t="str">
        <f t="shared" si="203"/>
        <v/>
      </c>
      <c r="W314" s="22" t="str">
        <f t="shared" si="207"/>
        <v/>
      </c>
      <c r="X314" s="22" t="str">
        <f t="shared" si="208"/>
        <v/>
      </c>
      <c r="Y314" s="22" t="str">
        <f t="shared" si="209"/>
        <v/>
      </c>
    </row>
    <row r="315" spans="1:25" x14ac:dyDescent="0.25">
      <c r="A315" t="str">
        <f t="shared" si="210"/>
        <v/>
      </c>
      <c r="B315" s="169" t="str">
        <f>IF('LC (Gross)'!A462="","",'LC (Gross)'!A462)</f>
        <v/>
      </c>
      <c r="C315" s="1" t="str">
        <f>IF(B315="","",(VLOOKUP(B315,'LC (Gross)'!A:D,4,FALSE)/100))</f>
        <v/>
      </c>
      <c r="D315" s="1" t="str">
        <f>IF(B315="","",(VLOOKUP(B315,'SC (Gross)'!A:D,4,FALSE))/100)</f>
        <v/>
      </c>
      <c r="E315" s="1" t="str">
        <f>IF(B315="","",(VLOOKUP(B315,'Global (Gross)'!A:D,4,FALSE)/100))</f>
        <v/>
      </c>
      <c r="F315" s="1" t="str">
        <f>IF(B315="","",(VLOOKUP(B315,'BOGIX (Gross)'!A:D,4,FALSE)/100))</f>
        <v/>
      </c>
      <c r="G315" s="1" t="str">
        <f>IF(B315="","",(VLOOKUP(B315,'LC (Net)'!A:D,4,FALSE)/100))</f>
        <v/>
      </c>
      <c r="H315" s="1" t="str">
        <f>IF(B315="","",(VLOOKUP(B315,'SC (Net)'!A:D,4,FALSE))/100)</f>
        <v/>
      </c>
      <c r="I315" s="1" t="str">
        <f>IF(B315="","",(VLOOKUP(B315,'Global (Net)'!A:D,4,FALSE)/100))</f>
        <v/>
      </c>
      <c r="J315" s="1" t="str">
        <f>IF(B315="","",(VLOOKUP(B315,'BOGIX (Net)'!A:D,4,FALSE)/100))</f>
        <v/>
      </c>
      <c r="K315" s="1" t="str">
        <f>IF(B315="","",VLOOKUP(Website!B315,'LC (Gross)'!W:X,2,FALSE)/100)</f>
        <v/>
      </c>
      <c r="L315" s="1" t="str">
        <f>IF(B315="","",VLOOKUP(Website!B315,'SC (Gross)'!P:Q,2,FALSE)/100)</f>
        <v/>
      </c>
      <c r="M315" s="1" t="str">
        <f>IF(B315="","",VLOOKUP(Website!B315,'Global (Gross)'!P:Q,2,FALSE)/100)</f>
        <v/>
      </c>
      <c r="S315" s="22" t="str">
        <f t="shared" si="204"/>
        <v/>
      </c>
      <c r="T315" s="22" t="str">
        <f t="shared" si="205"/>
        <v/>
      </c>
      <c r="U315" s="22" t="str">
        <f t="shared" si="206"/>
        <v/>
      </c>
      <c r="V315" s="22" t="str">
        <f t="shared" si="203"/>
        <v/>
      </c>
      <c r="W315" s="22" t="str">
        <f t="shared" si="207"/>
        <v/>
      </c>
      <c r="X315" s="22" t="str">
        <f t="shared" si="208"/>
        <v/>
      </c>
      <c r="Y315" s="22" t="str">
        <f t="shared" si="209"/>
        <v/>
      </c>
    </row>
    <row r="316" spans="1:25" x14ac:dyDescent="0.25">
      <c r="A316" t="str">
        <f t="shared" si="210"/>
        <v/>
      </c>
      <c r="B316" s="169" t="str">
        <f>IF('LC (Gross)'!A463="","",'LC (Gross)'!A463)</f>
        <v/>
      </c>
      <c r="C316" s="1" t="str">
        <f>IF(B316="","",(VLOOKUP(B316,'LC (Gross)'!A:D,4,FALSE)/100))</f>
        <v/>
      </c>
      <c r="D316" s="1" t="str">
        <f>IF(B316="","",(VLOOKUP(B316,'SC (Gross)'!A:D,4,FALSE))/100)</f>
        <v/>
      </c>
      <c r="E316" s="1" t="str">
        <f>IF(B316="","",(VLOOKUP(B316,'Global (Gross)'!A:D,4,FALSE)/100))</f>
        <v/>
      </c>
      <c r="F316" s="1" t="str">
        <f>IF(B316="","",(VLOOKUP(B316,'BOGIX (Gross)'!A:D,4,FALSE)/100))</f>
        <v/>
      </c>
      <c r="G316" s="1" t="str">
        <f>IF(B316="","",(VLOOKUP(B316,'LC (Net)'!A:D,4,FALSE)/100))</f>
        <v/>
      </c>
      <c r="H316" s="1" t="str">
        <f>IF(B316="","",(VLOOKUP(B316,'SC (Net)'!A:D,4,FALSE))/100)</f>
        <v/>
      </c>
      <c r="I316" s="1" t="str">
        <f>IF(B316="","",(VLOOKUP(B316,'Global (Net)'!A:D,4,FALSE)/100))</f>
        <v/>
      </c>
      <c r="J316" s="1" t="str">
        <f>IF(B316="","",(VLOOKUP(B316,'BOGIX (Net)'!A:D,4,FALSE)/100))</f>
        <v/>
      </c>
      <c r="K316" s="1" t="str">
        <f>IF(B316="","",VLOOKUP(Website!B316,'LC (Gross)'!W:X,2,FALSE)/100)</f>
        <v/>
      </c>
      <c r="L316" s="1" t="str">
        <f>IF(B316="","",VLOOKUP(Website!B316,'SC (Gross)'!P:Q,2,FALSE)/100)</f>
        <v/>
      </c>
      <c r="M316" s="1" t="str">
        <f>IF(B316="","",VLOOKUP(Website!B316,'Global (Gross)'!P:Q,2,FALSE)/100)</f>
        <v/>
      </c>
      <c r="S316" s="22" t="str">
        <f t="shared" si="204"/>
        <v/>
      </c>
      <c r="T316" s="22" t="str">
        <f t="shared" si="205"/>
        <v/>
      </c>
      <c r="U316" s="22" t="str">
        <f t="shared" si="206"/>
        <v/>
      </c>
      <c r="V316" s="22" t="str">
        <f t="shared" si="203"/>
        <v/>
      </c>
      <c r="W316" s="22" t="str">
        <f t="shared" si="207"/>
        <v/>
      </c>
      <c r="X316" s="22" t="str">
        <f t="shared" si="208"/>
        <v/>
      </c>
      <c r="Y316" s="22" t="str">
        <f t="shared" si="209"/>
        <v/>
      </c>
    </row>
    <row r="317" spans="1:25" x14ac:dyDescent="0.25">
      <c r="A317" t="str">
        <f t="shared" si="210"/>
        <v/>
      </c>
      <c r="B317" s="169" t="str">
        <f>IF('LC (Gross)'!A464="","",'LC (Gross)'!A464)</f>
        <v/>
      </c>
      <c r="C317" s="1" t="str">
        <f>IF(B317="","",(VLOOKUP(B317,'LC (Gross)'!A:D,4,FALSE)/100))</f>
        <v/>
      </c>
      <c r="D317" s="1" t="str">
        <f>IF(B317="","",(VLOOKUP(B317,'SC (Gross)'!A:D,4,FALSE))/100)</f>
        <v/>
      </c>
      <c r="E317" s="1" t="str">
        <f>IF(B317="","",(VLOOKUP(B317,'Global (Gross)'!A:D,4,FALSE)/100))</f>
        <v/>
      </c>
      <c r="F317" s="1" t="str">
        <f>IF(B317="","",(VLOOKUP(B317,'BOGIX (Gross)'!A:D,4,FALSE)/100))</f>
        <v/>
      </c>
      <c r="G317" s="1" t="str">
        <f>IF(B317="","",(VLOOKUP(B317,'LC (Net)'!A:D,4,FALSE)/100))</f>
        <v/>
      </c>
      <c r="H317" s="1" t="str">
        <f>IF(B317="","",(VLOOKUP(B317,'SC (Net)'!A:D,4,FALSE))/100)</f>
        <v/>
      </c>
      <c r="I317" s="1" t="str">
        <f>IF(B317="","",(VLOOKUP(B317,'Global (Net)'!A:D,4,FALSE)/100))</f>
        <v/>
      </c>
      <c r="J317" s="1" t="str">
        <f>IF(B317="","",(VLOOKUP(B317,'BOGIX (Net)'!A:D,4,FALSE)/100))</f>
        <v/>
      </c>
      <c r="K317" s="1" t="str">
        <f>IF(B317="","",VLOOKUP(Website!B317,'LC (Gross)'!W:X,2,FALSE)/100)</f>
        <v/>
      </c>
      <c r="L317" s="1" t="str">
        <f>IF(B317="","",VLOOKUP(Website!B317,'SC (Gross)'!P:Q,2,FALSE)/100)</f>
        <v/>
      </c>
      <c r="M317" s="1" t="str">
        <f>IF(B317="","",VLOOKUP(Website!B317,'Global (Gross)'!P:Q,2,FALSE)/100)</f>
        <v/>
      </c>
      <c r="S317" s="22" t="str">
        <f t="shared" si="204"/>
        <v/>
      </c>
      <c r="T317" s="22" t="str">
        <f t="shared" si="205"/>
        <v/>
      </c>
      <c r="U317" s="22" t="str">
        <f t="shared" si="206"/>
        <v/>
      </c>
      <c r="V317" s="22" t="str">
        <f t="shared" ref="V317:V380" si="211">IF(F317="","",F317-P317)</f>
        <v/>
      </c>
      <c r="W317" s="22" t="str">
        <f t="shared" si="207"/>
        <v/>
      </c>
      <c r="X317" s="22" t="str">
        <f t="shared" si="208"/>
        <v/>
      </c>
      <c r="Y317" s="22" t="str">
        <f t="shared" si="209"/>
        <v/>
      </c>
    </row>
    <row r="318" spans="1:25" x14ac:dyDescent="0.25">
      <c r="A318" t="str">
        <f t="shared" si="210"/>
        <v/>
      </c>
      <c r="B318" s="169" t="str">
        <f>IF('LC (Gross)'!A465="","",'LC (Gross)'!A465)</f>
        <v/>
      </c>
      <c r="C318" s="1" t="str">
        <f>IF(B318="","",(VLOOKUP(B318,'LC (Gross)'!A:D,4,FALSE)/100))</f>
        <v/>
      </c>
      <c r="D318" s="1" t="str">
        <f>IF(B318="","",(VLOOKUP(B318,'SC (Gross)'!A:D,4,FALSE))/100)</f>
        <v/>
      </c>
      <c r="E318" s="1" t="str">
        <f>IF(B318="","",(VLOOKUP(B318,'Global (Gross)'!A:D,4,FALSE)/100))</f>
        <v/>
      </c>
      <c r="F318" s="1" t="str">
        <f>IF(B318="","",(VLOOKUP(B318,'BOGIX (Gross)'!A:D,4,FALSE)/100))</f>
        <v/>
      </c>
      <c r="G318" s="1" t="str">
        <f>IF(B318="","",(VLOOKUP(B318,'LC (Net)'!A:D,4,FALSE)/100))</f>
        <v/>
      </c>
      <c r="H318" s="1" t="str">
        <f>IF(B318="","",(VLOOKUP(B318,'SC (Net)'!A:D,4,FALSE))/100)</f>
        <v/>
      </c>
      <c r="I318" s="1" t="str">
        <f>IF(B318="","",(VLOOKUP(B318,'Global (Net)'!A:D,4,FALSE)/100))</f>
        <v/>
      </c>
      <c r="J318" s="1" t="str">
        <f>IF(B318="","",(VLOOKUP(B318,'BOGIX (Net)'!A:D,4,FALSE)/100))</f>
        <v/>
      </c>
      <c r="K318" s="1" t="str">
        <f>IF(B318="","",VLOOKUP(Website!B318,'LC (Gross)'!W:X,2,FALSE)/100)</f>
        <v/>
      </c>
      <c r="L318" s="1" t="str">
        <f>IF(B318="","",VLOOKUP(Website!B318,'SC (Gross)'!P:Q,2,FALSE)/100)</f>
        <v/>
      </c>
      <c r="M318" s="1" t="str">
        <f>IF(B318="","",VLOOKUP(Website!B318,'Global (Gross)'!P:Q,2,FALSE)/100)</f>
        <v/>
      </c>
      <c r="S318" s="22" t="str">
        <f t="shared" si="204"/>
        <v/>
      </c>
      <c r="T318" s="22" t="str">
        <f t="shared" si="205"/>
        <v/>
      </c>
      <c r="U318" s="22" t="str">
        <f t="shared" si="206"/>
        <v/>
      </c>
      <c r="V318" s="22" t="str">
        <f t="shared" si="211"/>
        <v/>
      </c>
      <c r="W318" s="22" t="str">
        <f t="shared" si="207"/>
        <v/>
      </c>
      <c r="X318" s="22" t="str">
        <f t="shared" si="208"/>
        <v/>
      </c>
      <c r="Y318" s="22" t="str">
        <f t="shared" si="209"/>
        <v/>
      </c>
    </row>
    <row r="319" spans="1:25" x14ac:dyDescent="0.25">
      <c r="A319" t="str">
        <f t="shared" si="210"/>
        <v/>
      </c>
      <c r="B319" s="169" t="str">
        <f>IF('LC (Gross)'!A466="","",'LC (Gross)'!A466)</f>
        <v/>
      </c>
      <c r="C319" s="1" t="str">
        <f>IF(B319="","",(VLOOKUP(B319,'LC (Gross)'!A:D,4,FALSE)/100))</f>
        <v/>
      </c>
      <c r="D319" s="1" t="str">
        <f>IF(B319="","",(VLOOKUP(B319,'SC (Gross)'!A:D,4,FALSE))/100)</f>
        <v/>
      </c>
      <c r="E319" s="1" t="str">
        <f>IF(B319="","",(VLOOKUP(B319,'Global (Gross)'!A:D,4,FALSE)/100))</f>
        <v/>
      </c>
      <c r="F319" s="1" t="str">
        <f>IF(B319="","",(VLOOKUP(B319,'BOGIX (Gross)'!A:D,4,FALSE)/100))</f>
        <v/>
      </c>
      <c r="G319" s="1" t="str">
        <f>IF(B319="","",(VLOOKUP(B319,'LC (Net)'!A:D,4,FALSE)/100))</f>
        <v/>
      </c>
      <c r="H319" s="1" t="str">
        <f>IF(B319="","",(VLOOKUP(B319,'SC (Net)'!A:D,4,FALSE))/100)</f>
        <v/>
      </c>
      <c r="I319" s="1" t="str">
        <f>IF(B319="","",(VLOOKUP(B319,'Global (Net)'!A:D,4,FALSE)/100))</f>
        <v/>
      </c>
      <c r="J319" s="1" t="str">
        <f>IF(B319="","",(VLOOKUP(B319,'BOGIX (Net)'!A:D,4,FALSE)/100))</f>
        <v/>
      </c>
      <c r="K319" s="1" t="str">
        <f>IF(B319="","",VLOOKUP(Website!B319,'LC (Gross)'!W:X,2,FALSE)/100)</f>
        <v/>
      </c>
      <c r="L319" s="1" t="str">
        <f>IF(B319="","",VLOOKUP(Website!B319,'SC (Gross)'!P:Q,2,FALSE)/100)</f>
        <v/>
      </c>
      <c r="M319" s="1" t="str">
        <f>IF(B319="","",VLOOKUP(Website!B319,'Global (Gross)'!P:Q,2,FALSE)/100)</f>
        <v/>
      </c>
      <c r="S319" s="22" t="str">
        <f t="shared" si="204"/>
        <v/>
      </c>
      <c r="T319" s="22" t="str">
        <f t="shared" si="205"/>
        <v/>
      </c>
      <c r="U319" s="22" t="str">
        <f t="shared" si="206"/>
        <v/>
      </c>
      <c r="V319" s="22" t="str">
        <f t="shared" si="211"/>
        <v/>
      </c>
      <c r="W319" s="22" t="str">
        <f t="shared" si="207"/>
        <v/>
      </c>
      <c r="X319" s="22" t="str">
        <f t="shared" si="208"/>
        <v/>
      </c>
      <c r="Y319" s="22" t="str">
        <f t="shared" si="209"/>
        <v/>
      </c>
    </row>
    <row r="320" spans="1:25" x14ac:dyDescent="0.25">
      <c r="A320" t="str">
        <f t="shared" si="210"/>
        <v/>
      </c>
      <c r="B320" s="169" t="str">
        <f>IF('LC (Gross)'!A467="","",'LC (Gross)'!A467)</f>
        <v/>
      </c>
      <c r="C320" s="1" t="str">
        <f>IF(B320="","",(VLOOKUP(B320,'LC (Gross)'!A:D,4,FALSE)/100))</f>
        <v/>
      </c>
      <c r="D320" s="1" t="str">
        <f>IF(B320="","",(VLOOKUP(B320,'SC (Gross)'!A:D,4,FALSE))/100)</f>
        <v/>
      </c>
      <c r="E320" s="1" t="str">
        <f>IF(B320="","",(VLOOKUP(B320,'Global (Gross)'!A:D,4,FALSE)/100))</f>
        <v/>
      </c>
      <c r="F320" s="1" t="str">
        <f>IF(B320="","",(VLOOKUP(B320,'BOGIX (Gross)'!A:D,4,FALSE)/100))</f>
        <v/>
      </c>
      <c r="G320" s="1" t="str">
        <f>IF(B320="","",(VLOOKUP(B320,'LC (Net)'!A:D,4,FALSE)/100))</f>
        <v/>
      </c>
      <c r="H320" s="1" t="str">
        <f>IF(B320="","",(VLOOKUP(B320,'SC (Net)'!A:D,4,FALSE))/100)</f>
        <v/>
      </c>
      <c r="I320" s="1" t="str">
        <f>IF(B320="","",(VLOOKUP(B320,'Global (Net)'!A:D,4,FALSE)/100))</f>
        <v/>
      </c>
      <c r="J320" s="1" t="str">
        <f>IF(B320="","",(VLOOKUP(B320,'BOGIX (Net)'!A:D,4,FALSE)/100))</f>
        <v/>
      </c>
      <c r="K320" s="1" t="str">
        <f>IF(B320="","",VLOOKUP(Website!B320,'LC (Gross)'!W:X,2,FALSE)/100)</f>
        <v/>
      </c>
      <c r="L320" s="1" t="str">
        <f>IF(B320="","",VLOOKUP(Website!B320,'SC (Gross)'!P:Q,2,FALSE)/100)</f>
        <v/>
      </c>
      <c r="M320" s="1" t="str">
        <f>IF(B320="","",VLOOKUP(Website!B320,'Global (Gross)'!P:Q,2,FALSE)/100)</f>
        <v/>
      </c>
      <c r="S320" s="22" t="str">
        <f t="shared" si="204"/>
        <v/>
      </c>
      <c r="T320" s="22" t="str">
        <f t="shared" si="205"/>
        <v/>
      </c>
      <c r="U320" s="22" t="str">
        <f t="shared" si="206"/>
        <v/>
      </c>
      <c r="V320" s="22" t="str">
        <f t="shared" si="211"/>
        <v/>
      </c>
      <c r="W320" s="22" t="str">
        <f t="shared" si="207"/>
        <v/>
      </c>
      <c r="X320" s="22" t="str">
        <f t="shared" si="208"/>
        <v/>
      </c>
      <c r="Y320" s="22" t="str">
        <f t="shared" si="209"/>
        <v/>
      </c>
    </row>
    <row r="321" spans="1:25" x14ac:dyDescent="0.25">
      <c r="A321" t="str">
        <f t="shared" si="210"/>
        <v/>
      </c>
      <c r="B321" s="169" t="str">
        <f>IF('LC (Gross)'!A468="","",'LC (Gross)'!A468)</f>
        <v/>
      </c>
      <c r="C321" s="1" t="str">
        <f>IF(B321="","",(VLOOKUP(B321,'LC (Gross)'!A:D,4,FALSE)/100))</f>
        <v/>
      </c>
      <c r="D321" s="1" t="str">
        <f>IF(B321="","",(VLOOKUP(B321,'SC (Gross)'!A:D,4,FALSE))/100)</f>
        <v/>
      </c>
      <c r="E321" s="1" t="str">
        <f>IF(B321="","",(VLOOKUP(B321,'Global (Gross)'!A:D,4,FALSE)/100))</f>
        <v/>
      </c>
      <c r="F321" s="1" t="str">
        <f>IF(B321="","",(VLOOKUP(B321,'BOGIX (Gross)'!A:D,4,FALSE)/100))</f>
        <v/>
      </c>
      <c r="G321" s="1" t="str">
        <f>IF(B321="","",(VLOOKUP(B321,'LC (Net)'!A:D,4,FALSE)/100))</f>
        <v/>
      </c>
      <c r="H321" s="1" t="str">
        <f>IF(B321="","",(VLOOKUP(B321,'SC (Net)'!A:D,4,FALSE))/100)</f>
        <v/>
      </c>
      <c r="I321" s="1" t="str">
        <f>IF(B321="","",(VLOOKUP(B321,'Global (Net)'!A:D,4,FALSE)/100))</f>
        <v/>
      </c>
      <c r="J321" s="1" t="str">
        <f>IF(B321="","",(VLOOKUP(B321,'BOGIX (Net)'!A:D,4,FALSE)/100))</f>
        <v/>
      </c>
      <c r="K321" s="1" t="str">
        <f>IF(B321="","",VLOOKUP(Website!B321,'LC (Gross)'!W:X,2,FALSE)/100)</f>
        <v/>
      </c>
      <c r="L321" s="1" t="str">
        <f>IF(B321="","",VLOOKUP(Website!B321,'SC (Gross)'!P:Q,2,FALSE)/100)</f>
        <v/>
      </c>
      <c r="M321" s="1" t="str">
        <f>IF(B321="","",VLOOKUP(Website!B321,'Global (Gross)'!P:Q,2,FALSE)/100)</f>
        <v/>
      </c>
      <c r="S321" s="22" t="str">
        <f t="shared" si="204"/>
        <v/>
      </c>
      <c r="T321" s="22" t="str">
        <f t="shared" si="205"/>
        <v/>
      </c>
      <c r="U321" s="22" t="str">
        <f t="shared" si="206"/>
        <v/>
      </c>
      <c r="V321" s="22" t="str">
        <f t="shared" si="211"/>
        <v/>
      </c>
      <c r="W321" s="22" t="str">
        <f t="shared" si="207"/>
        <v/>
      </c>
      <c r="X321" s="22" t="str">
        <f t="shared" si="208"/>
        <v/>
      </c>
      <c r="Y321" s="22" t="str">
        <f t="shared" si="209"/>
        <v/>
      </c>
    </row>
    <row r="322" spans="1:25" x14ac:dyDescent="0.25">
      <c r="A322" t="str">
        <f t="shared" si="210"/>
        <v/>
      </c>
      <c r="B322" s="169" t="str">
        <f>IF('LC (Gross)'!A469="","",'LC (Gross)'!A469)</f>
        <v/>
      </c>
      <c r="C322" s="1" t="str">
        <f>IF(B322="","",(VLOOKUP(B322,'LC (Gross)'!A:D,4,FALSE)/100))</f>
        <v/>
      </c>
      <c r="D322" s="1" t="str">
        <f>IF(B322="","",(VLOOKUP(B322,'SC (Gross)'!A:D,4,FALSE))/100)</f>
        <v/>
      </c>
      <c r="E322" s="1" t="str">
        <f>IF(B322="","",(VLOOKUP(B322,'Global (Gross)'!A:D,4,FALSE)/100))</f>
        <v/>
      </c>
      <c r="F322" s="1" t="str">
        <f>IF(B322="","",(VLOOKUP(B322,'BOGIX (Gross)'!A:D,4,FALSE)/100))</f>
        <v/>
      </c>
      <c r="G322" s="1" t="str">
        <f>IF(B322="","",(VLOOKUP(B322,'LC (Net)'!A:D,4,FALSE)/100))</f>
        <v/>
      </c>
      <c r="H322" s="1" t="str">
        <f>IF(B322="","",(VLOOKUP(B322,'SC (Net)'!A:D,4,FALSE))/100)</f>
        <v/>
      </c>
      <c r="I322" s="1" t="str">
        <f>IF(B322="","",(VLOOKUP(B322,'Global (Net)'!A:D,4,FALSE)/100))</f>
        <v/>
      </c>
      <c r="J322" s="1" t="str">
        <f>IF(B322="","",(VLOOKUP(B322,'BOGIX (Net)'!A:D,4,FALSE)/100))</f>
        <v/>
      </c>
      <c r="K322" s="1" t="str">
        <f>IF(B322="","",VLOOKUP(Website!B322,'LC (Gross)'!W:X,2,FALSE)/100)</f>
        <v/>
      </c>
      <c r="L322" s="1" t="str">
        <f>IF(B322="","",VLOOKUP(Website!B322,'SC (Gross)'!P:Q,2,FALSE)/100)</f>
        <v/>
      </c>
      <c r="M322" s="1" t="str">
        <f>IF(B322="","",VLOOKUP(Website!B322,'Global (Gross)'!P:Q,2,FALSE)/100)</f>
        <v/>
      </c>
      <c r="S322" s="22" t="str">
        <f t="shared" si="204"/>
        <v/>
      </c>
      <c r="T322" s="22" t="str">
        <f t="shared" si="205"/>
        <v/>
      </c>
      <c r="U322" s="22" t="str">
        <f t="shared" si="206"/>
        <v/>
      </c>
      <c r="V322" s="22" t="str">
        <f t="shared" si="211"/>
        <v/>
      </c>
      <c r="W322" s="22" t="str">
        <f t="shared" si="207"/>
        <v/>
      </c>
      <c r="X322" s="22" t="str">
        <f t="shared" si="208"/>
        <v/>
      </c>
      <c r="Y322" s="22" t="str">
        <f t="shared" si="209"/>
        <v/>
      </c>
    </row>
    <row r="323" spans="1:25" x14ac:dyDescent="0.25">
      <c r="A323" t="str">
        <f t="shared" si="210"/>
        <v/>
      </c>
      <c r="B323" s="169" t="str">
        <f>IF('LC (Gross)'!A470="","",'LC (Gross)'!A470)</f>
        <v/>
      </c>
      <c r="C323" s="1" t="str">
        <f>IF(B323="","",(VLOOKUP(B323,'LC (Gross)'!A:D,4,FALSE)/100))</f>
        <v/>
      </c>
      <c r="D323" s="1" t="str">
        <f>IF(B323="","",(VLOOKUP(B323,'SC (Gross)'!A:D,4,FALSE))/100)</f>
        <v/>
      </c>
      <c r="E323" s="1" t="str">
        <f>IF(B323="","",(VLOOKUP(B323,'Global (Gross)'!A:D,4,FALSE)/100))</f>
        <v/>
      </c>
      <c r="F323" s="1" t="str">
        <f>IF(B323="","",(VLOOKUP(B323,'BOGIX (Gross)'!A:D,4,FALSE)/100))</f>
        <v/>
      </c>
      <c r="G323" s="1" t="str">
        <f>IF(B323="","",(VLOOKUP(B323,'LC (Net)'!A:D,4,FALSE)/100))</f>
        <v/>
      </c>
      <c r="H323" s="1" t="str">
        <f>IF(B323="","",(VLOOKUP(B323,'SC (Net)'!A:D,4,FALSE))/100)</f>
        <v/>
      </c>
      <c r="I323" s="1" t="str">
        <f>IF(B323="","",(VLOOKUP(B323,'Global (Net)'!A:D,4,FALSE)/100))</f>
        <v/>
      </c>
      <c r="J323" s="1" t="str">
        <f>IF(B323="","",(VLOOKUP(B323,'BOGIX (Net)'!A:D,4,FALSE)/100))</f>
        <v/>
      </c>
      <c r="K323" s="1" t="str">
        <f>IF(B323="","",VLOOKUP(Website!B323,'LC (Gross)'!W:X,2,FALSE)/100)</f>
        <v/>
      </c>
      <c r="L323" s="1" t="str">
        <f>IF(B323="","",VLOOKUP(Website!B323,'SC (Gross)'!P:Q,2,FALSE)/100)</f>
        <v/>
      </c>
      <c r="M323" s="1" t="str">
        <f>IF(B323="","",VLOOKUP(Website!B323,'Global (Gross)'!P:Q,2,FALSE)/100)</f>
        <v/>
      </c>
      <c r="S323" s="22" t="str">
        <f t="shared" ref="S323:S386" si="212">IF(C323="","",C323-O323)</f>
        <v/>
      </c>
      <c r="T323" s="22" t="str">
        <f t="shared" ref="T323:T386" si="213">IF(D323="","",D323-P323)</f>
        <v/>
      </c>
      <c r="U323" s="22" t="str">
        <f t="shared" ref="U323:U386" si="214">IF(E323="","",E323-Q323)</f>
        <v/>
      </c>
      <c r="V323" s="22" t="str">
        <f t="shared" si="211"/>
        <v/>
      </c>
      <c r="W323" s="22" t="str">
        <f t="shared" si="207"/>
        <v/>
      </c>
      <c r="X323" s="22" t="str">
        <f t="shared" si="208"/>
        <v/>
      </c>
      <c r="Y323" s="22" t="str">
        <f t="shared" si="209"/>
        <v/>
      </c>
    </row>
    <row r="324" spans="1:25" x14ac:dyDescent="0.25">
      <c r="A324" t="str">
        <f t="shared" si="210"/>
        <v/>
      </c>
      <c r="B324" s="169" t="str">
        <f>IF('LC (Gross)'!A471="","",'LC (Gross)'!A471)</f>
        <v/>
      </c>
      <c r="C324" s="1" t="str">
        <f>IF(B324="","",(VLOOKUP(B324,'LC (Gross)'!A:D,4,FALSE)/100))</f>
        <v/>
      </c>
      <c r="D324" s="1" t="str">
        <f>IF(B324="","",(VLOOKUP(B324,'SC (Gross)'!A:D,4,FALSE))/100)</f>
        <v/>
      </c>
      <c r="E324" s="1" t="str">
        <f>IF(B324="","",(VLOOKUP(B324,'Global (Gross)'!A:D,4,FALSE)/100))</f>
        <v/>
      </c>
      <c r="F324" s="1" t="str">
        <f>IF(B324="","",(VLOOKUP(B324,'BOGIX (Gross)'!A:D,4,FALSE)/100))</f>
        <v/>
      </c>
      <c r="G324" s="1" t="str">
        <f>IF(B324="","",(VLOOKUP(B324,'LC (Net)'!A:D,4,FALSE)/100))</f>
        <v/>
      </c>
      <c r="H324" s="1" t="str">
        <f>IF(B324="","",(VLOOKUP(B324,'SC (Net)'!A:D,4,FALSE))/100)</f>
        <v/>
      </c>
      <c r="I324" s="1" t="str">
        <f>IF(B324="","",(VLOOKUP(B324,'Global (Net)'!A:D,4,FALSE)/100))</f>
        <v/>
      </c>
      <c r="J324" s="1" t="str">
        <f>IF(B324="","",(VLOOKUP(B324,'BOGIX (Net)'!A:D,4,FALSE)/100))</f>
        <v/>
      </c>
      <c r="K324" s="1" t="str">
        <f>IF(B324="","",VLOOKUP(Website!B324,'LC (Gross)'!W:X,2,FALSE)/100)</f>
        <v/>
      </c>
      <c r="L324" s="1" t="str">
        <f>IF(B324="","",VLOOKUP(Website!B324,'SC (Gross)'!P:Q,2,FALSE)/100)</f>
        <v/>
      </c>
      <c r="M324" s="1" t="str">
        <f>IF(B324="","",VLOOKUP(Website!B324,'Global (Gross)'!P:Q,2,FALSE)/100)</f>
        <v/>
      </c>
      <c r="S324" s="22" t="str">
        <f t="shared" si="212"/>
        <v/>
      </c>
      <c r="T324" s="22" t="str">
        <f t="shared" si="213"/>
        <v/>
      </c>
      <c r="U324" s="22" t="str">
        <f t="shared" si="214"/>
        <v/>
      </c>
      <c r="V324" s="22" t="str">
        <f t="shared" si="211"/>
        <v/>
      </c>
      <c r="W324" s="22" t="str">
        <f t="shared" ref="W324:W387" si="215">IF(O324="","",K324-O324)</f>
        <v/>
      </c>
      <c r="X324" s="22" t="str">
        <f t="shared" ref="X324:X387" si="216">IF(P324="","",L324-P324)</f>
        <v/>
      </c>
      <c r="Y324" s="22" t="str">
        <f t="shared" ref="Y324:Y387" si="217">IF(Q324="","",M324-Q324)</f>
        <v/>
      </c>
    </row>
    <row r="325" spans="1:25" x14ac:dyDescent="0.25">
      <c r="A325" t="str">
        <f t="shared" ref="A325:A388" si="218">IF(B325="","",A324+1)</f>
        <v/>
      </c>
      <c r="B325" s="169" t="str">
        <f>IF('LC (Gross)'!A472="","",'LC (Gross)'!A472)</f>
        <v/>
      </c>
      <c r="C325" s="1" t="str">
        <f>IF(B325="","",(VLOOKUP(B325,'LC (Gross)'!A:D,4,FALSE)/100))</f>
        <v/>
      </c>
      <c r="D325" s="1" t="str">
        <f>IF(B325="","",(VLOOKUP(B325,'SC (Gross)'!A:D,4,FALSE))/100)</f>
        <v/>
      </c>
      <c r="E325" s="1" t="str">
        <f>IF(B325="","",(VLOOKUP(B325,'Global (Gross)'!A:D,4,FALSE)/100))</f>
        <v/>
      </c>
      <c r="F325" s="1" t="str">
        <f>IF(B325="","",(VLOOKUP(B325,'BOGIX (Gross)'!A:D,4,FALSE)/100))</f>
        <v/>
      </c>
      <c r="G325" s="1" t="str">
        <f>IF(B325="","",(VLOOKUP(B325,'LC (Net)'!A:D,4,FALSE)/100))</f>
        <v/>
      </c>
      <c r="H325" s="1" t="str">
        <f>IF(B325="","",(VLOOKUP(B325,'SC (Net)'!A:D,4,FALSE))/100)</f>
        <v/>
      </c>
      <c r="I325" s="1" t="str">
        <f>IF(B325="","",(VLOOKUP(B325,'Global (Net)'!A:D,4,FALSE)/100))</f>
        <v/>
      </c>
      <c r="J325" s="1" t="str">
        <f>IF(B325="","",(VLOOKUP(B325,'BOGIX (Net)'!A:D,4,FALSE)/100))</f>
        <v/>
      </c>
      <c r="K325" s="1" t="str">
        <f>IF(B325="","",VLOOKUP(Website!B325,'LC (Gross)'!W:X,2,FALSE)/100)</f>
        <v/>
      </c>
      <c r="L325" s="1" t="str">
        <f>IF(B325="","",VLOOKUP(Website!B325,'SC (Gross)'!P:Q,2,FALSE)/100)</f>
        <v/>
      </c>
      <c r="M325" s="1" t="str">
        <f>IF(B325="","",VLOOKUP(Website!B325,'Global (Gross)'!P:Q,2,FALSE)/100)</f>
        <v/>
      </c>
      <c r="S325" s="22" t="str">
        <f t="shared" si="212"/>
        <v/>
      </c>
      <c r="T325" s="22" t="str">
        <f t="shared" si="213"/>
        <v/>
      </c>
      <c r="U325" s="22" t="str">
        <f t="shared" si="214"/>
        <v/>
      </c>
      <c r="V325" s="22" t="str">
        <f t="shared" si="211"/>
        <v/>
      </c>
      <c r="W325" s="22" t="str">
        <f t="shared" si="215"/>
        <v/>
      </c>
      <c r="X325" s="22" t="str">
        <f t="shared" si="216"/>
        <v/>
      </c>
      <c r="Y325" s="22" t="str">
        <f t="shared" si="217"/>
        <v/>
      </c>
    </row>
    <row r="326" spans="1:25" x14ac:dyDescent="0.25">
      <c r="A326" t="str">
        <f t="shared" si="218"/>
        <v/>
      </c>
      <c r="B326" s="169" t="str">
        <f>IF('LC (Gross)'!A473="","",'LC (Gross)'!A473)</f>
        <v/>
      </c>
      <c r="C326" s="1" t="str">
        <f>IF(B326="","",(VLOOKUP(B326,'LC (Gross)'!A:D,4,FALSE)/100))</f>
        <v/>
      </c>
      <c r="D326" s="1" t="str">
        <f>IF(B326="","",(VLOOKUP(B326,'SC (Gross)'!A:D,4,FALSE))/100)</f>
        <v/>
      </c>
      <c r="E326" s="1" t="str">
        <f>IF(B326="","",(VLOOKUP(B326,'Global (Gross)'!A:D,4,FALSE)/100))</f>
        <v/>
      </c>
      <c r="F326" s="1" t="str">
        <f>IF(B326="","",(VLOOKUP(B326,'BOGIX (Gross)'!A:D,4,FALSE)/100))</f>
        <v/>
      </c>
      <c r="G326" s="1" t="str">
        <f>IF(B326="","",(VLOOKUP(B326,'LC (Net)'!A:D,4,FALSE)/100))</f>
        <v/>
      </c>
      <c r="H326" s="1" t="str">
        <f>IF(B326="","",(VLOOKUP(B326,'SC (Net)'!A:D,4,FALSE))/100)</f>
        <v/>
      </c>
      <c r="I326" s="1" t="str">
        <f>IF(B326="","",(VLOOKUP(B326,'Global (Net)'!A:D,4,FALSE)/100))</f>
        <v/>
      </c>
      <c r="J326" s="1" t="str">
        <f>IF(B326="","",(VLOOKUP(B326,'BOGIX (Net)'!A:D,4,FALSE)/100))</f>
        <v/>
      </c>
      <c r="K326" s="1" t="str">
        <f>IF(B326="","",VLOOKUP(Website!B326,'LC (Gross)'!W:X,2,FALSE)/100)</f>
        <v/>
      </c>
      <c r="L326" s="1" t="str">
        <f>IF(B326="","",VLOOKUP(Website!B326,'SC (Gross)'!P:Q,2,FALSE)/100)</f>
        <v/>
      </c>
      <c r="M326" s="1" t="str">
        <f>IF(B326="","",VLOOKUP(Website!B326,'Global (Gross)'!P:Q,2,FALSE)/100)</f>
        <v/>
      </c>
      <c r="S326" s="22" t="str">
        <f t="shared" si="212"/>
        <v/>
      </c>
      <c r="T326" s="22" t="str">
        <f t="shared" si="213"/>
        <v/>
      </c>
      <c r="U326" s="22" t="str">
        <f t="shared" si="214"/>
        <v/>
      </c>
      <c r="V326" s="22" t="str">
        <f t="shared" si="211"/>
        <v/>
      </c>
      <c r="W326" s="22" t="str">
        <f t="shared" si="215"/>
        <v/>
      </c>
      <c r="X326" s="22" t="str">
        <f t="shared" si="216"/>
        <v/>
      </c>
      <c r="Y326" s="22" t="str">
        <f t="shared" si="217"/>
        <v/>
      </c>
    </row>
    <row r="327" spans="1:25" x14ac:dyDescent="0.25">
      <c r="A327" t="str">
        <f t="shared" si="218"/>
        <v/>
      </c>
      <c r="B327" s="169" t="str">
        <f>IF('LC (Gross)'!A474="","",'LC (Gross)'!A474)</f>
        <v/>
      </c>
      <c r="C327" s="1" t="str">
        <f>IF(B327="","",(VLOOKUP(B327,'LC (Gross)'!A:D,4,FALSE)/100))</f>
        <v/>
      </c>
      <c r="D327" s="1" t="str">
        <f>IF(B327="","",(VLOOKUP(B327,'SC (Gross)'!A:D,4,FALSE))/100)</f>
        <v/>
      </c>
      <c r="E327" s="1" t="str">
        <f>IF(B327="","",(VLOOKUP(B327,'Global (Gross)'!A:D,4,FALSE)/100))</f>
        <v/>
      </c>
      <c r="F327" s="1" t="str">
        <f>IF(B327="","",(VLOOKUP(B327,'BOGIX (Gross)'!A:D,4,FALSE)/100))</f>
        <v/>
      </c>
      <c r="G327" s="1" t="str">
        <f>IF(B327="","",(VLOOKUP(B327,'LC (Net)'!A:D,4,FALSE)/100))</f>
        <v/>
      </c>
      <c r="H327" s="1" t="str">
        <f>IF(B327="","",(VLOOKUP(B327,'SC (Net)'!A:D,4,FALSE))/100)</f>
        <v/>
      </c>
      <c r="I327" s="1" t="str">
        <f>IF(B327="","",(VLOOKUP(B327,'Global (Net)'!A:D,4,FALSE)/100))</f>
        <v/>
      </c>
      <c r="J327" s="1" t="str">
        <f>IF(B327="","",(VLOOKUP(B327,'BOGIX (Net)'!A:D,4,FALSE)/100))</f>
        <v/>
      </c>
      <c r="K327" s="1" t="str">
        <f>IF(B327="","",VLOOKUP(Website!B327,'LC (Gross)'!W:X,2,FALSE)/100)</f>
        <v/>
      </c>
      <c r="L327" s="1" t="str">
        <f>IF(B327="","",VLOOKUP(Website!B327,'SC (Gross)'!P:Q,2,FALSE)/100)</f>
        <v/>
      </c>
      <c r="M327" s="1" t="str">
        <f>IF(B327="","",VLOOKUP(Website!B327,'Global (Gross)'!P:Q,2,FALSE)/100)</f>
        <v/>
      </c>
      <c r="S327" s="22" t="str">
        <f t="shared" si="212"/>
        <v/>
      </c>
      <c r="T327" s="22" t="str">
        <f t="shared" si="213"/>
        <v/>
      </c>
      <c r="U327" s="22" t="str">
        <f t="shared" si="214"/>
        <v/>
      </c>
      <c r="V327" s="22" t="str">
        <f t="shared" si="211"/>
        <v/>
      </c>
      <c r="W327" s="22" t="str">
        <f t="shared" si="215"/>
        <v/>
      </c>
      <c r="X327" s="22" t="str">
        <f t="shared" si="216"/>
        <v/>
      </c>
      <c r="Y327" s="22" t="str">
        <f t="shared" si="217"/>
        <v/>
      </c>
    </row>
    <row r="328" spans="1:25" x14ac:dyDescent="0.25">
      <c r="A328" t="str">
        <f t="shared" si="218"/>
        <v/>
      </c>
      <c r="B328" s="169" t="str">
        <f>IF('LC (Gross)'!A475="","",'LC (Gross)'!A475)</f>
        <v/>
      </c>
      <c r="C328" s="1" t="str">
        <f>IF(B328="","",(VLOOKUP(B328,'LC (Gross)'!A:D,4,FALSE)/100))</f>
        <v/>
      </c>
      <c r="D328" s="1" t="str">
        <f>IF(B328="","",(VLOOKUP(B328,'SC (Gross)'!A:D,4,FALSE))/100)</f>
        <v/>
      </c>
      <c r="E328" s="1" t="str">
        <f>IF(B328="","",(VLOOKUP(B328,'Global (Gross)'!A:D,4,FALSE)/100))</f>
        <v/>
      </c>
      <c r="F328" s="1" t="str">
        <f>IF(B328="","",(VLOOKUP(B328,'BOGIX (Gross)'!A:D,4,FALSE)/100))</f>
        <v/>
      </c>
      <c r="G328" s="1" t="str">
        <f>IF(B328="","",(VLOOKUP(B328,'LC (Net)'!A:D,4,FALSE)/100))</f>
        <v/>
      </c>
      <c r="H328" s="1" t="str">
        <f>IF(B328="","",(VLOOKUP(B328,'SC (Net)'!A:D,4,FALSE))/100)</f>
        <v/>
      </c>
      <c r="I328" s="1" t="str">
        <f>IF(B328="","",(VLOOKUP(B328,'Global (Net)'!A:D,4,FALSE)/100))</f>
        <v/>
      </c>
      <c r="J328" s="1" t="str">
        <f>IF(B328="","",(VLOOKUP(B328,'BOGIX (Net)'!A:D,4,FALSE)/100))</f>
        <v/>
      </c>
      <c r="K328" s="1" t="str">
        <f>IF(B328="","",VLOOKUP(Website!B328,'LC (Gross)'!W:X,2,FALSE)/100)</f>
        <v/>
      </c>
      <c r="L328" s="1" t="str">
        <f>IF(B328="","",VLOOKUP(Website!B328,'SC (Gross)'!P:Q,2,FALSE)/100)</f>
        <v/>
      </c>
      <c r="M328" s="1" t="str">
        <f>IF(B328="","",VLOOKUP(Website!B328,'Global (Gross)'!P:Q,2,FALSE)/100)</f>
        <v/>
      </c>
      <c r="S328" s="22" t="str">
        <f t="shared" si="212"/>
        <v/>
      </c>
      <c r="T328" s="22" t="str">
        <f t="shared" si="213"/>
        <v/>
      </c>
      <c r="U328" s="22" t="str">
        <f t="shared" si="214"/>
        <v/>
      </c>
      <c r="V328" s="22" t="str">
        <f t="shared" si="211"/>
        <v/>
      </c>
      <c r="W328" s="22" t="str">
        <f t="shared" si="215"/>
        <v/>
      </c>
      <c r="X328" s="22" t="str">
        <f t="shared" si="216"/>
        <v/>
      </c>
      <c r="Y328" s="22" t="str">
        <f t="shared" si="217"/>
        <v/>
      </c>
    </row>
    <row r="329" spans="1:25" x14ac:dyDescent="0.25">
      <c r="A329" t="str">
        <f t="shared" si="218"/>
        <v/>
      </c>
      <c r="B329" s="169" t="str">
        <f>IF('LC (Gross)'!A476="","",'LC (Gross)'!A476)</f>
        <v/>
      </c>
      <c r="C329" s="1" t="str">
        <f>IF(B329="","",(VLOOKUP(B329,'LC (Gross)'!A:D,4,FALSE)/100))</f>
        <v/>
      </c>
      <c r="D329" s="1" t="str">
        <f>IF(B329="","",(VLOOKUP(B329,'SC (Gross)'!A:D,4,FALSE))/100)</f>
        <v/>
      </c>
      <c r="E329" s="1" t="str">
        <f>IF(B329="","",(VLOOKUP(B329,'Global (Gross)'!A:D,4,FALSE)/100))</f>
        <v/>
      </c>
      <c r="F329" s="1" t="str">
        <f>IF(B329="","",(VLOOKUP(B329,'BOGIX (Gross)'!A:D,4,FALSE)/100))</f>
        <v/>
      </c>
      <c r="G329" s="1" t="str">
        <f>IF(B329="","",(VLOOKUP(B329,'LC (Net)'!A:D,4,FALSE)/100))</f>
        <v/>
      </c>
      <c r="H329" s="1" t="str">
        <f>IF(B329="","",(VLOOKUP(B329,'SC (Net)'!A:D,4,FALSE))/100)</f>
        <v/>
      </c>
      <c r="I329" s="1" t="str">
        <f>IF(B329="","",(VLOOKUP(B329,'Global (Net)'!A:D,4,FALSE)/100))</f>
        <v/>
      </c>
      <c r="J329" s="1" t="str">
        <f>IF(B329="","",(VLOOKUP(B329,'BOGIX (Net)'!A:D,4,FALSE)/100))</f>
        <v/>
      </c>
      <c r="K329" s="1" t="str">
        <f>IF(B329="","",VLOOKUP(Website!B329,'LC (Gross)'!W:X,2,FALSE)/100)</f>
        <v/>
      </c>
      <c r="L329" s="1" t="str">
        <f>IF(B329="","",VLOOKUP(Website!B329,'SC (Gross)'!P:Q,2,FALSE)/100)</f>
        <v/>
      </c>
      <c r="M329" s="1" t="str">
        <f>IF(B329="","",VLOOKUP(Website!B329,'Global (Gross)'!P:Q,2,FALSE)/100)</f>
        <v/>
      </c>
      <c r="S329" s="22" t="str">
        <f t="shared" si="212"/>
        <v/>
      </c>
      <c r="T329" s="22" t="str">
        <f t="shared" si="213"/>
        <v/>
      </c>
      <c r="U329" s="22" t="str">
        <f t="shared" si="214"/>
        <v/>
      </c>
      <c r="V329" s="22" t="str">
        <f t="shared" si="211"/>
        <v/>
      </c>
      <c r="W329" s="22" t="str">
        <f t="shared" si="215"/>
        <v/>
      </c>
      <c r="X329" s="22" t="str">
        <f t="shared" si="216"/>
        <v/>
      </c>
      <c r="Y329" s="22" t="str">
        <f t="shared" si="217"/>
        <v/>
      </c>
    </row>
    <row r="330" spans="1:25" x14ac:dyDescent="0.25">
      <c r="A330" t="str">
        <f t="shared" si="218"/>
        <v/>
      </c>
      <c r="B330" s="169" t="str">
        <f>IF('LC (Gross)'!A477="","",'LC (Gross)'!A477)</f>
        <v/>
      </c>
      <c r="C330" s="1" t="str">
        <f>IF(B330="","",(VLOOKUP(B330,'LC (Gross)'!A:D,4,FALSE)/100))</f>
        <v/>
      </c>
      <c r="D330" s="1" t="str">
        <f>IF(B330="","",(VLOOKUP(B330,'SC (Gross)'!A:D,4,FALSE))/100)</f>
        <v/>
      </c>
      <c r="E330" s="1" t="str">
        <f>IF(B330="","",(VLOOKUP(B330,'Global (Gross)'!A:D,4,FALSE)/100))</f>
        <v/>
      </c>
      <c r="F330" s="1" t="str">
        <f>IF(B330="","",(VLOOKUP(B330,'BOGIX (Gross)'!A:D,4,FALSE)/100))</f>
        <v/>
      </c>
      <c r="G330" s="1" t="str">
        <f>IF(B330="","",(VLOOKUP(B330,'LC (Net)'!A:D,4,FALSE)/100))</f>
        <v/>
      </c>
      <c r="H330" s="1" t="str">
        <f>IF(B330="","",(VLOOKUP(B330,'SC (Net)'!A:D,4,FALSE))/100)</f>
        <v/>
      </c>
      <c r="I330" s="1" t="str">
        <f>IF(B330="","",(VLOOKUP(B330,'Global (Net)'!A:D,4,FALSE)/100))</f>
        <v/>
      </c>
      <c r="J330" s="1" t="str">
        <f>IF(B330="","",(VLOOKUP(B330,'BOGIX (Net)'!A:D,4,FALSE)/100))</f>
        <v/>
      </c>
      <c r="K330" s="1" t="str">
        <f>IF(B330="","",VLOOKUP(Website!B330,'LC (Gross)'!W:X,2,FALSE)/100)</f>
        <v/>
      </c>
      <c r="L330" s="1" t="str">
        <f>IF(B330="","",VLOOKUP(Website!B330,'SC (Gross)'!P:Q,2,FALSE)/100)</f>
        <v/>
      </c>
      <c r="M330" s="1" t="str">
        <f>IF(B330="","",VLOOKUP(Website!B330,'Global (Gross)'!P:Q,2,FALSE)/100)</f>
        <v/>
      </c>
      <c r="S330" s="22" t="str">
        <f t="shared" si="212"/>
        <v/>
      </c>
      <c r="T330" s="22" t="str">
        <f t="shared" si="213"/>
        <v/>
      </c>
      <c r="U330" s="22" t="str">
        <f t="shared" si="214"/>
        <v/>
      </c>
      <c r="V330" s="22" t="str">
        <f t="shared" si="211"/>
        <v/>
      </c>
      <c r="W330" s="22" t="str">
        <f t="shared" si="215"/>
        <v/>
      </c>
      <c r="X330" s="22" t="str">
        <f t="shared" si="216"/>
        <v/>
      </c>
      <c r="Y330" s="22" t="str">
        <f t="shared" si="217"/>
        <v/>
      </c>
    </row>
    <row r="331" spans="1:25" x14ac:dyDescent="0.25">
      <c r="A331" t="str">
        <f t="shared" si="218"/>
        <v/>
      </c>
      <c r="B331" s="169" t="str">
        <f>IF('LC (Gross)'!A478="","",'LC (Gross)'!A478)</f>
        <v/>
      </c>
      <c r="C331" s="1" t="str">
        <f>IF(B331="","",(VLOOKUP(B331,'LC (Gross)'!A:D,4,FALSE)/100))</f>
        <v/>
      </c>
      <c r="D331" s="1" t="str">
        <f>IF(B331="","",(VLOOKUP(B331,'SC (Gross)'!A:D,4,FALSE))/100)</f>
        <v/>
      </c>
      <c r="E331" s="1" t="str">
        <f>IF(B331="","",(VLOOKUP(B331,'Global (Gross)'!A:D,4,FALSE)/100))</f>
        <v/>
      </c>
      <c r="F331" s="1" t="str">
        <f>IF(B331="","",(VLOOKUP(B331,'BOGIX (Gross)'!A:D,4,FALSE)/100))</f>
        <v/>
      </c>
      <c r="G331" s="1" t="str">
        <f>IF(B331="","",(VLOOKUP(B331,'LC (Net)'!A:D,4,FALSE)/100))</f>
        <v/>
      </c>
      <c r="H331" s="1" t="str">
        <f>IF(B331="","",(VLOOKUP(B331,'SC (Net)'!A:D,4,FALSE))/100)</f>
        <v/>
      </c>
      <c r="I331" s="1" t="str">
        <f>IF(B331="","",(VLOOKUP(B331,'Global (Net)'!A:D,4,FALSE)/100))</f>
        <v/>
      </c>
      <c r="J331" s="1" t="str">
        <f>IF(B331="","",(VLOOKUP(B331,'BOGIX (Net)'!A:D,4,FALSE)/100))</f>
        <v/>
      </c>
      <c r="K331" s="1" t="str">
        <f>IF(B331="","",VLOOKUP(Website!B331,'LC (Gross)'!W:X,2,FALSE)/100)</f>
        <v/>
      </c>
      <c r="L331" s="1" t="str">
        <f>IF(B331="","",VLOOKUP(Website!B331,'SC (Gross)'!P:Q,2,FALSE)/100)</f>
        <v/>
      </c>
      <c r="M331" s="1" t="str">
        <f>IF(B331="","",VLOOKUP(Website!B331,'Global (Gross)'!P:Q,2,FALSE)/100)</f>
        <v/>
      </c>
      <c r="S331" s="22" t="str">
        <f t="shared" si="212"/>
        <v/>
      </c>
      <c r="T331" s="22" t="str">
        <f t="shared" si="213"/>
        <v/>
      </c>
      <c r="U331" s="22" t="str">
        <f t="shared" si="214"/>
        <v/>
      </c>
      <c r="V331" s="22" t="str">
        <f t="shared" si="211"/>
        <v/>
      </c>
      <c r="W331" s="22" t="str">
        <f t="shared" si="215"/>
        <v/>
      </c>
      <c r="X331" s="22" t="str">
        <f t="shared" si="216"/>
        <v/>
      </c>
      <c r="Y331" s="22" t="str">
        <f t="shared" si="217"/>
        <v/>
      </c>
    </row>
    <row r="332" spans="1:25" x14ac:dyDescent="0.25">
      <c r="A332" t="str">
        <f t="shared" si="218"/>
        <v/>
      </c>
      <c r="B332" s="169" t="str">
        <f>IF('LC (Gross)'!A479="","",'LC (Gross)'!A479)</f>
        <v/>
      </c>
      <c r="C332" s="1" t="str">
        <f>IF(B332="","",(VLOOKUP(B332,'LC (Gross)'!A:D,4,FALSE)/100))</f>
        <v/>
      </c>
      <c r="D332" s="1" t="str">
        <f>IF(B332="","",(VLOOKUP(B332,'SC (Gross)'!A:D,4,FALSE))/100)</f>
        <v/>
      </c>
      <c r="E332" s="1" t="str">
        <f>IF(B332="","",(VLOOKUP(B332,'Global (Gross)'!A:D,4,FALSE)/100))</f>
        <v/>
      </c>
      <c r="F332" s="1" t="str">
        <f>IF(B332="","",(VLOOKUP(B332,'BOGIX (Gross)'!A:D,4,FALSE)/100))</f>
        <v/>
      </c>
      <c r="G332" s="1" t="str">
        <f>IF(B332="","",(VLOOKUP(B332,'LC (Net)'!A:D,4,FALSE)/100))</f>
        <v/>
      </c>
      <c r="H332" s="1" t="str">
        <f>IF(B332="","",(VLOOKUP(B332,'SC (Net)'!A:D,4,FALSE))/100)</f>
        <v/>
      </c>
      <c r="I332" s="1" t="str">
        <f>IF(B332="","",(VLOOKUP(B332,'Global (Net)'!A:D,4,FALSE)/100))</f>
        <v/>
      </c>
      <c r="J332" s="1" t="str">
        <f>IF(B332="","",(VLOOKUP(B332,'BOGIX (Net)'!A:D,4,FALSE)/100))</f>
        <v/>
      </c>
      <c r="K332" s="1" t="str">
        <f>IF(B332="","",VLOOKUP(Website!B332,'LC (Gross)'!W:X,2,FALSE)/100)</f>
        <v/>
      </c>
      <c r="L332" s="1" t="str">
        <f>IF(B332="","",VLOOKUP(Website!B332,'SC (Gross)'!P:Q,2,FALSE)/100)</f>
        <v/>
      </c>
      <c r="M332" s="1" t="str">
        <f>IF(B332="","",VLOOKUP(Website!B332,'Global (Gross)'!P:Q,2,FALSE)/100)</f>
        <v/>
      </c>
      <c r="S332" s="22" t="str">
        <f t="shared" si="212"/>
        <v/>
      </c>
      <c r="T332" s="22" t="str">
        <f t="shared" si="213"/>
        <v/>
      </c>
      <c r="U332" s="22" t="str">
        <f t="shared" si="214"/>
        <v/>
      </c>
      <c r="V332" s="22" t="str">
        <f t="shared" si="211"/>
        <v/>
      </c>
      <c r="W332" s="22" t="str">
        <f t="shared" si="215"/>
        <v/>
      </c>
      <c r="X332" s="22" t="str">
        <f t="shared" si="216"/>
        <v/>
      </c>
      <c r="Y332" s="22" t="str">
        <f t="shared" si="217"/>
        <v/>
      </c>
    </row>
    <row r="333" spans="1:25" x14ac:dyDescent="0.25">
      <c r="A333" t="str">
        <f t="shared" si="218"/>
        <v/>
      </c>
      <c r="B333" s="169" t="str">
        <f>IF('LC (Gross)'!A480="","",'LC (Gross)'!A480)</f>
        <v/>
      </c>
      <c r="C333" s="1" t="str">
        <f>IF(B333="","",(VLOOKUP(B333,'LC (Gross)'!A:D,4,FALSE)/100))</f>
        <v/>
      </c>
      <c r="D333" s="1" t="str">
        <f>IF(B333="","",(VLOOKUP(B333,'SC (Gross)'!A:D,4,FALSE))/100)</f>
        <v/>
      </c>
      <c r="E333" s="1" t="str">
        <f>IF(B333="","",(VLOOKUP(B333,'Global (Gross)'!A:D,4,FALSE)/100))</f>
        <v/>
      </c>
      <c r="F333" s="1" t="str">
        <f>IF(B333="","",(VLOOKUP(B333,'BOGIX (Gross)'!A:D,4,FALSE)/100))</f>
        <v/>
      </c>
      <c r="G333" s="1" t="str">
        <f>IF(B333="","",(VLOOKUP(B333,'LC (Net)'!A:D,4,FALSE)/100))</f>
        <v/>
      </c>
      <c r="H333" s="1" t="str">
        <f>IF(B333="","",(VLOOKUP(B333,'SC (Net)'!A:D,4,FALSE))/100)</f>
        <v/>
      </c>
      <c r="I333" s="1" t="str">
        <f>IF(B333="","",(VLOOKUP(B333,'Global (Net)'!A:D,4,FALSE)/100))</f>
        <v/>
      </c>
      <c r="J333" s="1" t="str">
        <f>IF(B333="","",(VLOOKUP(B333,'BOGIX (Net)'!A:D,4,FALSE)/100))</f>
        <v/>
      </c>
      <c r="K333" s="1" t="str">
        <f>IF(B333="","",VLOOKUP(Website!B333,'LC (Gross)'!W:X,2,FALSE)/100)</f>
        <v/>
      </c>
      <c r="L333" s="1" t="str">
        <f>IF(B333="","",VLOOKUP(Website!B333,'SC (Gross)'!P:Q,2,FALSE)/100)</f>
        <v/>
      </c>
      <c r="M333" s="1" t="str">
        <f>IF(B333="","",VLOOKUP(Website!B333,'Global (Gross)'!P:Q,2,FALSE)/100)</f>
        <v/>
      </c>
      <c r="S333" s="22" t="str">
        <f t="shared" si="212"/>
        <v/>
      </c>
      <c r="T333" s="22" t="str">
        <f t="shared" si="213"/>
        <v/>
      </c>
      <c r="U333" s="22" t="str">
        <f t="shared" si="214"/>
        <v/>
      </c>
      <c r="V333" s="22" t="str">
        <f t="shared" si="211"/>
        <v/>
      </c>
      <c r="W333" s="22" t="str">
        <f t="shared" si="215"/>
        <v/>
      </c>
      <c r="X333" s="22" t="str">
        <f t="shared" si="216"/>
        <v/>
      </c>
      <c r="Y333" s="22" t="str">
        <f t="shared" si="217"/>
        <v/>
      </c>
    </row>
    <row r="334" spans="1:25" x14ac:dyDescent="0.25">
      <c r="A334" t="str">
        <f t="shared" si="218"/>
        <v/>
      </c>
      <c r="B334" s="169" t="str">
        <f>IF('LC (Gross)'!A481="","",'LC (Gross)'!A481)</f>
        <v/>
      </c>
      <c r="C334" s="1" t="str">
        <f>IF(B334="","",(VLOOKUP(B334,'LC (Gross)'!A:D,4,FALSE)/100))</f>
        <v/>
      </c>
      <c r="D334" s="1" t="str">
        <f>IF(B334="","",(VLOOKUP(B334,'SC (Gross)'!A:D,4,FALSE))/100)</f>
        <v/>
      </c>
      <c r="E334" s="1" t="str">
        <f>IF(B334="","",(VLOOKUP(B334,'Global (Gross)'!A:D,4,FALSE)/100))</f>
        <v/>
      </c>
      <c r="F334" s="1" t="str">
        <f>IF(B334="","",(VLOOKUP(B334,'BOGIX (Gross)'!A:D,4,FALSE)/100))</f>
        <v/>
      </c>
      <c r="G334" s="1" t="str">
        <f>IF(B334="","",(VLOOKUP(B334,'LC (Net)'!A:D,4,FALSE)/100))</f>
        <v/>
      </c>
      <c r="H334" s="1" t="str">
        <f>IF(B334="","",(VLOOKUP(B334,'SC (Net)'!A:D,4,FALSE))/100)</f>
        <v/>
      </c>
      <c r="I334" s="1" t="str">
        <f>IF(B334="","",(VLOOKUP(B334,'Global (Net)'!A:D,4,FALSE)/100))</f>
        <v/>
      </c>
      <c r="J334" s="1" t="str">
        <f>IF(B334="","",(VLOOKUP(B334,'BOGIX (Net)'!A:D,4,FALSE)/100))</f>
        <v/>
      </c>
      <c r="K334" s="1" t="str">
        <f>IF(B334="","",VLOOKUP(Website!B334,'LC (Gross)'!W:X,2,FALSE)/100)</f>
        <v/>
      </c>
      <c r="L334" s="1" t="str">
        <f>IF(B334="","",VLOOKUP(Website!B334,'SC (Gross)'!P:Q,2,FALSE)/100)</f>
        <v/>
      </c>
      <c r="M334" s="1" t="str">
        <f>IF(B334="","",VLOOKUP(Website!B334,'Global (Gross)'!P:Q,2,FALSE)/100)</f>
        <v/>
      </c>
      <c r="S334" s="22" t="str">
        <f t="shared" si="212"/>
        <v/>
      </c>
      <c r="T334" s="22" t="str">
        <f t="shared" si="213"/>
        <v/>
      </c>
      <c r="U334" s="22" t="str">
        <f t="shared" si="214"/>
        <v/>
      </c>
      <c r="V334" s="22" t="str">
        <f t="shared" si="211"/>
        <v/>
      </c>
      <c r="W334" s="22" t="str">
        <f t="shared" si="215"/>
        <v/>
      </c>
      <c r="X334" s="22" t="str">
        <f t="shared" si="216"/>
        <v/>
      </c>
      <c r="Y334" s="22" t="str">
        <f t="shared" si="217"/>
        <v/>
      </c>
    </row>
    <row r="335" spans="1:25" x14ac:dyDescent="0.25">
      <c r="A335" t="str">
        <f t="shared" si="218"/>
        <v/>
      </c>
      <c r="B335" s="169" t="str">
        <f>IF('LC (Gross)'!A482="","",'LC (Gross)'!A482)</f>
        <v/>
      </c>
      <c r="C335" s="1" t="str">
        <f>IF(B335="","",(VLOOKUP(B335,'LC (Gross)'!A:D,4,FALSE)/100))</f>
        <v/>
      </c>
      <c r="D335" s="1" t="str">
        <f>IF(B335="","",(VLOOKUP(B335,'SC (Gross)'!A:D,4,FALSE))/100)</f>
        <v/>
      </c>
      <c r="E335" s="1" t="str">
        <f>IF(B335="","",(VLOOKUP(B335,'Global (Gross)'!A:D,4,FALSE)/100))</f>
        <v/>
      </c>
      <c r="F335" s="1" t="str">
        <f>IF(B335="","",(VLOOKUP(B335,'BOGIX (Gross)'!A:D,4,FALSE)/100))</f>
        <v/>
      </c>
      <c r="G335" s="1" t="str">
        <f>IF(B335="","",(VLOOKUP(B335,'LC (Net)'!A:D,4,FALSE)/100))</f>
        <v/>
      </c>
      <c r="H335" s="1" t="str">
        <f>IF(B335="","",(VLOOKUP(B335,'SC (Net)'!A:D,4,FALSE))/100)</f>
        <v/>
      </c>
      <c r="I335" s="1" t="str">
        <f>IF(B335="","",(VLOOKUP(B335,'Global (Net)'!A:D,4,FALSE)/100))</f>
        <v/>
      </c>
      <c r="J335" s="1" t="str">
        <f>IF(B335="","",(VLOOKUP(B335,'BOGIX (Net)'!A:D,4,FALSE)/100))</f>
        <v/>
      </c>
      <c r="K335" s="1" t="str">
        <f>IF(B335="","",VLOOKUP(Website!B335,'LC (Gross)'!W:X,2,FALSE)/100)</f>
        <v/>
      </c>
      <c r="L335" s="1" t="str">
        <f>IF(B335="","",VLOOKUP(Website!B335,'SC (Gross)'!P:Q,2,FALSE)/100)</f>
        <v/>
      </c>
      <c r="M335" s="1" t="str">
        <f>IF(B335="","",VLOOKUP(Website!B335,'Global (Gross)'!P:Q,2,FALSE)/100)</f>
        <v/>
      </c>
      <c r="S335" s="22" t="str">
        <f t="shared" si="212"/>
        <v/>
      </c>
      <c r="T335" s="22" t="str">
        <f t="shared" si="213"/>
        <v/>
      </c>
      <c r="U335" s="22" t="str">
        <f t="shared" si="214"/>
        <v/>
      </c>
      <c r="V335" s="22" t="str">
        <f t="shared" si="211"/>
        <v/>
      </c>
      <c r="W335" s="22" t="str">
        <f t="shared" si="215"/>
        <v/>
      </c>
      <c r="X335" s="22" t="str">
        <f t="shared" si="216"/>
        <v/>
      </c>
      <c r="Y335" s="22" t="str">
        <f t="shared" si="217"/>
        <v/>
      </c>
    </row>
    <row r="336" spans="1:25" x14ac:dyDescent="0.25">
      <c r="A336" t="str">
        <f t="shared" si="218"/>
        <v/>
      </c>
      <c r="B336" s="169" t="str">
        <f>IF('LC (Gross)'!A483="","",'LC (Gross)'!A483)</f>
        <v/>
      </c>
      <c r="C336" s="1" t="str">
        <f>IF(B336="","",(VLOOKUP(B336,'LC (Gross)'!A:D,4,FALSE)/100))</f>
        <v/>
      </c>
      <c r="D336" s="1" t="str">
        <f>IF(B336="","",(VLOOKUP(B336,'SC (Gross)'!A:D,4,FALSE))/100)</f>
        <v/>
      </c>
      <c r="E336" s="1" t="str">
        <f>IF(B336="","",(VLOOKUP(B336,'Global (Gross)'!A:D,4,FALSE)/100))</f>
        <v/>
      </c>
      <c r="F336" s="1" t="str">
        <f>IF(B336="","",(VLOOKUP(B336,'BOGIX (Gross)'!A:D,4,FALSE)/100))</f>
        <v/>
      </c>
      <c r="G336" s="1" t="str">
        <f>IF(B336="","",(VLOOKUP(B336,'LC (Net)'!A:D,4,FALSE)/100))</f>
        <v/>
      </c>
      <c r="H336" s="1" t="str">
        <f>IF(B336="","",(VLOOKUP(B336,'SC (Net)'!A:D,4,FALSE))/100)</f>
        <v/>
      </c>
      <c r="I336" s="1" t="str">
        <f>IF(B336="","",(VLOOKUP(B336,'Global (Net)'!A:D,4,FALSE)/100))</f>
        <v/>
      </c>
      <c r="J336" s="1" t="str">
        <f>IF(B336="","",(VLOOKUP(B336,'BOGIX (Net)'!A:D,4,FALSE)/100))</f>
        <v/>
      </c>
      <c r="K336" s="1" t="str">
        <f>IF(B336="","",VLOOKUP(Website!B336,'LC (Gross)'!W:X,2,FALSE)/100)</f>
        <v/>
      </c>
      <c r="L336" s="1" t="str">
        <f>IF(B336="","",VLOOKUP(Website!B336,'SC (Gross)'!P:Q,2,FALSE)/100)</f>
        <v/>
      </c>
      <c r="M336" s="1" t="str">
        <f>IF(B336="","",VLOOKUP(Website!B336,'Global (Gross)'!P:Q,2,FALSE)/100)</f>
        <v/>
      </c>
      <c r="S336" s="22" t="str">
        <f t="shared" si="212"/>
        <v/>
      </c>
      <c r="T336" s="22" t="str">
        <f t="shared" si="213"/>
        <v/>
      </c>
      <c r="U336" s="22" t="str">
        <f t="shared" si="214"/>
        <v/>
      </c>
      <c r="V336" s="22" t="str">
        <f t="shared" si="211"/>
        <v/>
      </c>
      <c r="W336" s="22" t="str">
        <f t="shared" si="215"/>
        <v/>
      </c>
      <c r="X336" s="22" t="str">
        <f t="shared" si="216"/>
        <v/>
      </c>
      <c r="Y336" s="22" t="str">
        <f t="shared" si="217"/>
        <v/>
      </c>
    </row>
    <row r="337" spans="1:25" x14ac:dyDescent="0.25">
      <c r="A337" t="str">
        <f t="shared" si="218"/>
        <v/>
      </c>
      <c r="B337" s="169" t="str">
        <f>IF('LC (Gross)'!A484="","",'LC (Gross)'!A484)</f>
        <v/>
      </c>
      <c r="C337" s="1" t="str">
        <f>IF(B337="","",(VLOOKUP(B337,'LC (Gross)'!A:D,4,FALSE)/100))</f>
        <v/>
      </c>
      <c r="D337" s="1" t="str">
        <f>IF(B337="","",(VLOOKUP(B337,'SC (Gross)'!A:D,4,FALSE))/100)</f>
        <v/>
      </c>
      <c r="E337" s="1" t="str">
        <f>IF(B337="","",(VLOOKUP(B337,'Global (Gross)'!A:D,4,FALSE)/100))</f>
        <v/>
      </c>
      <c r="F337" s="1" t="str">
        <f>IF(B337="","",(VLOOKUP(B337,'BOGIX (Gross)'!A:D,4,FALSE)/100))</f>
        <v/>
      </c>
      <c r="G337" s="1" t="str">
        <f>IF(B337="","",(VLOOKUP(B337,'LC (Net)'!A:D,4,FALSE)/100))</f>
        <v/>
      </c>
      <c r="H337" s="1" t="str">
        <f>IF(B337="","",(VLOOKUP(B337,'SC (Net)'!A:D,4,FALSE))/100)</f>
        <v/>
      </c>
      <c r="I337" s="1" t="str">
        <f>IF(B337="","",(VLOOKUP(B337,'Global (Net)'!A:D,4,FALSE)/100))</f>
        <v/>
      </c>
      <c r="J337" s="1" t="str">
        <f>IF(B337="","",(VLOOKUP(B337,'BOGIX (Net)'!A:D,4,FALSE)/100))</f>
        <v/>
      </c>
      <c r="K337" s="1" t="str">
        <f>IF(B337="","",VLOOKUP(Website!B337,'LC (Gross)'!W:X,2,FALSE)/100)</f>
        <v/>
      </c>
      <c r="L337" s="1" t="str">
        <f>IF(B337="","",VLOOKUP(Website!B337,'SC (Gross)'!P:Q,2,FALSE)/100)</f>
        <v/>
      </c>
      <c r="M337" s="1" t="str">
        <f>IF(B337="","",VLOOKUP(Website!B337,'Global (Gross)'!P:Q,2,FALSE)/100)</f>
        <v/>
      </c>
      <c r="S337" s="22" t="str">
        <f t="shared" si="212"/>
        <v/>
      </c>
      <c r="T337" s="22" t="str">
        <f t="shared" si="213"/>
        <v/>
      </c>
      <c r="U337" s="22" t="str">
        <f t="shared" si="214"/>
        <v/>
      </c>
      <c r="V337" s="22" t="str">
        <f t="shared" si="211"/>
        <v/>
      </c>
      <c r="W337" s="22" t="str">
        <f t="shared" si="215"/>
        <v/>
      </c>
      <c r="X337" s="22" t="str">
        <f t="shared" si="216"/>
        <v/>
      </c>
      <c r="Y337" s="22" t="str">
        <f t="shared" si="217"/>
        <v/>
      </c>
    </row>
    <row r="338" spans="1:25" x14ac:dyDescent="0.25">
      <c r="A338" t="str">
        <f t="shared" si="218"/>
        <v/>
      </c>
      <c r="B338" s="169" t="str">
        <f>IF('LC (Gross)'!A485="","",'LC (Gross)'!A485)</f>
        <v/>
      </c>
      <c r="C338" s="1" t="str">
        <f>IF(B338="","",(VLOOKUP(B338,'LC (Gross)'!A:D,4,FALSE)/100))</f>
        <v/>
      </c>
      <c r="D338" s="1" t="str">
        <f>IF(B338="","",(VLOOKUP(B338,'SC (Gross)'!A:D,4,FALSE))/100)</f>
        <v/>
      </c>
      <c r="E338" s="1" t="str">
        <f>IF(B338="","",(VLOOKUP(B338,'Global (Gross)'!A:D,4,FALSE)/100))</f>
        <v/>
      </c>
      <c r="F338" s="1" t="str">
        <f>IF(B338="","",(VLOOKUP(B338,'BOGIX (Gross)'!A:D,4,FALSE)/100))</f>
        <v/>
      </c>
      <c r="G338" s="1" t="str">
        <f>IF(B338="","",(VLOOKUP(B338,'LC (Net)'!A:D,4,FALSE)/100))</f>
        <v/>
      </c>
      <c r="H338" s="1" t="str">
        <f>IF(B338="","",(VLOOKUP(B338,'SC (Net)'!A:D,4,FALSE))/100)</f>
        <v/>
      </c>
      <c r="I338" s="1" t="str">
        <f>IF(B338="","",(VLOOKUP(B338,'Global (Net)'!A:D,4,FALSE)/100))</f>
        <v/>
      </c>
      <c r="J338" s="1" t="str">
        <f>IF(B338="","",(VLOOKUP(B338,'BOGIX (Net)'!A:D,4,FALSE)/100))</f>
        <v/>
      </c>
      <c r="K338" s="1" t="str">
        <f>IF(B338="","",VLOOKUP(Website!B338,'LC (Gross)'!W:X,2,FALSE)/100)</f>
        <v/>
      </c>
      <c r="L338" s="1" t="str">
        <f>IF(B338="","",VLOOKUP(Website!B338,'SC (Gross)'!P:Q,2,FALSE)/100)</f>
        <v/>
      </c>
      <c r="M338" s="1" t="str">
        <f>IF(B338="","",VLOOKUP(Website!B338,'Global (Gross)'!P:Q,2,FALSE)/100)</f>
        <v/>
      </c>
      <c r="S338" s="22" t="str">
        <f t="shared" si="212"/>
        <v/>
      </c>
      <c r="T338" s="22" t="str">
        <f t="shared" si="213"/>
        <v/>
      </c>
      <c r="U338" s="22" t="str">
        <f t="shared" si="214"/>
        <v/>
      </c>
      <c r="V338" s="22" t="str">
        <f t="shared" si="211"/>
        <v/>
      </c>
      <c r="W338" s="22" t="str">
        <f t="shared" si="215"/>
        <v/>
      </c>
      <c r="X338" s="22" t="str">
        <f t="shared" si="216"/>
        <v/>
      </c>
      <c r="Y338" s="22" t="str">
        <f t="shared" si="217"/>
        <v/>
      </c>
    </row>
    <row r="339" spans="1:25" x14ac:dyDescent="0.25">
      <c r="A339" t="str">
        <f t="shared" si="218"/>
        <v/>
      </c>
      <c r="B339" s="169" t="str">
        <f>IF('LC (Gross)'!A486="","",'LC (Gross)'!A486)</f>
        <v/>
      </c>
      <c r="C339" s="1" t="str">
        <f>IF(B339="","",(VLOOKUP(B339,'LC (Gross)'!A:D,4,FALSE)/100))</f>
        <v/>
      </c>
      <c r="D339" s="1" t="str">
        <f>IF(B339="","",(VLOOKUP(B339,'SC (Gross)'!A:D,4,FALSE))/100)</f>
        <v/>
      </c>
      <c r="E339" s="1" t="str">
        <f>IF(B339="","",(VLOOKUP(B339,'Global (Gross)'!A:D,4,FALSE)/100))</f>
        <v/>
      </c>
      <c r="F339" s="1" t="str">
        <f>IF(B339="","",(VLOOKUP(B339,'BOGIX (Gross)'!A:D,4,FALSE)/100))</f>
        <v/>
      </c>
      <c r="G339" s="1" t="str">
        <f>IF(B339="","",(VLOOKUP(B339,'LC (Net)'!A:D,4,FALSE)/100))</f>
        <v/>
      </c>
      <c r="H339" s="1" t="str">
        <f>IF(B339="","",(VLOOKUP(B339,'SC (Net)'!A:D,4,FALSE))/100)</f>
        <v/>
      </c>
      <c r="I339" s="1" t="str">
        <f>IF(B339="","",(VLOOKUP(B339,'Global (Net)'!A:D,4,FALSE)/100))</f>
        <v/>
      </c>
      <c r="J339" s="1" t="str">
        <f>IF(B339="","",(VLOOKUP(B339,'BOGIX (Net)'!A:D,4,FALSE)/100))</f>
        <v/>
      </c>
      <c r="K339" s="1" t="str">
        <f>IF(B339="","",VLOOKUP(Website!B339,'LC (Gross)'!W:X,2,FALSE)/100)</f>
        <v/>
      </c>
      <c r="L339" s="1" t="str">
        <f>IF(B339="","",VLOOKUP(Website!B339,'SC (Gross)'!P:Q,2,FALSE)/100)</f>
        <v/>
      </c>
      <c r="M339" s="1" t="str">
        <f>IF(B339="","",VLOOKUP(Website!B339,'Global (Gross)'!P:Q,2,FALSE)/100)</f>
        <v/>
      </c>
      <c r="S339" s="22" t="str">
        <f t="shared" si="212"/>
        <v/>
      </c>
      <c r="T339" s="22" t="str">
        <f t="shared" si="213"/>
        <v/>
      </c>
      <c r="U339" s="22" t="str">
        <f t="shared" si="214"/>
        <v/>
      </c>
      <c r="V339" s="22" t="str">
        <f t="shared" si="211"/>
        <v/>
      </c>
      <c r="W339" s="22" t="str">
        <f t="shared" si="215"/>
        <v/>
      </c>
      <c r="X339" s="22" t="str">
        <f t="shared" si="216"/>
        <v/>
      </c>
      <c r="Y339" s="22" t="str">
        <f t="shared" si="217"/>
        <v/>
      </c>
    </row>
    <row r="340" spans="1:25" x14ac:dyDescent="0.25">
      <c r="A340" t="str">
        <f t="shared" si="218"/>
        <v/>
      </c>
      <c r="B340" s="169" t="str">
        <f>IF('LC (Gross)'!A487="","",'LC (Gross)'!A487)</f>
        <v/>
      </c>
      <c r="C340" s="1" t="str">
        <f>IF(B340="","",(VLOOKUP(B340,'LC (Gross)'!A:D,4,FALSE)/100))</f>
        <v/>
      </c>
      <c r="D340" s="1" t="str">
        <f>IF(B340="","",(VLOOKUP(B340,'SC (Gross)'!A:D,4,FALSE))/100)</f>
        <v/>
      </c>
      <c r="E340" s="1" t="str">
        <f>IF(B340="","",(VLOOKUP(B340,'Global (Gross)'!A:D,4,FALSE)/100))</f>
        <v/>
      </c>
      <c r="F340" s="1" t="str">
        <f>IF(B340="","",(VLOOKUP(B340,'BOGIX (Gross)'!A:D,4,FALSE)/100))</f>
        <v/>
      </c>
      <c r="G340" s="1" t="str">
        <f>IF(B340="","",(VLOOKUP(B340,'LC (Net)'!A:D,4,FALSE)/100))</f>
        <v/>
      </c>
      <c r="H340" s="1" t="str">
        <f>IF(B340="","",(VLOOKUP(B340,'SC (Net)'!A:D,4,FALSE))/100)</f>
        <v/>
      </c>
      <c r="I340" s="1" t="str">
        <f>IF(B340="","",(VLOOKUP(B340,'Global (Net)'!A:D,4,FALSE)/100))</f>
        <v/>
      </c>
      <c r="J340" s="1" t="str">
        <f>IF(B340="","",(VLOOKUP(B340,'BOGIX (Net)'!A:D,4,FALSE)/100))</f>
        <v/>
      </c>
      <c r="K340" s="1" t="str">
        <f>IF(B340="","",VLOOKUP(Website!B340,'LC (Gross)'!W:X,2,FALSE)/100)</f>
        <v/>
      </c>
      <c r="L340" s="1" t="str">
        <f>IF(B340="","",VLOOKUP(Website!B340,'SC (Gross)'!P:Q,2,FALSE)/100)</f>
        <v/>
      </c>
      <c r="M340" s="1" t="str">
        <f>IF(B340="","",VLOOKUP(Website!B340,'Global (Gross)'!P:Q,2,FALSE)/100)</f>
        <v/>
      </c>
      <c r="S340" s="22" t="str">
        <f t="shared" si="212"/>
        <v/>
      </c>
      <c r="T340" s="22" t="str">
        <f t="shared" si="213"/>
        <v/>
      </c>
      <c r="U340" s="22" t="str">
        <f t="shared" si="214"/>
        <v/>
      </c>
      <c r="V340" s="22" t="str">
        <f t="shared" si="211"/>
        <v/>
      </c>
      <c r="W340" s="22" t="str">
        <f t="shared" si="215"/>
        <v/>
      </c>
      <c r="X340" s="22" t="str">
        <f t="shared" si="216"/>
        <v/>
      </c>
      <c r="Y340" s="22" t="str">
        <f t="shared" si="217"/>
        <v/>
      </c>
    </row>
    <row r="341" spans="1:25" x14ac:dyDescent="0.25">
      <c r="A341" t="str">
        <f t="shared" si="218"/>
        <v/>
      </c>
      <c r="B341" s="169" t="str">
        <f>IF('LC (Gross)'!A488="","",'LC (Gross)'!A488)</f>
        <v/>
      </c>
      <c r="C341" s="1" t="str">
        <f>IF(B341="","",(VLOOKUP(B341,'LC (Gross)'!A:D,4,FALSE)/100))</f>
        <v/>
      </c>
      <c r="D341" s="1" t="str">
        <f>IF(B341="","",(VLOOKUP(B341,'SC (Gross)'!A:D,4,FALSE))/100)</f>
        <v/>
      </c>
      <c r="E341" s="1" t="str">
        <f>IF(B341="","",(VLOOKUP(B341,'Global (Gross)'!A:D,4,FALSE)/100))</f>
        <v/>
      </c>
      <c r="F341" s="1" t="str">
        <f>IF(B341="","",(VLOOKUP(B341,'BOGIX (Gross)'!A:D,4,FALSE)/100))</f>
        <v/>
      </c>
      <c r="G341" s="1" t="str">
        <f>IF(B341="","",(VLOOKUP(B341,'LC (Net)'!A:D,4,FALSE)/100))</f>
        <v/>
      </c>
      <c r="H341" s="1" t="str">
        <f>IF(B341="","",(VLOOKUP(B341,'SC (Net)'!A:D,4,FALSE))/100)</f>
        <v/>
      </c>
      <c r="I341" s="1" t="str">
        <f>IF(B341="","",(VLOOKUP(B341,'Global (Net)'!A:D,4,FALSE)/100))</f>
        <v/>
      </c>
      <c r="J341" s="1" t="str">
        <f>IF(B341="","",(VLOOKUP(B341,'BOGIX (Net)'!A:D,4,FALSE)/100))</f>
        <v/>
      </c>
      <c r="K341" s="1" t="str">
        <f>IF(B341="","",VLOOKUP(Website!B341,'LC (Gross)'!W:X,2,FALSE)/100)</f>
        <v/>
      </c>
      <c r="L341" s="1" t="str">
        <f>IF(B341="","",VLOOKUP(Website!B341,'SC (Gross)'!P:Q,2,FALSE)/100)</f>
        <v/>
      </c>
      <c r="M341" s="1" t="str">
        <f>IF(B341="","",VLOOKUP(Website!B341,'Global (Gross)'!P:Q,2,FALSE)/100)</f>
        <v/>
      </c>
      <c r="S341" s="22" t="str">
        <f t="shared" si="212"/>
        <v/>
      </c>
      <c r="T341" s="22" t="str">
        <f t="shared" si="213"/>
        <v/>
      </c>
      <c r="U341" s="22" t="str">
        <f t="shared" si="214"/>
        <v/>
      </c>
      <c r="V341" s="22" t="str">
        <f t="shared" si="211"/>
        <v/>
      </c>
      <c r="W341" s="22" t="str">
        <f t="shared" si="215"/>
        <v/>
      </c>
      <c r="X341" s="22" t="str">
        <f t="shared" si="216"/>
        <v/>
      </c>
      <c r="Y341" s="22" t="str">
        <f t="shared" si="217"/>
        <v/>
      </c>
    </row>
    <row r="342" spans="1:25" x14ac:dyDescent="0.25">
      <c r="A342" t="str">
        <f t="shared" si="218"/>
        <v/>
      </c>
      <c r="B342" s="169" t="str">
        <f>IF('LC (Gross)'!A489="","",'LC (Gross)'!A489)</f>
        <v/>
      </c>
      <c r="C342" s="1" t="str">
        <f>IF(B342="","",(VLOOKUP(B342,'LC (Gross)'!A:D,4,FALSE)/100))</f>
        <v/>
      </c>
      <c r="D342" s="1" t="str">
        <f>IF(B342="","",(VLOOKUP(B342,'SC (Gross)'!A:D,4,FALSE))/100)</f>
        <v/>
      </c>
      <c r="E342" s="1" t="str">
        <f>IF(B342="","",(VLOOKUP(B342,'Global (Gross)'!A:D,4,FALSE)/100))</f>
        <v/>
      </c>
      <c r="F342" s="1" t="str">
        <f>IF(B342="","",(VLOOKUP(B342,'BOGIX (Gross)'!A:D,4,FALSE)/100))</f>
        <v/>
      </c>
      <c r="G342" s="1" t="str">
        <f>IF(B342="","",(VLOOKUP(B342,'LC (Net)'!A:D,4,FALSE)/100))</f>
        <v/>
      </c>
      <c r="H342" s="1" t="str">
        <f>IF(B342="","",(VLOOKUP(B342,'SC (Net)'!A:D,4,FALSE))/100)</f>
        <v/>
      </c>
      <c r="I342" s="1" t="str">
        <f>IF(B342="","",(VLOOKUP(B342,'Global (Net)'!A:D,4,FALSE)/100))</f>
        <v/>
      </c>
      <c r="J342" s="1" t="str">
        <f>IF(B342="","",(VLOOKUP(B342,'BOGIX (Net)'!A:D,4,FALSE)/100))</f>
        <v/>
      </c>
      <c r="K342" s="1" t="str">
        <f>IF(B342="","",VLOOKUP(Website!B342,'LC (Gross)'!W:X,2,FALSE)/100)</f>
        <v/>
      </c>
      <c r="L342" s="1" t="str">
        <f>IF(B342="","",VLOOKUP(Website!B342,'SC (Gross)'!P:Q,2,FALSE)/100)</f>
        <v/>
      </c>
      <c r="M342" s="1" t="str">
        <f>IF(B342="","",VLOOKUP(Website!B342,'Global (Gross)'!P:Q,2,FALSE)/100)</f>
        <v/>
      </c>
      <c r="S342" s="22" t="str">
        <f t="shared" si="212"/>
        <v/>
      </c>
      <c r="T342" s="22" t="str">
        <f t="shared" si="213"/>
        <v/>
      </c>
      <c r="U342" s="22" t="str">
        <f t="shared" si="214"/>
        <v/>
      </c>
      <c r="V342" s="22" t="str">
        <f t="shared" si="211"/>
        <v/>
      </c>
      <c r="W342" s="22" t="str">
        <f t="shared" si="215"/>
        <v/>
      </c>
      <c r="X342" s="22" t="str">
        <f t="shared" si="216"/>
        <v/>
      </c>
      <c r="Y342" s="22" t="str">
        <f t="shared" si="217"/>
        <v/>
      </c>
    </row>
    <row r="343" spans="1:25" x14ac:dyDescent="0.25">
      <c r="A343" t="str">
        <f t="shared" si="218"/>
        <v/>
      </c>
      <c r="B343" s="169" t="str">
        <f>IF('LC (Gross)'!A490="","",'LC (Gross)'!A490)</f>
        <v/>
      </c>
      <c r="C343" s="1" t="str">
        <f>IF(B343="","",(VLOOKUP(B343,'LC (Gross)'!A:D,4,FALSE)/100))</f>
        <v/>
      </c>
      <c r="D343" s="1" t="str">
        <f>IF(B343="","",(VLOOKUP(B343,'SC (Gross)'!A:D,4,FALSE))/100)</f>
        <v/>
      </c>
      <c r="E343" s="1" t="str">
        <f>IF(B343="","",(VLOOKUP(B343,'Global (Gross)'!A:D,4,FALSE)/100))</f>
        <v/>
      </c>
      <c r="F343" s="1" t="str">
        <f>IF(B343="","",(VLOOKUP(B343,'BOGIX (Gross)'!A:D,4,FALSE)/100))</f>
        <v/>
      </c>
      <c r="G343" s="1" t="str">
        <f>IF(B343="","",(VLOOKUP(B343,'LC (Net)'!A:D,4,FALSE)/100))</f>
        <v/>
      </c>
      <c r="H343" s="1" t="str">
        <f>IF(B343="","",(VLOOKUP(B343,'SC (Net)'!A:D,4,FALSE))/100)</f>
        <v/>
      </c>
      <c r="I343" s="1" t="str">
        <f>IF(B343="","",(VLOOKUP(B343,'Global (Net)'!A:D,4,FALSE)/100))</f>
        <v/>
      </c>
      <c r="J343" s="1" t="str">
        <f>IF(B343="","",(VLOOKUP(B343,'BOGIX (Net)'!A:D,4,FALSE)/100))</f>
        <v/>
      </c>
      <c r="K343" s="1" t="str">
        <f>IF(B343="","",VLOOKUP(Website!B343,'LC (Gross)'!W:X,2,FALSE)/100)</f>
        <v/>
      </c>
      <c r="L343" s="1" t="str">
        <f>IF(B343="","",VLOOKUP(Website!B343,'SC (Gross)'!P:Q,2,FALSE)/100)</f>
        <v/>
      </c>
      <c r="M343" s="1" t="str">
        <f>IF(B343="","",VLOOKUP(Website!B343,'Global (Gross)'!P:Q,2,FALSE)/100)</f>
        <v/>
      </c>
      <c r="S343" s="22" t="str">
        <f t="shared" si="212"/>
        <v/>
      </c>
      <c r="T343" s="22" t="str">
        <f t="shared" si="213"/>
        <v/>
      </c>
      <c r="U343" s="22" t="str">
        <f t="shared" si="214"/>
        <v/>
      </c>
      <c r="V343" s="22" t="str">
        <f t="shared" si="211"/>
        <v/>
      </c>
      <c r="W343" s="22" t="str">
        <f t="shared" si="215"/>
        <v/>
      </c>
      <c r="X343" s="22" t="str">
        <f t="shared" si="216"/>
        <v/>
      </c>
      <c r="Y343" s="22" t="str">
        <f t="shared" si="217"/>
        <v/>
      </c>
    </row>
    <row r="344" spans="1:25" x14ac:dyDescent="0.25">
      <c r="A344" t="str">
        <f t="shared" si="218"/>
        <v/>
      </c>
      <c r="B344" s="169" t="str">
        <f>IF('LC (Gross)'!A491="","",'LC (Gross)'!A491)</f>
        <v/>
      </c>
      <c r="C344" s="1" t="str">
        <f>IF(B344="","",(VLOOKUP(B344,'LC (Gross)'!A:D,4,FALSE)/100))</f>
        <v/>
      </c>
      <c r="D344" s="1" t="str">
        <f>IF(B344="","",(VLOOKUP(B344,'SC (Gross)'!A:D,4,FALSE))/100)</f>
        <v/>
      </c>
      <c r="E344" s="1" t="str">
        <f>IF(B344="","",(VLOOKUP(B344,'Global (Gross)'!A:D,4,FALSE)/100))</f>
        <v/>
      </c>
      <c r="F344" s="1" t="str">
        <f>IF(B344="","",(VLOOKUP(B344,'BOGIX (Gross)'!A:D,4,FALSE)/100))</f>
        <v/>
      </c>
      <c r="G344" s="1" t="str">
        <f>IF(B344="","",(VLOOKUP(B344,'LC (Net)'!A:D,4,FALSE)/100))</f>
        <v/>
      </c>
      <c r="H344" s="1" t="str">
        <f>IF(B344="","",(VLOOKUP(B344,'SC (Net)'!A:D,4,FALSE))/100)</f>
        <v/>
      </c>
      <c r="I344" s="1" t="str">
        <f>IF(B344="","",(VLOOKUP(B344,'Global (Net)'!A:D,4,FALSE)/100))</f>
        <v/>
      </c>
      <c r="J344" s="1" t="str">
        <f>IF(B344="","",(VLOOKUP(B344,'BOGIX (Net)'!A:D,4,FALSE)/100))</f>
        <v/>
      </c>
      <c r="K344" s="1" t="str">
        <f>IF(B344="","",VLOOKUP(Website!B344,'LC (Gross)'!W:X,2,FALSE)/100)</f>
        <v/>
      </c>
      <c r="L344" s="1" t="str">
        <f>IF(B344="","",VLOOKUP(Website!B344,'SC (Gross)'!P:Q,2,FALSE)/100)</f>
        <v/>
      </c>
      <c r="M344" s="1" t="str">
        <f>IF(B344="","",VLOOKUP(Website!B344,'Global (Gross)'!P:Q,2,FALSE)/100)</f>
        <v/>
      </c>
      <c r="S344" s="22" t="str">
        <f t="shared" si="212"/>
        <v/>
      </c>
      <c r="T344" s="22" t="str">
        <f t="shared" si="213"/>
        <v/>
      </c>
      <c r="U344" s="22" t="str">
        <f t="shared" si="214"/>
        <v/>
      </c>
      <c r="V344" s="22" t="str">
        <f t="shared" si="211"/>
        <v/>
      </c>
      <c r="W344" s="22" t="str">
        <f t="shared" si="215"/>
        <v/>
      </c>
      <c r="X344" s="22" t="str">
        <f t="shared" si="216"/>
        <v/>
      </c>
      <c r="Y344" s="22" t="str">
        <f t="shared" si="217"/>
        <v/>
      </c>
    </row>
    <row r="345" spans="1:25" x14ac:dyDescent="0.25">
      <c r="A345" t="str">
        <f t="shared" si="218"/>
        <v/>
      </c>
      <c r="B345" s="169" t="str">
        <f>IF('LC (Gross)'!A492="","",'LC (Gross)'!A492)</f>
        <v/>
      </c>
      <c r="C345" s="1" t="str">
        <f>IF(B345="","",(VLOOKUP(B345,'LC (Gross)'!A:D,4,FALSE)/100))</f>
        <v/>
      </c>
      <c r="D345" s="1" t="str">
        <f>IF(B345="","",(VLOOKUP(B345,'SC (Gross)'!A:D,4,FALSE))/100)</f>
        <v/>
      </c>
      <c r="E345" s="1" t="str">
        <f>IF(B345="","",(VLOOKUP(B345,'Global (Gross)'!A:D,4,FALSE)/100))</f>
        <v/>
      </c>
      <c r="F345" s="1" t="str">
        <f>IF(B345="","",(VLOOKUP(B345,'BOGIX (Gross)'!A:D,4,FALSE)/100))</f>
        <v/>
      </c>
      <c r="G345" s="1" t="str">
        <f>IF(B345="","",(VLOOKUP(B345,'LC (Net)'!A:D,4,FALSE)/100))</f>
        <v/>
      </c>
      <c r="H345" s="1" t="str">
        <f>IF(B345="","",(VLOOKUP(B345,'SC (Net)'!A:D,4,FALSE))/100)</f>
        <v/>
      </c>
      <c r="I345" s="1" t="str">
        <f>IF(B345="","",(VLOOKUP(B345,'Global (Net)'!A:D,4,FALSE)/100))</f>
        <v/>
      </c>
      <c r="J345" s="1" t="str">
        <f>IF(B345="","",(VLOOKUP(B345,'BOGIX (Net)'!A:D,4,FALSE)/100))</f>
        <v/>
      </c>
      <c r="K345" s="1" t="str">
        <f>IF(B345="","",VLOOKUP(Website!B345,'LC (Gross)'!W:X,2,FALSE)/100)</f>
        <v/>
      </c>
      <c r="L345" s="1" t="str">
        <f>IF(B345="","",VLOOKUP(Website!B345,'SC (Gross)'!P:Q,2,FALSE)/100)</f>
        <v/>
      </c>
      <c r="M345" s="1" t="str">
        <f>IF(B345="","",VLOOKUP(Website!B345,'Global (Gross)'!P:Q,2,FALSE)/100)</f>
        <v/>
      </c>
      <c r="S345" s="22" t="str">
        <f t="shared" si="212"/>
        <v/>
      </c>
      <c r="T345" s="22" t="str">
        <f t="shared" si="213"/>
        <v/>
      </c>
      <c r="U345" s="22" t="str">
        <f t="shared" si="214"/>
        <v/>
      </c>
      <c r="V345" s="22" t="str">
        <f t="shared" si="211"/>
        <v/>
      </c>
      <c r="W345" s="22" t="str">
        <f t="shared" si="215"/>
        <v/>
      </c>
      <c r="X345" s="22" t="str">
        <f t="shared" si="216"/>
        <v/>
      </c>
      <c r="Y345" s="22" t="str">
        <f t="shared" si="217"/>
        <v/>
      </c>
    </row>
    <row r="346" spans="1:25" x14ac:dyDescent="0.25">
      <c r="A346" t="str">
        <f t="shared" si="218"/>
        <v/>
      </c>
      <c r="B346" s="169" t="str">
        <f>IF('LC (Gross)'!A493="","",'LC (Gross)'!A493)</f>
        <v/>
      </c>
      <c r="C346" s="1" t="str">
        <f>IF(B346="","",(VLOOKUP(B346,'LC (Gross)'!A:D,4,FALSE)/100))</f>
        <v/>
      </c>
      <c r="D346" s="1" t="str">
        <f>IF(B346="","",(VLOOKUP(B346,'SC (Gross)'!A:D,4,FALSE))/100)</f>
        <v/>
      </c>
      <c r="E346" s="1" t="str">
        <f>IF(B346="","",(VLOOKUP(B346,'Global (Gross)'!A:D,4,FALSE)/100))</f>
        <v/>
      </c>
      <c r="F346" s="1" t="str">
        <f>IF(B346="","",(VLOOKUP(B346,'BOGIX (Gross)'!A:D,4,FALSE)/100))</f>
        <v/>
      </c>
      <c r="G346" s="1" t="str">
        <f>IF(B346="","",(VLOOKUP(B346,'LC (Net)'!A:D,4,FALSE)/100))</f>
        <v/>
      </c>
      <c r="H346" s="1" t="str">
        <f>IF(B346="","",(VLOOKUP(B346,'SC (Net)'!A:D,4,FALSE))/100)</f>
        <v/>
      </c>
      <c r="I346" s="1" t="str">
        <f>IF(B346="","",(VLOOKUP(B346,'Global (Net)'!A:D,4,FALSE)/100))</f>
        <v/>
      </c>
      <c r="J346" s="1" t="str">
        <f>IF(B346="","",(VLOOKUP(B346,'BOGIX (Net)'!A:D,4,FALSE)/100))</f>
        <v/>
      </c>
      <c r="K346" s="1" t="str">
        <f>IF(B346="","",VLOOKUP(Website!B346,'LC (Gross)'!W:X,2,FALSE)/100)</f>
        <v/>
      </c>
      <c r="L346" s="1" t="str">
        <f>IF(B346="","",VLOOKUP(Website!B346,'SC (Gross)'!P:Q,2,FALSE)/100)</f>
        <v/>
      </c>
      <c r="M346" s="1" t="str">
        <f>IF(B346="","",VLOOKUP(Website!B346,'Global (Gross)'!P:Q,2,FALSE)/100)</f>
        <v/>
      </c>
      <c r="S346" s="22" t="str">
        <f t="shared" si="212"/>
        <v/>
      </c>
      <c r="T346" s="22" t="str">
        <f t="shared" si="213"/>
        <v/>
      </c>
      <c r="U346" s="22" t="str">
        <f t="shared" si="214"/>
        <v/>
      </c>
      <c r="V346" s="22" t="str">
        <f t="shared" si="211"/>
        <v/>
      </c>
      <c r="W346" s="22" t="str">
        <f t="shared" si="215"/>
        <v/>
      </c>
      <c r="X346" s="22" t="str">
        <f t="shared" si="216"/>
        <v/>
      </c>
      <c r="Y346" s="22" t="str">
        <f t="shared" si="217"/>
        <v/>
      </c>
    </row>
    <row r="347" spans="1:25" x14ac:dyDescent="0.25">
      <c r="A347" t="str">
        <f t="shared" si="218"/>
        <v/>
      </c>
      <c r="B347" s="169" t="str">
        <f>IF('LC (Gross)'!A494="","",'LC (Gross)'!A494)</f>
        <v/>
      </c>
      <c r="C347" s="1" t="str">
        <f>IF(B347="","",(VLOOKUP(B347,'LC (Gross)'!A:D,4,FALSE)/100))</f>
        <v/>
      </c>
      <c r="D347" s="1" t="str">
        <f>IF(B347="","",(VLOOKUP(B347,'SC (Gross)'!A:D,4,FALSE))/100)</f>
        <v/>
      </c>
      <c r="E347" s="1" t="str">
        <f>IF(B347="","",(VLOOKUP(B347,'Global (Gross)'!A:D,4,FALSE)/100))</f>
        <v/>
      </c>
      <c r="F347" s="1" t="str">
        <f>IF(B347="","",(VLOOKUP(B347,'BOGIX (Gross)'!A:D,4,FALSE)/100))</f>
        <v/>
      </c>
      <c r="G347" s="1" t="str">
        <f>IF(B347="","",(VLOOKUP(B347,'LC (Net)'!A:D,4,FALSE)/100))</f>
        <v/>
      </c>
      <c r="H347" s="1" t="str">
        <f>IF(B347="","",(VLOOKUP(B347,'SC (Net)'!A:D,4,FALSE))/100)</f>
        <v/>
      </c>
      <c r="I347" s="1" t="str">
        <f>IF(B347="","",(VLOOKUP(B347,'Global (Net)'!A:D,4,FALSE)/100))</f>
        <v/>
      </c>
      <c r="J347" s="1" t="str">
        <f>IF(B347="","",(VLOOKUP(B347,'BOGIX (Net)'!A:D,4,FALSE)/100))</f>
        <v/>
      </c>
      <c r="K347" s="1" t="str">
        <f>IF(B347="","",VLOOKUP(Website!B347,'LC (Gross)'!W:X,2,FALSE)/100)</f>
        <v/>
      </c>
      <c r="L347" s="1" t="str">
        <f>IF(B347="","",VLOOKUP(Website!B347,'SC (Gross)'!P:Q,2,FALSE)/100)</f>
        <v/>
      </c>
      <c r="M347" s="1" t="str">
        <f>IF(B347="","",VLOOKUP(Website!B347,'Global (Gross)'!P:Q,2,FALSE)/100)</f>
        <v/>
      </c>
      <c r="S347" s="22" t="str">
        <f t="shared" si="212"/>
        <v/>
      </c>
      <c r="T347" s="22" t="str">
        <f t="shared" si="213"/>
        <v/>
      </c>
      <c r="U347" s="22" t="str">
        <f t="shared" si="214"/>
        <v/>
      </c>
      <c r="V347" s="22" t="str">
        <f t="shared" si="211"/>
        <v/>
      </c>
      <c r="W347" s="22" t="str">
        <f t="shared" si="215"/>
        <v/>
      </c>
      <c r="X347" s="22" t="str">
        <f t="shared" si="216"/>
        <v/>
      </c>
      <c r="Y347" s="22" t="str">
        <f t="shared" si="217"/>
        <v/>
      </c>
    </row>
    <row r="348" spans="1:25" x14ac:dyDescent="0.25">
      <c r="A348" t="str">
        <f t="shared" si="218"/>
        <v/>
      </c>
      <c r="B348" s="169" t="str">
        <f>IF('LC (Gross)'!A495="","",'LC (Gross)'!A495)</f>
        <v/>
      </c>
      <c r="C348" s="1" t="str">
        <f>IF(B348="","",(VLOOKUP(B348,'LC (Gross)'!A:D,4,FALSE)/100))</f>
        <v/>
      </c>
      <c r="D348" s="1" t="str">
        <f>IF(B348="","",(VLOOKUP(B348,'SC (Gross)'!A:D,4,FALSE))/100)</f>
        <v/>
      </c>
      <c r="E348" s="1" t="str">
        <f>IF(B348="","",(VLOOKUP(B348,'Global (Gross)'!A:D,4,FALSE)/100))</f>
        <v/>
      </c>
      <c r="F348" s="1" t="str">
        <f>IF(B348="","",(VLOOKUP(B348,'BOGIX (Gross)'!A:D,4,FALSE)/100))</f>
        <v/>
      </c>
      <c r="G348" s="1" t="str">
        <f>IF(B348="","",(VLOOKUP(B348,'LC (Net)'!A:D,4,FALSE)/100))</f>
        <v/>
      </c>
      <c r="H348" s="1" t="str">
        <f>IF(B348="","",(VLOOKUP(B348,'SC (Net)'!A:D,4,FALSE))/100)</f>
        <v/>
      </c>
      <c r="I348" s="1" t="str">
        <f>IF(B348="","",(VLOOKUP(B348,'Global (Net)'!A:D,4,FALSE)/100))</f>
        <v/>
      </c>
      <c r="J348" s="1" t="str">
        <f>IF(B348="","",(VLOOKUP(B348,'BOGIX (Net)'!A:D,4,FALSE)/100))</f>
        <v/>
      </c>
      <c r="K348" s="1" t="str">
        <f>IF(B348="","",VLOOKUP(Website!B348,'LC (Gross)'!W:X,2,FALSE)/100)</f>
        <v/>
      </c>
      <c r="L348" s="1" t="str">
        <f>IF(B348="","",VLOOKUP(Website!B348,'SC (Gross)'!P:Q,2,FALSE)/100)</f>
        <v/>
      </c>
      <c r="M348" s="1" t="str">
        <f>IF(B348="","",VLOOKUP(Website!B348,'Global (Gross)'!P:Q,2,FALSE)/100)</f>
        <v/>
      </c>
      <c r="S348" s="22" t="str">
        <f t="shared" si="212"/>
        <v/>
      </c>
      <c r="T348" s="22" t="str">
        <f t="shared" si="213"/>
        <v/>
      </c>
      <c r="U348" s="22" t="str">
        <f t="shared" si="214"/>
        <v/>
      </c>
      <c r="V348" s="22" t="str">
        <f t="shared" si="211"/>
        <v/>
      </c>
      <c r="W348" s="22" t="str">
        <f t="shared" si="215"/>
        <v/>
      </c>
      <c r="X348" s="22" t="str">
        <f t="shared" si="216"/>
        <v/>
      </c>
      <c r="Y348" s="22" t="str">
        <f t="shared" si="217"/>
        <v/>
      </c>
    </row>
    <row r="349" spans="1:25" x14ac:dyDescent="0.25">
      <c r="A349" t="str">
        <f t="shared" si="218"/>
        <v/>
      </c>
      <c r="B349" s="169" t="str">
        <f>IF('LC (Gross)'!A496="","",'LC (Gross)'!A496)</f>
        <v/>
      </c>
      <c r="C349" s="1" t="str">
        <f>IF(B349="","",(VLOOKUP(B349,'LC (Gross)'!A:D,4,FALSE)/100))</f>
        <v/>
      </c>
      <c r="D349" s="1" t="str">
        <f>IF(B349="","",(VLOOKUP(B349,'SC (Gross)'!A:D,4,FALSE))/100)</f>
        <v/>
      </c>
      <c r="E349" s="1" t="str">
        <f>IF(B349="","",(VLOOKUP(B349,'Global (Gross)'!A:D,4,FALSE)/100))</f>
        <v/>
      </c>
      <c r="F349" s="1" t="str">
        <f>IF(B349="","",(VLOOKUP(B349,'BOGIX (Gross)'!A:D,4,FALSE)/100))</f>
        <v/>
      </c>
      <c r="G349" s="1" t="str">
        <f>IF(B349="","",(VLOOKUP(B349,'LC (Net)'!A:D,4,FALSE)/100))</f>
        <v/>
      </c>
      <c r="H349" s="1" t="str">
        <f>IF(B349="","",(VLOOKUP(B349,'SC (Net)'!A:D,4,FALSE))/100)</f>
        <v/>
      </c>
      <c r="I349" s="1" t="str">
        <f>IF(B349="","",(VLOOKUP(B349,'Global (Net)'!A:D,4,FALSE)/100))</f>
        <v/>
      </c>
      <c r="J349" s="1" t="str">
        <f>IF(B349="","",(VLOOKUP(B349,'BOGIX (Net)'!A:D,4,FALSE)/100))</f>
        <v/>
      </c>
      <c r="K349" s="1" t="str">
        <f>IF(B349="","",VLOOKUP(Website!B349,'LC (Gross)'!W:X,2,FALSE)/100)</f>
        <v/>
      </c>
      <c r="L349" s="1" t="str">
        <f>IF(B349="","",VLOOKUP(Website!B349,'SC (Gross)'!P:Q,2,FALSE)/100)</f>
        <v/>
      </c>
      <c r="M349" s="1" t="str">
        <f>IF(B349="","",VLOOKUP(Website!B349,'Global (Gross)'!P:Q,2,FALSE)/100)</f>
        <v/>
      </c>
      <c r="S349" s="22" t="str">
        <f t="shared" si="212"/>
        <v/>
      </c>
      <c r="T349" s="22" t="str">
        <f t="shared" si="213"/>
        <v/>
      </c>
      <c r="U349" s="22" t="str">
        <f t="shared" si="214"/>
        <v/>
      </c>
      <c r="V349" s="22" t="str">
        <f t="shared" si="211"/>
        <v/>
      </c>
      <c r="W349" s="22" t="str">
        <f t="shared" si="215"/>
        <v/>
      </c>
      <c r="X349" s="22" t="str">
        <f t="shared" si="216"/>
        <v/>
      </c>
      <c r="Y349" s="22" t="str">
        <f t="shared" si="217"/>
        <v/>
      </c>
    </row>
    <row r="350" spans="1:25" x14ac:dyDescent="0.25">
      <c r="A350" t="str">
        <f t="shared" si="218"/>
        <v/>
      </c>
      <c r="B350" s="169" t="str">
        <f>IF('LC (Gross)'!A497="","",'LC (Gross)'!A497)</f>
        <v/>
      </c>
      <c r="C350" s="1" t="str">
        <f>IF(B350="","",(VLOOKUP(B350,'LC (Gross)'!A:D,4,FALSE)/100))</f>
        <v/>
      </c>
      <c r="D350" s="1" t="str">
        <f>IF(B350="","",(VLOOKUP(B350,'SC (Gross)'!A:D,4,FALSE))/100)</f>
        <v/>
      </c>
      <c r="E350" s="1" t="str">
        <f>IF(B350="","",(VLOOKUP(B350,'Global (Gross)'!A:D,4,FALSE)/100))</f>
        <v/>
      </c>
      <c r="F350" s="1" t="str">
        <f>IF(B350="","",(VLOOKUP(B350,'BOGIX (Gross)'!A:D,4,FALSE)/100))</f>
        <v/>
      </c>
      <c r="G350" s="1" t="str">
        <f>IF(B350="","",(VLOOKUP(B350,'LC (Net)'!A:D,4,FALSE)/100))</f>
        <v/>
      </c>
      <c r="H350" s="1" t="str">
        <f>IF(B350="","",(VLOOKUP(B350,'SC (Net)'!A:D,4,FALSE))/100)</f>
        <v/>
      </c>
      <c r="I350" s="1" t="str">
        <f>IF(B350="","",(VLOOKUP(B350,'Global (Net)'!A:D,4,FALSE)/100))</f>
        <v/>
      </c>
      <c r="J350" s="1" t="str">
        <f>IF(B350="","",(VLOOKUP(B350,'BOGIX (Net)'!A:D,4,FALSE)/100))</f>
        <v/>
      </c>
      <c r="K350" s="1" t="str">
        <f>IF(B350="","",VLOOKUP(Website!B350,'LC (Gross)'!W:X,2,FALSE)/100)</f>
        <v/>
      </c>
      <c r="L350" s="1" t="str">
        <f>IF(B350="","",VLOOKUP(Website!B350,'SC (Gross)'!P:Q,2,FALSE)/100)</f>
        <v/>
      </c>
      <c r="M350" s="1" t="str">
        <f>IF(B350="","",VLOOKUP(Website!B350,'Global (Gross)'!P:Q,2,FALSE)/100)</f>
        <v/>
      </c>
      <c r="S350" s="22" t="str">
        <f t="shared" si="212"/>
        <v/>
      </c>
      <c r="T350" s="22" t="str">
        <f t="shared" si="213"/>
        <v/>
      </c>
      <c r="U350" s="22" t="str">
        <f t="shared" si="214"/>
        <v/>
      </c>
      <c r="V350" s="22" t="str">
        <f t="shared" si="211"/>
        <v/>
      </c>
      <c r="W350" s="22" t="str">
        <f t="shared" si="215"/>
        <v/>
      </c>
      <c r="X350" s="22" t="str">
        <f t="shared" si="216"/>
        <v/>
      </c>
      <c r="Y350" s="22" t="str">
        <f t="shared" si="217"/>
        <v/>
      </c>
    </row>
    <row r="351" spans="1:25" x14ac:dyDescent="0.25">
      <c r="A351" t="str">
        <f t="shared" si="218"/>
        <v/>
      </c>
      <c r="B351" s="169" t="str">
        <f>IF('LC (Gross)'!A498="","",'LC (Gross)'!A498)</f>
        <v/>
      </c>
      <c r="C351" s="1" t="str">
        <f>IF(B351="","",(VLOOKUP(B351,'LC (Gross)'!A:D,4,FALSE)/100))</f>
        <v/>
      </c>
      <c r="D351" s="1" t="str">
        <f>IF(B351="","",(VLOOKUP(B351,'SC (Gross)'!A:D,4,FALSE))/100)</f>
        <v/>
      </c>
      <c r="E351" s="1" t="str">
        <f>IF(B351="","",(VLOOKUP(B351,'Global (Gross)'!A:D,4,FALSE)/100))</f>
        <v/>
      </c>
      <c r="F351" s="1" t="str">
        <f>IF(B351="","",(VLOOKUP(B351,'BOGIX (Gross)'!A:D,4,FALSE)/100))</f>
        <v/>
      </c>
      <c r="G351" s="1" t="str">
        <f>IF(B351="","",(VLOOKUP(B351,'LC (Net)'!A:D,4,FALSE)/100))</f>
        <v/>
      </c>
      <c r="H351" s="1" t="str">
        <f>IF(B351="","",(VLOOKUP(B351,'SC (Net)'!A:D,4,FALSE))/100)</f>
        <v/>
      </c>
      <c r="I351" s="1" t="str">
        <f>IF(B351="","",(VLOOKUP(B351,'Global (Net)'!A:D,4,FALSE)/100))</f>
        <v/>
      </c>
      <c r="J351" s="1" t="str">
        <f>IF(B351="","",(VLOOKUP(B351,'BOGIX (Net)'!A:D,4,FALSE)/100))</f>
        <v/>
      </c>
      <c r="K351" s="1" t="str">
        <f>IF(B351="","",VLOOKUP(Website!B351,'LC (Gross)'!W:X,2,FALSE)/100)</f>
        <v/>
      </c>
      <c r="L351" s="1" t="str">
        <f>IF(B351="","",VLOOKUP(Website!B351,'SC (Gross)'!P:Q,2,FALSE)/100)</f>
        <v/>
      </c>
      <c r="M351" s="1" t="str">
        <f>IF(B351="","",VLOOKUP(Website!B351,'Global (Gross)'!P:Q,2,FALSE)/100)</f>
        <v/>
      </c>
      <c r="S351" s="22" t="str">
        <f t="shared" si="212"/>
        <v/>
      </c>
      <c r="T351" s="22" t="str">
        <f t="shared" si="213"/>
        <v/>
      </c>
      <c r="U351" s="22" t="str">
        <f t="shared" si="214"/>
        <v/>
      </c>
      <c r="V351" s="22" t="str">
        <f t="shared" si="211"/>
        <v/>
      </c>
      <c r="W351" s="22" t="str">
        <f t="shared" si="215"/>
        <v/>
      </c>
      <c r="X351" s="22" t="str">
        <f t="shared" si="216"/>
        <v/>
      </c>
      <c r="Y351" s="22" t="str">
        <f t="shared" si="217"/>
        <v/>
      </c>
    </row>
    <row r="352" spans="1:25" x14ac:dyDescent="0.25">
      <c r="A352" t="str">
        <f t="shared" si="218"/>
        <v/>
      </c>
      <c r="B352" s="169" t="str">
        <f>IF('LC (Gross)'!A499="","",'LC (Gross)'!A499)</f>
        <v/>
      </c>
      <c r="C352" s="1" t="str">
        <f>IF(B352="","",(VLOOKUP(B352,'LC (Gross)'!A:D,4,FALSE)/100))</f>
        <v/>
      </c>
      <c r="D352" s="1" t="str">
        <f>IF(B352="","",(VLOOKUP(B352,'SC (Gross)'!A:D,4,FALSE))/100)</f>
        <v/>
      </c>
      <c r="E352" s="1" t="str">
        <f>IF(B352="","",(VLOOKUP(B352,'Global (Gross)'!A:D,4,FALSE)/100))</f>
        <v/>
      </c>
      <c r="F352" s="1" t="str">
        <f>IF(B352="","",(VLOOKUP(B352,'BOGIX (Gross)'!A:D,4,FALSE)/100))</f>
        <v/>
      </c>
      <c r="G352" s="1" t="str">
        <f>IF(B352="","",(VLOOKUP(B352,'LC (Net)'!A:D,4,FALSE)/100))</f>
        <v/>
      </c>
      <c r="H352" s="1" t="str">
        <f>IF(B352="","",(VLOOKUP(B352,'SC (Net)'!A:D,4,FALSE))/100)</f>
        <v/>
      </c>
      <c r="I352" s="1" t="str">
        <f>IF(B352="","",(VLOOKUP(B352,'Global (Net)'!A:D,4,FALSE)/100))</f>
        <v/>
      </c>
      <c r="J352" s="1" t="str">
        <f>IF(B352="","",(VLOOKUP(B352,'BOGIX (Net)'!A:D,4,FALSE)/100))</f>
        <v/>
      </c>
      <c r="K352" s="1" t="str">
        <f>IF(B352="","",VLOOKUP(Website!B352,'LC (Gross)'!W:X,2,FALSE)/100)</f>
        <v/>
      </c>
      <c r="L352" s="1" t="str">
        <f>IF(B352="","",VLOOKUP(Website!B352,'SC (Gross)'!P:Q,2,FALSE)/100)</f>
        <v/>
      </c>
      <c r="M352" s="1" t="str">
        <f>IF(B352="","",VLOOKUP(Website!B352,'Global (Gross)'!P:Q,2,FALSE)/100)</f>
        <v/>
      </c>
      <c r="S352" s="22" t="str">
        <f t="shared" si="212"/>
        <v/>
      </c>
      <c r="T352" s="22" t="str">
        <f t="shared" si="213"/>
        <v/>
      </c>
      <c r="U352" s="22" t="str">
        <f t="shared" si="214"/>
        <v/>
      </c>
      <c r="V352" s="22" t="str">
        <f t="shared" si="211"/>
        <v/>
      </c>
      <c r="W352" s="22" t="str">
        <f t="shared" si="215"/>
        <v/>
      </c>
      <c r="X352" s="22" t="str">
        <f t="shared" si="216"/>
        <v/>
      </c>
      <c r="Y352" s="22" t="str">
        <f t="shared" si="217"/>
        <v/>
      </c>
    </row>
    <row r="353" spans="1:25" x14ac:dyDescent="0.25">
      <c r="A353" t="str">
        <f t="shared" si="218"/>
        <v/>
      </c>
      <c r="B353" s="169" t="str">
        <f>IF('LC (Gross)'!A500="","",'LC (Gross)'!A500)</f>
        <v/>
      </c>
      <c r="C353" s="1" t="str">
        <f>IF(B353="","",(VLOOKUP(B353,'LC (Gross)'!A:D,4,FALSE)/100))</f>
        <v/>
      </c>
      <c r="D353" s="1" t="str">
        <f>IF(B353="","",(VLOOKUP(B353,'SC (Gross)'!A:D,4,FALSE))/100)</f>
        <v/>
      </c>
      <c r="E353" s="1" t="str">
        <f>IF(B353="","",(VLOOKUP(B353,'Global (Gross)'!A:D,4,FALSE)/100))</f>
        <v/>
      </c>
      <c r="F353" s="1" t="str">
        <f>IF(B353="","",(VLOOKUP(B353,'BOGIX (Gross)'!A:D,4,FALSE)/100))</f>
        <v/>
      </c>
      <c r="G353" s="1" t="str">
        <f>IF(B353="","",(VLOOKUP(B353,'LC (Net)'!A:D,4,FALSE)/100))</f>
        <v/>
      </c>
      <c r="H353" s="1" t="str">
        <f>IF(B353="","",(VLOOKUP(B353,'SC (Net)'!A:D,4,FALSE))/100)</f>
        <v/>
      </c>
      <c r="I353" s="1" t="str">
        <f>IF(B353="","",(VLOOKUP(B353,'Global (Net)'!A:D,4,FALSE)/100))</f>
        <v/>
      </c>
      <c r="J353" s="1" t="str">
        <f>IF(B353="","",(VLOOKUP(B353,'BOGIX (Net)'!A:D,4,FALSE)/100))</f>
        <v/>
      </c>
      <c r="K353" s="1" t="str">
        <f>IF(B353="","",VLOOKUP(Website!B353,'LC (Gross)'!W:X,2,FALSE)/100)</f>
        <v/>
      </c>
      <c r="L353" s="1" t="str">
        <f>IF(B353="","",VLOOKUP(Website!B353,'SC (Gross)'!P:Q,2,FALSE)/100)</f>
        <v/>
      </c>
      <c r="M353" s="1" t="str">
        <f>IF(B353="","",VLOOKUP(Website!B353,'Global (Gross)'!P:Q,2,FALSE)/100)</f>
        <v/>
      </c>
      <c r="S353" s="22" t="str">
        <f t="shared" si="212"/>
        <v/>
      </c>
      <c r="T353" s="22" t="str">
        <f t="shared" si="213"/>
        <v/>
      </c>
      <c r="U353" s="22" t="str">
        <f t="shared" si="214"/>
        <v/>
      </c>
      <c r="V353" s="22" t="str">
        <f t="shared" si="211"/>
        <v/>
      </c>
      <c r="W353" s="22" t="str">
        <f t="shared" si="215"/>
        <v/>
      </c>
      <c r="X353" s="22" t="str">
        <f t="shared" si="216"/>
        <v/>
      </c>
      <c r="Y353" s="22" t="str">
        <f t="shared" si="217"/>
        <v/>
      </c>
    </row>
    <row r="354" spans="1:25" x14ac:dyDescent="0.25">
      <c r="A354" t="str">
        <f t="shared" si="218"/>
        <v/>
      </c>
      <c r="B354" s="169" t="str">
        <f>IF('LC (Gross)'!A501="","",'LC (Gross)'!A501)</f>
        <v/>
      </c>
      <c r="C354" s="1" t="str">
        <f>IF(B354="","",(VLOOKUP(B354,'LC (Gross)'!A:D,4,FALSE)/100))</f>
        <v/>
      </c>
      <c r="D354" s="1" t="str">
        <f>IF(B354="","",(VLOOKUP(B354,'SC (Gross)'!A:D,4,FALSE))/100)</f>
        <v/>
      </c>
      <c r="E354" s="1" t="str">
        <f>IF(B354="","",(VLOOKUP(B354,'Global (Gross)'!A:D,4,FALSE)/100))</f>
        <v/>
      </c>
      <c r="F354" s="1" t="str">
        <f>IF(B354="","",(VLOOKUP(B354,'BOGIX (Gross)'!A:D,4,FALSE)/100))</f>
        <v/>
      </c>
      <c r="G354" s="1" t="str">
        <f>IF(B354="","",(VLOOKUP(B354,'LC (Net)'!A:D,4,FALSE)/100))</f>
        <v/>
      </c>
      <c r="H354" s="1" t="str">
        <f>IF(B354="","",(VLOOKUP(B354,'SC (Net)'!A:D,4,FALSE))/100)</f>
        <v/>
      </c>
      <c r="I354" s="1" t="str">
        <f>IF(B354="","",(VLOOKUP(B354,'Global (Net)'!A:D,4,FALSE)/100))</f>
        <v/>
      </c>
      <c r="J354" s="1" t="str">
        <f>IF(B354="","",(VLOOKUP(B354,'BOGIX (Net)'!A:D,4,FALSE)/100))</f>
        <v/>
      </c>
      <c r="K354" s="1" t="str">
        <f>IF(B354="","",VLOOKUP(Website!B354,'LC (Gross)'!W:X,2,FALSE)/100)</f>
        <v/>
      </c>
      <c r="L354" s="1" t="str">
        <f>IF(B354="","",VLOOKUP(Website!B354,'SC (Gross)'!P:Q,2,FALSE)/100)</f>
        <v/>
      </c>
      <c r="M354" s="1" t="str">
        <f>IF(B354="","",VLOOKUP(Website!B354,'Global (Gross)'!P:Q,2,FALSE)/100)</f>
        <v/>
      </c>
      <c r="S354" s="22" t="str">
        <f t="shared" si="212"/>
        <v/>
      </c>
      <c r="T354" s="22" t="str">
        <f t="shared" si="213"/>
        <v/>
      </c>
      <c r="U354" s="22" t="str">
        <f t="shared" si="214"/>
        <v/>
      </c>
      <c r="V354" s="22" t="str">
        <f t="shared" si="211"/>
        <v/>
      </c>
      <c r="W354" s="22" t="str">
        <f t="shared" si="215"/>
        <v/>
      </c>
      <c r="X354" s="22" t="str">
        <f t="shared" si="216"/>
        <v/>
      </c>
      <c r="Y354" s="22" t="str">
        <f t="shared" si="217"/>
        <v/>
      </c>
    </row>
    <row r="355" spans="1:25" x14ac:dyDescent="0.25">
      <c r="A355" t="str">
        <f t="shared" si="218"/>
        <v/>
      </c>
      <c r="B355" s="169" t="str">
        <f>IF('LC (Gross)'!A502="","",'LC (Gross)'!A502)</f>
        <v/>
      </c>
      <c r="C355" s="1" t="str">
        <f>IF(B355="","",(VLOOKUP(B355,'LC (Gross)'!A:D,4,FALSE)/100))</f>
        <v/>
      </c>
      <c r="D355" s="1" t="str">
        <f>IF(B355="","",(VLOOKUP(B355,'SC (Gross)'!A:D,4,FALSE))/100)</f>
        <v/>
      </c>
      <c r="E355" s="1" t="str">
        <f>IF(B355="","",(VLOOKUP(B355,'Global (Gross)'!A:D,4,FALSE)/100))</f>
        <v/>
      </c>
      <c r="F355" s="1" t="str">
        <f>IF(B355="","",(VLOOKUP(B355,'BOGIX (Gross)'!A:D,4,FALSE)/100))</f>
        <v/>
      </c>
      <c r="G355" s="1" t="str">
        <f>IF(B355="","",(VLOOKUP(B355,'LC (Net)'!A:D,4,FALSE)/100))</f>
        <v/>
      </c>
      <c r="H355" s="1" t="str">
        <f>IF(B355="","",(VLOOKUP(B355,'SC (Net)'!A:D,4,FALSE))/100)</f>
        <v/>
      </c>
      <c r="I355" s="1" t="str">
        <f>IF(B355="","",(VLOOKUP(B355,'Global (Net)'!A:D,4,FALSE)/100))</f>
        <v/>
      </c>
      <c r="J355" s="1" t="str">
        <f>IF(B355="","",(VLOOKUP(B355,'BOGIX (Net)'!A:D,4,FALSE)/100))</f>
        <v/>
      </c>
      <c r="K355" s="1" t="str">
        <f>IF(B355="","",VLOOKUP(Website!B355,'LC (Gross)'!W:X,2,FALSE)/100)</f>
        <v/>
      </c>
      <c r="L355" s="1" t="str">
        <f>IF(B355="","",VLOOKUP(Website!B355,'SC (Gross)'!P:Q,2,FALSE)/100)</f>
        <v/>
      </c>
      <c r="M355" s="1" t="str">
        <f>IF(B355="","",VLOOKUP(Website!B355,'Global (Gross)'!P:Q,2,FALSE)/100)</f>
        <v/>
      </c>
      <c r="S355" s="22" t="str">
        <f t="shared" si="212"/>
        <v/>
      </c>
      <c r="T355" s="22" t="str">
        <f t="shared" si="213"/>
        <v/>
      </c>
      <c r="U355" s="22" t="str">
        <f t="shared" si="214"/>
        <v/>
      </c>
      <c r="V355" s="22" t="str">
        <f t="shared" si="211"/>
        <v/>
      </c>
      <c r="W355" s="22" t="str">
        <f t="shared" si="215"/>
        <v/>
      </c>
      <c r="X355" s="22" t="str">
        <f t="shared" si="216"/>
        <v/>
      </c>
      <c r="Y355" s="22" t="str">
        <f t="shared" si="217"/>
        <v/>
      </c>
    </row>
    <row r="356" spans="1:25" x14ac:dyDescent="0.25">
      <c r="A356" t="str">
        <f t="shared" si="218"/>
        <v/>
      </c>
      <c r="B356" s="169" t="str">
        <f>IF('LC (Gross)'!A503="","",'LC (Gross)'!A503)</f>
        <v/>
      </c>
      <c r="C356" s="1" t="str">
        <f>IF(B356="","",(VLOOKUP(B356,'LC (Gross)'!A:D,4,FALSE)/100))</f>
        <v/>
      </c>
      <c r="D356" s="1" t="str">
        <f>IF(B356="","",(VLOOKUP(B356,'SC (Gross)'!A:D,4,FALSE))/100)</f>
        <v/>
      </c>
      <c r="E356" s="1" t="str">
        <f>IF(B356="","",(VLOOKUP(B356,'Global (Gross)'!A:D,4,FALSE)/100))</f>
        <v/>
      </c>
      <c r="F356" s="1" t="str">
        <f>IF(B356="","",(VLOOKUP(B356,'BOGIX (Gross)'!A:D,4,FALSE)/100))</f>
        <v/>
      </c>
      <c r="G356" s="1"/>
      <c r="H356" s="1"/>
      <c r="I356" s="1"/>
      <c r="J356" s="1" t="str">
        <f>IF(B356="","",(VLOOKUP(B356,'BOGIX (Net)'!A:D,4,FALSE)/100))</f>
        <v/>
      </c>
      <c r="K356" s="1" t="str">
        <f>IF(B356="","",VLOOKUP(Website!B356,'LC (Gross)'!W:X,2,FALSE)/100)</f>
        <v/>
      </c>
      <c r="L356" s="1" t="str">
        <f>IF(B356="","",VLOOKUP(Website!B356,'SC (Gross)'!P:Q,2,FALSE)/100)</f>
        <v/>
      </c>
      <c r="M356" s="1" t="str">
        <f>IF(B356="","",VLOOKUP(Website!B356,'Global (Gross)'!P:Q,2,FALSE)/100)</f>
        <v/>
      </c>
      <c r="S356" s="22" t="str">
        <f t="shared" si="212"/>
        <v/>
      </c>
      <c r="T356" s="22" t="str">
        <f t="shared" si="213"/>
        <v/>
      </c>
      <c r="U356" s="22" t="str">
        <f t="shared" si="214"/>
        <v/>
      </c>
      <c r="V356" s="22" t="str">
        <f t="shared" si="211"/>
        <v/>
      </c>
      <c r="W356" s="22" t="str">
        <f t="shared" si="215"/>
        <v/>
      </c>
      <c r="X356" s="22" t="str">
        <f t="shared" si="216"/>
        <v/>
      </c>
      <c r="Y356" s="22" t="str">
        <f t="shared" si="217"/>
        <v/>
      </c>
    </row>
    <row r="357" spans="1:25" x14ac:dyDescent="0.25">
      <c r="A357" t="str">
        <f t="shared" si="218"/>
        <v/>
      </c>
      <c r="B357" s="169" t="str">
        <f>IF('LC (Gross)'!A504="","",'LC (Gross)'!A504)</f>
        <v/>
      </c>
      <c r="C357" s="1" t="str">
        <f>IF(B357="","",(VLOOKUP(B357,'LC (Gross)'!A:D,4,FALSE)/100))</f>
        <v/>
      </c>
      <c r="D357" s="1" t="str">
        <f>IF(B357="","",(VLOOKUP(B357,'SC (Gross)'!A:D,4,FALSE))/100)</f>
        <v/>
      </c>
      <c r="E357" s="1" t="str">
        <f>IF(B357="","",(VLOOKUP(B357,'Global (Gross)'!A:D,4,FALSE)/100))</f>
        <v/>
      </c>
      <c r="F357" s="1" t="str">
        <f>IF(B357="","",(VLOOKUP(B357,'BOGIX (Gross)'!A:D,4,FALSE)/100))</f>
        <v/>
      </c>
      <c r="G357" s="1"/>
      <c r="H357" s="1"/>
      <c r="I357" s="1"/>
      <c r="J357" s="1" t="str">
        <f>IF(B357="","",(VLOOKUP(B357,'BOGIX (Net)'!A:D,4,FALSE)/100))</f>
        <v/>
      </c>
      <c r="K357" s="1" t="str">
        <f>IF(B357="","",VLOOKUP(Website!B357,'LC (Gross)'!W:X,2,FALSE)/100)</f>
        <v/>
      </c>
      <c r="L357" s="1" t="str">
        <f>IF(B357="","",VLOOKUP(Website!B357,'SC (Gross)'!P:Q,2,FALSE)/100)</f>
        <v/>
      </c>
      <c r="M357" s="1" t="str">
        <f>IF(B357="","",VLOOKUP(Website!B357,'Global (Gross)'!P:Q,2,FALSE)/100)</f>
        <v/>
      </c>
      <c r="S357" s="22" t="str">
        <f t="shared" si="212"/>
        <v/>
      </c>
      <c r="T357" s="22" t="str">
        <f t="shared" si="213"/>
        <v/>
      </c>
      <c r="U357" s="22" t="str">
        <f t="shared" si="214"/>
        <v/>
      </c>
      <c r="V357" s="22" t="str">
        <f t="shared" si="211"/>
        <v/>
      </c>
      <c r="W357" s="22" t="str">
        <f t="shared" si="215"/>
        <v/>
      </c>
      <c r="X357" s="22" t="str">
        <f t="shared" si="216"/>
        <v/>
      </c>
      <c r="Y357" s="22" t="str">
        <f t="shared" si="217"/>
        <v/>
      </c>
    </row>
    <row r="358" spans="1:25" x14ac:dyDescent="0.25">
      <c r="A358" t="str">
        <f t="shared" si="218"/>
        <v/>
      </c>
      <c r="B358" s="169" t="str">
        <f>IF('LC (Gross)'!A505="","",'LC (Gross)'!A505)</f>
        <v/>
      </c>
      <c r="C358" s="1" t="str">
        <f>IF(B358="","",(VLOOKUP(B358,'LC (Gross)'!A:D,4,FALSE)/100))</f>
        <v/>
      </c>
      <c r="D358" s="1" t="str">
        <f>IF(B358="","",(VLOOKUP(B358,'SC (Gross)'!A:D,4,FALSE))/100)</f>
        <v/>
      </c>
      <c r="E358" s="1" t="str">
        <f>IF(B358="","",(VLOOKUP(B358,'Global (Gross)'!A:D,4,FALSE)/100))</f>
        <v/>
      </c>
      <c r="F358" s="1" t="str">
        <f>IF(B358="","",(VLOOKUP(B358,'BOGIX (Gross)'!A:D,4,FALSE)/100))</f>
        <v/>
      </c>
      <c r="G358" s="1"/>
      <c r="H358" s="1"/>
      <c r="I358" s="1"/>
      <c r="J358" s="1" t="str">
        <f>IF(B358="","",(VLOOKUP(B358,'BOGIX (Net)'!A:D,4,FALSE)/100))</f>
        <v/>
      </c>
      <c r="K358" s="1" t="str">
        <f>IF(B358="","",VLOOKUP(Website!B358,'LC (Gross)'!W:X,2,FALSE)/100)</f>
        <v/>
      </c>
      <c r="L358" s="1" t="str">
        <f>IF(B358="","",VLOOKUP(Website!B358,'SC (Gross)'!P:Q,2,FALSE)/100)</f>
        <v/>
      </c>
      <c r="M358" s="1" t="str">
        <f>IF(B358="","",VLOOKUP(Website!B358,'Global (Gross)'!P:Q,2,FALSE)/100)</f>
        <v/>
      </c>
      <c r="S358" s="22" t="str">
        <f t="shared" si="212"/>
        <v/>
      </c>
      <c r="T358" s="22" t="str">
        <f t="shared" si="213"/>
        <v/>
      </c>
      <c r="U358" s="22" t="str">
        <f t="shared" si="214"/>
        <v/>
      </c>
      <c r="V358" s="22" t="str">
        <f t="shared" si="211"/>
        <v/>
      </c>
      <c r="W358" s="22" t="str">
        <f t="shared" si="215"/>
        <v/>
      </c>
      <c r="X358" s="22" t="str">
        <f t="shared" si="216"/>
        <v/>
      </c>
      <c r="Y358" s="22" t="str">
        <f t="shared" si="217"/>
        <v/>
      </c>
    </row>
    <row r="359" spans="1:25" x14ac:dyDescent="0.25">
      <c r="A359" t="str">
        <f t="shared" si="218"/>
        <v/>
      </c>
      <c r="B359" s="169" t="str">
        <f>IF('LC (Gross)'!A506="","",'LC (Gross)'!A506)</f>
        <v/>
      </c>
      <c r="C359" s="1" t="str">
        <f>IF(B359="","",(VLOOKUP(B359,'LC (Gross)'!A:D,4,FALSE)/100))</f>
        <v/>
      </c>
      <c r="D359" s="1" t="str">
        <f>IF(B359="","",(VLOOKUP(B359,'SC (Gross)'!A:D,4,FALSE))/100)</f>
        <v/>
      </c>
      <c r="E359" s="1" t="str">
        <f>IF(B359="","",(VLOOKUP(B359,'Global (Gross)'!A:D,4,FALSE)/100))</f>
        <v/>
      </c>
      <c r="F359" s="1" t="str">
        <f>IF(B359="","",(VLOOKUP(B359,'BOGIX (Gross)'!A:D,4,FALSE)/100))</f>
        <v/>
      </c>
      <c r="G359" s="1"/>
      <c r="H359" s="1"/>
      <c r="I359" s="1"/>
      <c r="J359" s="1" t="str">
        <f>IF(B359="","",(VLOOKUP(B359,'BOGIX (Net)'!A:D,4,FALSE)/100))</f>
        <v/>
      </c>
      <c r="K359" s="1" t="str">
        <f>IF(B359="","",VLOOKUP(Website!B359,'LC (Gross)'!W:X,2,FALSE)/100)</f>
        <v/>
      </c>
      <c r="L359" s="1" t="str">
        <f>IF(B359="","",VLOOKUP(Website!B359,'SC (Gross)'!P:Q,2,FALSE)/100)</f>
        <v/>
      </c>
      <c r="M359" s="1" t="str">
        <f>IF(B359="","",VLOOKUP(Website!B359,'Global (Gross)'!P:Q,2,FALSE)/100)</f>
        <v/>
      </c>
      <c r="S359" s="22" t="str">
        <f t="shared" si="212"/>
        <v/>
      </c>
      <c r="T359" s="22" t="str">
        <f t="shared" si="213"/>
        <v/>
      </c>
      <c r="U359" s="22" t="str">
        <f t="shared" si="214"/>
        <v/>
      </c>
      <c r="V359" s="22" t="str">
        <f t="shared" si="211"/>
        <v/>
      </c>
      <c r="W359" s="22" t="str">
        <f t="shared" si="215"/>
        <v/>
      </c>
      <c r="X359" s="22" t="str">
        <f t="shared" si="216"/>
        <v/>
      </c>
      <c r="Y359" s="22" t="str">
        <f t="shared" si="217"/>
        <v/>
      </c>
    </row>
    <row r="360" spans="1:25" x14ac:dyDescent="0.25">
      <c r="A360" t="str">
        <f t="shared" si="218"/>
        <v/>
      </c>
      <c r="B360" s="169" t="str">
        <f>IF('LC (Gross)'!A507="","",'LC (Gross)'!A507)</f>
        <v/>
      </c>
      <c r="C360" s="1" t="str">
        <f>IF(B360="","",(VLOOKUP(B360,'LC (Gross)'!A:D,4,FALSE)/100))</f>
        <v/>
      </c>
      <c r="D360" s="1" t="str">
        <f>IF(B360="","",(VLOOKUP(B360,'SC (Gross)'!A:D,4,FALSE))/100)</f>
        <v/>
      </c>
      <c r="E360" s="1" t="str">
        <f>IF(B360="","",(VLOOKUP(B360,'Global (Gross)'!A:D,4,FALSE)/100))</f>
        <v/>
      </c>
      <c r="F360" s="1" t="str">
        <f>IF(B360="","",(VLOOKUP(B360,'BOGIX (Gross)'!A:D,4,FALSE)/100))</f>
        <v/>
      </c>
      <c r="G360" s="1"/>
      <c r="H360" s="1"/>
      <c r="I360" s="1"/>
      <c r="J360" s="1" t="str">
        <f>IF(B360="","",(VLOOKUP(B360,'BOGIX (Net)'!A:D,4,FALSE)/100))</f>
        <v/>
      </c>
      <c r="K360" s="1" t="str">
        <f>IF(B360="","",VLOOKUP(Website!B360,'LC (Gross)'!W:X,2,FALSE)/100)</f>
        <v/>
      </c>
      <c r="L360" s="1" t="str">
        <f>IF(B360="","",VLOOKUP(Website!B360,'SC (Gross)'!P:Q,2,FALSE)/100)</f>
        <v/>
      </c>
      <c r="M360" s="1" t="str">
        <f>IF(B360="","",VLOOKUP(Website!B360,'Global (Gross)'!P:Q,2,FALSE)/100)</f>
        <v/>
      </c>
      <c r="S360" s="22" t="str">
        <f t="shared" si="212"/>
        <v/>
      </c>
      <c r="T360" s="22" t="str">
        <f t="shared" si="213"/>
        <v/>
      </c>
      <c r="U360" s="22" t="str">
        <f t="shared" si="214"/>
        <v/>
      </c>
      <c r="V360" s="22" t="str">
        <f t="shared" si="211"/>
        <v/>
      </c>
      <c r="W360" s="22" t="str">
        <f t="shared" si="215"/>
        <v/>
      </c>
      <c r="X360" s="22" t="str">
        <f t="shared" si="216"/>
        <v/>
      </c>
      <c r="Y360" s="22" t="str">
        <f t="shared" si="217"/>
        <v/>
      </c>
    </row>
    <row r="361" spans="1:25" x14ac:dyDescent="0.25">
      <c r="A361" t="str">
        <f t="shared" si="218"/>
        <v/>
      </c>
      <c r="B361" s="169" t="str">
        <f>IF('LC (Gross)'!A508="","",'LC (Gross)'!A508)</f>
        <v/>
      </c>
      <c r="C361" s="1" t="str">
        <f>IF(B361="","",(VLOOKUP(B361,'LC (Gross)'!A:D,4,FALSE)/100))</f>
        <v/>
      </c>
      <c r="D361" s="1" t="str">
        <f>IF(B361="","",(VLOOKUP(B361,'SC (Gross)'!A:D,4,FALSE))/100)</f>
        <v/>
      </c>
      <c r="E361" s="1" t="str">
        <f>IF(B361="","",(VLOOKUP(B361,'Global (Gross)'!A:D,4,FALSE)/100))</f>
        <v/>
      </c>
      <c r="F361" s="1" t="str">
        <f>IF(B361="","",(VLOOKUP(B361,'BOGIX (Gross)'!A:D,4,FALSE)/100))</f>
        <v/>
      </c>
      <c r="G361" s="1"/>
      <c r="H361" s="1"/>
      <c r="I361" s="1"/>
      <c r="J361" s="1" t="str">
        <f>IF(B361="","",(VLOOKUP(B361,'BOGIX (Net)'!A:D,4,FALSE)/100))</f>
        <v/>
      </c>
      <c r="K361" s="1" t="str">
        <f>IF(B361="","",VLOOKUP(Website!B361,'LC (Gross)'!W:X,2,FALSE)/100)</f>
        <v/>
      </c>
      <c r="L361" s="1" t="str">
        <f>IF(B361="","",VLOOKUP(Website!B361,'SC (Gross)'!P:Q,2,FALSE)/100)</f>
        <v/>
      </c>
      <c r="M361" s="1" t="str">
        <f>IF(B361="","",VLOOKUP(Website!B361,'Global (Gross)'!P:Q,2,FALSE)/100)</f>
        <v/>
      </c>
      <c r="S361" s="22" t="str">
        <f t="shared" si="212"/>
        <v/>
      </c>
      <c r="T361" s="22" t="str">
        <f t="shared" si="213"/>
        <v/>
      </c>
      <c r="U361" s="22" t="str">
        <f t="shared" si="214"/>
        <v/>
      </c>
      <c r="V361" s="22" t="str">
        <f t="shared" si="211"/>
        <v/>
      </c>
      <c r="W361" s="22" t="str">
        <f t="shared" si="215"/>
        <v/>
      </c>
      <c r="X361" s="22" t="str">
        <f t="shared" si="216"/>
        <v/>
      </c>
      <c r="Y361" s="22" t="str">
        <f t="shared" si="217"/>
        <v/>
      </c>
    </row>
    <row r="362" spans="1:25" x14ac:dyDescent="0.25">
      <c r="A362" t="str">
        <f t="shared" si="218"/>
        <v/>
      </c>
      <c r="B362" s="169" t="str">
        <f>IF('LC (Gross)'!A509="","",'LC (Gross)'!A509)</f>
        <v/>
      </c>
      <c r="C362" s="1" t="str">
        <f>IF(B362="","",(VLOOKUP(B362,'LC (Gross)'!A:D,4,FALSE)/100))</f>
        <v/>
      </c>
      <c r="D362" s="1" t="str">
        <f>IF(B362="","",(VLOOKUP(B362,'SC (Gross)'!A:D,4,FALSE))/100)</f>
        <v/>
      </c>
      <c r="E362" s="1" t="str">
        <f>IF(B362="","",(VLOOKUP(B362,'Global (Gross)'!A:D,4,FALSE)/100))</f>
        <v/>
      </c>
      <c r="F362" s="1" t="str">
        <f>IF(B362="","",(VLOOKUP(B362,'BOGIX (Gross)'!A:D,4,FALSE)/100))</f>
        <v/>
      </c>
      <c r="G362" s="1"/>
      <c r="H362" s="1"/>
      <c r="I362" s="1"/>
      <c r="J362" s="1" t="str">
        <f>IF(B362="","",(VLOOKUP(B362,'BOGIX (Net)'!A:D,4,FALSE)/100))</f>
        <v/>
      </c>
      <c r="K362" s="1" t="str">
        <f>IF(B362="","",VLOOKUP(Website!B362,'LC (Gross)'!W:X,2,FALSE)/100)</f>
        <v/>
      </c>
      <c r="L362" s="1" t="str">
        <f>IF(B362="","",VLOOKUP(Website!B362,'SC (Gross)'!P:Q,2,FALSE)/100)</f>
        <v/>
      </c>
      <c r="M362" s="1" t="str">
        <f>IF(B362="","",VLOOKUP(Website!B362,'Global (Gross)'!P:Q,2,FALSE)/100)</f>
        <v/>
      </c>
      <c r="S362" s="22" t="str">
        <f t="shared" si="212"/>
        <v/>
      </c>
      <c r="T362" s="22" t="str">
        <f t="shared" si="213"/>
        <v/>
      </c>
      <c r="U362" s="22" t="str">
        <f t="shared" si="214"/>
        <v/>
      </c>
      <c r="V362" s="22" t="str">
        <f t="shared" si="211"/>
        <v/>
      </c>
      <c r="W362" s="22" t="str">
        <f t="shared" si="215"/>
        <v/>
      </c>
      <c r="X362" s="22" t="str">
        <f t="shared" si="216"/>
        <v/>
      </c>
      <c r="Y362" s="22" t="str">
        <f t="shared" si="217"/>
        <v/>
      </c>
    </row>
    <row r="363" spans="1:25" x14ac:dyDescent="0.25">
      <c r="A363" t="str">
        <f t="shared" si="218"/>
        <v/>
      </c>
      <c r="B363" s="169" t="str">
        <f>IF('LC (Gross)'!A510="","",'LC (Gross)'!A510)</f>
        <v/>
      </c>
      <c r="C363" s="1" t="str">
        <f>IF(B363="","",(VLOOKUP(B363,'LC (Gross)'!A:D,4,FALSE)/100))</f>
        <v/>
      </c>
      <c r="D363" s="1" t="str">
        <f>IF(B363="","",(VLOOKUP(B363,'SC (Gross)'!A:D,4,FALSE))/100)</f>
        <v/>
      </c>
      <c r="E363" s="1" t="str">
        <f>IF(B363="","",(VLOOKUP(B363,'Global (Gross)'!A:D,4,FALSE)/100))</f>
        <v/>
      </c>
      <c r="F363" s="1" t="str">
        <f>IF(B363="","",(VLOOKUP(B363,'BOGIX (Gross)'!A:D,4,FALSE)/100))</f>
        <v/>
      </c>
      <c r="G363" s="1"/>
      <c r="H363" s="1"/>
      <c r="I363" s="1"/>
      <c r="J363" s="1" t="str">
        <f>IF(B363="","",(VLOOKUP(B363,'BOGIX (Net)'!A:D,4,FALSE)/100))</f>
        <v/>
      </c>
      <c r="K363" s="1" t="str">
        <f>IF(B363="","",VLOOKUP(Website!B363,'LC (Gross)'!W:X,2,FALSE)/100)</f>
        <v/>
      </c>
      <c r="L363" s="1" t="str">
        <f>IF(B363="","",VLOOKUP(Website!B363,'SC (Gross)'!P:Q,2,FALSE)/100)</f>
        <v/>
      </c>
      <c r="M363" s="1" t="str">
        <f>IF(B363="","",VLOOKUP(Website!B363,'Global (Gross)'!P:Q,2,FALSE)/100)</f>
        <v/>
      </c>
      <c r="S363" s="22" t="str">
        <f t="shared" si="212"/>
        <v/>
      </c>
      <c r="T363" s="22" t="str">
        <f t="shared" si="213"/>
        <v/>
      </c>
      <c r="U363" s="22" t="str">
        <f t="shared" si="214"/>
        <v/>
      </c>
      <c r="V363" s="22" t="str">
        <f t="shared" si="211"/>
        <v/>
      </c>
      <c r="W363" s="22" t="str">
        <f t="shared" si="215"/>
        <v/>
      </c>
      <c r="X363" s="22" t="str">
        <f t="shared" si="216"/>
        <v/>
      </c>
      <c r="Y363" s="22" t="str">
        <f t="shared" si="217"/>
        <v/>
      </c>
    </row>
    <row r="364" spans="1:25" x14ac:dyDescent="0.25">
      <c r="A364" t="str">
        <f t="shared" si="218"/>
        <v/>
      </c>
      <c r="B364" s="169" t="str">
        <f>IF('LC (Gross)'!A511="","",'LC (Gross)'!A511)</f>
        <v/>
      </c>
      <c r="C364" s="1" t="str">
        <f>IF(B364="","",(VLOOKUP(B364,'LC (Gross)'!A:D,4,FALSE)/100))</f>
        <v/>
      </c>
      <c r="D364" s="1" t="str">
        <f>IF(B364="","",(VLOOKUP(B364,'SC (Gross)'!A:D,4,FALSE))/100)</f>
        <v/>
      </c>
      <c r="E364" s="1" t="str">
        <f>IF(B364="","",(VLOOKUP(B364,'Global (Gross)'!A:D,4,FALSE)/100))</f>
        <v/>
      </c>
      <c r="F364" s="1" t="str">
        <f>IF(B364="","",(VLOOKUP(B364,'BOGIX (Gross)'!A:D,4,FALSE)/100))</f>
        <v/>
      </c>
      <c r="G364" s="1"/>
      <c r="H364" s="1"/>
      <c r="I364" s="1"/>
      <c r="J364" s="1" t="str">
        <f>IF(B364="","",(VLOOKUP(B364,'BOGIX (Net)'!A:D,4,FALSE)/100))</f>
        <v/>
      </c>
      <c r="K364" s="1" t="str">
        <f>IF(B364="","",VLOOKUP(Website!B364,'LC (Gross)'!W:X,2,FALSE)/100)</f>
        <v/>
      </c>
      <c r="L364" s="1" t="str">
        <f>IF(B364="","",VLOOKUP(Website!B364,'SC (Gross)'!P:Q,2,FALSE)/100)</f>
        <v/>
      </c>
      <c r="M364" s="1" t="str">
        <f>IF(B364="","",VLOOKUP(Website!B364,'Global (Gross)'!P:Q,2,FALSE)/100)</f>
        <v/>
      </c>
      <c r="S364" s="22" t="str">
        <f t="shared" si="212"/>
        <v/>
      </c>
      <c r="T364" s="22" t="str">
        <f t="shared" si="213"/>
        <v/>
      </c>
      <c r="U364" s="22" t="str">
        <f t="shared" si="214"/>
        <v/>
      </c>
      <c r="V364" s="22" t="str">
        <f t="shared" si="211"/>
        <v/>
      </c>
      <c r="W364" s="22" t="str">
        <f t="shared" si="215"/>
        <v/>
      </c>
      <c r="X364" s="22" t="str">
        <f t="shared" si="216"/>
        <v/>
      </c>
      <c r="Y364" s="22" t="str">
        <f t="shared" si="217"/>
        <v/>
      </c>
    </row>
    <row r="365" spans="1:25" x14ac:dyDescent="0.25">
      <c r="A365" t="str">
        <f t="shared" si="218"/>
        <v/>
      </c>
      <c r="B365" s="169" t="str">
        <f>IF('LC (Gross)'!A512="","",'LC (Gross)'!A512)</f>
        <v/>
      </c>
      <c r="C365" s="1" t="str">
        <f>IF(B365="","",(VLOOKUP(B365,'LC (Gross)'!A:D,4,FALSE)/100))</f>
        <v/>
      </c>
      <c r="D365" s="1" t="str">
        <f>IF(B365="","",(VLOOKUP(B365,'SC (Gross)'!A:D,4,FALSE))/100)</f>
        <v/>
      </c>
      <c r="E365" s="1" t="str">
        <f>IF(B365="","",(VLOOKUP(B365,'Global (Gross)'!A:D,4,FALSE)/100))</f>
        <v/>
      </c>
      <c r="F365" s="1" t="str">
        <f>IF(B365="","",(VLOOKUP(B365,'BOGIX (Gross)'!A:D,4,FALSE)/100))</f>
        <v/>
      </c>
      <c r="G365" s="1"/>
      <c r="H365" s="1"/>
      <c r="I365" s="1"/>
      <c r="J365" s="1" t="str">
        <f>IF(B365="","",(VLOOKUP(B365,'BOGIX (Net)'!A:D,4,FALSE)/100))</f>
        <v/>
      </c>
      <c r="K365" s="1" t="str">
        <f>IF(B365="","",VLOOKUP(Website!B365,'LC (Gross)'!W:X,2,FALSE)/100)</f>
        <v/>
      </c>
      <c r="L365" s="1" t="str">
        <f>IF(B365="","",VLOOKUP(Website!B365,'SC (Gross)'!P:Q,2,FALSE)/100)</f>
        <v/>
      </c>
      <c r="M365" s="1" t="str">
        <f>IF(B365="","",VLOOKUP(Website!B365,'Global (Gross)'!P:Q,2,FALSE)/100)</f>
        <v/>
      </c>
      <c r="S365" s="22" t="str">
        <f t="shared" si="212"/>
        <v/>
      </c>
      <c r="T365" s="22" t="str">
        <f t="shared" si="213"/>
        <v/>
      </c>
      <c r="U365" s="22" t="str">
        <f t="shared" si="214"/>
        <v/>
      </c>
      <c r="V365" s="22" t="str">
        <f t="shared" si="211"/>
        <v/>
      </c>
      <c r="W365" s="22" t="str">
        <f t="shared" si="215"/>
        <v/>
      </c>
      <c r="X365" s="22" t="str">
        <f t="shared" si="216"/>
        <v/>
      </c>
      <c r="Y365" s="22" t="str">
        <f t="shared" si="217"/>
        <v/>
      </c>
    </row>
    <row r="366" spans="1:25" x14ac:dyDescent="0.25">
      <c r="A366" t="str">
        <f t="shared" si="218"/>
        <v/>
      </c>
      <c r="B366" s="169" t="str">
        <f>IF('LC (Gross)'!A513="","",'LC (Gross)'!A513)</f>
        <v/>
      </c>
      <c r="C366" s="1" t="str">
        <f>IF(B366="","",(VLOOKUP(B366,'LC (Gross)'!A:D,4,FALSE)/100))</f>
        <v/>
      </c>
      <c r="D366" s="1" t="str">
        <f>IF(B366="","",(VLOOKUP(B366,'SC (Gross)'!A:D,4,FALSE))/100)</f>
        <v/>
      </c>
      <c r="E366" s="1" t="str">
        <f>IF(B366="","",(VLOOKUP(B366,'Global (Gross)'!A:D,4,FALSE)/100))</f>
        <v/>
      </c>
      <c r="F366" s="1" t="str">
        <f>IF(B366="","",(VLOOKUP(B366,'BOGIX (Gross)'!A:D,4,FALSE)/100))</f>
        <v/>
      </c>
      <c r="G366" s="1"/>
      <c r="H366" s="1"/>
      <c r="I366" s="1"/>
      <c r="J366" s="1" t="str">
        <f>IF(B366="","",(VLOOKUP(B366,'BOGIX (Net)'!A:D,4,FALSE)/100))</f>
        <v/>
      </c>
      <c r="K366" s="1" t="str">
        <f>IF(B366="","",VLOOKUP(Website!B366,'LC (Gross)'!W:X,2,FALSE)/100)</f>
        <v/>
      </c>
      <c r="L366" s="1" t="str">
        <f>IF(B366="","",VLOOKUP(Website!B366,'SC (Gross)'!P:Q,2,FALSE)/100)</f>
        <v/>
      </c>
      <c r="M366" s="1" t="str">
        <f>IF(B366="","",VLOOKUP(Website!B366,'Global (Gross)'!P:Q,2,FALSE)/100)</f>
        <v/>
      </c>
      <c r="S366" s="22" t="str">
        <f t="shared" si="212"/>
        <v/>
      </c>
      <c r="T366" s="22" t="str">
        <f t="shared" si="213"/>
        <v/>
      </c>
      <c r="U366" s="22" t="str">
        <f t="shared" si="214"/>
        <v/>
      </c>
      <c r="V366" s="22" t="str">
        <f t="shared" si="211"/>
        <v/>
      </c>
      <c r="W366" s="22" t="str">
        <f t="shared" si="215"/>
        <v/>
      </c>
      <c r="X366" s="22" t="str">
        <f t="shared" si="216"/>
        <v/>
      </c>
      <c r="Y366" s="22" t="str">
        <f t="shared" si="217"/>
        <v/>
      </c>
    </row>
    <row r="367" spans="1:25" x14ac:dyDescent="0.25">
      <c r="A367" t="str">
        <f t="shared" si="218"/>
        <v/>
      </c>
      <c r="B367" s="169" t="str">
        <f>IF('LC (Gross)'!A514="","",'LC (Gross)'!A514)</f>
        <v/>
      </c>
      <c r="C367" s="1" t="str">
        <f>IF(B367="","",(VLOOKUP(B367,'LC (Gross)'!A:D,4,FALSE)/100))</f>
        <v/>
      </c>
      <c r="D367" s="1" t="str">
        <f>IF(B367="","",(VLOOKUP(B367,'SC (Gross)'!A:D,4,FALSE))/100)</f>
        <v/>
      </c>
      <c r="E367" s="1" t="str">
        <f>IF(B367="","",(VLOOKUP(B367,'Global (Gross)'!A:D,4,FALSE)/100))</f>
        <v/>
      </c>
      <c r="F367" s="1" t="str">
        <f>IF(B367="","",(VLOOKUP(B367,'BOGIX (Gross)'!A:D,4,FALSE)/100))</f>
        <v/>
      </c>
      <c r="G367" s="1"/>
      <c r="H367" s="1"/>
      <c r="I367" s="1"/>
      <c r="J367" s="1" t="str">
        <f>IF(B367="","",(VLOOKUP(B367,'BOGIX (Net)'!A:D,4,FALSE)/100))</f>
        <v/>
      </c>
      <c r="K367" s="1" t="str">
        <f>IF(B367="","",VLOOKUP(Website!B367,'LC (Gross)'!W:X,2,FALSE)/100)</f>
        <v/>
      </c>
      <c r="L367" s="1" t="str">
        <f>IF(B367="","",VLOOKUP(Website!B367,'SC (Gross)'!P:Q,2,FALSE)/100)</f>
        <v/>
      </c>
      <c r="M367" s="1" t="str">
        <f>IF(B367="","",VLOOKUP(Website!B367,'Global (Gross)'!P:Q,2,FALSE)/100)</f>
        <v/>
      </c>
      <c r="S367" s="22" t="str">
        <f t="shared" si="212"/>
        <v/>
      </c>
      <c r="T367" s="22" t="str">
        <f t="shared" si="213"/>
        <v/>
      </c>
      <c r="U367" s="22" t="str">
        <f t="shared" si="214"/>
        <v/>
      </c>
      <c r="V367" s="22" t="str">
        <f t="shared" si="211"/>
        <v/>
      </c>
      <c r="W367" s="22" t="str">
        <f t="shared" si="215"/>
        <v/>
      </c>
      <c r="X367" s="22" t="str">
        <f t="shared" si="216"/>
        <v/>
      </c>
      <c r="Y367" s="22" t="str">
        <f t="shared" si="217"/>
        <v/>
      </c>
    </row>
    <row r="368" spans="1:25" x14ac:dyDescent="0.25">
      <c r="A368" t="str">
        <f t="shared" si="218"/>
        <v/>
      </c>
      <c r="B368" s="169" t="str">
        <f>IF('LC (Gross)'!A515="","",'LC (Gross)'!A515)</f>
        <v/>
      </c>
      <c r="C368" s="1" t="str">
        <f>IF(B368="","",(VLOOKUP(B368,'LC (Gross)'!A:D,4,FALSE)/100))</f>
        <v/>
      </c>
      <c r="D368" s="1" t="str">
        <f>IF(B368="","",(VLOOKUP(B368,'SC (Gross)'!A:D,4,FALSE))/100)</f>
        <v/>
      </c>
      <c r="E368" s="1" t="str">
        <f>IF(B368="","",(VLOOKUP(B368,'Global (Gross)'!A:D,4,FALSE)/100))</f>
        <v/>
      </c>
      <c r="F368" s="1" t="str">
        <f>IF(B368="","",(VLOOKUP(B368,'BOGIX (Gross)'!A:D,4,FALSE)/100))</f>
        <v/>
      </c>
      <c r="G368" s="1"/>
      <c r="H368" s="1"/>
      <c r="I368" s="1"/>
      <c r="J368" s="1" t="str">
        <f>IF(B368="","",(VLOOKUP(B368,'BOGIX (Net)'!A:D,4,FALSE)/100))</f>
        <v/>
      </c>
      <c r="K368" s="1" t="str">
        <f>IF(B368="","",VLOOKUP(Website!B368,'LC (Gross)'!W:X,2,FALSE)/100)</f>
        <v/>
      </c>
      <c r="L368" s="1" t="str">
        <f>IF(B368="","",VLOOKUP(Website!B368,'SC (Gross)'!P:Q,2,FALSE)/100)</f>
        <v/>
      </c>
      <c r="M368" s="1" t="str">
        <f>IF(B368="","",VLOOKUP(Website!B368,'Global (Gross)'!P:Q,2,FALSE)/100)</f>
        <v/>
      </c>
      <c r="S368" s="22" t="str">
        <f t="shared" si="212"/>
        <v/>
      </c>
      <c r="T368" s="22" t="str">
        <f t="shared" si="213"/>
        <v/>
      </c>
      <c r="U368" s="22" t="str">
        <f t="shared" si="214"/>
        <v/>
      </c>
      <c r="V368" s="22" t="str">
        <f t="shared" si="211"/>
        <v/>
      </c>
      <c r="W368" s="22" t="str">
        <f t="shared" si="215"/>
        <v/>
      </c>
      <c r="X368" s="22" t="str">
        <f t="shared" si="216"/>
        <v/>
      </c>
      <c r="Y368" s="22" t="str">
        <f t="shared" si="217"/>
        <v/>
      </c>
    </row>
    <row r="369" spans="1:25" x14ac:dyDescent="0.25">
      <c r="A369" t="str">
        <f t="shared" si="218"/>
        <v/>
      </c>
      <c r="B369" s="169" t="str">
        <f>IF('LC (Gross)'!A516="","",'LC (Gross)'!A516)</f>
        <v/>
      </c>
      <c r="C369" s="1" t="str">
        <f>IF(B369="","",(VLOOKUP(B369,'LC (Gross)'!A:D,4,FALSE)/100))</f>
        <v/>
      </c>
      <c r="D369" s="1" t="str">
        <f>IF(B369="","",(VLOOKUP(B369,'SC (Gross)'!A:D,4,FALSE))/100)</f>
        <v/>
      </c>
      <c r="E369" s="1" t="str">
        <f>IF(B369="","",(VLOOKUP(B369,'Global (Gross)'!A:D,4,FALSE)/100))</f>
        <v/>
      </c>
      <c r="F369" s="1" t="str">
        <f>IF(B369="","",(VLOOKUP(B369,'BOGIX (Gross)'!A:D,4,FALSE)/100))</f>
        <v/>
      </c>
      <c r="G369" s="1"/>
      <c r="H369" s="1"/>
      <c r="I369" s="1"/>
      <c r="J369" s="1" t="str">
        <f>IF(B369="","",(VLOOKUP(B369,'BOGIX (Net)'!A:D,4,FALSE)/100))</f>
        <v/>
      </c>
      <c r="K369" s="1" t="str">
        <f>IF(B369="","",VLOOKUP(Website!B369,'LC (Gross)'!W:X,2,FALSE)/100)</f>
        <v/>
      </c>
      <c r="L369" s="1" t="str">
        <f>IF(B369="","",VLOOKUP(Website!B369,'SC (Gross)'!P:Q,2,FALSE)/100)</f>
        <v/>
      </c>
      <c r="M369" s="1" t="str">
        <f>IF(B369="","",VLOOKUP(Website!B369,'Global (Gross)'!P:Q,2,FALSE)/100)</f>
        <v/>
      </c>
      <c r="S369" s="22" t="str">
        <f t="shared" si="212"/>
        <v/>
      </c>
      <c r="T369" s="22" t="str">
        <f t="shared" si="213"/>
        <v/>
      </c>
      <c r="U369" s="22" t="str">
        <f t="shared" si="214"/>
        <v/>
      </c>
      <c r="V369" s="22" t="str">
        <f t="shared" si="211"/>
        <v/>
      </c>
      <c r="W369" s="22" t="str">
        <f t="shared" si="215"/>
        <v/>
      </c>
      <c r="X369" s="22" t="str">
        <f t="shared" si="216"/>
        <v/>
      </c>
      <c r="Y369" s="22" t="str">
        <f t="shared" si="217"/>
        <v/>
      </c>
    </row>
    <row r="370" spans="1:25" x14ac:dyDescent="0.25">
      <c r="A370" t="str">
        <f t="shared" si="218"/>
        <v/>
      </c>
      <c r="B370" s="169" t="str">
        <f>IF('LC (Gross)'!A517="","",'LC (Gross)'!A517)</f>
        <v/>
      </c>
      <c r="C370" s="1" t="str">
        <f>IF(B370="","",(VLOOKUP(B370,'LC (Gross)'!A:D,4,FALSE)/100))</f>
        <v/>
      </c>
      <c r="D370" s="1" t="str">
        <f>IF(B370="","",(VLOOKUP(B370,'SC (Gross)'!A:D,4,FALSE))/100)</f>
        <v/>
      </c>
      <c r="E370" s="1" t="str">
        <f>IF(B370="","",(VLOOKUP(B370,'Global (Gross)'!A:D,4,FALSE)/100))</f>
        <v/>
      </c>
      <c r="F370" s="1" t="str">
        <f>IF(B370="","",(VLOOKUP(B370,'BOGIX (Gross)'!A:D,4,FALSE)/100))</f>
        <v/>
      </c>
      <c r="G370" s="1"/>
      <c r="H370" s="1"/>
      <c r="I370" s="1"/>
      <c r="J370" s="1" t="str">
        <f>IF(B370="","",(VLOOKUP(B370,'BOGIX (Net)'!A:D,4,FALSE)/100))</f>
        <v/>
      </c>
      <c r="K370" s="1" t="str">
        <f>IF(B370="","",VLOOKUP(Website!B370,'LC (Gross)'!W:X,2,FALSE)/100)</f>
        <v/>
      </c>
      <c r="L370" s="1" t="str">
        <f>IF(B370="","",VLOOKUP(Website!B370,'SC (Gross)'!P:Q,2,FALSE)/100)</f>
        <v/>
      </c>
      <c r="M370" s="1" t="str">
        <f>IF(B370="","",VLOOKUP(Website!B370,'Global (Gross)'!P:Q,2,FALSE)/100)</f>
        <v/>
      </c>
      <c r="S370" s="22" t="str">
        <f t="shared" si="212"/>
        <v/>
      </c>
      <c r="T370" s="22" t="str">
        <f t="shared" si="213"/>
        <v/>
      </c>
      <c r="U370" s="22" t="str">
        <f t="shared" si="214"/>
        <v/>
      </c>
      <c r="V370" s="22" t="str">
        <f t="shared" si="211"/>
        <v/>
      </c>
      <c r="W370" s="22" t="str">
        <f t="shared" si="215"/>
        <v/>
      </c>
      <c r="X370" s="22" t="str">
        <f t="shared" si="216"/>
        <v/>
      </c>
      <c r="Y370" s="22" t="str">
        <f t="shared" si="217"/>
        <v/>
      </c>
    </row>
    <row r="371" spans="1:25" x14ac:dyDescent="0.25">
      <c r="A371" t="str">
        <f t="shared" si="218"/>
        <v/>
      </c>
      <c r="B371" s="169" t="str">
        <f>IF('LC (Gross)'!A518="","",'LC (Gross)'!A518)</f>
        <v/>
      </c>
      <c r="C371" s="1" t="str">
        <f>IF(B371="","",(VLOOKUP(B371,'LC (Gross)'!A:D,4,FALSE)/100))</f>
        <v/>
      </c>
      <c r="D371" s="1" t="str">
        <f>IF(B371="","",(VLOOKUP(B371,'SC (Gross)'!A:D,4,FALSE))/100)</f>
        <v/>
      </c>
      <c r="E371" s="1" t="str">
        <f>IF(B371="","",(VLOOKUP(B371,'Global (Gross)'!A:D,4,FALSE)/100))</f>
        <v/>
      </c>
      <c r="F371" s="1" t="str">
        <f>IF(B371="","",(VLOOKUP(B371,'BOGIX (Gross)'!A:D,4,FALSE)/100))</f>
        <v/>
      </c>
      <c r="G371" s="1"/>
      <c r="H371" s="1"/>
      <c r="I371" s="1"/>
      <c r="J371" s="1" t="str">
        <f>IF(B371="","",(VLOOKUP(B371,'BOGIX (Net)'!A:D,4,FALSE)/100))</f>
        <v/>
      </c>
      <c r="K371" s="1" t="str">
        <f>IF(B371="","",VLOOKUP(Website!B371,'LC (Gross)'!W:X,2,FALSE)/100)</f>
        <v/>
      </c>
      <c r="L371" s="1" t="str">
        <f>IF(B371="","",VLOOKUP(Website!B371,'SC (Gross)'!P:Q,2,FALSE)/100)</f>
        <v/>
      </c>
      <c r="M371" s="1" t="str">
        <f>IF(B371="","",VLOOKUP(Website!B371,'Global (Gross)'!P:Q,2,FALSE)/100)</f>
        <v/>
      </c>
      <c r="S371" s="22" t="str">
        <f t="shared" si="212"/>
        <v/>
      </c>
      <c r="T371" s="22" t="str">
        <f t="shared" si="213"/>
        <v/>
      </c>
      <c r="U371" s="22" t="str">
        <f t="shared" si="214"/>
        <v/>
      </c>
      <c r="V371" s="22" t="str">
        <f t="shared" si="211"/>
        <v/>
      </c>
      <c r="W371" s="22" t="str">
        <f t="shared" si="215"/>
        <v/>
      </c>
      <c r="X371" s="22" t="str">
        <f t="shared" si="216"/>
        <v/>
      </c>
      <c r="Y371" s="22" t="str">
        <f t="shared" si="217"/>
        <v/>
      </c>
    </row>
    <row r="372" spans="1:25" x14ac:dyDescent="0.25">
      <c r="A372" t="str">
        <f t="shared" si="218"/>
        <v/>
      </c>
      <c r="B372" s="169" t="str">
        <f>IF('LC (Gross)'!A519="","",'LC (Gross)'!A519)</f>
        <v/>
      </c>
      <c r="C372" s="1" t="str">
        <f>IF(B372="","",(VLOOKUP(B372,'LC (Gross)'!A:D,4,FALSE)/100))</f>
        <v/>
      </c>
      <c r="D372" s="1" t="str">
        <f>IF(B372="","",(VLOOKUP(B372,'SC (Gross)'!A:D,4,FALSE))/100)</f>
        <v/>
      </c>
      <c r="E372" s="1" t="str">
        <f>IF(B372="","",(VLOOKUP(B372,'Global (Gross)'!A:D,4,FALSE)/100))</f>
        <v/>
      </c>
      <c r="F372" s="1" t="str">
        <f>IF(B372="","",(VLOOKUP(B372,'BOGIX (Gross)'!A:D,4,FALSE)/100))</f>
        <v/>
      </c>
      <c r="G372" s="1"/>
      <c r="H372" s="1"/>
      <c r="I372" s="1"/>
      <c r="J372" s="1" t="str">
        <f>IF(B372="","",(VLOOKUP(B372,'BOGIX (Net)'!A:D,4,FALSE)/100))</f>
        <v/>
      </c>
      <c r="K372" s="1" t="str">
        <f>IF(B372="","",VLOOKUP(Website!B372,'LC (Gross)'!W:X,2,FALSE)/100)</f>
        <v/>
      </c>
      <c r="L372" s="1" t="str">
        <f>IF(B372="","",VLOOKUP(Website!B372,'SC (Gross)'!P:Q,2,FALSE)/100)</f>
        <v/>
      </c>
      <c r="M372" s="1" t="str">
        <f>IF(B372="","",VLOOKUP(Website!B372,'Global (Gross)'!P:Q,2,FALSE)/100)</f>
        <v/>
      </c>
      <c r="S372" s="22" t="str">
        <f t="shared" si="212"/>
        <v/>
      </c>
      <c r="T372" s="22" t="str">
        <f t="shared" si="213"/>
        <v/>
      </c>
      <c r="U372" s="22" t="str">
        <f t="shared" si="214"/>
        <v/>
      </c>
      <c r="V372" s="22" t="str">
        <f t="shared" si="211"/>
        <v/>
      </c>
      <c r="W372" s="22" t="str">
        <f t="shared" si="215"/>
        <v/>
      </c>
      <c r="X372" s="22" t="str">
        <f t="shared" si="216"/>
        <v/>
      </c>
      <c r="Y372" s="22" t="str">
        <f t="shared" si="217"/>
        <v/>
      </c>
    </row>
    <row r="373" spans="1:25" x14ac:dyDescent="0.25">
      <c r="A373" t="str">
        <f t="shared" si="218"/>
        <v/>
      </c>
      <c r="B373" s="169" t="str">
        <f>IF('LC (Gross)'!A520="","",'LC (Gross)'!A520)</f>
        <v/>
      </c>
      <c r="C373" s="1" t="str">
        <f>IF(B373="","",(VLOOKUP(B373,'LC (Gross)'!A:D,4,FALSE)/100))</f>
        <v/>
      </c>
      <c r="D373" s="1" t="str">
        <f>IF(B373="","",(VLOOKUP(B373,'SC (Gross)'!A:D,4,FALSE))/100)</f>
        <v/>
      </c>
      <c r="E373" s="1" t="str">
        <f>IF(B373="","",(VLOOKUP(B373,'Global (Gross)'!A:D,4,FALSE)/100))</f>
        <v/>
      </c>
      <c r="F373" s="1" t="str">
        <f>IF(B373="","",(VLOOKUP(B373,'BOGIX (Gross)'!A:D,4,FALSE)/100))</f>
        <v/>
      </c>
      <c r="G373" s="1"/>
      <c r="H373" s="1"/>
      <c r="I373" s="1"/>
      <c r="J373" s="1" t="str">
        <f>IF(B373="","",(VLOOKUP(B373,'BOGIX (Net)'!A:D,4,FALSE)/100))</f>
        <v/>
      </c>
      <c r="K373" s="1" t="str">
        <f>IF(B373="","",VLOOKUP(Website!B373,'LC (Gross)'!W:X,2,FALSE)/100)</f>
        <v/>
      </c>
      <c r="L373" s="1" t="str">
        <f>IF(B373="","",VLOOKUP(Website!B373,'SC (Gross)'!P:Q,2,FALSE)/100)</f>
        <v/>
      </c>
      <c r="M373" s="1" t="str">
        <f>IF(B373="","",VLOOKUP(Website!B373,'Global (Gross)'!P:Q,2,FALSE)/100)</f>
        <v/>
      </c>
      <c r="S373" s="22" t="str">
        <f t="shared" si="212"/>
        <v/>
      </c>
      <c r="T373" s="22" t="str">
        <f t="shared" si="213"/>
        <v/>
      </c>
      <c r="U373" s="22" t="str">
        <f t="shared" si="214"/>
        <v/>
      </c>
      <c r="V373" s="22" t="str">
        <f t="shared" si="211"/>
        <v/>
      </c>
      <c r="W373" s="22" t="str">
        <f t="shared" si="215"/>
        <v/>
      </c>
      <c r="X373" s="22" t="str">
        <f t="shared" si="216"/>
        <v/>
      </c>
      <c r="Y373" s="22" t="str">
        <f t="shared" si="217"/>
        <v/>
      </c>
    </row>
    <row r="374" spans="1:25" x14ac:dyDescent="0.25">
      <c r="A374" t="str">
        <f t="shared" si="218"/>
        <v/>
      </c>
      <c r="B374" s="169" t="str">
        <f>IF('LC (Gross)'!A521="","",'LC (Gross)'!A521)</f>
        <v/>
      </c>
      <c r="C374" s="1" t="str">
        <f>IF(B374="","",(VLOOKUP(B374,'LC (Gross)'!A:D,4,FALSE)/100))</f>
        <v/>
      </c>
      <c r="D374" s="1" t="str">
        <f>IF(B374="","",(VLOOKUP(B374,'SC (Gross)'!A:D,4,FALSE))/100)</f>
        <v/>
      </c>
      <c r="E374" s="1" t="str">
        <f>IF(B374="","",(VLOOKUP(B374,'Global (Gross)'!A:D,4,FALSE)/100))</f>
        <v/>
      </c>
      <c r="F374" s="1" t="str">
        <f>IF(B374="","",(VLOOKUP(B374,'BOGIX (Gross)'!A:D,4,FALSE)/100))</f>
        <v/>
      </c>
      <c r="G374" s="1"/>
      <c r="H374" s="1"/>
      <c r="I374" s="1"/>
      <c r="J374" s="1" t="str">
        <f>IF(B374="","",(VLOOKUP(B374,'BOGIX (Net)'!A:D,4,FALSE)/100))</f>
        <v/>
      </c>
      <c r="K374" s="1" t="str">
        <f>IF(B374="","",VLOOKUP(Website!B374,'LC (Gross)'!W:X,2,FALSE)/100)</f>
        <v/>
      </c>
      <c r="L374" s="1" t="str">
        <f>IF(B374="","",VLOOKUP(Website!B374,'SC (Gross)'!P:Q,2,FALSE)/100)</f>
        <v/>
      </c>
      <c r="M374" s="1" t="str">
        <f>IF(B374="","",VLOOKUP(Website!B374,'Global (Gross)'!P:Q,2,FALSE)/100)</f>
        <v/>
      </c>
      <c r="S374" s="22" t="str">
        <f t="shared" si="212"/>
        <v/>
      </c>
      <c r="T374" s="22" t="str">
        <f t="shared" si="213"/>
        <v/>
      </c>
      <c r="U374" s="22" t="str">
        <f t="shared" si="214"/>
        <v/>
      </c>
      <c r="V374" s="22" t="str">
        <f t="shared" si="211"/>
        <v/>
      </c>
      <c r="W374" s="22" t="str">
        <f t="shared" si="215"/>
        <v/>
      </c>
      <c r="X374" s="22" t="str">
        <f t="shared" si="216"/>
        <v/>
      </c>
      <c r="Y374" s="22" t="str">
        <f t="shared" si="217"/>
        <v/>
      </c>
    </row>
    <row r="375" spans="1:25" x14ac:dyDescent="0.25">
      <c r="A375" t="str">
        <f t="shared" si="218"/>
        <v/>
      </c>
      <c r="B375" s="169" t="str">
        <f>IF('LC (Gross)'!A522="","",'LC (Gross)'!A522)</f>
        <v/>
      </c>
      <c r="C375" s="1" t="str">
        <f>IF(B375="","",(VLOOKUP(B375,'LC (Gross)'!A:D,4,FALSE)/100))</f>
        <v/>
      </c>
      <c r="D375" s="1" t="str">
        <f>IF(B375="","",(VLOOKUP(B375,'SC (Gross)'!A:D,4,FALSE))/100)</f>
        <v/>
      </c>
      <c r="E375" s="1" t="str">
        <f>IF(B375="","",(VLOOKUP(B375,'Global (Gross)'!A:D,4,FALSE)/100))</f>
        <v/>
      </c>
      <c r="F375" s="1" t="str">
        <f>IF(B375="","",(VLOOKUP(B375,'BOGIX (Gross)'!A:D,4,FALSE)/100))</f>
        <v/>
      </c>
      <c r="G375" s="1"/>
      <c r="H375" s="1"/>
      <c r="I375" s="1"/>
      <c r="J375" s="1" t="str">
        <f>IF(B375="","",(VLOOKUP(B375,'BOGIX (Net)'!A:D,4,FALSE)/100))</f>
        <v/>
      </c>
      <c r="K375" s="1" t="str">
        <f>IF(B375="","",VLOOKUP(Website!B375,'LC (Gross)'!W:X,2,FALSE)/100)</f>
        <v/>
      </c>
      <c r="L375" s="1" t="str">
        <f>IF(B375="","",VLOOKUP(Website!B375,'SC (Gross)'!P:Q,2,FALSE)/100)</f>
        <v/>
      </c>
      <c r="M375" s="1" t="str">
        <f>IF(B375="","",VLOOKUP(Website!B375,'Global (Gross)'!P:Q,2,FALSE)/100)</f>
        <v/>
      </c>
      <c r="S375" s="22" t="str">
        <f t="shared" si="212"/>
        <v/>
      </c>
      <c r="T375" s="22" t="str">
        <f t="shared" si="213"/>
        <v/>
      </c>
      <c r="U375" s="22" t="str">
        <f t="shared" si="214"/>
        <v/>
      </c>
      <c r="V375" s="22" t="str">
        <f t="shared" si="211"/>
        <v/>
      </c>
      <c r="W375" s="22" t="str">
        <f t="shared" si="215"/>
        <v/>
      </c>
      <c r="X375" s="22" t="str">
        <f t="shared" si="216"/>
        <v/>
      </c>
      <c r="Y375" s="22" t="str">
        <f t="shared" si="217"/>
        <v/>
      </c>
    </row>
    <row r="376" spans="1:25" x14ac:dyDescent="0.25">
      <c r="A376" t="str">
        <f t="shared" si="218"/>
        <v/>
      </c>
      <c r="B376" s="169" t="str">
        <f>IF('LC (Gross)'!A523="","",'LC (Gross)'!A523)</f>
        <v/>
      </c>
      <c r="C376" s="1" t="str">
        <f>IF(B376="","",(VLOOKUP(B376,'LC (Gross)'!A:D,4,FALSE)/100))</f>
        <v/>
      </c>
      <c r="D376" s="1" t="str">
        <f>IF(B376="","",(VLOOKUP(B376,'SC (Gross)'!A:D,4,FALSE))/100)</f>
        <v/>
      </c>
      <c r="E376" s="1" t="str">
        <f>IF(B376="","",(VLOOKUP(B376,'Global (Gross)'!A:D,4,FALSE)/100))</f>
        <v/>
      </c>
      <c r="F376" s="1" t="str">
        <f>IF(B376="","",(VLOOKUP(B376,'BOGIX (Gross)'!A:D,4,FALSE)/100))</f>
        <v/>
      </c>
      <c r="G376" s="1"/>
      <c r="H376" s="1"/>
      <c r="I376" s="1"/>
      <c r="J376" s="1" t="str">
        <f>IF(B376="","",(VLOOKUP(B376,'BOGIX (Net)'!A:D,4,FALSE)/100))</f>
        <v/>
      </c>
      <c r="K376" s="1" t="str">
        <f>IF(B376="","",VLOOKUP(Website!B376,'LC (Gross)'!W:X,2,FALSE)/100)</f>
        <v/>
      </c>
      <c r="L376" s="1" t="str">
        <f>IF(B376="","",VLOOKUP(Website!B376,'SC (Gross)'!P:Q,2,FALSE)/100)</f>
        <v/>
      </c>
      <c r="M376" s="1" t="str">
        <f>IF(B376="","",VLOOKUP(Website!B376,'Global (Gross)'!P:Q,2,FALSE)/100)</f>
        <v/>
      </c>
      <c r="S376" s="22" t="str">
        <f t="shared" si="212"/>
        <v/>
      </c>
      <c r="T376" s="22" t="str">
        <f t="shared" si="213"/>
        <v/>
      </c>
      <c r="U376" s="22" t="str">
        <f t="shared" si="214"/>
        <v/>
      </c>
      <c r="V376" s="22" t="str">
        <f t="shared" si="211"/>
        <v/>
      </c>
      <c r="W376" s="22" t="str">
        <f t="shared" si="215"/>
        <v/>
      </c>
      <c r="X376" s="22" t="str">
        <f t="shared" si="216"/>
        <v/>
      </c>
      <c r="Y376" s="22" t="str">
        <f t="shared" si="217"/>
        <v/>
      </c>
    </row>
    <row r="377" spans="1:25" x14ac:dyDescent="0.25">
      <c r="A377" t="str">
        <f t="shared" si="218"/>
        <v/>
      </c>
      <c r="B377" s="169" t="str">
        <f>IF('LC (Gross)'!A524="","",'LC (Gross)'!A524)</f>
        <v/>
      </c>
      <c r="C377" s="1" t="str">
        <f>IF(B377="","",(VLOOKUP(B377,'LC (Gross)'!A:D,4,FALSE)/100))</f>
        <v/>
      </c>
      <c r="D377" s="1" t="str">
        <f>IF(B377="","",(VLOOKUP(B377,'SC (Gross)'!A:D,4,FALSE))/100)</f>
        <v/>
      </c>
      <c r="E377" s="1" t="str">
        <f>IF(B377="","",(VLOOKUP(B377,'Global (Gross)'!A:D,4,FALSE)/100))</f>
        <v/>
      </c>
      <c r="F377" s="1" t="str">
        <f>IF(B377="","",(VLOOKUP(B377,'BOGIX (Gross)'!A:D,4,FALSE)/100))</f>
        <v/>
      </c>
      <c r="G377" s="1"/>
      <c r="H377" s="1"/>
      <c r="I377" s="1"/>
      <c r="J377" s="1" t="str">
        <f>IF(B377="","",(VLOOKUP(B377,'BOGIX (Net)'!A:D,4,FALSE)/100))</f>
        <v/>
      </c>
      <c r="K377" s="1" t="str">
        <f>IF(B377="","",VLOOKUP(Website!B377,'LC (Gross)'!W:X,2,FALSE)/100)</f>
        <v/>
      </c>
      <c r="L377" s="1" t="str">
        <f>IF(B377="","",VLOOKUP(Website!B377,'SC (Gross)'!P:Q,2,FALSE)/100)</f>
        <v/>
      </c>
      <c r="M377" s="1" t="str">
        <f>IF(B377="","",VLOOKUP(Website!B377,'Global (Gross)'!P:Q,2,FALSE)/100)</f>
        <v/>
      </c>
      <c r="S377" s="22" t="str">
        <f t="shared" si="212"/>
        <v/>
      </c>
      <c r="T377" s="22" t="str">
        <f t="shared" si="213"/>
        <v/>
      </c>
      <c r="U377" s="22" t="str">
        <f t="shared" si="214"/>
        <v/>
      </c>
      <c r="V377" s="22" t="str">
        <f t="shared" si="211"/>
        <v/>
      </c>
      <c r="W377" s="22" t="str">
        <f t="shared" si="215"/>
        <v/>
      </c>
      <c r="X377" s="22" t="str">
        <f t="shared" si="216"/>
        <v/>
      </c>
      <c r="Y377" s="22" t="str">
        <f t="shared" si="217"/>
        <v/>
      </c>
    </row>
    <row r="378" spans="1:25" x14ac:dyDescent="0.25">
      <c r="A378" t="str">
        <f t="shared" si="218"/>
        <v/>
      </c>
      <c r="B378" s="169" t="str">
        <f>IF('LC (Gross)'!A525="","",'LC (Gross)'!A525)</f>
        <v/>
      </c>
      <c r="C378" s="1" t="str">
        <f>IF(B378="","",(VLOOKUP(B378,'LC (Gross)'!A:D,4,FALSE)/100))</f>
        <v/>
      </c>
      <c r="D378" s="1" t="str">
        <f>IF(B378="","",(VLOOKUP(B378,'SC (Gross)'!A:D,4,FALSE))/100)</f>
        <v/>
      </c>
      <c r="E378" s="1" t="str">
        <f>IF(B378="","",(VLOOKUP(B378,'Global (Gross)'!A:D,4,FALSE)/100))</f>
        <v/>
      </c>
      <c r="F378" s="1" t="str">
        <f>IF(B378="","",(VLOOKUP(B378,'BOGIX (Gross)'!A:D,4,FALSE)/100))</f>
        <v/>
      </c>
      <c r="G378" s="1"/>
      <c r="H378" s="1"/>
      <c r="I378" s="1"/>
      <c r="J378" s="1" t="str">
        <f>IF(B378="","",(VLOOKUP(B378,'BOGIX (Net)'!A:D,4,FALSE)/100))</f>
        <v/>
      </c>
      <c r="K378" s="1" t="str">
        <f>IF(B378="","",VLOOKUP(Website!B378,'LC (Gross)'!W:X,2,FALSE)/100)</f>
        <v/>
      </c>
      <c r="L378" s="1" t="str">
        <f>IF(B378="","",VLOOKUP(Website!B378,'SC (Gross)'!P:Q,2,FALSE)/100)</f>
        <v/>
      </c>
      <c r="M378" s="1" t="str">
        <f>IF(B378="","",VLOOKUP(Website!B378,'Global (Gross)'!P:Q,2,FALSE)/100)</f>
        <v/>
      </c>
      <c r="S378" s="22" t="str">
        <f t="shared" si="212"/>
        <v/>
      </c>
      <c r="T378" s="22" t="str">
        <f t="shared" si="213"/>
        <v/>
      </c>
      <c r="U378" s="22" t="str">
        <f t="shared" si="214"/>
        <v/>
      </c>
      <c r="V378" s="22" t="str">
        <f t="shared" si="211"/>
        <v/>
      </c>
      <c r="W378" s="22" t="str">
        <f t="shared" si="215"/>
        <v/>
      </c>
      <c r="X378" s="22" t="str">
        <f t="shared" si="216"/>
        <v/>
      </c>
      <c r="Y378" s="22" t="str">
        <f t="shared" si="217"/>
        <v/>
      </c>
    </row>
    <row r="379" spans="1:25" x14ac:dyDescent="0.25">
      <c r="A379" t="str">
        <f t="shared" si="218"/>
        <v/>
      </c>
      <c r="B379" s="169" t="str">
        <f>IF('LC (Gross)'!A526="","",'LC (Gross)'!A526)</f>
        <v/>
      </c>
      <c r="C379" s="1" t="str">
        <f>IF(B379="","",(VLOOKUP(B379,'LC (Gross)'!A:D,4,FALSE)/100))</f>
        <v/>
      </c>
      <c r="D379" s="1" t="str">
        <f>IF(B379="","",(VLOOKUP(B379,'SC (Gross)'!A:D,4,FALSE))/100)</f>
        <v/>
      </c>
      <c r="E379" s="1" t="str">
        <f>IF(B379="","",(VLOOKUP(B379,'Global (Gross)'!A:D,4,FALSE)/100))</f>
        <v/>
      </c>
      <c r="F379" s="1" t="str">
        <f>IF(B379="","",(VLOOKUP(B379,'BOGIX (Gross)'!A:D,4,FALSE)/100))</f>
        <v/>
      </c>
      <c r="G379" s="1"/>
      <c r="H379" s="1"/>
      <c r="I379" s="1"/>
      <c r="J379" s="1" t="str">
        <f>IF(B379="","",(VLOOKUP(B379,'BOGIX (Net)'!A:D,4,FALSE)/100))</f>
        <v/>
      </c>
      <c r="K379" s="1" t="str">
        <f>IF(B379="","",VLOOKUP(Website!B379,'LC (Gross)'!W:X,2,FALSE)/100)</f>
        <v/>
      </c>
      <c r="L379" s="1" t="str">
        <f>IF(B379="","",VLOOKUP(Website!B379,'SC (Gross)'!P:Q,2,FALSE)/100)</f>
        <v/>
      </c>
      <c r="M379" s="1" t="str">
        <f>IF(B379="","",VLOOKUP(Website!B379,'Global (Gross)'!P:Q,2,FALSE)/100)</f>
        <v/>
      </c>
      <c r="S379" s="22" t="str">
        <f t="shared" si="212"/>
        <v/>
      </c>
      <c r="T379" s="22" t="str">
        <f t="shared" si="213"/>
        <v/>
      </c>
      <c r="U379" s="22" t="str">
        <f t="shared" si="214"/>
        <v/>
      </c>
      <c r="V379" s="22" t="str">
        <f t="shared" si="211"/>
        <v/>
      </c>
      <c r="W379" s="22" t="str">
        <f t="shared" si="215"/>
        <v/>
      </c>
      <c r="X379" s="22" t="str">
        <f t="shared" si="216"/>
        <v/>
      </c>
      <c r="Y379" s="22" t="str">
        <f t="shared" si="217"/>
        <v/>
      </c>
    </row>
    <row r="380" spans="1:25" x14ac:dyDescent="0.25">
      <c r="A380" t="str">
        <f t="shared" si="218"/>
        <v/>
      </c>
      <c r="B380" s="169" t="str">
        <f>IF('LC (Gross)'!A527="","",'LC (Gross)'!A527)</f>
        <v/>
      </c>
      <c r="C380" s="1" t="str">
        <f>IF(B380="","",(VLOOKUP(B380,'LC (Gross)'!A:D,4,FALSE)/100))</f>
        <v/>
      </c>
      <c r="D380" s="1" t="str">
        <f>IF(B380="","",(VLOOKUP(B380,'SC (Gross)'!A:D,4,FALSE))/100)</f>
        <v/>
      </c>
      <c r="E380" s="1" t="str">
        <f>IF(B380="","",(VLOOKUP(B380,'Global (Gross)'!A:D,4,FALSE)/100))</f>
        <v/>
      </c>
      <c r="F380" s="1" t="str">
        <f>IF(B380="","",(VLOOKUP(B380,'BOGIX (Gross)'!A:D,4,FALSE)/100))</f>
        <v/>
      </c>
      <c r="G380" s="1"/>
      <c r="H380" s="1"/>
      <c r="I380" s="1"/>
      <c r="J380" s="1" t="str">
        <f>IF(B380="","",(VLOOKUP(B380,'BOGIX (Net)'!A:D,4,FALSE)/100))</f>
        <v/>
      </c>
      <c r="K380" s="1"/>
      <c r="L380" s="1"/>
      <c r="M380" s="1"/>
      <c r="S380" s="22" t="str">
        <f t="shared" si="212"/>
        <v/>
      </c>
      <c r="T380" s="22" t="str">
        <f t="shared" si="213"/>
        <v/>
      </c>
      <c r="U380" s="22" t="str">
        <f t="shared" si="214"/>
        <v/>
      </c>
      <c r="V380" s="22" t="str">
        <f t="shared" si="211"/>
        <v/>
      </c>
      <c r="W380" s="22" t="str">
        <f t="shared" si="215"/>
        <v/>
      </c>
      <c r="X380" s="22" t="str">
        <f t="shared" si="216"/>
        <v/>
      </c>
      <c r="Y380" s="22" t="str">
        <f t="shared" si="217"/>
        <v/>
      </c>
    </row>
    <row r="381" spans="1:25" x14ac:dyDescent="0.25">
      <c r="A381" t="str">
        <f t="shared" si="218"/>
        <v/>
      </c>
      <c r="B381" s="169" t="str">
        <f>IF('LC (Gross)'!A528="","",'LC (Gross)'!A528)</f>
        <v/>
      </c>
      <c r="C381" s="1" t="str">
        <f>IF(B381="","",(VLOOKUP(B381,'LC (Gross)'!A:D,4,FALSE)/100))</f>
        <v/>
      </c>
      <c r="D381" s="1" t="str">
        <f>IF(B381="","",(VLOOKUP(B381,'SC (Gross)'!A:D,4,FALSE))/100)</f>
        <v/>
      </c>
      <c r="E381" s="1" t="str">
        <f>IF(B381="","",(VLOOKUP(B381,'Global (Gross)'!A:D,4,FALSE)/100))</f>
        <v/>
      </c>
      <c r="F381" s="1" t="str">
        <f>IF(B381="","",(VLOOKUP(B381,'BOGIX (Gross)'!A:D,4,FALSE)/100))</f>
        <v/>
      </c>
      <c r="G381" s="1"/>
      <c r="H381" s="1"/>
      <c r="I381" s="1"/>
      <c r="J381" s="1" t="str">
        <f>IF(B381="","",(VLOOKUP(B381,'BOGIX (Net)'!A:D,4,FALSE)/100))</f>
        <v/>
      </c>
      <c r="K381" s="1"/>
      <c r="L381" s="1"/>
      <c r="M381" s="1"/>
      <c r="S381" s="22" t="str">
        <f t="shared" si="212"/>
        <v/>
      </c>
      <c r="T381" s="22" t="str">
        <f t="shared" si="213"/>
        <v/>
      </c>
      <c r="U381" s="22" t="str">
        <f t="shared" si="214"/>
        <v/>
      </c>
      <c r="V381" s="22" t="str">
        <f t="shared" ref="V381:V444" si="219">IF(F381="","",F381-P381)</f>
        <v/>
      </c>
      <c r="W381" s="22" t="str">
        <f t="shared" si="215"/>
        <v/>
      </c>
      <c r="X381" s="22" t="str">
        <f t="shared" si="216"/>
        <v/>
      </c>
      <c r="Y381" s="22" t="str">
        <f t="shared" si="217"/>
        <v/>
      </c>
    </row>
    <row r="382" spans="1:25" x14ac:dyDescent="0.25">
      <c r="A382" t="str">
        <f t="shared" si="218"/>
        <v/>
      </c>
      <c r="B382" s="169" t="str">
        <f>IF('LC (Gross)'!A529="","",'LC (Gross)'!A529)</f>
        <v/>
      </c>
      <c r="C382" s="1" t="str">
        <f>IF(B382="","",(VLOOKUP(B382,'LC (Gross)'!A:D,4,FALSE)/100))</f>
        <v/>
      </c>
      <c r="D382" s="1" t="str">
        <f>IF(B382="","",(VLOOKUP(B382,'SC (Gross)'!A:D,4,FALSE))/100)</f>
        <v/>
      </c>
      <c r="E382" s="1" t="str">
        <f>IF(B382="","",(VLOOKUP(B382,'Global (Gross)'!A:D,4,FALSE)/100))</f>
        <v/>
      </c>
      <c r="F382" s="1" t="str">
        <f>IF(B382="","",(VLOOKUP(B382,'BOGIX (Gross)'!A:D,4,FALSE)/100))</f>
        <v/>
      </c>
      <c r="G382" s="1"/>
      <c r="H382" s="1"/>
      <c r="I382" s="1"/>
      <c r="J382" s="1" t="str">
        <f>IF(B382="","",(VLOOKUP(B382,'BOGIX (Net)'!A:D,4,FALSE)/100))</f>
        <v/>
      </c>
      <c r="K382" s="1"/>
      <c r="L382" s="1"/>
      <c r="M382" s="1"/>
      <c r="S382" s="22" t="str">
        <f t="shared" si="212"/>
        <v/>
      </c>
      <c r="T382" s="22" t="str">
        <f t="shared" si="213"/>
        <v/>
      </c>
      <c r="U382" s="22" t="str">
        <f t="shared" si="214"/>
        <v/>
      </c>
      <c r="V382" s="22" t="str">
        <f t="shared" si="219"/>
        <v/>
      </c>
      <c r="W382" s="22" t="str">
        <f t="shared" si="215"/>
        <v/>
      </c>
      <c r="X382" s="22" t="str">
        <f t="shared" si="216"/>
        <v/>
      </c>
      <c r="Y382" s="22" t="str">
        <f t="shared" si="217"/>
        <v/>
      </c>
    </row>
    <row r="383" spans="1:25" x14ac:dyDescent="0.25">
      <c r="A383" t="str">
        <f t="shared" si="218"/>
        <v/>
      </c>
      <c r="B383" s="169" t="str">
        <f>IF('LC (Gross)'!A530="","",'LC (Gross)'!A530)</f>
        <v/>
      </c>
      <c r="C383" s="1" t="str">
        <f>IF(B383="","",(VLOOKUP(B383,'LC (Gross)'!A:D,4,FALSE)/100))</f>
        <v/>
      </c>
      <c r="D383" s="1" t="str">
        <f>IF(B383="","",(VLOOKUP(B383,'SC (Gross)'!A:D,4,FALSE))/100)</f>
        <v/>
      </c>
      <c r="E383" s="1" t="str">
        <f>IF(B383="","",(VLOOKUP(B383,'Global (Gross)'!A:D,4,FALSE)/100))</f>
        <v/>
      </c>
      <c r="F383" s="1" t="str">
        <f>IF(B383="","",(VLOOKUP(B383,'BOGIX (Gross)'!A:D,4,FALSE)/100))</f>
        <v/>
      </c>
      <c r="G383" s="1"/>
      <c r="H383" s="1"/>
      <c r="I383" s="1"/>
      <c r="J383" s="1" t="str">
        <f>IF(B383="","",(VLOOKUP(B383,'BOGIX (Net)'!A:D,4,FALSE)/100))</f>
        <v/>
      </c>
      <c r="K383" s="1"/>
      <c r="L383" s="1"/>
      <c r="M383" s="1"/>
      <c r="S383" s="22" t="str">
        <f t="shared" si="212"/>
        <v/>
      </c>
      <c r="T383" s="22" t="str">
        <f t="shared" si="213"/>
        <v/>
      </c>
      <c r="U383" s="22" t="str">
        <f t="shared" si="214"/>
        <v/>
      </c>
      <c r="V383" s="22" t="str">
        <f t="shared" si="219"/>
        <v/>
      </c>
      <c r="W383" s="22" t="str">
        <f t="shared" si="215"/>
        <v/>
      </c>
      <c r="X383" s="22" t="str">
        <f t="shared" si="216"/>
        <v/>
      </c>
      <c r="Y383" s="22" t="str">
        <f t="shared" si="217"/>
        <v/>
      </c>
    </row>
    <row r="384" spans="1:25" x14ac:dyDescent="0.25">
      <c r="A384" t="str">
        <f t="shared" si="218"/>
        <v/>
      </c>
      <c r="B384" s="169" t="str">
        <f>IF('LC (Gross)'!A531="","",'LC (Gross)'!A531)</f>
        <v/>
      </c>
      <c r="C384" s="1" t="str">
        <f>IF(B384="","",(VLOOKUP(B384,'LC (Gross)'!A:D,4,FALSE)/100))</f>
        <v/>
      </c>
      <c r="D384" s="1" t="str">
        <f>IF(B384="","",(VLOOKUP(B384,'SC (Gross)'!A:D,4,FALSE))/100)</f>
        <v/>
      </c>
      <c r="E384" s="1" t="str">
        <f>IF(B384="","",(VLOOKUP(B384,'Global (Gross)'!A:D,4,FALSE)/100))</f>
        <v/>
      </c>
      <c r="F384" s="1" t="str">
        <f>IF(B384="","",(VLOOKUP(B384,'BOGIX (Gross)'!A:D,4,FALSE)/100))</f>
        <v/>
      </c>
      <c r="G384" s="1"/>
      <c r="H384" s="1"/>
      <c r="I384" s="1"/>
      <c r="J384" s="1" t="str">
        <f>IF(B384="","",(VLOOKUP(B384,'BOGIX (Net)'!A:D,4,FALSE)/100))</f>
        <v/>
      </c>
      <c r="K384" s="1"/>
      <c r="L384" s="1"/>
      <c r="M384" s="1"/>
      <c r="S384" s="22" t="str">
        <f t="shared" si="212"/>
        <v/>
      </c>
      <c r="T384" s="22" t="str">
        <f t="shared" si="213"/>
        <v/>
      </c>
      <c r="U384" s="22" t="str">
        <f t="shared" si="214"/>
        <v/>
      </c>
      <c r="V384" s="22" t="str">
        <f t="shared" si="219"/>
        <v/>
      </c>
      <c r="W384" s="22" t="str">
        <f t="shared" si="215"/>
        <v/>
      </c>
      <c r="X384" s="22" t="str">
        <f t="shared" si="216"/>
        <v/>
      </c>
      <c r="Y384" s="22" t="str">
        <f t="shared" si="217"/>
        <v/>
      </c>
    </row>
    <row r="385" spans="1:25" x14ac:dyDescent="0.25">
      <c r="A385" t="str">
        <f t="shared" si="218"/>
        <v/>
      </c>
      <c r="B385" s="169" t="str">
        <f>IF('LC (Gross)'!A532="","",'LC (Gross)'!A532)</f>
        <v/>
      </c>
      <c r="C385" s="1" t="str">
        <f>IF(B385="","",(VLOOKUP(B385,'LC (Gross)'!A:D,4,FALSE)/100))</f>
        <v/>
      </c>
      <c r="D385" s="1" t="str">
        <f>IF(B385="","",(VLOOKUP(B385,'SC (Gross)'!A:D,4,FALSE))/100)</f>
        <v/>
      </c>
      <c r="E385" s="1" t="str">
        <f>IF(B385="","",(VLOOKUP(B385,'Global (Gross)'!A:D,4,FALSE)/100))</f>
        <v/>
      </c>
      <c r="F385" s="1" t="str">
        <f>IF(B385="","",(VLOOKUP(B385,'BOGIX (Gross)'!A:D,4,FALSE)/100))</f>
        <v/>
      </c>
      <c r="G385" s="1"/>
      <c r="H385" s="1"/>
      <c r="I385" s="1"/>
      <c r="J385" s="1" t="str">
        <f>IF(B385="","",(VLOOKUP(B385,'BOGIX (Net)'!A:D,4,FALSE)/100))</f>
        <v/>
      </c>
      <c r="K385" s="1"/>
      <c r="L385" s="1"/>
      <c r="M385" s="1"/>
      <c r="S385" s="22" t="str">
        <f t="shared" si="212"/>
        <v/>
      </c>
      <c r="T385" s="22" t="str">
        <f t="shared" si="213"/>
        <v/>
      </c>
      <c r="U385" s="22" t="str">
        <f t="shared" si="214"/>
        <v/>
      </c>
      <c r="V385" s="22" t="str">
        <f t="shared" si="219"/>
        <v/>
      </c>
      <c r="W385" s="22" t="str">
        <f t="shared" si="215"/>
        <v/>
      </c>
      <c r="X385" s="22" t="str">
        <f t="shared" si="216"/>
        <v/>
      </c>
      <c r="Y385" s="22" t="str">
        <f t="shared" si="217"/>
        <v/>
      </c>
    </row>
    <row r="386" spans="1:25" x14ac:dyDescent="0.25">
      <c r="A386" t="str">
        <f t="shared" si="218"/>
        <v/>
      </c>
      <c r="B386" s="169" t="str">
        <f>IF('LC (Gross)'!A533="","",'LC (Gross)'!A533)</f>
        <v/>
      </c>
      <c r="C386" s="1" t="str">
        <f>IF(B386="","",(VLOOKUP(B386,'LC (Gross)'!A:D,4,FALSE)/100))</f>
        <v/>
      </c>
      <c r="D386" s="1" t="str">
        <f>IF(B386="","",(VLOOKUP(B386,'SC (Gross)'!A:D,4,FALSE))/100)</f>
        <v/>
      </c>
      <c r="E386" s="1" t="str">
        <f>IF(B386="","",(VLOOKUP(B386,'Global (Gross)'!A:D,4,FALSE)/100))</f>
        <v/>
      </c>
      <c r="F386" s="1" t="str">
        <f>IF(B386="","",(VLOOKUP(B386,'BOGIX (Gross)'!A:D,4,FALSE)/100))</f>
        <v/>
      </c>
      <c r="G386" s="1"/>
      <c r="H386" s="1"/>
      <c r="I386" s="1"/>
      <c r="J386" s="1" t="str">
        <f>IF(B386="","",(VLOOKUP(B386,'BOGIX (Net)'!A:D,4,FALSE)/100))</f>
        <v/>
      </c>
      <c r="K386" s="1"/>
      <c r="L386" s="1"/>
      <c r="M386" s="1"/>
      <c r="S386" s="22" t="str">
        <f t="shared" si="212"/>
        <v/>
      </c>
      <c r="T386" s="22" t="str">
        <f t="shared" si="213"/>
        <v/>
      </c>
      <c r="U386" s="22" t="str">
        <f t="shared" si="214"/>
        <v/>
      </c>
      <c r="V386" s="22" t="str">
        <f t="shared" si="219"/>
        <v/>
      </c>
      <c r="W386" s="22" t="str">
        <f t="shared" si="215"/>
        <v/>
      </c>
      <c r="X386" s="22" t="str">
        <f t="shared" si="216"/>
        <v/>
      </c>
      <c r="Y386" s="22" t="str">
        <f t="shared" si="217"/>
        <v/>
      </c>
    </row>
    <row r="387" spans="1:25" x14ac:dyDescent="0.25">
      <c r="A387" t="str">
        <f t="shared" si="218"/>
        <v/>
      </c>
      <c r="B387" s="169" t="str">
        <f>IF('LC (Gross)'!A534="","",'LC (Gross)'!A534)</f>
        <v/>
      </c>
      <c r="C387" s="1" t="str">
        <f>IF(B387="","",(VLOOKUP(B387,'LC (Gross)'!A:D,4,FALSE)/100))</f>
        <v/>
      </c>
      <c r="D387" s="1" t="str">
        <f>IF(B387="","",(VLOOKUP(B387,'SC (Gross)'!A:D,4,FALSE))/100)</f>
        <v/>
      </c>
      <c r="E387" s="1" t="str">
        <f>IF(B387="","",(VLOOKUP(B387,'Global (Gross)'!A:D,4,FALSE)/100))</f>
        <v/>
      </c>
      <c r="F387" s="1" t="str">
        <f>IF(B387="","",(VLOOKUP(B387,'BOGIX (Gross)'!A:D,4,FALSE)/100))</f>
        <v/>
      </c>
      <c r="G387" s="1"/>
      <c r="H387" s="1"/>
      <c r="I387" s="1"/>
      <c r="J387" s="1" t="str">
        <f>IF(B387="","",(VLOOKUP(B387,'BOGIX (Net)'!A:D,4,FALSE)/100))</f>
        <v/>
      </c>
      <c r="K387" s="1"/>
      <c r="L387" s="1"/>
      <c r="M387" s="1"/>
      <c r="S387" s="22" t="str">
        <f t="shared" ref="S387:S450" si="220">IF(C387="","",C387-O387)</f>
        <v/>
      </c>
      <c r="T387" s="22" t="str">
        <f t="shared" ref="T387:T450" si="221">IF(D387="","",D387-P387)</f>
        <v/>
      </c>
      <c r="U387" s="22" t="str">
        <f t="shared" ref="U387:U450" si="222">IF(E387="","",E387-Q387)</f>
        <v/>
      </c>
      <c r="V387" s="22" t="str">
        <f t="shared" si="219"/>
        <v/>
      </c>
      <c r="W387" s="22" t="str">
        <f t="shared" si="215"/>
        <v/>
      </c>
      <c r="X387" s="22" t="str">
        <f t="shared" si="216"/>
        <v/>
      </c>
      <c r="Y387" s="22" t="str">
        <f t="shared" si="217"/>
        <v/>
      </c>
    </row>
    <row r="388" spans="1:25" x14ac:dyDescent="0.25">
      <c r="A388" t="str">
        <f t="shared" si="218"/>
        <v/>
      </c>
      <c r="B388" s="169" t="str">
        <f>IF('LC (Gross)'!A535="","",'LC (Gross)'!A535)</f>
        <v/>
      </c>
      <c r="C388" s="1" t="str">
        <f>IF(B388="","",(VLOOKUP(B388,'LC (Gross)'!A:D,4,FALSE)/100))</f>
        <v/>
      </c>
      <c r="D388" s="1" t="str">
        <f>IF(B388="","",(VLOOKUP(B388,'SC (Gross)'!A:D,4,FALSE))/100)</f>
        <v/>
      </c>
      <c r="E388" s="1" t="str">
        <f>IF(B388="","",(VLOOKUP(B388,'Global (Gross)'!A:D,4,FALSE)/100))</f>
        <v/>
      </c>
      <c r="F388" s="1" t="str">
        <f>IF(B388="","",(VLOOKUP(B388,'BOGIX (Gross)'!A:D,4,FALSE)/100))</f>
        <v/>
      </c>
      <c r="G388" s="1"/>
      <c r="H388" s="1"/>
      <c r="I388" s="1"/>
      <c r="J388" s="1" t="str">
        <f>IF(B388="","",(VLOOKUP(B388,'BOGIX (Net)'!A:D,4,FALSE)/100))</f>
        <v/>
      </c>
      <c r="K388" s="1"/>
      <c r="L388" s="1"/>
      <c r="M388" s="1"/>
      <c r="S388" s="22" t="str">
        <f t="shared" si="220"/>
        <v/>
      </c>
      <c r="T388" s="22" t="str">
        <f t="shared" si="221"/>
        <v/>
      </c>
      <c r="U388" s="22" t="str">
        <f t="shared" si="222"/>
        <v/>
      </c>
      <c r="V388" s="22" t="str">
        <f t="shared" si="219"/>
        <v/>
      </c>
      <c r="W388" s="22" t="str">
        <f t="shared" ref="W388:W401" si="223">IF(O388="","",K388-O388)</f>
        <v/>
      </c>
      <c r="X388" s="22" t="str">
        <f t="shared" ref="X388:X401" si="224">IF(P388="","",L388-P388)</f>
        <v/>
      </c>
      <c r="Y388" s="22" t="str">
        <f t="shared" ref="Y388:Y401" si="225">IF(Q388="","",M388-Q388)</f>
        <v/>
      </c>
    </row>
    <row r="389" spans="1:25" x14ac:dyDescent="0.25">
      <c r="A389" t="str">
        <f t="shared" ref="A389:A452" si="226">IF(B389="","",A388+1)</f>
        <v/>
      </c>
      <c r="B389" s="169" t="str">
        <f>IF('LC (Gross)'!A536="","",'LC (Gross)'!A536)</f>
        <v/>
      </c>
      <c r="C389" s="1" t="str">
        <f>IF(B389="","",(VLOOKUP(B389,'LC (Gross)'!A:D,4,FALSE)/100))</f>
        <v/>
      </c>
      <c r="D389" s="1" t="str">
        <f>IF(B389="","",(VLOOKUP(B389,'SC (Gross)'!A:D,4,FALSE))/100)</f>
        <v/>
      </c>
      <c r="E389" s="1" t="str">
        <f>IF(B389="","",(VLOOKUP(B389,'Global (Gross)'!A:D,4,FALSE)/100))</f>
        <v/>
      </c>
      <c r="F389" s="1" t="str">
        <f>IF(B389="","",(VLOOKUP(B389,'BOGIX (Gross)'!A:D,4,FALSE)/100))</f>
        <v/>
      </c>
      <c r="G389" s="1"/>
      <c r="H389" s="1"/>
      <c r="I389" s="1"/>
      <c r="J389" s="1" t="str">
        <f>IF(B389="","",(VLOOKUP(B389,'BOGIX (Net)'!A:D,4,FALSE)/100))</f>
        <v/>
      </c>
      <c r="K389" s="1"/>
      <c r="L389" s="1"/>
      <c r="M389" s="1"/>
      <c r="S389" s="22" t="str">
        <f t="shared" si="220"/>
        <v/>
      </c>
      <c r="T389" s="22" t="str">
        <f t="shared" si="221"/>
        <v/>
      </c>
      <c r="U389" s="22" t="str">
        <f t="shared" si="222"/>
        <v/>
      </c>
      <c r="V389" s="22" t="str">
        <f t="shared" si="219"/>
        <v/>
      </c>
      <c r="W389" s="22" t="str">
        <f t="shared" si="223"/>
        <v/>
      </c>
      <c r="X389" s="22" t="str">
        <f t="shared" si="224"/>
        <v/>
      </c>
      <c r="Y389" s="22" t="str">
        <f t="shared" si="225"/>
        <v/>
      </c>
    </row>
    <row r="390" spans="1:25" x14ac:dyDescent="0.25">
      <c r="A390" t="str">
        <f t="shared" si="226"/>
        <v/>
      </c>
      <c r="B390" s="169" t="str">
        <f>IF('LC (Gross)'!A537="","",'LC (Gross)'!A537)</f>
        <v/>
      </c>
      <c r="C390" s="1" t="str">
        <f>IF(B390="","",(VLOOKUP(B390,'LC (Gross)'!A:D,4,FALSE)/100))</f>
        <v/>
      </c>
      <c r="D390" s="1" t="str">
        <f>IF(B390="","",(VLOOKUP(B390,'SC (Gross)'!A:D,4,FALSE))/100)</f>
        <v/>
      </c>
      <c r="E390" s="1" t="str">
        <f>IF(B390="","",(VLOOKUP(B390,'Global (Gross)'!A:D,4,FALSE)/100))</f>
        <v/>
      </c>
      <c r="F390" s="1" t="str">
        <f>IF(B390="","",(VLOOKUP(B390,'BOGIX (Gross)'!A:D,4,FALSE)/100))</f>
        <v/>
      </c>
      <c r="G390" s="1"/>
      <c r="H390" s="1"/>
      <c r="I390" s="1"/>
      <c r="J390" s="1" t="str">
        <f>IF(B390="","",(VLOOKUP(B390,'BOGIX (Net)'!A:D,4,FALSE)/100))</f>
        <v/>
      </c>
      <c r="K390" s="1"/>
      <c r="L390" s="1"/>
      <c r="M390" s="1"/>
      <c r="S390" s="22" t="str">
        <f t="shared" si="220"/>
        <v/>
      </c>
      <c r="T390" s="22" t="str">
        <f t="shared" si="221"/>
        <v/>
      </c>
      <c r="U390" s="22" t="str">
        <f t="shared" si="222"/>
        <v/>
      </c>
      <c r="V390" s="22" t="str">
        <f t="shared" si="219"/>
        <v/>
      </c>
      <c r="W390" s="22" t="str">
        <f t="shared" si="223"/>
        <v/>
      </c>
      <c r="X390" s="22" t="str">
        <f t="shared" si="224"/>
        <v/>
      </c>
      <c r="Y390" s="22" t="str">
        <f t="shared" si="225"/>
        <v/>
      </c>
    </row>
    <row r="391" spans="1:25" x14ac:dyDescent="0.25">
      <c r="A391" t="str">
        <f t="shared" si="226"/>
        <v/>
      </c>
      <c r="B391" s="169" t="str">
        <f>IF('LC (Gross)'!A538="","",'LC (Gross)'!A538)</f>
        <v/>
      </c>
      <c r="C391" s="1" t="str">
        <f>IF(B391="","",(VLOOKUP(B391,'LC (Gross)'!A:D,4,FALSE)/100))</f>
        <v/>
      </c>
      <c r="D391" s="1" t="str">
        <f>IF(B391="","",(VLOOKUP(B391,'SC (Gross)'!A:D,4,FALSE))/100)</f>
        <v/>
      </c>
      <c r="E391" s="1" t="str">
        <f>IF(B391="","",(VLOOKUP(B391,'Global (Gross)'!A:D,4,FALSE)/100))</f>
        <v/>
      </c>
      <c r="F391" s="1" t="str">
        <f>IF(B391="","",(VLOOKUP(B391,'BOGIX (Gross)'!A:D,4,FALSE)/100))</f>
        <v/>
      </c>
      <c r="G391" s="1"/>
      <c r="H391" s="1"/>
      <c r="I391" s="1"/>
      <c r="J391" s="1" t="str">
        <f>IF(B391="","",(VLOOKUP(B391,'BOGIX (Net)'!A:D,4,FALSE)/100))</f>
        <v/>
      </c>
      <c r="K391" s="1"/>
      <c r="L391" s="1"/>
      <c r="M391" s="1"/>
      <c r="S391" s="22" t="str">
        <f t="shared" si="220"/>
        <v/>
      </c>
      <c r="T391" s="22" t="str">
        <f t="shared" si="221"/>
        <v/>
      </c>
      <c r="U391" s="22" t="str">
        <f t="shared" si="222"/>
        <v/>
      </c>
      <c r="V391" s="22" t="str">
        <f t="shared" si="219"/>
        <v/>
      </c>
      <c r="W391" s="22" t="str">
        <f t="shared" si="223"/>
        <v/>
      </c>
      <c r="X391" s="22" t="str">
        <f t="shared" si="224"/>
        <v/>
      </c>
      <c r="Y391" s="22" t="str">
        <f t="shared" si="225"/>
        <v/>
      </c>
    </row>
    <row r="392" spans="1:25" x14ac:dyDescent="0.25">
      <c r="A392" t="str">
        <f t="shared" si="226"/>
        <v/>
      </c>
      <c r="B392" s="169" t="str">
        <f>IF('LC (Gross)'!A539="","",'LC (Gross)'!A539)</f>
        <v/>
      </c>
      <c r="C392" s="1" t="str">
        <f>IF(B392="","",(VLOOKUP(B392,'LC (Gross)'!A:D,4,FALSE)/100))</f>
        <v/>
      </c>
      <c r="D392" s="1" t="str">
        <f>IF(B392="","",(VLOOKUP(B392,'SC (Gross)'!A:D,4,FALSE))/100)</f>
        <v/>
      </c>
      <c r="E392" s="1" t="str">
        <f>IF(B392="","",(VLOOKUP(B392,'Global (Gross)'!A:D,4,FALSE)/100))</f>
        <v/>
      </c>
      <c r="F392" s="1" t="str">
        <f>IF(B392="","",(VLOOKUP(B392,'BOGIX (Gross)'!A:D,4,FALSE)/100))</f>
        <v/>
      </c>
      <c r="G392" s="1"/>
      <c r="H392" s="1"/>
      <c r="I392" s="1"/>
      <c r="J392" s="1" t="str">
        <f>IF(B392="","",(VLOOKUP(B392,'BOGIX (Net)'!A:D,4,FALSE)/100))</f>
        <v/>
      </c>
      <c r="K392" s="1"/>
      <c r="L392" s="1"/>
      <c r="M392" s="1"/>
      <c r="S392" s="22" t="str">
        <f t="shared" si="220"/>
        <v/>
      </c>
      <c r="T392" s="22" t="str">
        <f t="shared" si="221"/>
        <v/>
      </c>
      <c r="U392" s="22" t="str">
        <f t="shared" si="222"/>
        <v/>
      </c>
      <c r="V392" s="22" t="str">
        <f t="shared" si="219"/>
        <v/>
      </c>
      <c r="W392" s="22" t="str">
        <f t="shared" si="223"/>
        <v/>
      </c>
      <c r="X392" s="22" t="str">
        <f t="shared" si="224"/>
        <v/>
      </c>
      <c r="Y392" s="22" t="str">
        <f t="shared" si="225"/>
        <v/>
      </c>
    </row>
    <row r="393" spans="1:25" x14ac:dyDescent="0.25">
      <c r="A393" t="str">
        <f t="shared" si="226"/>
        <v/>
      </c>
      <c r="B393" s="169" t="str">
        <f>IF('LC (Gross)'!A540="","",'LC (Gross)'!A540)</f>
        <v/>
      </c>
      <c r="C393" s="1" t="str">
        <f>IF(B393="","",(VLOOKUP(B393,'LC (Gross)'!A:D,4,FALSE)/100))</f>
        <v/>
      </c>
      <c r="D393" s="1" t="str">
        <f>IF(B393="","",(VLOOKUP(B393,'SC (Gross)'!A:D,4,FALSE))/100)</f>
        <v/>
      </c>
      <c r="E393" s="1" t="str">
        <f>IF(B393="","",(VLOOKUP(B393,'Global (Gross)'!A:D,4,FALSE)/100))</f>
        <v/>
      </c>
      <c r="F393" s="1" t="str">
        <f>IF(B393="","",(VLOOKUP(B393,'BOGIX (Gross)'!A:D,4,FALSE)/100))</f>
        <v/>
      </c>
      <c r="G393" s="1"/>
      <c r="H393" s="1"/>
      <c r="I393" s="1"/>
      <c r="J393" s="1" t="str">
        <f>IF(B393="","",(VLOOKUP(B393,'BOGIX (Net)'!A:D,4,FALSE)/100))</f>
        <v/>
      </c>
      <c r="K393" s="1"/>
      <c r="L393" s="1"/>
      <c r="M393" s="1"/>
      <c r="S393" s="22" t="str">
        <f t="shared" si="220"/>
        <v/>
      </c>
      <c r="T393" s="22" t="str">
        <f t="shared" si="221"/>
        <v/>
      </c>
      <c r="U393" s="22" t="str">
        <f t="shared" si="222"/>
        <v/>
      </c>
      <c r="V393" s="22" t="str">
        <f t="shared" si="219"/>
        <v/>
      </c>
      <c r="W393" s="22" t="str">
        <f t="shared" si="223"/>
        <v/>
      </c>
      <c r="X393" s="22" t="str">
        <f t="shared" si="224"/>
        <v/>
      </c>
      <c r="Y393" s="22" t="str">
        <f t="shared" si="225"/>
        <v/>
      </c>
    </row>
    <row r="394" spans="1:25" x14ac:dyDescent="0.25">
      <c r="A394" t="str">
        <f t="shared" si="226"/>
        <v/>
      </c>
      <c r="B394" s="169" t="str">
        <f>IF('LC (Gross)'!A541="","",'LC (Gross)'!A541)</f>
        <v/>
      </c>
      <c r="C394" s="1" t="str">
        <f>IF(B394="","",(VLOOKUP(B394,'LC (Gross)'!A:D,4,FALSE)/100))</f>
        <v/>
      </c>
      <c r="D394" s="1" t="str">
        <f>IF(B394="","",(VLOOKUP(B394,'SC (Gross)'!A:D,4,FALSE))/100)</f>
        <v/>
      </c>
      <c r="E394" s="1" t="str">
        <f>IF(B394="","",(VLOOKUP(B394,'Global (Gross)'!A:D,4,FALSE)/100))</f>
        <v/>
      </c>
      <c r="F394" s="1" t="str">
        <f>IF(B394="","",(VLOOKUP(B394,'BOGIX (Gross)'!A:D,4,FALSE)/100))</f>
        <v/>
      </c>
      <c r="G394" s="1"/>
      <c r="H394" s="1"/>
      <c r="I394" s="1"/>
      <c r="J394" s="1" t="str">
        <f>IF(B394="","",(VLOOKUP(B394,'BOGIX (Net)'!A:D,4,FALSE)/100))</f>
        <v/>
      </c>
      <c r="K394" s="1"/>
      <c r="L394" s="1"/>
      <c r="M394" s="1"/>
      <c r="S394" s="22" t="str">
        <f t="shared" si="220"/>
        <v/>
      </c>
      <c r="T394" s="22" t="str">
        <f t="shared" si="221"/>
        <v/>
      </c>
      <c r="U394" s="22" t="str">
        <f t="shared" si="222"/>
        <v/>
      </c>
      <c r="V394" s="22" t="str">
        <f t="shared" si="219"/>
        <v/>
      </c>
      <c r="W394" s="22" t="str">
        <f t="shared" si="223"/>
        <v/>
      </c>
      <c r="X394" s="22" t="str">
        <f t="shared" si="224"/>
        <v/>
      </c>
      <c r="Y394" s="22" t="str">
        <f t="shared" si="225"/>
        <v/>
      </c>
    </row>
    <row r="395" spans="1:25" x14ac:dyDescent="0.25">
      <c r="A395" t="str">
        <f t="shared" si="226"/>
        <v/>
      </c>
      <c r="B395" s="169" t="str">
        <f>IF('LC (Gross)'!A542="","",'LC (Gross)'!A542)</f>
        <v/>
      </c>
      <c r="C395" s="1" t="str">
        <f>IF(B395="","",(VLOOKUP(B395,'LC (Gross)'!A:D,4,FALSE)/100))</f>
        <v/>
      </c>
      <c r="D395" s="1" t="str">
        <f>IF(B395="","",(VLOOKUP(B395,'SC (Gross)'!A:D,4,FALSE))/100)</f>
        <v/>
      </c>
      <c r="E395" s="1" t="str">
        <f>IF(B395="","",(VLOOKUP(B395,'Global (Gross)'!A:D,4,FALSE)/100))</f>
        <v/>
      </c>
      <c r="F395" s="1" t="str">
        <f>IF(B395="","",(VLOOKUP(B395,'BOGIX (Gross)'!A:D,4,FALSE)/100))</f>
        <v/>
      </c>
      <c r="G395" s="1"/>
      <c r="H395" s="1"/>
      <c r="I395" s="1"/>
      <c r="J395" s="1" t="str">
        <f>IF(B395="","",(VLOOKUP(B395,'BOGIX (Net)'!A:D,4,FALSE)/100))</f>
        <v/>
      </c>
      <c r="K395" s="1"/>
      <c r="L395" s="1"/>
      <c r="M395" s="1"/>
      <c r="S395" s="22" t="str">
        <f t="shared" si="220"/>
        <v/>
      </c>
      <c r="T395" s="22" t="str">
        <f t="shared" si="221"/>
        <v/>
      </c>
      <c r="U395" s="22" t="str">
        <f t="shared" si="222"/>
        <v/>
      </c>
      <c r="V395" s="22" t="str">
        <f t="shared" si="219"/>
        <v/>
      </c>
      <c r="W395" s="22" t="str">
        <f t="shared" si="223"/>
        <v/>
      </c>
      <c r="X395" s="22" t="str">
        <f t="shared" si="224"/>
        <v/>
      </c>
      <c r="Y395" s="22" t="str">
        <f t="shared" si="225"/>
        <v/>
      </c>
    </row>
    <row r="396" spans="1:25" x14ac:dyDescent="0.25">
      <c r="A396" t="str">
        <f t="shared" si="226"/>
        <v/>
      </c>
      <c r="B396" s="169" t="str">
        <f>IF('LC (Gross)'!A543="","",'LC (Gross)'!A543)</f>
        <v/>
      </c>
      <c r="C396" s="1" t="str">
        <f>IF(B396="","",(VLOOKUP(B396,'LC (Gross)'!A:D,4,FALSE)/100))</f>
        <v/>
      </c>
      <c r="D396" s="1" t="str">
        <f>IF(B396="","",(VLOOKUP(B396,'SC (Gross)'!A:D,4,FALSE))/100)</f>
        <v/>
      </c>
      <c r="E396" s="1" t="str">
        <f>IF(B396="","",(VLOOKUP(B396,'Global (Gross)'!A:D,4,FALSE)/100))</f>
        <v/>
      </c>
      <c r="F396" s="1" t="str">
        <f>IF(B396="","",(VLOOKUP(B396,'BOGIX (Gross)'!A:D,4,FALSE)/100))</f>
        <v/>
      </c>
      <c r="G396" s="1"/>
      <c r="H396" s="1"/>
      <c r="I396" s="1"/>
      <c r="J396" s="1" t="str">
        <f>IF(B396="","",(VLOOKUP(B396,'BOGIX (Net)'!A:D,4,FALSE)/100))</f>
        <v/>
      </c>
      <c r="K396" s="1"/>
      <c r="L396" s="1"/>
      <c r="M396" s="1"/>
      <c r="S396" s="22" t="str">
        <f t="shared" si="220"/>
        <v/>
      </c>
      <c r="T396" s="22" t="str">
        <f t="shared" si="221"/>
        <v/>
      </c>
      <c r="U396" s="22" t="str">
        <f t="shared" si="222"/>
        <v/>
      </c>
      <c r="V396" s="22" t="str">
        <f t="shared" si="219"/>
        <v/>
      </c>
      <c r="W396" s="22" t="str">
        <f t="shared" si="223"/>
        <v/>
      </c>
      <c r="X396" s="22" t="str">
        <f t="shared" si="224"/>
        <v/>
      </c>
      <c r="Y396" s="22" t="str">
        <f t="shared" si="225"/>
        <v/>
      </c>
    </row>
    <row r="397" spans="1:25" x14ac:dyDescent="0.25">
      <c r="A397" t="str">
        <f t="shared" si="226"/>
        <v/>
      </c>
      <c r="B397" s="169" t="str">
        <f>IF('LC (Gross)'!A544="","",'LC (Gross)'!A544)</f>
        <v/>
      </c>
      <c r="C397" s="1" t="str">
        <f>IF(B397="","",(VLOOKUP(B397,'LC (Gross)'!A:D,4,FALSE)/100))</f>
        <v/>
      </c>
      <c r="D397" s="1" t="str">
        <f>IF(B397="","",(VLOOKUP(B397,'SC (Gross)'!A:D,4,FALSE))/100)</f>
        <v/>
      </c>
      <c r="E397" s="1" t="str">
        <f>IF(B397="","",(VLOOKUP(B397,'Global (Gross)'!A:D,4,FALSE)/100))</f>
        <v/>
      </c>
      <c r="F397" s="1" t="str">
        <f>IF(B397="","",(VLOOKUP(B397,'BOGIX (Gross)'!A:D,4,FALSE)/100))</f>
        <v/>
      </c>
      <c r="G397" s="1"/>
      <c r="H397" s="1"/>
      <c r="I397" s="1"/>
      <c r="J397" s="1" t="str">
        <f>IF(B397="","",(VLOOKUP(B397,'BOGIX (Net)'!A:D,4,FALSE)/100))</f>
        <v/>
      </c>
      <c r="K397" s="1"/>
      <c r="L397" s="1"/>
      <c r="M397" s="1"/>
      <c r="S397" s="22" t="str">
        <f t="shared" si="220"/>
        <v/>
      </c>
      <c r="T397" s="22" t="str">
        <f t="shared" si="221"/>
        <v/>
      </c>
      <c r="U397" s="22" t="str">
        <f t="shared" si="222"/>
        <v/>
      </c>
      <c r="V397" s="22" t="str">
        <f t="shared" si="219"/>
        <v/>
      </c>
      <c r="W397" s="22" t="str">
        <f t="shared" si="223"/>
        <v/>
      </c>
      <c r="X397" s="22" t="str">
        <f t="shared" si="224"/>
        <v/>
      </c>
      <c r="Y397" s="22" t="str">
        <f t="shared" si="225"/>
        <v/>
      </c>
    </row>
    <row r="398" spans="1:25" x14ac:dyDescent="0.25">
      <c r="A398" t="str">
        <f t="shared" si="226"/>
        <v/>
      </c>
      <c r="B398" s="169" t="str">
        <f>IF('LC (Gross)'!A545="","",'LC (Gross)'!A545)</f>
        <v/>
      </c>
      <c r="C398" s="1" t="str">
        <f>IF(B398="","",(VLOOKUP(B398,'LC (Gross)'!A:D,4,FALSE)/100))</f>
        <v/>
      </c>
      <c r="D398" s="1" t="str">
        <f>IF(B398="","",(VLOOKUP(B398,'SC (Gross)'!A:D,4,FALSE))/100)</f>
        <v/>
      </c>
      <c r="E398" s="1" t="str">
        <f>IF(B398="","",(VLOOKUP(B398,'Global (Gross)'!A:D,4,FALSE)/100))</f>
        <v/>
      </c>
      <c r="F398" s="1" t="str">
        <f>IF(B398="","",(VLOOKUP(B398,'BOGIX (Gross)'!A:D,4,FALSE)/100))</f>
        <v/>
      </c>
      <c r="G398" s="1"/>
      <c r="H398" s="1"/>
      <c r="I398" s="1"/>
      <c r="J398" s="1" t="str">
        <f>IF(B398="","",(VLOOKUP(B398,'BOGIX (Net)'!A:D,4,FALSE)/100))</f>
        <v/>
      </c>
      <c r="K398" s="1"/>
      <c r="L398" s="1"/>
      <c r="M398" s="1"/>
      <c r="S398" s="22" t="str">
        <f t="shared" si="220"/>
        <v/>
      </c>
      <c r="T398" s="22" t="str">
        <f t="shared" si="221"/>
        <v/>
      </c>
      <c r="U398" s="22" t="str">
        <f t="shared" si="222"/>
        <v/>
      </c>
      <c r="V398" s="22" t="str">
        <f t="shared" si="219"/>
        <v/>
      </c>
      <c r="W398" s="22" t="str">
        <f t="shared" si="223"/>
        <v/>
      </c>
      <c r="X398" s="22" t="str">
        <f t="shared" si="224"/>
        <v/>
      </c>
      <c r="Y398" s="22" t="str">
        <f t="shared" si="225"/>
        <v/>
      </c>
    </row>
    <row r="399" spans="1:25" x14ac:dyDescent="0.25">
      <c r="A399" t="str">
        <f t="shared" si="226"/>
        <v/>
      </c>
      <c r="B399" s="169" t="str">
        <f>IF('LC (Gross)'!A546="","",'LC (Gross)'!A546)</f>
        <v/>
      </c>
      <c r="C399" s="1" t="str">
        <f>IF(B399="","",(VLOOKUP(B399,'LC (Gross)'!A:D,4,FALSE)/100))</f>
        <v/>
      </c>
      <c r="D399" s="1" t="str">
        <f>IF(B399="","",(VLOOKUP(B399,'SC (Gross)'!A:D,4,FALSE))/100)</f>
        <v/>
      </c>
      <c r="E399" s="1" t="str">
        <f>IF(B399="","",(VLOOKUP(B399,'Global (Gross)'!A:D,4,FALSE)/100))</f>
        <v/>
      </c>
      <c r="F399" s="1" t="str">
        <f>IF(B399="","",(VLOOKUP(B399,'BOGIX (Gross)'!A:D,4,FALSE)/100))</f>
        <v/>
      </c>
      <c r="G399" s="1"/>
      <c r="H399" s="1"/>
      <c r="I399" s="1"/>
      <c r="J399" s="1" t="str">
        <f>IF(B399="","",(VLOOKUP(B399,'BOGIX (Net)'!A:D,4,FALSE)/100))</f>
        <v/>
      </c>
      <c r="K399" s="1"/>
      <c r="L399" s="1"/>
      <c r="M399" s="1"/>
      <c r="S399" s="22" t="str">
        <f t="shared" si="220"/>
        <v/>
      </c>
      <c r="T399" s="22" t="str">
        <f t="shared" si="221"/>
        <v/>
      </c>
      <c r="U399" s="22" t="str">
        <f t="shared" si="222"/>
        <v/>
      </c>
      <c r="V399" s="22" t="str">
        <f t="shared" si="219"/>
        <v/>
      </c>
      <c r="W399" s="22" t="str">
        <f t="shared" si="223"/>
        <v/>
      </c>
      <c r="X399" s="22" t="str">
        <f t="shared" si="224"/>
        <v/>
      </c>
      <c r="Y399" s="22" t="str">
        <f t="shared" si="225"/>
        <v/>
      </c>
    </row>
    <row r="400" spans="1:25" x14ac:dyDescent="0.25">
      <c r="A400" t="str">
        <f t="shared" si="226"/>
        <v/>
      </c>
      <c r="B400" s="169" t="str">
        <f>IF('LC (Gross)'!A547="","",'LC (Gross)'!A547)</f>
        <v/>
      </c>
      <c r="C400" s="1" t="str">
        <f>IF(B400="","",(VLOOKUP(B400,'LC (Gross)'!A:D,4,FALSE)/100))</f>
        <v/>
      </c>
      <c r="D400" s="1" t="str">
        <f>IF(B400="","",(VLOOKUP(B400,'SC (Gross)'!A:D,4,FALSE))/100)</f>
        <v/>
      </c>
      <c r="E400" s="1" t="str">
        <f>IF(B400="","",(VLOOKUP(B400,'Global (Gross)'!A:D,4,FALSE)/100))</f>
        <v/>
      </c>
      <c r="F400" s="1" t="str">
        <f>IF(B400="","",(VLOOKUP(B400,'BOGIX (Gross)'!A:D,4,FALSE)/100))</f>
        <v/>
      </c>
      <c r="G400" s="1"/>
      <c r="H400" s="1"/>
      <c r="I400" s="1"/>
      <c r="J400" s="1" t="str">
        <f>IF(B400="","",(VLOOKUP(B400,'BOGIX (Net)'!A:D,4,FALSE)/100))</f>
        <v/>
      </c>
      <c r="K400" s="1"/>
      <c r="L400" s="1"/>
      <c r="M400" s="1"/>
      <c r="S400" s="22" t="str">
        <f t="shared" si="220"/>
        <v/>
      </c>
      <c r="T400" s="22" t="str">
        <f t="shared" si="221"/>
        <v/>
      </c>
      <c r="U400" s="22" t="str">
        <f t="shared" si="222"/>
        <v/>
      </c>
      <c r="V400" s="22" t="str">
        <f t="shared" si="219"/>
        <v/>
      </c>
      <c r="W400" s="22" t="str">
        <f t="shared" si="223"/>
        <v/>
      </c>
      <c r="X400" s="22" t="str">
        <f t="shared" si="224"/>
        <v/>
      </c>
      <c r="Y400" s="22" t="str">
        <f t="shared" si="225"/>
        <v/>
      </c>
    </row>
    <row r="401" spans="1:25" x14ac:dyDescent="0.25">
      <c r="A401" t="str">
        <f t="shared" si="226"/>
        <v/>
      </c>
      <c r="B401" s="169" t="str">
        <f>IF('LC (Gross)'!A548="","",'LC (Gross)'!A548)</f>
        <v/>
      </c>
      <c r="C401" s="1" t="str">
        <f>IF(B401="","",(VLOOKUP(B401,'LC (Gross)'!A:D,4,FALSE)/100))</f>
        <v/>
      </c>
      <c r="D401" s="1" t="str">
        <f>IF(B401="","",(VLOOKUP(B401,'SC (Gross)'!A:D,4,FALSE))/100)</f>
        <v/>
      </c>
      <c r="E401" s="1" t="str">
        <f>IF(B401="","",(VLOOKUP(B401,'Global (Gross)'!A:D,4,FALSE)/100))</f>
        <v/>
      </c>
      <c r="F401" s="1" t="str">
        <f>IF(B401="","",(VLOOKUP(B401,'BOGIX (Gross)'!A:D,4,FALSE)/100))</f>
        <v/>
      </c>
      <c r="G401" s="1"/>
      <c r="H401" s="1"/>
      <c r="I401" s="1"/>
      <c r="J401" s="1" t="str">
        <f>IF(B401="","",(VLOOKUP(B401,'BOGIX (Net)'!A:D,4,FALSE)/100))</f>
        <v/>
      </c>
      <c r="K401" s="1"/>
      <c r="L401" s="1"/>
      <c r="M401" s="1"/>
      <c r="S401" s="22" t="str">
        <f t="shared" si="220"/>
        <v/>
      </c>
      <c r="T401" s="22" t="str">
        <f t="shared" si="221"/>
        <v/>
      </c>
      <c r="U401" s="22" t="str">
        <f t="shared" si="222"/>
        <v/>
      </c>
      <c r="V401" s="22" t="str">
        <f t="shared" si="219"/>
        <v/>
      </c>
      <c r="W401" s="22" t="str">
        <f t="shared" si="223"/>
        <v/>
      </c>
      <c r="X401" s="22" t="str">
        <f t="shared" si="224"/>
        <v/>
      </c>
      <c r="Y401" s="22" t="str">
        <f t="shared" si="225"/>
        <v/>
      </c>
    </row>
    <row r="402" spans="1:25" x14ac:dyDescent="0.25">
      <c r="A402" t="str">
        <f t="shared" si="226"/>
        <v/>
      </c>
      <c r="B402" s="169" t="str">
        <f>IF('LC (Gross)'!A549="","",'LC (Gross)'!A549)</f>
        <v/>
      </c>
      <c r="C402" s="1" t="str">
        <f>IF(B402="","",(VLOOKUP(B402,'LC (Gross)'!A:D,4,FALSE)/100))</f>
        <v/>
      </c>
      <c r="D402" s="1" t="str">
        <f>IF(B402="","",(VLOOKUP(B402,'SC (Gross)'!A:D,4,FALSE))/100)</f>
        <v/>
      </c>
      <c r="E402" s="1" t="str">
        <f>IF(B402="","",(VLOOKUP(B402,'Global (Gross)'!A:D,4,FALSE)/100))</f>
        <v/>
      </c>
      <c r="F402" s="1" t="str">
        <f>IF(B402="","",(VLOOKUP(B402,'BOGIX (Gross)'!A:D,4,FALSE)/100))</f>
        <v/>
      </c>
      <c r="G402" s="1"/>
      <c r="H402" s="1"/>
      <c r="I402" s="1"/>
      <c r="J402" s="1" t="str">
        <f>IF(B402="","",(VLOOKUP(B402,'BOGIX (Net)'!A:D,4,FALSE)/100))</f>
        <v/>
      </c>
      <c r="K402" s="1"/>
      <c r="L402" s="1"/>
      <c r="M402" s="1"/>
      <c r="S402" s="22" t="str">
        <f t="shared" si="220"/>
        <v/>
      </c>
      <c r="T402" s="22" t="str">
        <f t="shared" si="221"/>
        <v/>
      </c>
      <c r="U402" s="22" t="str">
        <f t="shared" si="222"/>
        <v/>
      </c>
      <c r="V402" s="22" t="str">
        <f t="shared" si="219"/>
        <v/>
      </c>
      <c r="W402" s="22" t="str">
        <f t="shared" ref="W402:W433" si="227">IF(G402="","",G402-S402)</f>
        <v/>
      </c>
      <c r="X402" s="22" t="str">
        <f t="shared" ref="X402:X433" si="228">IF(H402="","",H402-T402)</f>
        <v/>
      </c>
      <c r="Y402" s="22" t="str">
        <f t="shared" ref="Y402:Y433" si="229">IF(I402="","",I402-U402)</f>
        <v/>
      </c>
    </row>
    <row r="403" spans="1:25" x14ac:dyDescent="0.25">
      <c r="A403" t="str">
        <f t="shared" si="226"/>
        <v/>
      </c>
      <c r="B403" s="169" t="str">
        <f>IF('LC (Gross)'!A550="","",'LC (Gross)'!A550)</f>
        <v/>
      </c>
      <c r="C403" s="1" t="str">
        <f>IF(B403="","",(VLOOKUP(B403,'LC (Gross)'!A:D,4,FALSE)/100))</f>
        <v/>
      </c>
      <c r="D403" s="1" t="str">
        <f>IF(B403="","",(VLOOKUP(B403,'SC (Gross)'!A:D,4,FALSE))/100)</f>
        <v/>
      </c>
      <c r="E403" s="1" t="str">
        <f>IF(B403="","",(VLOOKUP(B403,'Global (Gross)'!A:D,4,FALSE)/100))</f>
        <v/>
      </c>
      <c r="F403" s="1" t="str">
        <f>IF(B403="","",(VLOOKUP(B403,'BOGIX (Gross)'!A:D,4,FALSE)/100))</f>
        <v/>
      </c>
      <c r="G403" s="1"/>
      <c r="H403" s="1"/>
      <c r="I403" s="1"/>
      <c r="J403" s="1" t="str">
        <f>IF(B403="","",(VLOOKUP(B403,'BOGIX (Net)'!A:D,4,FALSE)/100))</f>
        <v/>
      </c>
      <c r="K403" s="1"/>
      <c r="L403" s="1"/>
      <c r="M403" s="1"/>
      <c r="S403" s="22" t="str">
        <f t="shared" si="220"/>
        <v/>
      </c>
      <c r="T403" s="22" t="str">
        <f t="shared" si="221"/>
        <v/>
      </c>
      <c r="U403" s="22" t="str">
        <f t="shared" si="222"/>
        <v/>
      </c>
      <c r="V403" s="22" t="str">
        <f t="shared" si="219"/>
        <v/>
      </c>
      <c r="W403" s="22" t="str">
        <f t="shared" si="227"/>
        <v/>
      </c>
      <c r="X403" s="22" t="str">
        <f t="shared" si="228"/>
        <v/>
      </c>
      <c r="Y403" s="22" t="str">
        <f t="shared" si="229"/>
        <v/>
      </c>
    </row>
    <row r="404" spans="1:25" x14ac:dyDescent="0.25">
      <c r="A404" t="str">
        <f t="shared" si="226"/>
        <v/>
      </c>
      <c r="B404" s="169" t="str">
        <f>IF('LC (Gross)'!A551="","",'LC (Gross)'!A551)</f>
        <v/>
      </c>
      <c r="C404" s="1" t="str">
        <f>IF(B404="","",(VLOOKUP(B404,'LC (Gross)'!A:D,4,FALSE)/100))</f>
        <v/>
      </c>
      <c r="D404" s="1" t="str">
        <f>IF(B404="","",(VLOOKUP(B404,'SC (Gross)'!A:D,4,FALSE))/100)</f>
        <v/>
      </c>
      <c r="E404" s="1" t="str">
        <f>IF(B404="","",(VLOOKUP(B404,'Global (Gross)'!A:D,4,FALSE)/100))</f>
        <v/>
      </c>
      <c r="F404" s="1" t="str">
        <f>IF(B404="","",(VLOOKUP(B404,'BOGIX (Gross)'!A:D,4,FALSE)/100))</f>
        <v/>
      </c>
      <c r="G404" s="1"/>
      <c r="H404" s="1"/>
      <c r="I404" s="1"/>
      <c r="J404" s="1" t="str">
        <f>IF(B404="","",(VLOOKUP(B404,'BOGIX (Net)'!A:D,4,FALSE)/100))</f>
        <v/>
      </c>
      <c r="K404" s="1"/>
      <c r="L404" s="1"/>
      <c r="M404" s="1"/>
      <c r="S404" s="22" t="str">
        <f t="shared" si="220"/>
        <v/>
      </c>
      <c r="T404" s="22" t="str">
        <f t="shared" si="221"/>
        <v/>
      </c>
      <c r="U404" s="22" t="str">
        <f t="shared" si="222"/>
        <v/>
      </c>
      <c r="V404" s="22" t="str">
        <f t="shared" si="219"/>
        <v/>
      </c>
      <c r="W404" s="22" t="str">
        <f t="shared" si="227"/>
        <v/>
      </c>
      <c r="X404" s="22" t="str">
        <f t="shared" si="228"/>
        <v/>
      </c>
      <c r="Y404" s="22" t="str">
        <f t="shared" si="229"/>
        <v/>
      </c>
    </row>
    <row r="405" spans="1:25" x14ac:dyDescent="0.25">
      <c r="A405" t="str">
        <f t="shared" si="226"/>
        <v/>
      </c>
      <c r="B405" s="169" t="str">
        <f>IF('LC (Gross)'!A552="","",'LC (Gross)'!A552)</f>
        <v/>
      </c>
      <c r="C405" s="1" t="str">
        <f>IF(B405="","",(VLOOKUP(B405,'LC (Gross)'!A:D,4,FALSE)/100))</f>
        <v/>
      </c>
      <c r="D405" s="1" t="str">
        <f>IF(B405="","",(VLOOKUP(B405,'SC (Gross)'!A:D,4,FALSE))/100)</f>
        <v/>
      </c>
      <c r="E405" s="1" t="str">
        <f>IF(B405="","",(VLOOKUP(B405,'Global (Gross)'!A:D,4,FALSE)/100))</f>
        <v/>
      </c>
      <c r="F405" s="1" t="str">
        <f>IF(B405="","",(VLOOKUP(B405,'BOGIX (Gross)'!A:D,4,FALSE)/100))</f>
        <v/>
      </c>
      <c r="G405" s="1"/>
      <c r="H405" s="1"/>
      <c r="I405" s="1"/>
      <c r="J405" s="1" t="str">
        <f>IF(B405="","",(VLOOKUP(B405,'BOGIX (Net)'!A:D,4,FALSE)/100))</f>
        <v/>
      </c>
      <c r="K405" s="1"/>
      <c r="L405" s="1"/>
      <c r="M405" s="1"/>
      <c r="S405" s="22" t="str">
        <f t="shared" si="220"/>
        <v/>
      </c>
      <c r="T405" s="22" t="str">
        <f t="shared" si="221"/>
        <v/>
      </c>
      <c r="U405" s="22" t="str">
        <f t="shared" si="222"/>
        <v/>
      </c>
      <c r="V405" s="22" t="str">
        <f t="shared" si="219"/>
        <v/>
      </c>
      <c r="W405" s="22" t="str">
        <f t="shared" si="227"/>
        <v/>
      </c>
      <c r="X405" s="22" t="str">
        <f t="shared" si="228"/>
        <v/>
      </c>
      <c r="Y405" s="22" t="str">
        <f t="shared" si="229"/>
        <v/>
      </c>
    </row>
    <row r="406" spans="1:25" x14ac:dyDescent="0.25">
      <c r="A406" t="str">
        <f t="shared" si="226"/>
        <v/>
      </c>
      <c r="B406" s="169" t="str">
        <f>IF('LC (Gross)'!A553="","",'LC (Gross)'!A553)</f>
        <v/>
      </c>
      <c r="C406" s="1" t="str">
        <f>IF(B406="","",(VLOOKUP(B406,'LC (Gross)'!A:D,4,FALSE)/100))</f>
        <v/>
      </c>
      <c r="D406" s="1" t="str">
        <f>IF(B406="","",(VLOOKUP(B406,'SC (Gross)'!A:D,4,FALSE))/100)</f>
        <v/>
      </c>
      <c r="E406" s="1" t="str">
        <f>IF(B406="","",(VLOOKUP(B406,'Global (Gross)'!A:D,4,FALSE)/100))</f>
        <v/>
      </c>
      <c r="F406" s="1" t="str">
        <f>IF(B406="","",(VLOOKUP(B406,'BOGIX (Gross)'!A:D,4,FALSE)/100))</f>
        <v/>
      </c>
      <c r="G406" s="1"/>
      <c r="H406" s="1"/>
      <c r="I406" s="1"/>
      <c r="J406" s="1" t="str">
        <f>IF(B406="","",(VLOOKUP(B406,'BOGIX (Net)'!A:D,4,FALSE)/100))</f>
        <v/>
      </c>
      <c r="K406" s="1"/>
      <c r="L406" s="1"/>
      <c r="M406" s="1"/>
      <c r="S406" s="22" t="str">
        <f t="shared" si="220"/>
        <v/>
      </c>
      <c r="T406" s="22" t="str">
        <f t="shared" si="221"/>
        <v/>
      </c>
      <c r="U406" s="22" t="str">
        <f t="shared" si="222"/>
        <v/>
      </c>
      <c r="V406" s="22" t="str">
        <f t="shared" si="219"/>
        <v/>
      </c>
      <c r="W406" s="22" t="str">
        <f t="shared" si="227"/>
        <v/>
      </c>
      <c r="X406" s="22" t="str">
        <f t="shared" si="228"/>
        <v/>
      </c>
      <c r="Y406" s="22" t="str">
        <f t="shared" si="229"/>
        <v/>
      </c>
    </row>
    <row r="407" spans="1:25" x14ac:dyDescent="0.25">
      <c r="A407" t="str">
        <f t="shared" si="226"/>
        <v/>
      </c>
      <c r="B407" s="169" t="str">
        <f>IF('LC (Gross)'!A554="","",'LC (Gross)'!A554)</f>
        <v/>
      </c>
      <c r="C407" s="1" t="str">
        <f>IF(B407="","",(VLOOKUP(B407,'LC (Gross)'!A:D,4,FALSE)/100))</f>
        <v/>
      </c>
      <c r="D407" s="1" t="str">
        <f>IF(B407="","",(VLOOKUP(B407,'SC (Gross)'!A:D,4,FALSE))/100)</f>
        <v/>
      </c>
      <c r="E407" s="1" t="str">
        <f>IF(B407="","",(VLOOKUP(B407,'Global (Gross)'!A:D,4,FALSE)/100))</f>
        <v/>
      </c>
      <c r="F407" s="1" t="str">
        <f>IF(B407="","",(VLOOKUP(B407,'BOGIX (Gross)'!A:D,4,FALSE)/100))</f>
        <v/>
      </c>
      <c r="G407" s="1"/>
      <c r="H407" s="1"/>
      <c r="I407" s="1"/>
      <c r="J407" s="1" t="str">
        <f>IF(B407="","",(VLOOKUP(B407,'BOGIX (Net)'!A:D,4,FALSE)/100))</f>
        <v/>
      </c>
      <c r="K407" s="1"/>
      <c r="L407" s="1"/>
      <c r="M407" s="1"/>
      <c r="S407" s="22" t="str">
        <f t="shared" si="220"/>
        <v/>
      </c>
      <c r="T407" s="22" t="str">
        <f t="shared" si="221"/>
        <v/>
      </c>
      <c r="U407" s="22" t="str">
        <f t="shared" si="222"/>
        <v/>
      </c>
      <c r="V407" s="22" t="str">
        <f t="shared" si="219"/>
        <v/>
      </c>
      <c r="W407" s="22" t="str">
        <f t="shared" si="227"/>
        <v/>
      </c>
      <c r="X407" s="22" t="str">
        <f t="shared" si="228"/>
        <v/>
      </c>
      <c r="Y407" s="22" t="str">
        <f t="shared" si="229"/>
        <v/>
      </c>
    </row>
    <row r="408" spans="1:25" x14ac:dyDescent="0.25">
      <c r="A408" t="str">
        <f t="shared" si="226"/>
        <v/>
      </c>
      <c r="B408" s="169" t="str">
        <f>IF('LC (Gross)'!A555="","",'LC (Gross)'!A555)</f>
        <v/>
      </c>
      <c r="C408" s="1" t="str">
        <f>IF(B408="","",(VLOOKUP(B408,'LC (Gross)'!A:D,4,FALSE)/100))</f>
        <v/>
      </c>
      <c r="D408" s="1" t="str">
        <f>IF(B408="","",(VLOOKUP(B408,'SC (Gross)'!A:D,4,FALSE))/100)</f>
        <v/>
      </c>
      <c r="E408" s="1" t="str">
        <f>IF(B408="","",(VLOOKUP(B408,'Global (Gross)'!A:D,4,FALSE)/100))</f>
        <v/>
      </c>
      <c r="F408" s="1" t="str">
        <f>IF(B408="","",(VLOOKUP(B408,'BOGIX (Gross)'!A:D,4,FALSE)/100))</f>
        <v/>
      </c>
      <c r="G408" s="1"/>
      <c r="H408" s="1"/>
      <c r="I408" s="1"/>
      <c r="J408" s="1" t="str">
        <f>IF(B408="","",(VLOOKUP(B408,'BOGIX (Net)'!A:D,4,FALSE)/100))</f>
        <v/>
      </c>
      <c r="K408" s="1"/>
      <c r="L408" s="1"/>
      <c r="M408" s="1"/>
      <c r="S408" s="22" t="str">
        <f t="shared" si="220"/>
        <v/>
      </c>
      <c r="T408" s="22" t="str">
        <f t="shared" si="221"/>
        <v/>
      </c>
      <c r="U408" s="22" t="str">
        <f t="shared" si="222"/>
        <v/>
      </c>
      <c r="V408" s="22" t="str">
        <f t="shared" si="219"/>
        <v/>
      </c>
      <c r="W408" s="22" t="str">
        <f t="shared" si="227"/>
        <v/>
      </c>
      <c r="X408" s="22" t="str">
        <f t="shared" si="228"/>
        <v/>
      </c>
      <c r="Y408" s="22" t="str">
        <f t="shared" si="229"/>
        <v/>
      </c>
    </row>
    <row r="409" spans="1:25" x14ac:dyDescent="0.25">
      <c r="A409" t="str">
        <f t="shared" si="226"/>
        <v/>
      </c>
      <c r="B409" s="169" t="str">
        <f>IF('LC (Gross)'!A556="","",'LC (Gross)'!A556)</f>
        <v/>
      </c>
      <c r="C409" s="1" t="str">
        <f>IF(B409="","",(VLOOKUP(B409,'LC (Gross)'!A:D,4,FALSE)/100))</f>
        <v/>
      </c>
      <c r="D409" s="1" t="str">
        <f>IF(B409="","",(VLOOKUP(B409,'SC (Gross)'!A:D,4,FALSE))/100)</f>
        <v/>
      </c>
      <c r="E409" s="1" t="str">
        <f>IF(B409="","",(VLOOKUP(B409,'Global (Gross)'!A:D,4,FALSE)/100))</f>
        <v/>
      </c>
      <c r="F409" s="1" t="str">
        <f>IF(B409="","",(VLOOKUP(B409,'BOGIX (Gross)'!A:D,4,FALSE)/100))</f>
        <v/>
      </c>
      <c r="G409" s="1"/>
      <c r="H409" s="1"/>
      <c r="I409" s="1"/>
      <c r="J409" s="1" t="str">
        <f>IF(B409="","",(VLOOKUP(B409,'BOGIX (Net)'!A:D,4,FALSE)/100))</f>
        <v/>
      </c>
      <c r="K409" s="1"/>
      <c r="L409" s="1"/>
      <c r="M409" s="1"/>
      <c r="S409" s="22" t="str">
        <f t="shared" si="220"/>
        <v/>
      </c>
      <c r="T409" s="22" t="str">
        <f t="shared" si="221"/>
        <v/>
      </c>
      <c r="U409" s="22" t="str">
        <f t="shared" si="222"/>
        <v/>
      </c>
      <c r="V409" s="22" t="str">
        <f t="shared" si="219"/>
        <v/>
      </c>
      <c r="W409" s="22" t="str">
        <f t="shared" si="227"/>
        <v/>
      </c>
      <c r="X409" s="22" t="str">
        <f t="shared" si="228"/>
        <v/>
      </c>
      <c r="Y409" s="22" t="str">
        <f t="shared" si="229"/>
        <v/>
      </c>
    </row>
    <row r="410" spans="1:25" x14ac:dyDescent="0.25">
      <c r="A410" t="str">
        <f t="shared" si="226"/>
        <v/>
      </c>
      <c r="B410" s="169" t="str">
        <f>IF('LC (Gross)'!A557="","",'LC (Gross)'!A557)</f>
        <v/>
      </c>
      <c r="C410" s="1" t="str">
        <f>IF(B410="","",(VLOOKUP(B410,'LC (Gross)'!A:D,4,FALSE)/100))</f>
        <v/>
      </c>
      <c r="D410" s="1" t="str">
        <f>IF(B410="","",(VLOOKUP(B410,'SC (Gross)'!A:D,4,FALSE))/100)</f>
        <v/>
      </c>
      <c r="E410" s="1" t="str">
        <f>IF(B410="","",(VLOOKUP(B410,'Global (Gross)'!A:D,4,FALSE)/100))</f>
        <v/>
      </c>
      <c r="F410" s="1" t="str">
        <f>IF(B410="","",(VLOOKUP(B410,'BOGIX (Gross)'!A:D,4,FALSE)/100))</f>
        <v/>
      </c>
      <c r="G410" s="1"/>
      <c r="H410" s="1"/>
      <c r="I410" s="1"/>
      <c r="J410" s="1" t="str">
        <f>IF(B410="","",(VLOOKUP(B410,'BOGIX (Net)'!A:D,4,FALSE)/100))</f>
        <v/>
      </c>
      <c r="K410" s="1"/>
      <c r="L410" s="1"/>
      <c r="M410" s="1"/>
      <c r="S410" s="22" t="str">
        <f t="shared" si="220"/>
        <v/>
      </c>
      <c r="T410" s="22" t="str">
        <f t="shared" si="221"/>
        <v/>
      </c>
      <c r="U410" s="22" t="str">
        <f t="shared" si="222"/>
        <v/>
      </c>
      <c r="V410" s="22" t="str">
        <f t="shared" si="219"/>
        <v/>
      </c>
      <c r="W410" s="22" t="str">
        <f t="shared" si="227"/>
        <v/>
      </c>
      <c r="X410" s="22" t="str">
        <f t="shared" si="228"/>
        <v/>
      </c>
      <c r="Y410" s="22" t="str">
        <f t="shared" si="229"/>
        <v/>
      </c>
    </row>
    <row r="411" spans="1:25" x14ac:dyDescent="0.25">
      <c r="A411" t="str">
        <f t="shared" si="226"/>
        <v/>
      </c>
      <c r="B411" s="169" t="str">
        <f>IF('LC (Gross)'!A558="","",'LC (Gross)'!A558)</f>
        <v/>
      </c>
      <c r="C411" s="1" t="str">
        <f>IF(B411="","",(VLOOKUP(B411,'LC (Gross)'!A:D,4,FALSE)/100))</f>
        <v/>
      </c>
      <c r="D411" s="1" t="str">
        <f>IF(B411="","",(VLOOKUP(B411,'SC (Gross)'!A:D,4,FALSE))/100)</f>
        <v/>
      </c>
      <c r="E411" s="1" t="str">
        <f>IF(B411="","",(VLOOKUP(B411,'Global (Gross)'!A:D,4,FALSE)/100))</f>
        <v/>
      </c>
      <c r="F411" s="1" t="str">
        <f>IF(B411="","",(VLOOKUP(B411,'BOGIX (Gross)'!A:D,4,FALSE)/100))</f>
        <v/>
      </c>
      <c r="G411" s="1"/>
      <c r="H411" s="1"/>
      <c r="I411" s="1"/>
      <c r="J411" s="1" t="str">
        <f>IF(B411="","",(VLOOKUP(B411,'BOGIX (Net)'!A:D,4,FALSE)/100))</f>
        <v/>
      </c>
      <c r="K411" s="1"/>
      <c r="L411" s="1"/>
      <c r="M411" s="1"/>
      <c r="S411" s="22" t="str">
        <f t="shared" si="220"/>
        <v/>
      </c>
      <c r="T411" s="22" t="str">
        <f t="shared" si="221"/>
        <v/>
      </c>
      <c r="U411" s="22" t="str">
        <f t="shared" si="222"/>
        <v/>
      </c>
      <c r="V411" s="22" t="str">
        <f t="shared" si="219"/>
        <v/>
      </c>
      <c r="W411" s="22" t="str">
        <f t="shared" si="227"/>
        <v/>
      </c>
      <c r="X411" s="22" t="str">
        <f t="shared" si="228"/>
        <v/>
      </c>
      <c r="Y411" s="22" t="str">
        <f t="shared" si="229"/>
        <v/>
      </c>
    </row>
    <row r="412" spans="1:25" x14ac:dyDescent="0.25">
      <c r="A412" t="str">
        <f t="shared" si="226"/>
        <v/>
      </c>
      <c r="B412" s="169" t="str">
        <f>IF('LC (Gross)'!A559="","",'LC (Gross)'!A559)</f>
        <v/>
      </c>
      <c r="C412" s="1" t="str">
        <f>IF(B412="","",(VLOOKUP(B412,'LC (Gross)'!A:D,4,FALSE)/100))</f>
        <v/>
      </c>
      <c r="D412" s="1" t="str">
        <f>IF(B412="","",(VLOOKUP(B412,'SC (Gross)'!A:D,4,FALSE))/100)</f>
        <v/>
      </c>
      <c r="E412" s="1" t="str">
        <f>IF(B412="","",(VLOOKUP(B412,'Global (Gross)'!A:D,4,FALSE)/100))</f>
        <v/>
      </c>
      <c r="F412" s="1" t="str">
        <f>IF(B412="","",(VLOOKUP(B412,'BOGIX (Gross)'!A:D,4,FALSE)/100))</f>
        <v/>
      </c>
      <c r="G412" s="1"/>
      <c r="H412" s="1"/>
      <c r="I412" s="1"/>
      <c r="J412" s="1" t="str">
        <f>IF(B412="","",(VLOOKUP(B412,'BOGIX (Net)'!A:D,4,FALSE)/100))</f>
        <v/>
      </c>
      <c r="K412" s="1"/>
      <c r="L412" s="1"/>
      <c r="M412" s="1"/>
      <c r="S412" s="22" t="str">
        <f t="shared" si="220"/>
        <v/>
      </c>
      <c r="T412" s="22" t="str">
        <f t="shared" si="221"/>
        <v/>
      </c>
      <c r="U412" s="22" t="str">
        <f t="shared" si="222"/>
        <v/>
      </c>
      <c r="V412" s="22" t="str">
        <f t="shared" si="219"/>
        <v/>
      </c>
      <c r="W412" s="22" t="str">
        <f t="shared" si="227"/>
        <v/>
      </c>
      <c r="X412" s="22" t="str">
        <f t="shared" si="228"/>
        <v/>
      </c>
      <c r="Y412" s="22" t="str">
        <f t="shared" si="229"/>
        <v/>
      </c>
    </row>
    <row r="413" spans="1:25" x14ac:dyDescent="0.25">
      <c r="A413" t="str">
        <f t="shared" si="226"/>
        <v/>
      </c>
      <c r="B413" s="169" t="str">
        <f>IF('LC (Gross)'!A560="","",'LC (Gross)'!A560)</f>
        <v/>
      </c>
      <c r="C413" s="1" t="str">
        <f>IF(B413="","",(VLOOKUP(B413,'LC (Gross)'!A:D,4,FALSE)/100))</f>
        <v/>
      </c>
      <c r="D413" s="1" t="str">
        <f>IF(B413="","",(VLOOKUP(B413,'SC (Gross)'!A:D,4,FALSE))/100)</f>
        <v/>
      </c>
      <c r="E413" s="1" t="str">
        <f>IF(B413="","",(VLOOKUP(B413,'Global (Gross)'!A:D,4,FALSE)/100))</f>
        <v/>
      </c>
      <c r="F413" s="1" t="str">
        <f>IF(B413="","",(VLOOKUP(B413,'BOGIX (Gross)'!A:D,4,FALSE)/100))</f>
        <v/>
      </c>
      <c r="G413" s="1"/>
      <c r="H413" s="1"/>
      <c r="I413" s="1"/>
      <c r="J413" s="1" t="str">
        <f>IF(B413="","",(VLOOKUP(B413,'BOGIX (Net)'!A:D,4,FALSE)/100))</f>
        <v/>
      </c>
      <c r="K413" s="1"/>
      <c r="L413" s="1"/>
      <c r="M413" s="1"/>
      <c r="S413" s="22" t="str">
        <f t="shared" si="220"/>
        <v/>
      </c>
      <c r="T413" s="22" t="str">
        <f t="shared" si="221"/>
        <v/>
      </c>
      <c r="U413" s="22" t="str">
        <f t="shared" si="222"/>
        <v/>
      </c>
      <c r="V413" s="22" t="str">
        <f t="shared" si="219"/>
        <v/>
      </c>
      <c r="W413" s="22" t="str">
        <f t="shared" si="227"/>
        <v/>
      </c>
      <c r="X413" s="22" t="str">
        <f t="shared" si="228"/>
        <v/>
      </c>
      <c r="Y413" s="22" t="str">
        <f t="shared" si="229"/>
        <v/>
      </c>
    </row>
    <row r="414" spans="1:25" x14ac:dyDescent="0.25">
      <c r="A414" t="str">
        <f t="shared" si="226"/>
        <v/>
      </c>
      <c r="B414" s="169" t="str">
        <f>IF('LC (Gross)'!A561="","",'LC (Gross)'!A561)</f>
        <v/>
      </c>
      <c r="C414" s="1" t="str">
        <f>IF(B414="","",(VLOOKUP(B414,'LC (Gross)'!A:D,4,FALSE)/100))</f>
        <v/>
      </c>
      <c r="D414" s="1" t="str">
        <f>IF(B414="","",(VLOOKUP(B414,'SC (Gross)'!A:D,4,FALSE))/100)</f>
        <v/>
      </c>
      <c r="E414" s="1" t="str">
        <f>IF(B414="","",(VLOOKUP(B414,'Global (Gross)'!A:D,4,FALSE)/100))</f>
        <v/>
      </c>
      <c r="F414" s="1" t="str">
        <f>IF(B414="","",(VLOOKUP(B414,'BOGIX (Gross)'!A:D,4,FALSE)/100))</f>
        <v/>
      </c>
      <c r="G414" s="1"/>
      <c r="H414" s="1"/>
      <c r="I414" s="1"/>
      <c r="J414" s="1" t="str">
        <f>IF(B414="","",(VLOOKUP(B414,'BOGIX (Net)'!A:D,4,FALSE)/100))</f>
        <v/>
      </c>
      <c r="K414" s="1"/>
      <c r="L414" s="1"/>
      <c r="M414" s="1"/>
      <c r="S414" s="22" t="str">
        <f t="shared" si="220"/>
        <v/>
      </c>
      <c r="T414" s="22" t="str">
        <f t="shared" si="221"/>
        <v/>
      </c>
      <c r="U414" s="22" t="str">
        <f t="shared" si="222"/>
        <v/>
      </c>
      <c r="V414" s="22" t="str">
        <f t="shared" si="219"/>
        <v/>
      </c>
      <c r="W414" s="22" t="str">
        <f t="shared" si="227"/>
        <v/>
      </c>
      <c r="X414" s="22" t="str">
        <f t="shared" si="228"/>
        <v/>
      </c>
      <c r="Y414" s="22" t="str">
        <f t="shared" si="229"/>
        <v/>
      </c>
    </row>
    <row r="415" spans="1:25" x14ac:dyDescent="0.25">
      <c r="A415" t="str">
        <f t="shared" si="226"/>
        <v/>
      </c>
      <c r="B415" s="169" t="str">
        <f>IF('LC (Gross)'!A562="","",'LC (Gross)'!A562)</f>
        <v/>
      </c>
      <c r="C415" s="1" t="str">
        <f>IF(B415="","",(VLOOKUP(B415,'LC (Gross)'!A:D,4,FALSE)/100))</f>
        <v/>
      </c>
      <c r="D415" s="1" t="str">
        <f>IF(B415="","",(VLOOKUP(B415,'SC (Gross)'!A:D,4,FALSE))/100)</f>
        <v/>
      </c>
      <c r="E415" s="1" t="str">
        <f>IF(B415="","",(VLOOKUP(B415,'Global (Gross)'!A:D,4,FALSE)/100))</f>
        <v/>
      </c>
      <c r="F415" s="1" t="str">
        <f>IF(B415="","",(VLOOKUP(B415,'BOGIX (Gross)'!A:D,4,FALSE)/100))</f>
        <v/>
      </c>
      <c r="G415" s="1"/>
      <c r="H415" s="1"/>
      <c r="I415" s="1"/>
      <c r="J415" s="1" t="str">
        <f>IF(B415="","",(VLOOKUP(B415,'BOGIX (Net)'!A:D,4,FALSE)/100))</f>
        <v/>
      </c>
      <c r="K415" s="1"/>
      <c r="L415" s="1"/>
      <c r="M415" s="1"/>
      <c r="S415" s="22" t="str">
        <f t="shared" si="220"/>
        <v/>
      </c>
      <c r="T415" s="22" t="str">
        <f t="shared" si="221"/>
        <v/>
      </c>
      <c r="U415" s="22" t="str">
        <f t="shared" si="222"/>
        <v/>
      </c>
      <c r="V415" s="22" t="str">
        <f t="shared" si="219"/>
        <v/>
      </c>
      <c r="W415" s="22" t="str">
        <f t="shared" si="227"/>
        <v/>
      </c>
      <c r="X415" s="22" t="str">
        <f t="shared" si="228"/>
        <v/>
      </c>
      <c r="Y415" s="22" t="str">
        <f t="shared" si="229"/>
        <v/>
      </c>
    </row>
    <row r="416" spans="1:25" x14ac:dyDescent="0.25">
      <c r="A416" t="str">
        <f t="shared" si="226"/>
        <v/>
      </c>
      <c r="B416" s="169" t="str">
        <f>IF('LC (Gross)'!A563="","",'LC (Gross)'!A563)</f>
        <v/>
      </c>
      <c r="C416" s="1" t="str">
        <f>IF(B416="","",(VLOOKUP(B416,'LC (Gross)'!A:D,4,FALSE)/100))</f>
        <v/>
      </c>
      <c r="D416" s="1" t="str">
        <f>IF(B416="","",(VLOOKUP(B416,'SC (Gross)'!A:D,4,FALSE))/100)</f>
        <v/>
      </c>
      <c r="E416" s="1" t="str">
        <f>IF(B416="","",(VLOOKUP(B416,'Global (Gross)'!A:D,4,FALSE)/100))</f>
        <v/>
      </c>
      <c r="F416" s="1" t="str">
        <f>IF(B416="","",(VLOOKUP(B416,'BOGIX (Gross)'!A:D,4,FALSE)/100))</f>
        <v/>
      </c>
      <c r="G416" s="1"/>
      <c r="H416" s="1"/>
      <c r="I416" s="1"/>
      <c r="J416" s="1" t="str">
        <f>IF(B416="","",(VLOOKUP(B416,'BOGIX (Net)'!A:D,4,FALSE)/100))</f>
        <v/>
      </c>
      <c r="K416" s="1"/>
      <c r="L416" s="1"/>
      <c r="M416" s="1"/>
      <c r="S416" s="22" t="str">
        <f t="shared" si="220"/>
        <v/>
      </c>
      <c r="T416" s="22" t="str">
        <f t="shared" si="221"/>
        <v/>
      </c>
      <c r="U416" s="22" t="str">
        <f t="shared" si="222"/>
        <v/>
      </c>
      <c r="V416" s="22" t="str">
        <f t="shared" si="219"/>
        <v/>
      </c>
      <c r="W416" s="22" t="str">
        <f t="shared" si="227"/>
        <v/>
      </c>
      <c r="X416" s="22" t="str">
        <f t="shared" si="228"/>
        <v/>
      </c>
      <c r="Y416" s="22" t="str">
        <f t="shared" si="229"/>
        <v/>
      </c>
    </row>
    <row r="417" spans="1:25" x14ac:dyDescent="0.25">
      <c r="A417" t="str">
        <f t="shared" si="226"/>
        <v/>
      </c>
      <c r="B417" s="169" t="str">
        <f>IF('LC (Gross)'!A564="","",'LC (Gross)'!A564)</f>
        <v/>
      </c>
      <c r="C417" s="1" t="str">
        <f>IF(B417="","",(VLOOKUP(B417,'LC (Gross)'!A:D,4,FALSE)/100))</f>
        <v/>
      </c>
      <c r="D417" s="1" t="str">
        <f>IF(B417="","",(VLOOKUP(B417,'SC (Gross)'!A:D,4,FALSE))/100)</f>
        <v/>
      </c>
      <c r="E417" s="1" t="str">
        <f>IF(B417="","",(VLOOKUP(B417,'Global (Gross)'!A:D,4,FALSE)/100))</f>
        <v/>
      </c>
      <c r="F417" s="1" t="str">
        <f>IF(B417="","",(VLOOKUP(B417,'BOGIX (Gross)'!A:D,4,FALSE)/100))</f>
        <v/>
      </c>
      <c r="G417" s="1"/>
      <c r="H417" s="1"/>
      <c r="I417" s="1"/>
      <c r="J417" s="1" t="str">
        <f>IF(B417="","",(VLOOKUP(B417,'BOGIX (Net)'!A:D,4,FALSE)/100))</f>
        <v/>
      </c>
      <c r="K417" s="1"/>
      <c r="L417" s="1"/>
      <c r="M417" s="1"/>
      <c r="S417" s="22" t="str">
        <f t="shared" si="220"/>
        <v/>
      </c>
      <c r="T417" s="22" t="str">
        <f t="shared" si="221"/>
        <v/>
      </c>
      <c r="U417" s="22" t="str">
        <f t="shared" si="222"/>
        <v/>
      </c>
      <c r="V417" s="22" t="str">
        <f t="shared" si="219"/>
        <v/>
      </c>
      <c r="W417" s="22" t="str">
        <f t="shared" si="227"/>
        <v/>
      </c>
      <c r="X417" s="22" t="str">
        <f t="shared" si="228"/>
        <v/>
      </c>
      <c r="Y417" s="22" t="str">
        <f t="shared" si="229"/>
        <v/>
      </c>
    </row>
    <row r="418" spans="1:25" x14ac:dyDescent="0.25">
      <c r="A418" t="str">
        <f t="shared" si="226"/>
        <v/>
      </c>
      <c r="B418" s="169" t="str">
        <f>IF('LC (Gross)'!A565="","",'LC (Gross)'!A565)</f>
        <v/>
      </c>
      <c r="C418" s="1" t="str">
        <f>IF(B418="","",(VLOOKUP(B418,'LC (Gross)'!A:D,4,FALSE)/100))</f>
        <v/>
      </c>
      <c r="D418" s="1" t="str">
        <f>IF(B418="","",(VLOOKUP(B418,'SC (Gross)'!A:D,4,FALSE))/100)</f>
        <v/>
      </c>
      <c r="E418" s="1" t="str">
        <f>IF(B418="","",(VLOOKUP(B418,'Global (Gross)'!A:D,4,FALSE)/100))</f>
        <v/>
      </c>
      <c r="F418" s="1" t="str">
        <f>IF(B418="","",(VLOOKUP(B418,'BOGIX (Gross)'!A:D,4,FALSE)/100))</f>
        <v/>
      </c>
      <c r="G418" s="1"/>
      <c r="H418" s="1"/>
      <c r="I418" s="1"/>
      <c r="J418" s="1" t="str">
        <f>IF(B418="","",(VLOOKUP(B418,'BOGIX (Net)'!A:D,4,FALSE)/100))</f>
        <v/>
      </c>
      <c r="K418" s="1"/>
      <c r="L418" s="1"/>
      <c r="M418" s="1"/>
      <c r="S418" s="22" t="str">
        <f t="shared" si="220"/>
        <v/>
      </c>
      <c r="T418" s="22" t="str">
        <f t="shared" si="221"/>
        <v/>
      </c>
      <c r="U418" s="22" t="str">
        <f t="shared" si="222"/>
        <v/>
      </c>
      <c r="V418" s="22" t="str">
        <f t="shared" si="219"/>
        <v/>
      </c>
      <c r="W418" s="22" t="str">
        <f t="shared" si="227"/>
        <v/>
      </c>
      <c r="X418" s="22" t="str">
        <f t="shared" si="228"/>
        <v/>
      </c>
      <c r="Y418" s="22" t="str">
        <f t="shared" si="229"/>
        <v/>
      </c>
    </row>
    <row r="419" spans="1:25" x14ac:dyDescent="0.25">
      <c r="A419" t="str">
        <f t="shared" si="226"/>
        <v/>
      </c>
      <c r="B419" s="169" t="str">
        <f>IF('LC (Gross)'!A566="","",'LC (Gross)'!A566)</f>
        <v/>
      </c>
      <c r="C419" s="1" t="str">
        <f>IF(B419="","",(VLOOKUP(B419,'LC (Gross)'!A:D,4,FALSE)/100))</f>
        <v/>
      </c>
      <c r="D419" s="1" t="str">
        <f>IF(B419="","",(VLOOKUP(B419,'SC (Gross)'!A:D,4,FALSE))/100)</f>
        <v/>
      </c>
      <c r="E419" s="1" t="str">
        <f>IF(B419="","",(VLOOKUP(B419,'Global (Gross)'!A:D,4,FALSE)/100))</f>
        <v/>
      </c>
      <c r="F419" s="1" t="str">
        <f>IF(B419="","",(VLOOKUP(B419,'BOGIX (Gross)'!A:D,4,FALSE)/100))</f>
        <v/>
      </c>
      <c r="G419" s="1"/>
      <c r="H419" s="1"/>
      <c r="I419" s="1"/>
      <c r="J419" s="1" t="str">
        <f>IF(B419="","",(VLOOKUP(B419,'BOGIX (Net)'!A:D,4,FALSE)/100))</f>
        <v/>
      </c>
      <c r="K419" s="1"/>
      <c r="L419" s="1"/>
      <c r="M419" s="1"/>
      <c r="S419" s="22" t="str">
        <f t="shared" si="220"/>
        <v/>
      </c>
      <c r="T419" s="22" t="str">
        <f t="shared" si="221"/>
        <v/>
      </c>
      <c r="U419" s="22" t="str">
        <f t="shared" si="222"/>
        <v/>
      </c>
      <c r="V419" s="22" t="str">
        <f t="shared" si="219"/>
        <v/>
      </c>
      <c r="W419" s="22" t="str">
        <f t="shared" si="227"/>
        <v/>
      </c>
      <c r="X419" s="22" t="str">
        <f t="shared" si="228"/>
        <v/>
      </c>
      <c r="Y419" s="22" t="str">
        <f t="shared" si="229"/>
        <v/>
      </c>
    </row>
    <row r="420" spans="1:25" x14ac:dyDescent="0.25">
      <c r="A420" t="str">
        <f t="shared" si="226"/>
        <v/>
      </c>
      <c r="B420" s="169" t="str">
        <f>IF('LC (Gross)'!A567="","",'LC (Gross)'!A567)</f>
        <v/>
      </c>
      <c r="C420" s="1" t="str">
        <f>IF(B420="","",(VLOOKUP(B420,'LC (Gross)'!A:D,4,FALSE)/100))</f>
        <v/>
      </c>
      <c r="D420" s="1" t="str">
        <f>IF(B420="","",(VLOOKUP(B420,'SC (Gross)'!A:D,4,FALSE))/100)</f>
        <v/>
      </c>
      <c r="E420" s="1" t="str">
        <f>IF(B420="","",(VLOOKUP(B420,'Global (Gross)'!A:D,4,FALSE)/100))</f>
        <v/>
      </c>
      <c r="F420" s="1" t="str">
        <f>IF(B420="","",(VLOOKUP(B420,'BOGIX (Gross)'!A:D,4,FALSE)/100))</f>
        <v/>
      </c>
      <c r="G420" s="1"/>
      <c r="H420" s="1"/>
      <c r="I420" s="1"/>
      <c r="J420" s="1" t="str">
        <f>IF(B420="","",(VLOOKUP(B420,'BOGIX (Net)'!A:D,4,FALSE)/100))</f>
        <v/>
      </c>
      <c r="K420" s="1"/>
      <c r="L420" s="1"/>
      <c r="M420" s="1"/>
      <c r="S420" s="22" t="str">
        <f t="shared" si="220"/>
        <v/>
      </c>
      <c r="T420" s="22" t="str">
        <f t="shared" si="221"/>
        <v/>
      </c>
      <c r="U420" s="22" t="str">
        <f t="shared" si="222"/>
        <v/>
      </c>
      <c r="V420" s="22" t="str">
        <f t="shared" si="219"/>
        <v/>
      </c>
      <c r="W420" s="22" t="str">
        <f t="shared" si="227"/>
        <v/>
      </c>
      <c r="X420" s="22" t="str">
        <f t="shared" si="228"/>
        <v/>
      </c>
      <c r="Y420" s="22" t="str">
        <f t="shared" si="229"/>
        <v/>
      </c>
    </row>
    <row r="421" spans="1:25" x14ac:dyDescent="0.25">
      <c r="A421" t="str">
        <f t="shared" si="226"/>
        <v/>
      </c>
      <c r="B421" s="169" t="str">
        <f>IF('LC (Gross)'!A568="","",'LC (Gross)'!A568)</f>
        <v/>
      </c>
      <c r="C421" s="1" t="str">
        <f>IF(B421="","",(VLOOKUP(B421,'LC (Gross)'!A:D,4,FALSE)/100))</f>
        <v/>
      </c>
      <c r="D421" s="1" t="str">
        <f>IF(B421="","",(VLOOKUP(B421,'SC (Gross)'!A:D,4,FALSE))/100)</f>
        <v/>
      </c>
      <c r="E421" s="1" t="str">
        <f>IF(B421="","",(VLOOKUP(B421,'Global (Gross)'!A:D,4,FALSE)/100))</f>
        <v/>
      </c>
      <c r="F421" s="1" t="str">
        <f>IF(B421="","",(VLOOKUP(B421,'BOGIX (Gross)'!A:D,4,FALSE)/100))</f>
        <v/>
      </c>
      <c r="G421" s="1"/>
      <c r="H421" s="1"/>
      <c r="I421" s="1"/>
      <c r="J421" s="1" t="str">
        <f>IF(B421="","",(VLOOKUP(B421,'BOGIX (Net)'!A:D,4,FALSE)/100))</f>
        <v/>
      </c>
      <c r="K421" s="1"/>
      <c r="L421" s="1"/>
      <c r="M421" s="1"/>
      <c r="S421" s="22" t="str">
        <f t="shared" si="220"/>
        <v/>
      </c>
      <c r="T421" s="22" t="str">
        <f t="shared" si="221"/>
        <v/>
      </c>
      <c r="U421" s="22" t="str">
        <f t="shared" si="222"/>
        <v/>
      </c>
      <c r="V421" s="22" t="str">
        <f t="shared" si="219"/>
        <v/>
      </c>
      <c r="W421" s="22" t="str">
        <f t="shared" si="227"/>
        <v/>
      </c>
      <c r="X421" s="22" t="str">
        <f t="shared" si="228"/>
        <v/>
      </c>
      <c r="Y421" s="22" t="str">
        <f t="shared" si="229"/>
        <v/>
      </c>
    </row>
    <row r="422" spans="1:25" x14ac:dyDescent="0.25">
      <c r="A422" t="str">
        <f t="shared" si="226"/>
        <v/>
      </c>
      <c r="B422" s="169" t="str">
        <f>IF('LC (Gross)'!A569="","",'LC (Gross)'!A569)</f>
        <v/>
      </c>
      <c r="C422" s="1" t="str">
        <f>IF(B422="","",(VLOOKUP(B422,'LC (Gross)'!A:D,4,FALSE)/100))</f>
        <v/>
      </c>
      <c r="D422" s="1" t="str">
        <f>IF(B422="","",(VLOOKUP(B422,'SC (Gross)'!A:D,4,FALSE))/100)</f>
        <v/>
      </c>
      <c r="E422" s="1" t="str">
        <f>IF(B422="","",(VLOOKUP(B422,'Global (Gross)'!A:D,4,FALSE)/100))</f>
        <v/>
      </c>
      <c r="F422" s="1" t="str">
        <f>IF(B422="","",(VLOOKUP(B422,'BOGIX (Gross)'!A:D,4,FALSE)/100))</f>
        <v/>
      </c>
      <c r="G422" s="1"/>
      <c r="H422" s="1"/>
      <c r="I422" s="1"/>
      <c r="J422" s="1" t="str">
        <f>IF(B422="","",(VLOOKUP(B422,'BOGIX (Net)'!A:D,4,FALSE)/100))</f>
        <v/>
      </c>
      <c r="K422" s="1"/>
      <c r="L422" s="1"/>
      <c r="M422" s="1"/>
      <c r="S422" s="22" t="str">
        <f t="shared" si="220"/>
        <v/>
      </c>
      <c r="T422" s="22" t="str">
        <f t="shared" si="221"/>
        <v/>
      </c>
      <c r="U422" s="22" t="str">
        <f t="shared" si="222"/>
        <v/>
      </c>
      <c r="V422" s="22" t="str">
        <f t="shared" si="219"/>
        <v/>
      </c>
      <c r="W422" s="22" t="str">
        <f t="shared" si="227"/>
        <v/>
      </c>
      <c r="X422" s="22" t="str">
        <f t="shared" si="228"/>
        <v/>
      </c>
      <c r="Y422" s="22" t="str">
        <f t="shared" si="229"/>
        <v/>
      </c>
    </row>
    <row r="423" spans="1:25" x14ac:dyDescent="0.25">
      <c r="A423" t="str">
        <f t="shared" si="226"/>
        <v/>
      </c>
      <c r="B423" s="169" t="str">
        <f>IF('LC (Gross)'!A570="","",'LC (Gross)'!A570)</f>
        <v/>
      </c>
      <c r="C423" s="1" t="str">
        <f>IF(B423="","",(VLOOKUP(B423,'LC (Gross)'!A:D,4,FALSE)/100))</f>
        <v/>
      </c>
      <c r="D423" s="1" t="str">
        <f>IF(B423="","",(VLOOKUP(B423,'SC (Gross)'!A:D,4,FALSE))/100)</f>
        <v/>
      </c>
      <c r="E423" s="1" t="str">
        <f>IF(B423="","",(VLOOKUP(B423,'Global (Gross)'!A:D,4,FALSE)/100))</f>
        <v/>
      </c>
      <c r="F423" s="1" t="str">
        <f>IF(B423="","",(VLOOKUP(B423,'BOGIX (Gross)'!A:D,4,FALSE)/100))</f>
        <v/>
      </c>
      <c r="G423" s="1"/>
      <c r="H423" s="1"/>
      <c r="I423" s="1"/>
      <c r="J423" s="1" t="str">
        <f>IF(B423="","",(VLOOKUP(B423,'BOGIX (Net)'!A:D,4,FALSE)/100))</f>
        <v/>
      </c>
      <c r="K423" s="1"/>
      <c r="L423" s="1"/>
      <c r="M423" s="1"/>
      <c r="S423" s="22" t="str">
        <f t="shared" si="220"/>
        <v/>
      </c>
      <c r="T423" s="22" t="str">
        <f t="shared" si="221"/>
        <v/>
      </c>
      <c r="U423" s="22" t="str">
        <f t="shared" si="222"/>
        <v/>
      </c>
      <c r="V423" s="22" t="str">
        <f t="shared" si="219"/>
        <v/>
      </c>
      <c r="W423" s="22" t="str">
        <f t="shared" si="227"/>
        <v/>
      </c>
      <c r="X423" s="22" t="str">
        <f t="shared" si="228"/>
        <v/>
      </c>
      <c r="Y423" s="22" t="str">
        <f t="shared" si="229"/>
        <v/>
      </c>
    </row>
    <row r="424" spans="1:25" x14ac:dyDescent="0.25">
      <c r="A424" t="str">
        <f t="shared" si="226"/>
        <v/>
      </c>
      <c r="B424" s="169" t="str">
        <f>IF('LC (Gross)'!A571="","",'LC (Gross)'!A571)</f>
        <v/>
      </c>
      <c r="C424" s="1" t="str">
        <f>IF(B424="","",(VLOOKUP(B424,'LC (Gross)'!A:D,4,FALSE)/100))</f>
        <v/>
      </c>
      <c r="D424" s="1" t="str">
        <f>IF(B424="","",(VLOOKUP(B424,'SC (Gross)'!A:D,4,FALSE))/100)</f>
        <v/>
      </c>
      <c r="E424" s="1" t="str">
        <f>IF(B424="","",(VLOOKUP(B424,'Global (Gross)'!A:D,4,FALSE)/100))</f>
        <v/>
      </c>
      <c r="F424" s="1" t="str">
        <f>IF(B424="","",(VLOOKUP(B424,'BOGIX (Gross)'!A:D,4,FALSE)/100))</f>
        <v/>
      </c>
      <c r="G424" s="1"/>
      <c r="H424" s="1"/>
      <c r="I424" s="1"/>
      <c r="J424" s="1" t="str">
        <f>IF(B424="","",(VLOOKUP(B424,'BOGIX (Net)'!A:D,4,FALSE)/100))</f>
        <v/>
      </c>
      <c r="K424" s="1"/>
      <c r="L424" s="1"/>
      <c r="M424" s="1"/>
      <c r="S424" s="22" t="str">
        <f t="shared" si="220"/>
        <v/>
      </c>
      <c r="T424" s="22" t="str">
        <f t="shared" si="221"/>
        <v/>
      </c>
      <c r="U424" s="22" t="str">
        <f t="shared" si="222"/>
        <v/>
      </c>
      <c r="V424" s="22" t="str">
        <f t="shared" si="219"/>
        <v/>
      </c>
      <c r="W424" s="22" t="str">
        <f t="shared" si="227"/>
        <v/>
      </c>
      <c r="X424" s="22" t="str">
        <f t="shared" si="228"/>
        <v/>
      </c>
      <c r="Y424" s="22" t="str">
        <f t="shared" si="229"/>
        <v/>
      </c>
    </row>
    <row r="425" spans="1:25" x14ac:dyDescent="0.25">
      <c r="A425" t="str">
        <f t="shared" si="226"/>
        <v/>
      </c>
      <c r="B425" s="169" t="str">
        <f>IF('LC (Gross)'!A572="","",'LC (Gross)'!A572)</f>
        <v/>
      </c>
      <c r="C425" s="1" t="str">
        <f>IF(B425="","",(VLOOKUP(B425,'LC (Gross)'!A:D,4,FALSE)/100))</f>
        <v/>
      </c>
      <c r="D425" s="1" t="str">
        <f>IF(B425="","",(VLOOKUP(B425,'SC (Gross)'!A:D,4,FALSE))/100)</f>
        <v/>
      </c>
      <c r="E425" s="1" t="str">
        <f>IF(B425="","",(VLOOKUP(B425,'Global (Gross)'!A:D,4,FALSE)/100))</f>
        <v/>
      </c>
      <c r="F425" s="1" t="str">
        <f>IF(B425="","",(VLOOKUP(B425,'BOGIX (Gross)'!A:D,4,FALSE)/100))</f>
        <v/>
      </c>
      <c r="G425" s="1"/>
      <c r="H425" s="1"/>
      <c r="I425" s="1"/>
      <c r="J425" s="1" t="str">
        <f>IF(B425="","",(VLOOKUP(B425,'BOGIX (Net)'!A:D,4,FALSE)/100))</f>
        <v/>
      </c>
      <c r="K425" s="1"/>
      <c r="L425" s="1"/>
      <c r="M425" s="1"/>
      <c r="S425" s="22" t="str">
        <f t="shared" si="220"/>
        <v/>
      </c>
      <c r="T425" s="22" t="str">
        <f t="shared" si="221"/>
        <v/>
      </c>
      <c r="U425" s="22" t="str">
        <f t="shared" si="222"/>
        <v/>
      </c>
      <c r="V425" s="22" t="str">
        <f t="shared" si="219"/>
        <v/>
      </c>
      <c r="W425" s="22" t="str">
        <f t="shared" si="227"/>
        <v/>
      </c>
      <c r="X425" s="22" t="str">
        <f t="shared" si="228"/>
        <v/>
      </c>
      <c r="Y425" s="22" t="str">
        <f t="shared" si="229"/>
        <v/>
      </c>
    </row>
    <row r="426" spans="1:25" x14ac:dyDescent="0.25">
      <c r="A426" t="str">
        <f t="shared" si="226"/>
        <v/>
      </c>
      <c r="B426" s="169" t="str">
        <f>IF('LC (Gross)'!A573="","",'LC (Gross)'!A573)</f>
        <v/>
      </c>
      <c r="C426" s="1" t="str">
        <f>IF(B426="","",(VLOOKUP(B426,'LC (Gross)'!A:D,4,FALSE)/100))</f>
        <v/>
      </c>
      <c r="D426" s="1" t="str">
        <f>IF(B426="","",(VLOOKUP(B426,'SC (Gross)'!A:D,4,FALSE))/100)</f>
        <v/>
      </c>
      <c r="E426" s="1" t="str">
        <f>IF(B426="","",(VLOOKUP(B426,'Global (Gross)'!A:D,4,FALSE)/100))</f>
        <v/>
      </c>
      <c r="F426" s="1" t="str">
        <f>IF(B426="","",(VLOOKUP(B426,'BOGIX (Gross)'!A:D,4,FALSE)/100))</f>
        <v/>
      </c>
      <c r="G426" s="1"/>
      <c r="H426" s="1"/>
      <c r="I426" s="1"/>
      <c r="J426" s="1" t="str">
        <f>IF(B426="","",(VLOOKUP(B426,'BOGIX (Net)'!A:D,4,FALSE)/100))</f>
        <v/>
      </c>
      <c r="K426" s="1"/>
      <c r="L426" s="1"/>
      <c r="M426" s="1"/>
      <c r="S426" s="22" t="str">
        <f t="shared" si="220"/>
        <v/>
      </c>
      <c r="T426" s="22" t="str">
        <f t="shared" si="221"/>
        <v/>
      </c>
      <c r="U426" s="22" t="str">
        <f t="shared" si="222"/>
        <v/>
      </c>
      <c r="V426" s="22" t="str">
        <f t="shared" si="219"/>
        <v/>
      </c>
      <c r="W426" s="22" t="str">
        <f t="shared" si="227"/>
        <v/>
      </c>
      <c r="X426" s="22" t="str">
        <f t="shared" si="228"/>
        <v/>
      </c>
      <c r="Y426" s="22" t="str">
        <f t="shared" si="229"/>
        <v/>
      </c>
    </row>
    <row r="427" spans="1:25" x14ac:dyDescent="0.25">
      <c r="A427" t="str">
        <f t="shared" si="226"/>
        <v/>
      </c>
      <c r="B427" s="169" t="str">
        <f>IF('LC (Gross)'!A574="","",'LC (Gross)'!A574)</f>
        <v/>
      </c>
      <c r="C427" s="1" t="str">
        <f>IF(B427="","",(VLOOKUP(B427,'LC (Gross)'!A:D,4,FALSE)/100))</f>
        <v/>
      </c>
      <c r="D427" s="1" t="str">
        <f>IF(B427="","",(VLOOKUP(B427,'SC (Gross)'!A:D,4,FALSE))/100)</f>
        <v/>
      </c>
      <c r="E427" s="1" t="str">
        <f>IF(B427="","",(VLOOKUP(B427,'Global (Gross)'!A:D,4,FALSE)/100))</f>
        <v/>
      </c>
      <c r="F427" s="1" t="str">
        <f>IF(B427="","",(VLOOKUP(B427,'BOGIX (Gross)'!A:D,4,FALSE)/100))</f>
        <v/>
      </c>
      <c r="G427" s="1"/>
      <c r="H427" s="1"/>
      <c r="I427" s="1"/>
      <c r="J427" s="1" t="str">
        <f>IF(B427="","",(VLOOKUP(B427,'BOGIX (Net)'!A:D,4,FALSE)/100))</f>
        <v/>
      </c>
      <c r="K427" s="1"/>
      <c r="L427" s="1"/>
      <c r="M427" s="1"/>
      <c r="S427" s="22" t="str">
        <f t="shared" si="220"/>
        <v/>
      </c>
      <c r="T427" s="22" t="str">
        <f t="shared" si="221"/>
        <v/>
      </c>
      <c r="U427" s="22" t="str">
        <f t="shared" si="222"/>
        <v/>
      </c>
      <c r="V427" s="22" t="str">
        <f t="shared" si="219"/>
        <v/>
      </c>
      <c r="W427" s="22" t="str">
        <f t="shared" si="227"/>
        <v/>
      </c>
      <c r="X427" s="22" t="str">
        <f t="shared" si="228"/>
        <v/>
      </c>
      <c r="Y427" s="22" t="str">
        <f t="shared" si="229"/>
        <v/>
      </c>
    </row>
    <row r="428" spans="1:25" x14ac:dyDescent="0.25">
      <c r="A428" t="str">
        <f t="shared" si="226"/>
        <v/>
      </c>
      <c r="B428" s="169" t="str">
        <f>IF('LC (Gross)'!A575="","",'LC (Gross)'!A575)</f>
        <v/>
      </c>
      <c r="C428" s="1" t="str">
        <f>IF(B428="","",(VLOOKUP(B428,'LC (Gross)'!A:D,4,FALSE)/100))</f>
        <v/>
      </c>
      <c r="D428" s="1" t="str">
        <f>IF(B428="","",(VLOOKUP(B428,'SC (Gross)'!A:D,4,FALSE))/100)</f>
        <v/>
      </c>
      <c r="E428" s="1" t="str">
        <f>IF(B428="","",(VLOOKUP(B428,'Global (Gross)'!A:D,4,FALSE)/100))</f>
        <v/>
      </c>
      <c r="F428" s="1" t="str">
        <f>IF(B428="","",(VLOOKUP(B428,'BOGIX (Gross)'!A:D,4,FALSE)/100))</f>
        <v/>
      </c>
      <c r="G428" s="1"/>
      <c r="H428" s="1"/>
      <c r="I428" s="1"/>
      <c r="J428" s="1" t="str">
        <f>IF(B428="","",(VLOOKUP(B428,'BOGIX (Net)'!A:D,4,FALSE)/100))</f>
        <v/>
      </c>
      <c r="K428" s="1"/>
      <c r="L428" s="1"/>
      <c r="M428" s="1"/>
      <c r="S428" s="22" t="str">
        <f t="shared" si="220"/>
        <v/>
      </c>
      <c r="T428" s="22" t="str">
        <f t="shared" si="221"/>
        <v/>
      </c>
      <c r="U428" s="22" t="str">
        <f t="shared" si="222"/>
        <v/>
      </c>
      <c r="V428" s="22" t="str">
        <f t="shared" si="219"/>
        <v/>
      </c>
      <c r="W428" s="22" t="str">
        <f t="shared" si="227"/>
        <v/>
      </c>
      <c r="X428" s="22" t="str">
        <f t="shared" si="228"/>
        <v/>
      </c>
      <c r="Y428" s="22" t="str">
        <f t="shared" si="229"/>
        <v/>
      </c>
    </row>
    <row r="429" spans="1:25" x14ac:dyDescent="0.25">
      <c r="A429" t="str">
        <f t="shared" si="226"/>
        <v/>
      </c>
      <c r="B429" s="169" t="str">
        <f>IF('LC (Gross)'!A576="","",'LC (Gross)'!A576)</f>
        <v/>
      </c>
      <c r="C429" s="1" t="str">
        <f>IF(B429="","",(VLOOKUP(B429,'LC (Gross)'!A:D,4,FALSE)/100))</f>
        <v/>
      </c>
      <c r="D429" s="1" t="str">
        <f>IF(B429="","",(VLOOKUP(B429,'SC (Gross)'!A:D,4,FALSE))/100)</f>
        <v/>
      </c>
      <c r="E429" s="1" t="str">
        <f>IF(B429="","",(VLOOKUP(B429,'Global (Gross)'!A:D,4,FALSE)/100))</f>
        <v/>
      </c>
      <c r="F429" s="1" t="str">
        <f>IF(B429="","",(VLOOKUP(B429,'BOGIX (Gross)'!A:D,4,FALSE)/100))</f>
        <v/>
      </c>
      <c r="G429" s="1"/>
      <c r="H429" s="1"/>
      <c r="I429" s="1"/>
      <c r="J429" s="1" t="str">
        <f>IF(B429="","",(VLOOKUP(B429,'BOGIX (Net)'!A:D,4,FALSE)/100))</f>
        <v/>
      </c>
      <c r="K429" s="1"/>
      <c r="L429" s="1"/>
      <c r="M429" s="1"/>
      <c r="S429" s="22" t="str">
        <f t="shared" si="220"/>
        <v/>
      </c>
      <c r="T429" s="22" t="str">
        <f t="shared" si="221"/>
        <v/>
      </c>
      <c r="U429" s="22" t="str">
        <f t="shared" si="222"/>
        <v/>
      </c>
      <c r="V429" s="22" t="str">
        <f t="shared" si="219"/>
        <v/>
      </c>
      <c r="W429" s="22" t="str">
        <f t="shared" si="227"/>
        <v/>
      </c>
      <c r="X429" s="22" t="str">
        <f t="shared" si="228"/>
        <v/>
      </c>
      <c r="Y429" s="22" t="str">
        <f t="shared" si="229"/>
        <v/>
      </c>
    </row>
    <row r="430" spans="1:25" x14ac:dyDescent="0.25">
      <c r="A430" t="str">
        <f t="shared" si="226"/>
        <v/>
      </c>
      <c r="B430" s="169" t="str">
        <f>IF('LC (Gross)'!A577="","",'LC (Gross)'!A577)</f>
        <v/>
      </c>
      <c r="C430" s="1" t="str">
        <f>IF(B430="","",(VLOOKUP(B430,'LC (Gross)'!A:D,4,FALSE)/100))</f>
        <v/>
      </c>
      <c r="D430" s="1" t="str">
        <f>IF(B430="","",(VLOOKUP(B430,'SC (Gross)'!A:D,4,FALSE))/100)</f>
        <v/>
      </c>
      <c r="E430" s="1" t="str">
        <f>IF(B430="","",(VLOOKUP(B430,'Global (Gross)'!A:D,4,FALSE)/100))</f>
        <v/>
      </c>
      <c r="F430" s="1" t="str">
        <f>IF(B430="","",(VLOOKUP(B430,'BOGIX (Gross)'!A:D,4,FALSE)/100))</f>
        <v/>
      </c>
      <c r="G430" s="1"/>
      <c r="H430" s="1"/>
      <c r="I430" s="1"/>
      <c r="J430" s="1" t="str">
        <f>IF(B430="","",(VLOOKUP(B430,'BOGIX (Net)'!A:D,4,FALSE)/100))</f>
        <v/>
      </c>
      <c r="K430" s="1"/>
      <c r="L430" s="1"/>
      <c r="M430" s="1"/>
      <c r="S430" s="22" t="str">
        <f t="shared" si="220"/>
        <v/>
      </c>
      <c r="T430" s="22" t="str">
        <f t="shared" si="221"/>
        <v/>
      </c>
      <c r="U430" s="22" t="str">
        <f t="shared" si="222"/>
        <v/>
      </c>
      <c r="V430" s="22" t="str">
        <f t="shared" si="219"/>
        <v/>
      </c>
      <c r="W430" s="22" t="str">
        <f t="shared" si="227"/>
        <v/>
      </c>
      <c r="X430" s="22" t="str">
        <f t="shared" si="228"/>
        <v/>
      </c>
      <c r="Y430" s="22" t="str">
        <f t="shared" si="229"/>
        <v/>
      </c>
    </row>
    <row r="431" spans="1:25" x14ac:dyDescent="0.25">
      <c r="A431" t="str">
        <f t="shared" si="226"/>
        <v/>
      </c>
      <c r="B431" s="169" t="str">
        <f>IF('LC (Gross)'!A578="","",'LC (Gross)'!A578)</f>
        <v/>
      </c>
      <c r="C431" s="1" t="str">
        <f>IF(B431="","",(VLOOKUP(B431,'LC (Gross)'!A:D,4,FALSE)/100))</f>
        <v/>
      </c>
      <c r="D431" s="1" t="str">
        <f>IF(B431="","",(VLOOKUP(B431,'SC (Gross)'!A:D,4,FALSE))/100)</f>
        <v/>
      </c>
      <c r="E431" s="1" t="str">
        <f>IF(B431="","",(VLOOKUP(B431,'Global (Gross)'!A:D,4,FALSE)/100))</f>
        <v/>
      </c>
      <c r="F431" s="1" t="str">
        <f>IF(B431="","",(VLOOKUP(B431,'BOGIX (Gross)'!A:D,4,FALSE)/100))</f>
        <v/>
      </c>
      <c r="G431" s="1"/>
      <c r="H431" s="1"/>
      <c r="I431" s="1"/>
      <c r="J431" s="1" t="str">
        <f>IF(B431="","",(VLOOKUP(B431,'BOGIX (Net)'!A:D,4,FALSE)/100))</f>
        <v/>
      </c>
      <c r="K431" s="1"/>
      <c r="L431" s="1"/>
      <c r="M431" s="1"/>
      <c r="S431" s="22" t="str">
        <f t="shared" si="220"/>
        <v/>
      </c>
      <c r="T431" s="22" t="str">
        <f t="shared" si="221"/>
        <v/>
      </c>
      <c r="U431" s="22" t="str">
        <f t="shared" si="222"/>
        <v/>
      </c>
      <c r="V431" s="22" t="str">
        <f t="shared" si="219"/>
        <v/>
      </c>
      <c r="W431" s="22" t="str">
        <f t="shared" si="227"/>
        <v/>
      </c>
      <c r="X431" s="22" t="str">
        <f t="shared" si="228"/>
        <v/>
      </c>
      <c r="Y431" s="22" t="str">
        <f t="shared" si="229"/>
        <v/>
      </c>
    </row>
    <row r="432" spans="1:25" x14ac:dyDescent="0.25">
      <c r="A432" t="str">
        <f t="shared" si="226"/>
        <v/>
      </c>
      <c r="B432" s="169" t="str">
        <f>IF('LC (Gross)'!A579="","",'LC (Gross)'!A579)</f>
        <v/>
      </c>
      <c r="C432" s="1" t="str">
        <f>IF(B432="","",(VLOOKUP(B432,'LC (Gross)'!A:D,4,FALSE)/100))</f>
        <v/>
      </c>
      <c r="D432" s="1" t="str">
        <f>IF(B432="","",(VLOOKUP(B432,'SC (Gross)'!A:D,4,FALSE))/100)</f>
        <v/>
      </c>
      <c r="E432" s="1" t="str">
        <f>IF(B432="","",(VLOOKUP(B432,'Global (Gross)'!A:D,4,FALSE)/100))</f>
        <v/>
      </c>
      <c r="F432" s="1" t="str">
        <f>IF(B432="","",(VLOOKUP(B432,'BOGIX (Gross)'!A:D,4,FALSE)/100))</f>
        <v/>
      </c>
      <c r="G432" s="1"/>
      <c r="H432" s="1"/>
      <c r="I432" s="1"/>
      <c r="J432" s="1" t="str">
        <f>IF(B432="","",(VLOOKUP(B432,'BOGIX (Net)'!A:D,4,FALSE)/100))</f>
        <v/>
      </c>
      <c r="K432" s="1"/>
      <c r="L432" s="1"/>
      <c r="M432" s="1"/>
      <c r="S432" s="22" t="str">
        <f t="shared" si="220"/>
        <v/>
      </c>
      <c r="T432" s="22" t="str">
        <f t="shared" si="221"/>
        <v/>
      </c>
      <c r="U432" s="22" t="str">
        <f t="shared" si="222"/>
        <v/>
      </c>
      <c r="V432" s="22" t="str">
        <f t="shared" si="219"/>
        <v/>
      </c>
      <c r="W432" s="22" t="str">
        <f t="shared" si="227"/>
        <v/>
      </c>
      <c r="X432" s="22" t="str">
        <f t="shared" si="228"/>
        <v/>
      </c>
      <c r="Y432" s="22" t="str">
        <f t="shared" si="229"/>
        <v/>
      </c>
    </row>
    <row r="433" spans="1:25" x14ac:dyDescent="0.25">
      <c r="A433" t="str">
        <f t="shared" si="226"/>
        <v/>
      </c>
      <c r="B433" s="169" t="str">
        <f>IF('LC (Gross)'!A580="","",'LC (Gross)'!A580)</f>
        <v/>
      </c>
      <c r="C433" s="1" t="str">
        <f>IF(B433="","",(VLOOKUP(B433,'LC (Gross)'!A:D,4,FALSE)/100))</f>
        <v/>
      </c>
      <c r="D433" s="1" t="str">
        <f>IF(B433="","",(VLOOKUP(B433,'SC (Gross)'!A:D,4,FALSE))/100)</f>
        <v/>
      </c>
      <c r="E433" s="1" t="str">
        <f>IF(B433="","",(VLOOKUP(B433,'Global (Gross)'!A:D,4,FALSE)/100))</f>
        <v/>
      </c>
      <c r="F433" s="1" t="str">
        <f>IF(B433="","",(VLOOKUP(B433,'BOGIX (Gross)'!A:D,4,FALSE)/100))</f>
        <v/>
      </c>
      <c r="G433" s="1"/>
      <c r="H433" s="1"/>
      <c r="I433" s="1"/>
      <c r="J433" s="1" t="str">
        <f>IF(B433="","",(VLOOKUP(B433,'BOGIX (Net)'!A:D,4,FALSE)/100))</f>
        <v/>
      </c>
      <c r="K433" s="1"/>
      <c r="L433" s="1"/>
      <c r="M433" s="1"/>
      <c r="S433" s="22" t="str">
        <f t="shared" si="220"/>
        <v/>
      </c>
      <c r="T433" s="22" t="str">
        <f t="shared" si="221"/>
        <v/>
      </c>
      <c r="U433" s="22" t="str">
        <f t="shared" si="222"/>
        <v/>
      </c>
      <c r="V433" s="22" t="str">
        <f t="shared" si="219"/>
        <v/>
      </c>
      <c r="W433" s="22" t="str">
        <f t="shared" si="227"/>
        <v/>
      </c>
      <c r="X433" s="22" t="str">
        <f t="shared" si="228"/>
        <v/>
      </c>
      <c r="Y433" s="22" t="str">
        <f t="shared" si="229"/>
        <v/>
      </c>
    </row>
    <row r="434" spans="1:25" x14ac:dyDescent="0.25">
      <c r="A434" t="str">
        <f t="shared" si="226"/>
        <v/>
      </c>
      <c r="B434" s="169" t="str">
        <f>IF('LC (Gross)'!A581="","",'LC (Gross)'!A581)</f>
        <v/>
      </c>
      <c r="C434" s="1" t="str">
        <f>IF(B434="","",(VLOOKUP(B434,'LC (Gross)'!A:D,4,FALSE)/100))</f>
        <v/>
      </c>
      <c r="D434" s="1" t="str">
        <f>IF(B434="","",(VLOOKUP(B434,'SC (Gross)'!A:D,4,FALSE))/100)</f>
        <v/>
      </c>
      <c r="E434" s="1" t="str">
        <f>IF(B434="","",(VLOOKUP(B434,'Global (Gross)'!A:D,4,FALSE)/100))</f>
        <v/>
      </c>
      <c r="F434" s="1" t="str">
        <f>IF(B434="","",(VLOOKUP(B434,'BOGIX (Gross)'!A:D,4,FALSE)/100))</f>
        <v/>
      </c>
      <c r="G434" s="1"/>
      <c r="H434" s="1"/>
      <c r="I434" s="1"/>
      <c r="J434" s="1" t="str">
        <f>IF(B434="","",(VLOOKUP(B434,'BOGIX (Net)'!A:D,4,FALSE)/100))</f>
        <v/>
      </c>
      <c r="K434" s="1"/>
      <c r="L434" s="1"/>
      <c r="M434" s="1"/>
      <c r="S434" s="22" t="str">
        <f t="shared" si="220"/>
        <v/>
      </c>
      <c r="T434" s="22" t="str">
        <f t="shared" si="221"/>
        <v/>
      </c>
      <c r="U434" s="22" t="str">
        <f t="shared" si="222"/>
        <v/>
      </c>
      <c r="V434" s="22" t="str">
        <f t="shared" si="219"/>
        <v/>
      </c>
      <c r="W434" s="22" t="str">
        <f t="shared" ref="W434:W465" si="230">IF(G434="","",G434-S434)</f>
        <v/>
      </c>
      <c r="X434" s="22" t="str">
        <f t="shared" ref="X434:X465" si="231">IF(H434="","",H434-T434)</f>
        <v/>
      </c>
      <c r="Y434" s="22" t="str">
        <f t="shared" ref="Y434:Y465" si="232">IF(I434="","",I434-U434)</f>
        <v/>
      </c>
    </row>
    <row r="435" spans="1:25" x14ac:dyDescent="0.25">
      <c r="A435" t="str">
        <f t="shared" si="226"/>
        <v/>
      </c>
      <c r="B435" s="169" t="str">
        <f>IF('LC (Gross)'!A582="","",'LC (Gross)'!A582)</f>
        <v/>
      </c>
      <c r="C435" s="1" t="str">
        <f>IF(B435="","",(VLOOKUP(B435,'LC (Gross)'!A:D,4,FALSE)/100))</f>
        <v/>
      </c>
      <c r="D435" s="1" t="str">
        <f>IF(B435="","",(VLOOKUP(B435,'SC (Gross)'!A:D,4,FALSE))/100)</f>
        <v/>
      </c>
      <c r="E435" s="1" t="str">
        <f>IF(B435="","",(VLOOKUP(B435,'Global (Gross)'!A:D,4,FALSE)/100))</f>
        <v/>
      </c>
      <c r="F435" s="1" t="str">
        <f>IF(B435="","",(VLOOKUP(B435,'BOGIX (Gross)'!A:D,4,FALSE)/100))</f>
        <v/>
      </c>
      <c r="G435" s="1"/>
      <c r="H435" s="1"/>
      <c r="I435" s="1"/>
      <c r="J435" s="1" t="str">
        <f>IF(B435="","",(VLOOKUP(B435,'BOGIX (Net)'!A:D,4,FALSE)/100))</f>
        <v/>
      </c>
      <c r="K435" s="1"/>
      <c r="L435" s="1"/>
      <c r="M435" s="1"/>
      <c r="S435" s="22" t="str">
        <f t="shared" si="220"/>
        <v/>
      </c>
      <c r="T435" s="22" t="str">
        <f t="shared" si="221"/>
        <v/>
      </c>
      <c r="U435" s="22" t="str">
        <f t="shared" si="222"/>
        <v/>
      </c>
      <c r="V435" s="22" t="str">
        <f t="shared" si="219"/>
        <v/>
      </c>
      <c r="W435" s="22" t="str">
        <f t="shared" si="230"/>
        <v/>
      </c>
      <c r="X435" s="22" t="str">
        <f t="shared" si="231"/>
        <v/>
      </c>
      <c r="Y435" s="22" t="str">
        <f t="shared" si="232"/>
        <v/>
      </c>
    </row>
    <row r="436" spans="1:25" x14ac:dyDescent="0.25">
      <c r="A436" t="str">
        <f t="shared" si="226"/>
        <v/>
      </c>
      <c r="B436" s="169" t="str">
        <f>IF('LC (Gross)'!A583="","",'LC (Gross)'!A583)</f>
        <v/>
      </c>
      <c r="C436" s="1" t="str">
        <f>IF(B436="","",(VLOOKUP(B436,'LC (Gross)'!A:D,4,FALSE)/100))</f>
        <v/>
      </c>
      <c r="D436" s="1" t="str">
        <f>IF(B436="","",(VLOOKUP(B436,'SC (Gross)'!A:D,4,FALSE))/100)</f>
        <v/>
      </c>
      <c r="E436" s="1" t="str">
        <f>IF(B436="","",(VLOOKUP(B436,'Global (Gross)'!A:D,4,FALSE)/100))</f>
        <v/>
      </c>
      <c r="F436" s="1" t="str">
        <f>IF(B436="","",(VLOOKUP(B436,'BOGIX (Gross)'!A:D,4,FALSE)/100))</f>
        <v/>
      </c>
      <c r="G436" s="1"/>
      <c r="H436" s="1"/>
      <c r="I436" s="1"/>
      <c r="J436" s="1" t="str">
        <f>IF(B436="","",(VLOOKUP(B436,'BOGIX (Net)'!A:D,4,FALSE)/100))</f>
        <v/>
      </c>
      <c r="K436" s="1"/>
      <c r="L436" s="1"/>
      <c r="M436" s="1"/>
      <c r="S436" s="22" t="str">
        <f t="shared" si="220"/>
        <v/>
      </c>
      <c r="T436" s="22" t="str">
        <f t="shared" si="221"/>
        <v/>
      </c>
      <c r="U436" s="22" t="str">
        <f t="shared" si="222"/>
        <v/>
      </c>
      <c r="V436" s="22" t="str">
        <f t="shared" si="219"/>
        <v/>
      </c>
      <c r="W436" s="22" t="str">
        <f t="shared" si="230"/>
        <v/>
      </c>
      <c r="X436" s="22" t="str">
        <f t="shared" si="231"/>
        <v/>
      </c>
      <c r="Y436" s="22" t="str">
        <f t="shared" si="232"/>
        <v/>
      </c>
    </row>
    <row r="437" spans="1:25" x14ac:dyDescent="0.25">
      <c r="A437" t="str">
        <f t="shared" si="226"/>
        <v/>
      </c>
      <c r="B437" s="169" t="str">
        <f>IF('LC (Gross)'!A584="","",'LC (Gross)'!A584)</f>
        <v/>
      </c>
      <c r="C437" s="1" t="str">
        <f>IF(B437="","",(VLOOKUP(B437,'LC (Gross)'!A:D,4,FALSE)/100))</f>
        <v/>
      </c>
      <c r="D437" s="1" t="str">
        <f>IF(B437="","",(VLOOKUP(B437,'SC (Gross)'!A:D,4,FALSE))/100)</f>
        <v/>
      </c>
      <c r="E437" s="1" t="str">
        <f>IF(B437="","",(VLOOKUP(B437,'Global (Gross)'!A:D,4,FALSE)/100))</f>
        <v/>
      </c>
      <c r="F437" s="1" t="str">
        <f>IF(B437="","",(VLOOKUP(B437,'BOGIX (Gross)'!A:D,4,FALSE)/100))</f>
        <v/>
      </c>
      <c r="G437" s="1"/>
      <c r="H437" s="1"/>
      <c r="I437" s="1"/>
      <c r="J437" s="1" t="str">
        <f>IF(B437="","",(VLOOKUP(B437,'BOGIX (Net)'!A:D,4,FALSE)/100))</f>
        <v/>
      </c>
      <c r="K437" s="1"/>
      <c r="L437" s="1"/>
      <c r="M437" s="1"/>
      <c r="S437" s="22" t="str">
        <f t="shared" si="220"/>
        <v/>
      </c>
      <c r="T437" s="22" t="str">
        <f t="shared" si="221"/>
        <v/>
      </c>
      <c r="U437" s="22" t="str">
        <f t="shared" si="222"/>
        <v/>
      </c>
      <c r="V437" s="22" t="str">
        <f t="shared" si="219"/>
        <v/>
      </c>
      <c r="W437" s="22" t="str">
        <f t="shared" si="230"/>
        <v/>
      </c>
      <c r="X437" s="22" t="str">
        <f t="shared" si="231"/>
        <v/>
      </c>
      <c r="Y437" s="22" t="str">
        <f t="shared" si="232"/>
        <v/>
      </c>
    </row>
    <row r="438" spans="1:25" x14ac:dyDescent="0.25">
      <c r="A438" t="str">
        <f t="shared" si="226"/>
        <v/>
      </c>
      <c r="B438" s="169" t="str">
        <f>IF('LC (Gross)'!A585="","",'LC (Gross)'!A585)</f>
        <v/>
      </c>
      <c r="C438" s="1" t="str">
        <f>IF(B438="","",(VLOOKUP(B438,'LC (Gross)'!A:D,4,FALSE)/100))</f>
        <v/>
      </c>
      <c r="D438" s="1" t="str">
        <f>IF(B438="","",(VLOOKUP(B438,'SC (Gross)'!A:D,4,FALSE))/100)</f>
        <v/>
      </c>
      <c r="E438" s="1" t="str">
        <f>IF(B438="","",(VLOOKUP(B438,'Global (Gross)'!A:D,4,FALSE)/100))</f>
        <v/>
      </c>
      <c r="F438" s="1" t="str">
        <f>IF(B438="","",(VLOOKUP(B438,'BOGIX (Gross)'!A:D,4,FALSE)/100))</f>
        <v/>
      </c>
      <c r="G438" s="1"/>
      <c r="H438" s="1"/>
      <c r="I438" s="1"/>
      <c r="J438" s="1" t="str">
        <f>IF(B438="","",(VLOOKUP(B438,'BOGIX (Net)'!A:D,4,FALSE)/100))</f>
        <v/>
      </c>
      <c r="K438" s="1"/>
      <c r="L438" s="1"/>
      <c r="M438" s="1"/>
      <c r="S438" s="22" t="str">
        <f t="shared" si="220"/>
        <v/>
      </c>
      <c r="T438" s="22" t="str">
        <f t="shared" si="221"/>
        <v/>
      </c>
      <c r="U438" s="22" t="str">
        <f t="shared" si="222"/>
        <v/>
      </c>
      <c r="V438" s="22" t="str">
        <f t="shared" si="219"/>
        <v/>
      </c>
      <c r="W438" s="22" t="str">
        <f t="shared" si="230"/>
        <v/>
      </c>
      <c r="X438" s="22" t="str">
        <f t="shared" si="231"/>
        <v/>
      </c>
      <c r="Y438" s="22" t="str">
        <f t="shared" si="232"/>
        <v/>
      </c>
    </row>
    <row r="439" spans="1:25" x14ac:dyDescent="0.25">
      <c r="A439" t="str">
        <f t="shared" si="226"/>
        <v/>
      </c>
      <c r="B439" s="169" t="str">
        <f>IF('LC (Gross)'!A586="","",'LC (Gross)'!A586)</f>
        <v/>
      </c>
      <c r="C439" s="1" t="str">
        <f>IF(B439="","",(VLOOKUP(B439,'LC (Gross)'!A:D,4,FALSE)/100))</f>
        <v/>
      </c>
      <c r="D439" s="1" t="str">
        <f>IF(B439="","",(VLOOKUP(B439,'SC (Gross)'!A:D,4,FALSE))/100)</f>
        <v/>
      </c>
      <c r="E439" s="1" t="str">
        <f>IF(B439="","",(VLOOKUP(B439,'Global (Gross)'!A:D,4,FALSE)/100))</f>
        <v/>
      </c>
      <c r="F439" s="1" t="str">
        <f>IF(B439="","",(VLOOKUP(B439,'BOGIX (Gross)'!A:D,4,FALSE)/100))</f>
        <v/>
      </c>
      <c r="G439" s="1"/>
      <c r="H439" s="1"/>
      <c r="I439" s="1"/>
      <c r="J439" s="1" t="str">
        <f>IF(B439="","",(VLOOKUP(B439,'BOGIX (Net)'!A:D,4,FALSE)/100))</f>
        <v/>
      </c>
      <c r="K439" s="1"/>
      <c r="L439" s="1"/>
      <c r="M439" s="1"/>
      <c r="S439" s="22" t="str">
        <f t="shared" si="220"/>
        <v/>
      </c>
      <c r="T439" s="22" t="str">
        <f t="shared" si="221"/>
        <v/>
      </c>
      <c r="U439" s="22" t="str">
        <f t="shared" si="222"/>
        <v/>
      </c>
      <c r="V439" s="22" t="str">
        <f t="shared" si="219"/>
        <v/>
      </c>
      <c r="W439" s="22" t="str">
        <f t="shared" si="230"/>
        <v/>
      </c>
      <c r="X439" s="22" t="str">
        <f t="shared" si="231"/>
        <v/>
      </c>
      <c r="Y439" s="22" t="str">
        <f t="shared" si="232"/>
        <v/>
      </c>
    </row>
    <row r="440" spans="1:25" x14ac:dyDescent="0.25">
      <c r="A440" t="str">
        <f t="shared" si="226"/>
        <v/>
      </c>
      <c r="B440" s="169" t="str">
        <f>IF('LC (Gross)'!A587="","",'LC (Gross)'!A587)</f>
        <v/>
      </c>
      <c r="C440" s="1" t="str">
        <f>IF(B440="","",(VLOOKUP(B440,'LC (Gross)'!A:D,4,FALSE)/100))</f>
        <v/>
      </c>
      <c r="D440" s="1" t="str">
        <f>IF(B440="","",(VLOOKUP(B440,'SC (Gross)'!A:D,4,FALSE))/100)</f>
        <v/>
      </c>
      <c r="E440" s="1" t="str">
        <f>IF(B440="","",(VLOOKUP(B440,'Global (Gross)'!A:D,4,FALSE)/100))</f>
        <v/>
      </c>
      <c r="F440" s="1" t="str">
        <f>IF(B440="","",(VLOOKUP(B440,'BOGIX (Gross)'!A:D,4,FALSE)/100))</f>
        <v/>
      </c>
      <c r="G440" s="1"/>
      <c r="H440" s="1"/>
      <c r="I440" s="1"/>
      <c r="J440" s="1" t="str">
        <f>IF(B440="","",(VLOOKUP(B440,'BOGIX (Net)'!A:D,4,FALSE)/100))</f>
        <v/>
      </c>
      <c r="K440" s="1"/>
      <c r="L440" s="1"/>
      <c r="M440" s="1"/>
      <c r="S440" s="22" t="str">
        <f t="shared" si="220"/>
        <v/>
      </c>
      <c r="T440" s="22" t="str">
        <f t="shared" si="221"/>
        <v/>
      </c>
      <c r="U440" s="22" t="str">
        <f t="shared" si="222"/>
        <v/>
      </c>
      <c r="V440" s="22" t="str">
        <f t="shared" si="219"/>
        <v/>
      </c>
      <c r="W440" s="22" t="str">
        <f t="shared" si="230"/>
        <v/>
      </c>
      <c r="X440" s="22" t="str">
        <f t="shared" si="231"/>
        <v/>
      </c>
      <c r="Y440" s="22" t="str">
        <f t="shared" si="232"/>
        <v/>
      </c>
    </row>
    <row r="441" spans="1:25" x14ac:dyDescent="0.25">
      <c r="A441" t="str">
        <f t="shared" si="226"/>
        <v/>
      </c>
      <c r="B441" s="169" t="str">
        <f>IF('LC (Gross)'!A588="","",'LC (Gross)'!A588)</f>
        <v/>
      </c>
      <c r="C441" s="1" t="str">
        <f>IF(B441="","",(VLOOKUP(B441,'LC (Gross)'!A:D,4,FALSE)/100))</f>
        <v/>
      </c>
      <c r="D441" s="1" t="str">
        <f>IF(B441="","",(VLOOKUP(B441,'SC (Gross)'!A:D,4,FALSE))/100)</f>
        <v/>
      </c>
      <c r="E441" s="1" t="str">
        <f>IF(B441="","",(VLOOKUP(B441,'Global (Gross)'!A:D,4,FALSE)/100))</f>
        <v/>
      </c>
      <c r="F441" s="1" t="str">
        <f>IF(B441="","",(VLOOKUP(B441,'BOGIX (Gross)'!A:D,4,FALSE)/100))</f>
        <v/>
      </c>
      <c r="G441" s="1"/>
      <c r="H441" s="1"/>
      <c r="I441" s="1"/>
      <c r="J441" s="1" t="str">
        <f>IF(B441="","",(VLOOKUP(B441,'BOGIX (Net)'!A:D,4,FALSE)/100))</f>
        <v/>
      </c>
      <c r="K441" s="1"/>
      <c r="L441" s="1"/>
      <c r="M441" s="1"/>
      <c r="S441" s="22" t="str">
        <f t="shared" si="220"/>
        <v/>
      </c>
      <c r="T441" s="22" t="str">
        <f t="shared" si="221"/>
        <v/>
      </c>
      <c r="U441" s="22" t="str">
        <f t="shared" si="222"/>
        <v/>
      </c>
      <c r="V441" s="22" t="str">
        <f t="shared" si="219"/>
        <v/>
      </c>
      <c r="W441" s="22" t="str">
        <f t="shared" si="230"/>
        <v/>
      </c>
      <c r="X441" s="22" t="str">
        <f t="shared" si="231"/>
        <v/>
      </c>
      <c r="Y441" s="22" t="str">
        <f t="shared" si="232"/>
        <v/>
      </c>
    </row>
    <row r="442" spans="1:25" x14ac:dyDescent="0.25">
      <c r="A442" t="str">
        <f t="shared" si="226"/>
        <v/>
      </c>
      <c r="B442" s="169" t="str">
        <f>IF('LC (Gross)'!A589="","",'LC (Gross)'!A589)</f>
        <v/>
      </c>
      <c r="C442" s="1" t="str">
        <f>IF(B442="","",(VLOOKUP(B442,'LC (Gross)'!A:D,4,FALSE)/100))</f>
        <v/>
      </c>
      <c r="D442" s="1" t="str">
        <f>IF(B442="","",(VLOOKUP(B442,'SC (Gross)'!A:D,4,FALSE))/100)</f>
        <v/>
      </c>
      <c r="E442" s="1" t="str">
        <f>IF(B442="","",(VLOOKUP(B442,'Global (Gross)'!A:D,4,FALSE)/100))</f>
        <v/>
      </c>
      <c r="F442" s="1" t="str">
        <f>IF(B442="","",(VLOOKUP(B442,'BOGIX (Gross)'!A:D,4,FALSE)/100))</f>
        <v/>
      </c>
      <c r="G442" s="1"/>
      <c r="H442" s="1"/>
      <c r="I442" s="1"/>
      <c r="J442" s="1" t="str">
        <f>IF(B442="","",(VLOOKUP(B442,'BOGIX (Net)'!A:D,4,FALSE)/100))</f>
        <v/>
      </c>
      <c r="K442" s="1"/>
      <c r="L442" s="1"/>
      <c r="M442" s="1"/>
      <c r="S442" s="22" t="str">
        <f t="shared" si="220"/>
        <v/>
      </c>
      <c r="T442" s="22" t="str">
        <f t="shared" si="221"/>
        <v/>
      </c>
      <c r="U442" s="22" t="str">
        <f t="shared" si="222"/>
        <v/>
      </c>
      <c r="V442" s="22" t="str">
        <f t="shared" si="219"/>
        <v/>
      </c>
      <c r="W442" s="22" t="str">
        <f t="shared" si="230"/>
        <v/>
      </c>
      <c r="X442" s="22" t="str">
        <f t="shared" si="231"/>
        <v/>
      </c>
      <c r="Y442" s="22" t="str">
        <f t="shared" si="232"/>
        <v/>
      </c>
    </row>
    <row r="443" spans="1:25" x14ac:dyDescent="0.25">
      <c r="A443" t="str">
        <f t="shared" si="226"/>
        <v/>
      </c>
      <c r="B443" s="169" t="str">
        <f>IF('LC (Gross)'!A590="","",'LC (Gross)'!A590)</f>
        <v/>
      </c>
      <c r="C443" s="1" t="str">
        <f>IF(B443="","",(VLOOKUP(B443,'LC (Gross)'!A:D,4,FALSE)/100))</f>
        <v/>
      </c>
      <c r="D443" s="1" t="str">
        <f>IF(B443="","",(VLOOKUP(B443,'SC (Gross)'!A:D,4,FALSE))/100)</f>
        <v/>
      </c>
      <c r="E443" s="1" t="str">
        <f>IF(B443="","",(VLOOKUP(B443,'Global (Gross)'!A:D,4,FALSE)/100))</f>
        <v/>
      </c>
      <c r="F443" s="1" t="str">
        <f>IF(B443="","",(VLOOKUP(B443,'BOGIX (Gross)'!A:D,4,FALSE)/100))</f>
        <v/>
      </c>
      <c r="G443" s="1"/>
      <c r="H443" s="1"/>
      <c r="I443" s="1"/>
      <c r="J443" s="1" t="str">
        <f>IF(B443="","",(VLOOKUP(B443,'BOGIX (Net)'!A:D,4,FALSE)/100))</f>
        <v/>
      </c>
      <c r="K443" s="1"/>
      <c r="L443" s="1"/>
      <c r="M443" s="1"/>
      <c r="S443" s="22" t="str">
        <f t="shared" si="220"/>
        <v/>
      </c>
      <c r="T443" s="22" t="str">
        <f t="shared" si="221"/>
        <v/>
      </c>
      <c r="U443" s="22" t="str">
        <f t="shared" si="222"/>
        <v/>
      </c>
      <c r="V443" s="22" t="str">
        <f t="shared" si="219"/>
        <v/>
      </c>
      <c r="W443" s="22" t="str">
        <f t="shared" si="230"/>
        <v/>
      </c>
      <c r="X443" s="22" t="str">
        <f t="shared" si="231"/>
        <v/>
      </c>
      <c r="Y443" s="22" t="str">
        <f t="shared" si="232"/>
        <v/>
      </c>
    </row>
    <row r="444" spans="1:25" x14ac:dyDescent="0.25">
      <c r="A444" t="str">
        <f t="shared" si="226"/>
        <v/>
      </c>
      <c r="B444" s="169" t="str">
        <f>IF('LC (Gross)'!A591="","",'LC (Gross)'!A591)</f>
        <v/>
      </c>
      <c r="C444" s="1" t="str">
        <f>IF(B444="","",(VLOOKUP(B444,'LC (Gross)'!A:D,4,FALSE)/100))</f>
        <v/>
      </c>
      <c r="D444" s="1" t="str">
        <f>IF(B444="","",(VLOOKUP(B444,'SC (Gross)'!A:D,4,FALSE))/100)</f>
        <v/>
      </c>
      <c r="E444" s="1" t="str">
        <f>IF(B444="","",(VLOOKUP(B444,'Global (Gross)'!A:D,4,FALSE)/100))</f>
        <v/>
      </c>
      <c r="F444" s="1" t="str">
        <f>IF(B444="","",(VLOOKUP(B444,'BOGIX (Gross)'!A:D,4,FALSE)/100))</f>
        <v/>
      </c>
      <c r="G444" s="1"/>
      <c r="H444" s="1"/>
      <c r="I444" s="1"/>
      <c r="J444" s="1" t="str">
        <f>IF(B444="","",(VLOOKUP(B444,'BOGIX (Net)'!A:D,4,FALSE)/100))</f>
        <v/>
      </c>
      <c r="K444" s="1"/>
      <c r="L444" s="1"/>
      <c r="M444" s="1"/>
      <c r="S444" s="22" t="str">
        <f t="shared" si="220"/>
        <v/>
      </c>
      <c r="T444" s="22" t="str">
        <f t="shared" si="221"/>
        <v/>
      </c>
      <c r="U444" s="22" t="str">
        <f t="shared" si="222"/>
        <v/>
      </c>
      <c r="V444" s="22" t="str">
        <f t="shared" si="219"/>
        <v/>
      </c>
      <c r="W444" s="22" t="str">
        <f t="shared" si="230"/>
        <v/>
      </c>
      <c r="X444" s="22" t="str">
        <f t="shared" si="231"/>
        <v/>
      </c>
      <c r="Y444" s="22" t="str">
        <f t="shared" si="232"/>
        <v/>
      </c>
    </row>
    <row r="445" spans="1:25" x14ac:dyDescent="0.25">
      <c r="A445" t="str">
        <f t="shared" si="226"/>
        <v/>
      </c>
      <c r="B445" s="169" t="str">
        <f>IF('LC (Gross)'!A592="","",'LC (Gross)'!A592)</f>
        <v/>
      </c>
      <c r="C445" s="1" t="str">
        <f>IF(B445="","",(VLOOKUP(B445,'LC (Gross)'!A:D,4,FALSE)/100))</f>
        <v/>
      </c>
      <c r="D445" s="1" t="str">
        <f>IF(B445="","",(VLOOKUP(B445,'SC (Gross)'!A:D,4,FALSE))/100)</f>
        <v/>
      </c>
      <c r="E445" s="1" t="str">
        <f>IF(B445="","",(VLOOKUP(B445,'Global (Gross)'!A:D,4,FALSE)/100))</f>
        <v/>
      </c>
      <c r="F445" s="1" t="str">
        <f>IF(B445="","",(VLOOKUP(B445,'BOGIX (Gross)'!A:D,4,FALSE)/100))</f>
        <v/>
      </c>
      <c r="G445" s="1"/>
      <c r="H445" s="1"/>
      <c r="I445" s="1"/>
      <c r="J445" s="1" t="str">
        <f>IF(B445="","",(VLOOKUP(B445,'BOGIX (Net)'!A:D,4,FALSE)/100))</f>
        <v/>
      </c>
      <c r="K445" s="1"/>
      <c r="L445" s="1"/>
      <c r="M445" s="1"/>
      <c r="S445" s="22" t="str">
        <f t="shared" si="220"/>
        <v/>
      </c>
      <c r="T445" s="22" t="str">
        <f t="shared" si="221"/>
        <v/>
      </c>
      <c r="U445" s="22" t="str">
        <f t="shared" si="222"/>
        <v/>
      </c>
      <c r="V445" s="22" t="str">
        <f t="shared" ref="V445:V508" si="233">IF(F445="","",F445-P445)</f>
        <v/>
      </c>
      <c r="W445" s="22" t="str">
        <f t="shared" si="230"/>
        <v/>
      </c>
      <c r="X445" s="22" t="str">
        <f t="shared" si="231"/>
        <v/>
      </c>
      <c r="Y445" s="22" t="str">
        <f t="shared" si="232"/>
        <v/>
      </c>
    </row>
    <row r="446" spans="1:25" x14ac:dyDescent="0.25">
      <c r="A446" t="str">
        <f t="shared" si="226"/>
        <v/>
      </c>
      <c r="B446" s="169" t="str">
        <f>IF('LC (Gross)'!A593="","",'LC (Gross)'!A593)</f>
        <v/>
      </c>
      <c r="C446" s="1" t="str">
        <f>IF(B446="","",(VLOOKUP(B446,'LC (Gross)'!A:D,4,FALSE)/100))</f>
        <v/>
      </c>
      <c r="D446" s="1" t="str">
        <f>IF(B446="","",(VLOOKUP(B446,'SC (Gross)'!A:D,4,FALSE))/100)</f>
        <v/>
      </c>
      <c r="E446" s="1" t="str">
        <f>IF(B446="","",(VLOOKUP(B446,'Global (Gross)'!A:D,4,FALSE)/100))</f>
        <v/>
      </c>
      <c r="F446" s="1" t="str">
        <f>IF(B446="","",(VLOOKUP(B446,'BOGIX (Gross)'!A:D,4,FALSE)/100))</f>
        <v/>
      </c>
      <c r="G446" s="1"/>
      <c r="H446" s="1"/>
      <c r="I446" s="1"/>
      <c r="J446" s="1" t="str">
        <f>IF(B446="","",(VLOOKUP(B446,'BOGIX (Net)'!A:D,4,FALSE)/100))</f>
        <v/>
      </c>
      <c r="K446" s="1"/>
      <c r="L446" s="1"/>
      <c r="M446" s="1"/>
      <c r="S446" s="22" t="str">
        <f t="shared" si="220"/>
        <v/>
      </c>
      <c r="T446" s="22" t="str">
        <f t="shared" si="221"/>
        <v/>
      </c>
      <c r="U446" s="22" t="str">
        <f t="shared" si="222"/>
        <v/>
      </c>
      <c r="V446" s="22" t="str">
        <f t="shared" si="233"/>
        <v/>
      </c>
      <c r="W446" s="22" t="str">
        <f t="shared" si="230"/>
        <v/>
      </c>
      <c r="X446" s="22" t="str">
        <f t="shared" si="231"/>
        <v/>
      </c>
      <c r="Y446" s="22" t="str">
        <f t="shared" si="232"/>
        <v/>
      </c>
    </row>
    <row r="447" spans="1:25" x14ac:dyDescent="0.25">
      <c r="A447" t="str">
        <f t="shared" si="226"/>
        <v/>
      </c>
      <c r="B447" s="169" t="str">
        <f>IF('LC (Gross)'!A594="","",'LC (Gross)'!A594)</f>
        <v/>
      </c>
      <c r="C447" s="1" t="str">
        <f>IF(B447="","",(VLOOKUP(B447,'LC (Gross)'!A:D,4,FALSE)/100))</f>
        <v/>
      </c>
      <c r="D447" s="1" t="str">
        <f>IF(B447="","",(VLOOKUP(B447,'SC (Gross)'!A:D,4,FALSE))/100)</f>
        <v/>
      </c>
      <c r="E447" s="1" t="str">
        <f>IF(B447="","",(VLOOKUP(B447,'Global (Gross)'!A:D,4,FALSE)/100))</f>
        <v/>
      </c>
      <c r="F447" s="1" t="str">
        <f>IF(B447="","",(VLOOKUP(B447,'BOGIX (Gross)'!A:D,4,FALSE)/100))</f>
        <v/>
      </c>
      <c r="G447" s="1"/>
      <c r="H447" s="1"/>
      <c r="I447" s="1"/>
      <c r="J447" s="1" t="str">
        <f>IF(B447="","",(VLOOKUP(B447,'BOGIX (Net)'!A:D,4,FALSE)/100))</f>
        <v/>
      </c>
      <c r="K447" s="1"/>
      <c r="L447" s="1"/>
      <c r="M447" s="1"/>
      <c r="S447" s="22" t="str">
        <f t="shared" si="220"/>
        <v/>
      </c>
      <c r="T447" s="22" t="str">
        <f t="shared" si="221"/>
        <v/>
      </c>
      <c r="U447" s="22" t="str">
        <f t="shared" si="222"/>
        <v/>
      </c>
      <c r="V447" s="22" t="str">
        <f t="shared" si="233"/>
        <v/>
      </c>
      <c r="W447" s="22" t="str">
        <f t="shared" si="230"/>
        <v/>
      </c>
      <c r="X447" s="22" t="str">
        <f t="shared" si="231"/>
        <v/>
      </c>
      <c r="Y447" s="22" t="str">
        <f t="shared" si="232"/>
        <v/>
      </c>
    </row>
    <row r="448" spans="1:25" x14ac:dyDescent="0.25">
      <c r="A448" t="str">
        <f t="shared" si="226"/>
        <v/>
      </c>
      <c r="B448" s="169" t="str">
        <f>IF('LC (Gross)'!A595="","",'LC (Gross)'!A595)</f>
        <v/>
      </c>
      <c r="C448" s="1" t="str">
        <f>IF(B448="","",(VLOOKUP(B448,'LC (Gross)'!A:D,4,FALSE)/100))</f>
        <v/>
      </c>
      <c r="D448" s="1" t="str">
        <f>IF(B448="","",(VLOOKUP(B448,'SC (Gross)'!A:D,4,FALSE))/100)</f>
        <v/>
      </c>
      <c r="E448" s="1" t="str">
        <f>IF(B448="","",(VLOOKUP(B448,'Global (Gross)'!A:D,4,FALSE)/100))</f>
        <v/>
      </c>
      <c r="F448" s="1" t="str">
        <f>IF(B448="","",(VLOOKUP(B448,'BOGIX (Gross)'!A:D,4,FALSE)/100))</f>
        <v/>
      </c>
      <c r="G448" s="1"/>
      <c r="H448" s="1"/>
      <c r="I448" s="1"/>
      <c r="J448" s="1" t="str">
        <f>IF(B448="","",(VLOOKUP(B448,'BOGIX (Net)'!A:D,4,FALSE)/100))</f>
        <v/>
      </c>
      <c r="K448" s="1"/>
      <c r="L448" s="1"/>
      <c r="M448" s="1"/>
      <c r="S448" s="22" t="str">
        <f t="shared" si="220"/>
        <v/>
      </c>
      <c r="T448" s="22" t="str">
        <f t="shared" si="221"/>
        <v/>
      </c>
      <c r="U448" s="22" t="str">
        <f t="shared" si="222"/>
        <v/>
      </c>
      <c r="V448" s="22" t="str">
        <f t="shared" si="233"/>
        <v/>
      </c>
      <c r="W448" s="22" t="str">
        <f t="shared" si="230"/>
        <v/>
      </c>
      <c r="X448" s="22" t="str">
        <f t="shared" si="231"/>
        <v/>
      </c>
      <c r="Y448" s="22" t="str">
        <f t="shared" si="232"/>
        <v/>
      </c>
    </row>
    <row r="449" spans="1:25" x14ac:dyDescent="0.25">
      <c r="A449" t="str">
        <f t="shared" si="226"/>
        <v/>
      </c>
      <c r="B449" s="169" t="str">
        <f>IF('LC (Gross)'!A596="","",'LC (Gross)'!A596)</f>
        <v/>
      </c>
      <c r="C449" s="1" t="str">
        <f>IF(B449="","",(VLOOKUP(B449,'LC (Gross)'!A:D,4,FALSE)/100))</f>
        <v/>
      </c>
      <c r="D449" s="1" t="str">
        <f>IF(B449="","",(VLOOKUP(B449,'SC (Gross)'!A:D,4,FALSE))/100)</f>
        <v/>
      </c>
      <c r="E449" s="1" t="str">
        <f>IF(B449="","",(VLOOKUP(B449,'Global (Gross)'!A:D,4,FALSE)/100))</f>
        <v/>
      </c>
      <c r="F449" s="1" t="str">
        <f>IF(B449="","",(VLOOKUP(B449,'BOGIX (Gross)'!A:D,4,FALSE)/100))</f>
        <v/>
      </c>
      <c r="G449" s="1"/>
      <c r="H449" s="1"/>
      <c r="I449" s="1"/>
      <c r="J449" s="1" t="str">
        <f>IF(B449="","",(VLOOKUP(B449,'BOGIX (Net)'!A:D,4,FALSE)/100))</f>
        <v/>
      </c>
      <c r="K449" s="1"/>
      <c r="L449" s="1"/>
      <c r="M449" s="1"/>
      <c r="S449" s="22" t="str">
        <f t="shared" si="220"/>
        <v/>
      </c>
      <c r="T449" s="22" t="str">
        <f t="shared" si="221"/>
        <v/>
      </c>
      <c r="U449" s="22" t="str">
        <f t="shared" si="222"/>
        <v/>
      </c>
      <c r="V449" s="22" t="str">
        <f t="shared" si="233"/>
        <v/>
      </c>
      <c r="W449" s="22" t="str">
        <f t="shared" si="230"/>
        <v/>
      </c>
      <c r="X449" s="22" t="str">
        <f t="shared" si="231"/>
        <v/>
      </c>
      <c r="Y449" s="22" t="str">
        <f t="shared" si="232"/>
        <v/>
      </c>
    </row>
    <row r="450" spans="1:25" x14ac:dyDescent="0.25">
      <c r="A450" t="str">
        <f t="shared" si="226"/>
        <v/>
      </c>
      <c r="B450" s="169" t="str">
        <f>IF('LC (Gross)'!A597="","",'LC (Gross)'!A597)</f>
        <v/>
      </c>
      <c r="C450" s="1" t="str">
        <f>IF(B450="","",(VLOOKUP(B450,'LC (Gross)'!A:D,4,FALSE)/100))</f>
        <v/>
      </c>
      <c r="D450" s="1" t="str">
        <f>IF(B450="","",(VLOOKUP(B450,'SC (Gross)'!A:D,4,FALSE))/100)</f>
        <v/>
      </c>
      <c r="E450" s="1" t="str">
        <f>IF(B450="","",(VLOOKUP(B450,'Global (Gross)'!A:D,4,FALSE)/100))</f>
        <v/>
      </c>
      <c r="F450" s="1" t="str">
        <f>IF(B450="","",(VLOOKUP(B450,'BOGIX (Gross)'!A:D,4,FALSE)/100))</f>
        <v/>
      </c>
      <c r="G450" s="1"/>
      <c r="H450" s="1"/>
      <c r="I450" s="1"/>
      <c r="J450" s="1" t="str">
        <f>IF(B450="","",(VLOOKUP(B450,'BOGIX (Net)'!A:D,4,FALSE)/100))</f>
        <v/>
      </c>
      <c r="K450" s="1"/>
      <c r="L450" s="1"/>
      <c r="M450" s="1"/>
      <c r="S450" s="22" t="str">
        <f t="shared" si="220"/>
        <v/>
      </c>
      <c r="T450" s="22" t="str">
        <f t="shared" si="221"/>
        <v/>
      </c>
      <c r="U450" s="22" t="str">
        <f t="shared" si="222"/>
        <v/>
      </c>
      <c r="V450" s="22" t="str">
        <f t="shared" si="233"/>
        <v/>
      </c>
      <c r="W450" s="22" t="str">
        <f t="shared" si="230"/>
        <v/>
      </c>
      <c r="X450" s="22" t="str">
        <f t="shared" si="231"/>
        <v/>
      </c>
      <c r="Y450" s="22" t="str">
        <f t="shared" si="232"/>
        <v/>
      </c>
    </row>
    <row r="451" spans="1:25" x14ac:dyDescent="0.25">
      <c r="A451" t="str">
        <f t="shared" si="226"/>
        <v/>
      </c>
      <c r="B451" s="169" t="str">
        <f>IF('LC (Gross)'!A598="","",'LC (Gross)'!A598)</f>
        <v/>
      </c>
      <c r="C451" s="1" t="str">
        <f>IF(B451="","",(VLOOKUP(B451,'LC (Gross)'!A:D,4,FALSE)/100))</f>
        <v/>
      </c>
      <c r="D451" s="1" t="str">
        <f>IF(B451="","",(VLOOKUP(B451,'SC (Gross)'!A:D,4,FALSE))/100)</f>
        <v/>
      </c>
      <c r="E451" s="1" t="str">
        <f>IF(B451="","",(VLOOKUP(B451,'Global (Gross)'!A:D,4,FALSE)/100))</f>
        <v/>
      </c>
      <c r="F451" s="1" t="str">
        <f>IF(B451="","",(VLOOKUP(B451,'BOGIX (Gross)'!A:D,4,FALSE)/100))</f>
        <v/>
      </c>
      <c r="G451" s="1"/>
      <c r="H451" s="1"/>
      <c r="I451" s="1"/>
      <c r="J451" s="1" t="str">
        <f>IF(B451="","",(VLOOKUP(B451,'BOGIX (Net)'!A:D,4,FALSE)/100))</f>
        <v/>
      </c>
      <c r="K451" s="1"/>
      <c r="L451" s="1"/>
      <c r="M451" s="1"/>
      <c r="S451" s="22" t="str">
        <f t="shared" ref="S451:S514" si="234">IF(C451="","",C451-O451)</f>
        <v/>
      </c>
      <c r="T451" s="22" t="str">
        <f t="shared" ref="T451:T514" si="235">IF(D451="","",D451-P451)</f>
        <v/>
      </c>
      <c r="U451" s="22" t="str">
        <f t="shared" ref="U451:U514" si="236">IF(E451="","",E451-Q451)</f>
        <v/>
      </c>
      <c r="V451" s="22" t="str">
        <f t="shared" si="233"/>
        <v/>
      </c>
      <c r="W451" s="22" t="str">
        <f t="shared" si="230"/>
        <v/>
      </c>
      <c r="X451" s="22" t="str">
        <f t="shared" si="231"/>
        <v/>
      </c>
      <c r="Y451" s="22" t="str">
        <f t="shared" si="232"/>
        <v/>
      </c>
    </row>
    <row r="452" spans="1:25" x14ac:dyDescent="0.25">
      <c r="A452" t="str">
        <f t="shared" si="226"/>
        <v/>
      </c>
      <c r="B452" s="169" t="str">
        <f>IF('LC (Gross)'!A599="","",'LC (Gross)'!A599)</f>
        <v/>
      </c>
      <c r="C452" s="1" t="str">
        <f>IF(B452="","",(VLOOKUP(B452,'LC (Gross)'!A:D,4,FALSE)/100))</f>
        <v/>
      </c>
      <c r="D452" s="1" t="str">
        <f>IF(B452="","",(VLOOKUP(B452,'SC (Gross)'!A:D,4,FALSE))/100)</f>
        <v/>
      </c>
      <c r="E452" s="1" t="str">
        <f>IF(B452="","",(VLOOKUP(B452,'Global (Gross)'!A:D,4,FALSE)/100))</f>
        <v/>
      </c>
      <c r="F452" s="1" t="str">
        <f>IF(B452="","",(VLOOKUP(B452,'BOGIX (Gross)'!A:D,4,FALSE)/100))</f>
        <v/>
      </c>
      <c r="G452" s="1"/>
      <c r="H452" s="1"/>
      <c r="I452" s="1"/>
      <c r="J452" s="1" t="str">
        <f>IF(B452="","",(VLOOKUP(B452,'BOGIX (Net)'!A:D,4,FALSE)/100))</f>
        <v/>
      </c>
      <c r="K452" s="1"/>
      <c r="L452" s="1"/>
      <c r="M452" s="1"/>
      <c r="S452" s="22" t="str">
        <f t="shared" si="234"/>
        <v/>
      </c>
      <c r="T452" s="22" t="str">
        <f t="shared" si="235"/>
        <v/>
      </c>
      <c r="U452" s="22" t="str">
        <f t="shared" si="236"/>
        <v/>
      </c>
      <c r="V452" s="22" t="str">
        <f t="shared" si="233"/>
        <v/>
      </c>
      <c r="W452" s="22" t="str">
        <f t="shared" si="230"/>
        <v/>
      </c>
      <c r="X452" s="22" t="str">
        <f t="shared" si="231"/>
        <v/>
      </c>
      <c r="Y452" s="22" t="str">
        <f t="shared" si="232"/>
        <v/>
      </c>
    </row>
    <row r="453" spans="1:25" x14ac:dyDescent="0.25">
      <c r="A453" t="str">
        <f t="shared" ref="A453:A462" si="237">IF(B453="","",A452+1)</f>
        <v/>
      </c>
      <c r="B453" s="169" t="str">
        <f>IF('LC (Gross)'!A600="","",'LC (Gross)'!A600)</f>
        <v/>
      </c>
      <c r="C453" s="1" t="str">
        <f>IF(B453="","",(VLOOKUP(B453,'LC (Gross)'!A:D,4,FALSE)/100))</f>
        <v/>
      </c>
      <c r="D453" s="1" t="str">
        <f>IF(B453="","",(VLOOKUP(B453,'SC (Gross)'!A:D,4,FALSE))/100)</f>
        <v/>
      </c>
      <c r="E453" s="1" t="str">
        <f>IF(B453="","",(VLOOKUP(B453,'Global (Gross)'!A:D,4,FALSE)/100))</f>
        <v/>
      </c>
      <c r="F453" s="1" t="str">
        <f>IF(B453="","",(VLOOKUP(B453,'BOGIX (Gross)'!A:D,4,FALSE)/100))</f>
        <v/>
      </c>
      <c r="G453" s="1"/>
      <c r="H453" s="1"/>
      <c r="I453" s="1"/>
      <c r="J453" s="1" t="str">
        <f>IF(B453="","",(VLOOKUP(B453,'BOGIX (Net)'!A:D,4,FALSE)/100))</f>
        <v/>
      </c>
      <c r="K453" s="1"/>
      <c r="L453" s="1"/>
      <c r="M453" s="1"/>
      <c r="S453" s="22" t="str">
        <f t="shared" si="234"/>
        <v/>
      </c>
      <c r="T453" s="22" t="str">
        <f t="shared" si="235"/>
        <v/>
      </c>
      <c r="U453" s="22" t="str">
        <f t="shared" si="236"/>
        <v/>
      </c>
      <c r="V453" s="22" t="str">
        <f t="shared" si="233"/>
        <v/>
      </c>
      <c r="W453" s="22" t="str">
        <f t="shared" si="230"/>
        <v/>
      </c>
      <c r="X453" s="22" t="str">
        <f t="shared" si="231"/>
        <v/>
      </c>
      <c r="Y453" s="22" t="str">
        <f t="shared" si="232"/>
        <v/>
      </c>
    </row>
    <row r="454" spans="1:25" x14ac:dyDescent="0.25">
      <c r="A454" t="str">
        <f t="shared" si="237"/>
        <v/>
      </c>
      <c r="B454" s="169" t="str">
        <f>IF('LC (Gross)'!A601="","",'LC (Gross)'!A601)</f>
        <v/>
      </c>
      <c r="C454" s="1" t="str">
        <f>IF(B454="","",(VLOOKUP(B454,'LC (Gross)'!A:D,4,FALSE)/100))</f>
        <v/>
      </c>
      <c r="D454" s="1" t="str">
        <f>IF(B454="","",(VLOOKUP(B454,'SC (Gross)'!A:D,4,FALSE))/100)</f>
        <v/>
      </c>
      <c r="E454" s="1" t="str">
        <f>IF(B454="","",(VLOOKUP(B454,'Global (Gross)'!A:D,4,FALSE)/100))</f>
        <v/>
      </c>
      <c r="F454" s="1" t="str">
        <f>IF(B454="","",(VLOOKUP(B454,'BOGIX (Gross)'!A:D,4,FALSE)/100))</f>
        <v/>
      </c>
      <c r="G454" s="1"/>
      <c r="H454" s="1"/>
      <c r="I454" s="1"/>
      <c r="J454" s="1" t="str">
        <f>IF(B454="","",(VLOOKUP(B454,'BOGIX (Net)'!A:D,4,FALSE)/100))</f>
        <v/>
      </c>
      <c r="K454" s="1"/>
      <c r="L454" s="1"/>
      <c r="M454" s="1"/>
      <c r="S454" s="22" t="str">
        <f t="shared" si="234"/>
        <v/>
      </c>
      <c r="T454" s="22" t="str">
        <f t="shared" si="235"/>
        <v/>
      </c>
      <c r="U454" s="22" t="str">
        <f t="shared" si="236"/>
        <v/>
      </c>
      <c r="V454" s="22" t="str">
        <f t="shared" si="233"/>
        <v/>
      </c>
      <c r="W454" s="22" t="str">
        <f t="shared" si="230"/>
        <v/>
      </c>
      <c r="X454" s="22" t="str">
        <f t="shared" si="231"/>
        <v/>
      </c>
      <c r="Y454" s="22" t="str">
        <f t="shared" si="232"/>
        <v/>
      </c>
    </row>
    <row r="455" spans="1:25" x14ac:dyDescent="0.25">
      <c r="A455" t="str">
        <f t="shared" si="237"/>
        <v/>
      </c>
      <c r="B455" s="169" t="str">
        <f>IF('LC (Gross)'!A602="","",'LC (Gross)'!A602)</f>
        <v/>
      </c>
      <c r="C455" s="1" t="str">
        <f>IF(B455="","",(VLOOKUP(B455,'LC (Gross)'!A:D,4,FALSE)/100))</f>
        <v/>
      </c>
      <c r="D455" s="1" t="str">
        <f>IF(B455="","",(VLOOKUP(B455,'SC (Gross)'!A:D,4,FALSE))/100)</f>
        <v/>
      </c>
      <c r="E455" s="1" t="str">
        <f>IF(B455="","",(VLOOKUP(B455,'Global (Gross)'!A:D,4,FALSE)/100))</f>
        <v/>
      </c>
      <c r="F455" s="1" t="str">
        <f>IF(B455="","",(VLOOKUP(B455,'BOGIX (Gross)'!A:D,4,FALSE)/100))</f>
        <v/>
      </c>
      <c r="G455" s="1"/>
      <c r="H455" s="1"/>
      <c r="I455" s="1"/>
      <c r="J455" s="1" t="str">
        <f>IF(B455="","",(VLOOKUP(B455,'BOGIX (Net)'!A:D,4,FALSE)/100))</f>
        <v/>
      </c>
      <c r="K455" s="1"/>
      <c r="L455" s="1"/>
      <c r="M455" s="1"/>
      <c r="S455" s="22" t="str">
        <f t="shared" si="234"/>
        <v/>
      </c>
      <c r="T455" s="22" t="str">
        <f t="shared" si="235"/>
        <v/>
      </c>
      <c r="U455" s="22" t="str">
        <f t="shared" si="236"/>
        <v/>
      </c>
      <c r="V455" s="22" t="str">
        <f t="shared" si="233"/>
        <v/>
      </c>
      <c r="W455" s="22" t="str">
        <f t="shared" si="230"/>
        <v/>
      </c>
      <c r="X455" s="22" t="str">
        <f t="shared" si="231"/>
        <v/>
      </c>
      <c r="Y455" s="22" t="str">
        <f t="shared" si="232"/>
        <v/>
      </c>
    </row>
    <row r="456" spans="1:25" x14ac:dyDescent="0.25">
      <c r="A456" t="str">
        <f t="shared" si="237"/>
        <v/>
      </c>
      <c r="B456" s="169" t="str">
        <f>IF('LC (Gross)'!A603="","",'LC (Gross)'!A603)</f>
        <v/>
      </c>
      <c r="C456" s="1" t="str">
        <f>IF(B456="","",(VLOOKUP(B456,'LC (Gross)'!A:D,4,FALSE)/100))</f>
        <v/>
      </c>
      <c r="D456" s="1" t="str">
        <f>IF(B456="","",(VLOOKUP(B456,'SC (Gross)'!A:D,4,FALSE))/100)</f>
        <v/>
      </c>
      <c r="E456" s="1" t="str">
        <f>IF(B456="","",(VLOOKUP(B456,'Global (Gross)'!A:D,4,FALSE)/100))</f>
        <v/>
      </c>
      <c r="F456" s="1" t="str">
        <f>IF(B456="","",(VLOOKUP(B456,'BOGIX (Gross)'!A:D,4,FALSE)/100))</f>
        <v/>
      </c>
      <c r="G456" s="1"/>
      <c r="H456" s="1"/>
      <c r="I456" s="1"/>
      <c r="J456" s="1" t="str">
        <f>IF(B456="","",(VLOOKUP(B456,'BOGIX (Net)'!A:D,4,FALSE)/100))</f>
        <v/>
      </c>
      <c r="K456" s="1"/>
      <c r="L456" s="1"/>
      <c r="M456" s="1"/>
      <c r="S456" s="22" t="str">
        <f t="shared" si="234"/>
        <v/>
      </c>
      <c r="T456" s="22" t="str">
        <f t="shared" si="235"/>
        <v/>
      </c>
      <c r="U456" s="22" t="str">
        <f t="shared" si="236"/>
        <v/>
      </c>
      <c r="V456" s="22" t="str">
        <f t="shared" si="233"/>
        <v/>
      </c>
      <c r="W456" s="22" t="str">
        <f t="shared" si="230"/>
        <v/>
      </c>
      <c r="X456" s="22" t="str">
        <f t="shared" si="231"/>
        <v/>
      </c>
      <c r="Y456" s="22" t="str">
        <f t="shared" si="232"/>
        <v/>
      </c>
    </row>
    <row r="457" spans="1:25" x14ac:dyDescent="0.25">
      <c r="A457" t="str">
        <f t="shared" si="237"/>
        <v/>
      </c>
      <c r="B457" s="169" t="str">
        <f>IF('LC (Gross)'!A604="","",'LC (Gross)'!A604)</f>
        <v/>
      </c>
      <c r="C457" s="1" t="str">
        <f>IF(B457="","",(VLOOKUP(B457,'LC (Gross)'!A:D,4,FALSE)/100))</f>
        <v/>
      </c>
      <c r="D457" s="1" t="str">
        <f>IF(B457="","",(VLOOKUP(B457,'SC (Gross)'!A:D,4,FALSE))/100)</f>
        <v/>
      </c>
      <c r="E457" s="1" t="str">
        <f>IF(B457="","",(VLOOKUP(B457,'Global (Gross)'!A:D,4,FALSE)/100))</f>
        <v/>
      </c>
      <c r="F457" s="1" t="str">
        <f>IF(B457="","",(VLOOKUP(B457,'BOGIX (Gross)'!A:D,4,FALSE)/100))</f>
        <v/>
      </c>
      <c r="G457" s="1"/>
      <c r="H457" s="1"/>
      <c r="I457" s="1"/>
      <c r="J457" s="1" t="str">
        <f>IF(B457="","",(VLOOKUP(B457,'BOGIX (Net)'!A:D,4,FALSE)/100))</f>
        <v/>
      </c>
      <c r="K457" s="1"/>
      <c r="L457" s="1"/>
      <c r="M457" s="1"/>
      <c r="S457" s="22" t="str">
        <f t="shared" si="234"/>
        <v/>
      </c>
      <c r="T457" s="22" t="str">
        <f t="shared" si="235"/>
        <v/>
      </c>
      <c r="U457" s="22" t="str">
        <f t="shared" si="236"/>
        <v/>
      </c>
      <c r="V457" s="22" t="str">
        <f t="shared" si="233"/>
        <v/>
      </c>
      <c r="W457" s="22" t="str">
        <f t="shared" si="230"/>
        <v/>
      </c>
      <c r="X457" s="22" t="str">
        <f t="shared" si="231"/>
        <v/>
      </c>
      <c r="Y457" s="22" t="str">
        <f t="shared" si="232"/>
        <v/>
      </c>
    </row>
    <row r="458" spans="1:25" x14ac:dyDescent="0.25">
      <c r="A458" t="str">
        <f t="shared" si="237"/>
        <v/>
      </c>
      <c r="B458" s="169" t="str">
        <f>IF('LC (Gross)'!A605="","",'LC (Gross)'!A605)</f>
        <v/>
      </c>
      <c r="C458" s="1" t="str">
        <f>IF(B458="","",(VLOOKUP(B458,'LC (Gross)'!A:D,4,FALSE)/100))</f>
        <v/>
      </c>
      <c r="D458" s="1" t="str">
        <f>IF(B458="","",(VLOOKUP(B458,'SC (Gross)'!A:D,4,FALSE))/100)</f>
        <v/>
      </c>
      <c r="E458" s="1" t="str">
        <f>IF(B458="","",(VLOOKUP(B458,'Global (Gross)'!A:D,4,FALSE)/100))</f>
        <v/>
      </c>
      <c r="F458" s="1" t="str">
        <f>IF(B458="","",(VLOOKUP(B458,'BOGIX (Gross)'!A:D,4,FALSE)/100))</f>
        <v/>
      </c>
      <c r="G458" s="1"/>
      <c r="H458" s="1"/>
      <c r="I458" s="1"/>
      <c r="J458" s="1" t="str">
        <f>IF(B458="","",(VLOOKUP(B458,'BOGIX (Net)'!A:D,4,FALSE)/100))</f>
        <v/>
      </c>
      <c r="K458" s="1"/>
      <c r="L458" s="1"/>
      <c r="M458" s="1"/>
      <c r="S458" s="22" t="str">
        <f t="shared" si="234"/>
        <v/>
      </c>
      <c r="T458" s="22" t="str">
        <f t="shared" si="235"/>
        <v/>
      </c>
      <c r="U458" s="22" t="str">
        <f t="shared" si="236"/>
        <v/>
      </c>
      <c r="V458" s="22" t="str">
        <f t="shared" si="233"/>
        <v/>
      </c>
      <c r="W458" s="22" t="str">
        <f t="shared" si="230"/>
        <v/>
      </c>
      <c r="X458" s="22" t="str">
        <f t="shared" si="231"/>
        <v/>
      </c>
      <c r="Y458" s="22" t="str">
        <f t="shared" si="232"/>
        <v/>
      </c>
    </row>
    <row r="459" spans="1:25" x14ac:dyDescent="0.25">
      <c r="A459" t="str">
        <f t="shared" si="237"/>
        <v/>
      </c>
      <c r="B459" s="169" t="str">
        <f>IF('LC (Gross)'!A606="","",'LC (Gross)'!A606)</f>
        <v/>
      </c>
      <c r="C459" s="1" t="str">
        <f>IF(B459="","",(VLOOKUP(B459,'LC (Gross)'!A:D,4,FALSE)/100))</f>
        <v/>
      </c>
      <c r="D459" s="1" t="str">
        <f>IF(B459="","",(VLOOKUP(B459,'SC (Gross)'!A:D,4,FALSE))/100)</f>
        <v/>
      </c>
      <c r="E459" s="1" t="str">
        <f>IF(B459="","",(VLOOKUP(B459,'Global (Gross)'!A:D,4,FALSE)/100))</f>
        <v/>
      </c>
      <c r="F459" s="1" t="str">
        <f>IF(B459="","",(VLOOKUP(B459,'BOGIX (Gross)'!A:D,4,FALSE)/100))</f>
        <v/>
      </c>
      <c r="G459" s="1"/>
      <c r="H459" s="1"/>
      <c r="I459" s="1"/>
      <c r="J459" s="1" t="str">
        <f>IF(B459="","",(VLOOKUP(B459,'BOGIX (Net)'!A:D,4,FALSE)/100))</f>
        <v/>
      </c>
      <c r="K459" s="1"/>
      <c r="L459" s="1"/>
      <c r="M459" s="1"/>
      <c r="S459" s="22" t="str">
        <f t="shared" si="234"/>
        <v/>
      </c>
      <c r="T459" s="22" t="str">
        <f t="shared" si="235"/>
        <v/>
      </c>
      <c r="U459" s="22" t="str">
        <f t="shared" si="236"/>
        <v/>
      </c>
      <c r="V459" s="22" t="str">
        <f t="shared" si="233"/>
        <v/>
      </c>
      <c r="W459" s="22" t="str">
        <f t="shared" si="230"/>
        <v/>
      </c>
      <c r="X459" s="22" t="str">
        <f t="shared" si="231"/>
        <v/>
      </c>
      <c r="Y459" s="22" t="str">
        <f t="shared" si="232"/>
        <v/>
      </c>
    </row>
    <row r="460" spans="1:25" x14ac:dyDescent="0.25">
      <c r="A460" t="str">
        <f t="shared" si="237"/>
        <v/>
      </c>
      <c r="B460" s="169" t="str">
        <f>IF('LC (Gross)'!A607="","",'LC (Gross)'!A607)</f>
        <v/>
      </c>
      <c r="C460" s="1" t="str">
        <f>IF(B460="","",(VLOOKUP(B460,'LC (Gross)'!A:D,4,FALSE)/100))</f>
        <v/>
      </c>
      <c r="D460" s="1" t="str">
        <f>IF(B460="","",(VLOOKUP(B460,'SC (Gross)'!A:D,4,FALSE))/100)</f>
        <v/>
      </c>
      <c r="E460" s="1" t="str">
        <f>IF(B460="","",(VLOOKUP(B460,'Global (Gross)'!A:D,4,FALSE)/100))</f>
        <v/>
      </c>
      <c r="F460" s="1" t="str">
        <f>IF(B460="","",(VLOOKUP(B460,'BOGIX (Gross)'!A:D,4,FALSE)/100))</f>
        <v/>
      </c>
      <c r="G460" s="1"/>
      <c r="H460" s="1"/>
      <c r="I460" s="1"/>
      <c r="J460" s="1" t="str">
        <f>IF(B460="","",(VLOOKUP(B460,'BOGIX (Net)'!A:D,4,FALSE)/100))</f>
        <v/>
      </c>
      <c r="K460" s="1"/>
      <c r="L460" s="1"/>
      <c r="M460" s="1"/>
      <c r="S460" s="22" t="str">
        <f t="shared" si="234"/>
        <v/>
      </c>
      <c r="T460" s="22" t="str">
        <f t="shared" si="235"/>
        <v/>
      </c>
      <c r="U460" s="22" t="str">
        <f t="shared" si="236"/>
        <v/>
      </c>
      <c r="V460" s="22" t="str">
        <f t="shared" si="233"/>
        <v/>
      </c>
      <c r="W460" s="22" t="str">
        <f t="shared" si="230"/>
        <v/>
      </c>
      <c r="X460" s="22" t="str">
        <f t="shared" si="231"/>
        <v/>
      </c>
      <c r="Y460" s="22" t="str">
        <f t="shared" si="232"/>
        <v/>
      </c>
    </row>
    <row r="461" spans="1:25" x14ac:dyDescent="0.25">
      <c r="A461" t="str">
        <f t="shared" si="237"/>
        <v/>
      </c>
      <c r="B461" s="169" t="str">
        <f>IF('LC (Gross)'!A608="","",'LC (Gross)'!A608)</f>
        <v/>
      </c>
      <c r="C461" s="1" t="str">
        <f>IF(B461="","",(VLOOKUP(B461,'LC (Gross)'!A:D,4,FALSE)/100))</f>
        <v/>
      </c>
      <c r="D461" s="1" t="str">
        <f>IF(B461="","",(VLOOKUP(B461,'SC (Gross)'!A:D,4,FALSE))/100)</f>
        <v/>
      </c>
      <c r="E461" s="1" t="str">
        <f>IF(B461="","",(VLOOKUP(B461,'Global (Gross)'!A:D,4,FALSE)/100))</f>
        <v/>
      </c>
      <c r="F461" s="1" t="str">
        <f>IF(B461="","",(VLOOKUP(B461,'BOGIX (Gross)'!A:D,4,FALSE)/100))</f>
        <v/>
      </c>
      <c r="G461" s="1"/>
      <c r="H461" s="1"/>
      <c r="I461" s="1"/>
      <c r="J461" s="1" t="str">
        <f>IF(B461="","",(VLOOKUP(B461,'BOGIX (Net)'!A:D,4,FALSE)/100))</f>
        <v/>
      </c>
      <c r="K461" s="1"/>
      <c r="L461" s="1"/>
      <c r="M461" s="1"/>
      <c r="S461" s="22" t="str">
        <f t="shared" si="234"/>
        <v/>
      </c>
      <c r="T461" s="22" t="str">
        <f t="shared" si="235"/>
        <v/>
      </c>
      <c r="U461" s="22" t="str">
        <f t="shared" si="236"/>
        <v/>
      </c>
      <c r="V461" s="22" t="str">
        <f t="shared" si="233"/>
        <v/>
      </c>
      <c r="W461" s="22" t="str">
        <f t="shared" si="230"/>
        <v/>
      </c>
      <c r="X461" s="22" t="str">
        <f t="shared" si="231"/>
        <v/>
      </c>
      <c r="Y461" s="22" t="str">
        <f t="shared" si="232"/>
        <v/>
      </c>
    </row>
    <row r="462" spans="1:25" x14ac:dyDescent="0.25">
      <c r="A462" t="str">
        <f t="shared" si="237"/>
        <v/>
      </c>
      <c r="B462" s="169" t="str">
        <f>IF('LC (Gross)'!A609="","",'LC (Gross)'!A609)</f>
        <v/>
      </c>
      <c r="C462" s="1" t="str">
        <f>IF(B462="","",(VLOOKUP(B462,'LC (Gross)'!A:D,4,FALSE)/100))</f>
        <v/>
      </c>
      <c r="D462" s="1" t="str">
        <f>IF(B462="","",(VLOOKUP(B462,'SC (Gross)'!A:D,4,FALSE))/100)</f>
        <v/>
      </c>
      <c r="E462" s="1" t="str">
        <f>IF(B462="","",(VLOOKUP(B462,'Global (Gross)'!A:D,4,FALSE)/100))</f>
        <v/>
      </c>
      <c r="F462" s="1" t="str">
        <f>IF(B462="","",(VLOOKUP(B462,'BOGIX (Gross)'!A:D,4,FALSE)/100))</f>
        <v/>
      </c>
      <c r="G462" s="1"/>
      <c r="H462" s="1"/>
      <c r="I462" s="1"/>
      <c r="J462" s="1" t="str">
        <f>IF(B462="","",(VLOOKUP(B462,'BOGIX (Net)'!A:D,4,FALSE)/100))</f>
        <v/>
      </c>
      <c r="K462" s="1"/>
      <c r="L462" s="1"/>
      <c r="M462" s="1"/>
      <c r="S462" s="22" t="str">
        <f t="shared" si="234"/>
        <v/>
      </c>
      <c r="T462" s="22" t="str">
        <f t="shared" si="235"/>
        <v/>
      </c>
      <c r="U462" s="22" t="str">
        <f t="shared" si="236"/>
        <v/>
      </c>
      <c r="V462" s="22" t="str">
        <f t="shared" si="233"/>
        <v/>
      </c>
      <c r="W462" s="22" t="str">
        <f t="shared" si="230"/>
        <v/>
      </c>
      <c r="X462" s="22" t="str">
        <f t="shared" si="231"/>
        <v/>
      </c>
      <c r="Y462" s="22" t="str">
        <f t="shared" si="232"/>
        <v/>
      </c>
    </row>
    <row r="463" spans="1:25" x14ac:dyDescent="0.25">
      <c r="B463" s="169" t="str">
        <f>IF('LC (Gross)'!A610="","",'LC (Gross)'!A610)</f>
        <v/>
      </c>
      <c r="C463" s="1" t="str">
        <f>IF(B463="","",(VLOOKUP(B463,'LC (Gross)'!A:D,4,FALSE)/100))</f>
        <v/>
      </c>
      <c r="D463" s="1" t="str">
        <f>IF(B463="","",(VLOOKUP(B463,'SC (Gross)'!A:D,4,FALSE))/100)</f>
        <v/>
      </c>
      <c r="E463" s="1" t="str">
        <f>IF(B463="","",(VLOOKUP(B463,'Global (Gross)'!A:D,4,FALSE)/100))</f>
        <v/>
      </c>
      <c r="F463" s="1" t="str">
        <f>IF(B463="","",(VLOOKUP(B463,'BOGIX (Gross)'!A:D,4,FALSE)/100))</f>
        <v/>
      </c>
      <c r="G463" s="1"/>
      <c r="H463" s="1"/>
      <c r="I463" s="1"/>
      <c r="J463" s="1" t="str">
        <f>IF(B463="","",(VLOOKUP(B463,'BOGIX (Net)'!A:D,4,FALSE)/100))</f>
        <v/>
      </c>
      <c r="K463" s="1"/>
      <c r="L463" s="1"/>
      <c r="M463" s="1"/>
      <c r="S463" s="22" t="str">
        <f t="shared" si="234"/>
        <v/>
      </c>
      <c r="T463" s="22" t="str">
        <f t="shared" si="235"/>
        <v/>
      </c>
      <c r="U463" s="22" t="str">
        <f t="shared" si="236"/>
        <v/>
      </c>
      <c r="V463" s="22" t="str">
        <f t="shared" si="233"/>
        <v/>
      </c>
      <c r="W463" s="22" t="str">
        <f t="shared" si="230"/>
        <v/>
      </c>
      <c r="X463" s="22" t="str">
        <f t="shared" si="231"/>
        <v/>
      </c>
      <c r="Y463" s="22" t="str">
        <f t="shared" si="232"/>
        <v/>
      </c>
    </row>
    <row r="464" spans="1:25" x14ac:dyDescent="0.25">
      <c r="B464" s="169" t="str">
        <f>IF('LC (Gross)'!A611="","",'LC (Gross)'!A611)</f>
        <v/>
      </c>
      <c r="C464" s="1" t="str">
        <f>IF(B464="","",(VLOOKUP(B464,'LC (Gross)'!A:D,4,FALSE)/100))</f>
        <v/>
      </c>
      <c r="D464" s="1" t="str">
        <f>IF(B464="","",(VLOOKUP(B464,'SC (Gross)'!A:D,4,FALSE))/100)</f>
        <v/>
      </c>
      <c r="E464" s="1" t="str">
        <f>IF(B464="","",(VLOOKUP(B464,'Global (Gross)'!A:D,4,FALSE)/100))</f>
        <v/>
      </c>
      <c r="F464" s="1" t="str">
        <f>IF(B464="","",(VLOOKUP(B464,'BOGIX (Gross)'!A:D,4,FALSE)/100))</f>
        <v/>
      </c>
      <c r="G464" s="1"/>
      <c r="H464" s="1"/>
      <c r="I464" s="1"/>
      <c r="J464" s="1" t="str">
        <f>IF(B464="","",(VLOOKUP(B464,'BOGIX (Net)'!A:D,4,FALSE)/100))</f>
        <v/>
      </c>
      <c r="K464" s="1"/>
      <c r="L464" s="1"/>
      <c r="M464" s="1"/>
      <c r="S464" s="22" t="str">
        <f t="shared" si="234"/>
        <v/>
      </c>
      <c r="T464" s="22" t="str">
        <f t="shared" si="235"/>
        <v/>
      </c>
      <c r="U464" s="22" t="str">
        <f t="shared" si="236"/>
        <v/>
      </c>
      <c r="V464" s="22" t="str">
        <f t="shared" si="233"/>
        <v/>
      </c>
      <c r="W464" s="22" t="str">
        <f t="shared" si="230"/>
        <v/>
      </c>
      <c r="X464" s="22" t="str">
        <f t="shared" si="231"/>
        <v/>
      </c>
      <c r="Y464" s="22" t="str">
        <f t="shared" si="232"/>
        <v/>
      </c>
    </row>
    <row r="465" spans="2:25" x14ac:dyDescent="0.25">
      <c r="B465" s="169" t="str">
        <f>IF('LC (Gross)'!A612="","",'LC (Gross)'!A612)</f>
        <v/>
      </c>
      <c r="C465" s="1" t="str">
        <f>IF(B465="","",(VLOOKUP(B465,'LC (Gross)'!A:D,4,FALSE)/100))</f>
        <v/>
      </c>
      <c r="D465" s="1" t="str">
        <f>IF(B465="","",(VLOOKUP(B465,'SC (Gross)'!A:D,4,FALSE))/100)</f>
        <v/>
      </c>
      <c r="E465" s="1" t="str">
        <f>IF(B465="","",(VLOOKUP(B465,'Global (Gross)'!A:D,4,FALSE)/100))</f>
        <v/>
      </c>
      <c r="F465" s="1" t="str">
        <f>IF(B465="","",(VLOOKUP(B465,'BOGIX (Gross)'!A:D,4,FALSE)/100))</f>
        <v/>
      </c>
      <c r="G465" s="1"/>
      <c r="H465" s="1"/>
      <c r="I465" s="1"/>
      <c r="J465" s="1" t="str">
        <f>IF(B465="","",(VLOOKUP(B465,'BOGIX (Net)'!A:D,4,FALSE)/100))</f>
        <v/>
      </c>
      <c r="K465" s="1"/>
      <c r="L465" s="1"/>
      <c r="M465" s="1"/>
      <c r="S465" s="22" t="str">
        <f t="shared" si="234"/>
        <v/>
      </c>
      <c r="T465" s="22" t="str">
        <f t="shared" si="235"/>
        <v/>
      </c>
      <c r="U465" s="22" t="str">
        <f t="shared" si="236"/>
        <v/>
      </c>
      <c r="V465" s="22" t="str">
        <f t="shared" si="233"/>
        <v/>
      </c>
      <c r="W465" s="22" t="str">
        <f t="shared" si="230"/>
        <v/>
      </c>
      <c r="X465" s="22" t="str">
        <f t="shared" si="231"/>
        <v/>
      </c>
      <c r="Y465" s="22" t="str">
        <f t="shared" si="232"/>
        <v/>
      </c>
    </row>
    <row r="466" spans="2:25" x14ac:dyDescent="0.25">
      <c r="B466" s="169" t="str">
        <f>IF('LC (Gross)'!A613="","",'LC (Gross)'!A613)</f>
        <v/>
      </c>
      <c r="C466" s="1" t="str">
        <f>IF(B466="","",(VLOOKUP(B466,'LC (Gross)'!A:D,4,FALSE)/100))</f>
        <v/>
      </c>
      <c r="D466" s="1" t="str">
        <f>IF(B466="","",(VLOOKUP(B466,'SC (Gross)'!A:D,4,FALSE))/100)</f>
        <v/>
      </c>
      <c r="E466" s="1" t="str">
        <f>IF(B466="","",(VLOOKUP(B466,'Global (Gross)'!A:D,4,FALSE)/100))</f>
        <v/>
      </c>
      <c r="F466" s="1" t="str">
        <f>IF(B466="","",(VLOOKUP(B466,'BOGIX (Gross)'!A:D,4,FALSE)/100))</f>
        <v/>
      </c>
      <c r="G466" s="1"/>
      <c r="H466" s="1"/>
      <c r="I466" s="1"/>
      <c r="J466" s="1" t="str">
        <f>IF(B466="","",(VLOOKUP(B466,'BOGIX (Net)'!A:D,4,FALSE)/100))</f>
        <v/>
      </c>
      <c r="K466" s="1"/>
      <c r="L466" s="1"/>
      <c r="M466" s="1"/>
      <c r="S466" s="22" t="str">
        <f t="shared" si="234"/>
        <v/>
      </c>
      <c r="T466" s="22" t="str">
        <f t="shared" si="235"/>
        <v/>
      </c>
      <c r="U466" s="22" t="str">
        <f t="shared" si="236"/>
        <v/>
      </c>
      <c r="V466" s="22" t="str">
        <f t="shared" si="233"/>
        <v/>
      </c>
      <c r="W466" s="22" t="str">
        <f t="shared" ref="W466:W497" si="238">IF(G466="","",G466-S466)</f>
        <v/>
      </c>
      <c r="X466" s="22" t="str">
        <f t="shared" ref="X466:X497" si="239">IF(H466="","",H466-T466)</f>
        <v/>
      </c>
      <c r="Y466" s="22" t="str">
        <f t="shared" ref="Y466:Y497" si="240">IF(I466="","",I466-U466)</f>
        <v/>
      </c>
    </row>
    <row r="467" spans="2:25" x14ac:dyDescent="0.25">
      <c r="B467" s="169" t="str">
        <f>IF('LC (Gross)'!A614="","",'LC (Gross)'!A614)</f>
        <v/>
      </c>
      <c r="C467" s="1" t="str">
        <f>IF(B467="","",(VLOOKUP(B467,'LC (Gross)'!A:D,4,FALSE)/100))</f>
        <v/>
      </c>
      <c r="D467" s="1" t="str">
        <f>IF(B467="","",(VLOOKUP(B467,'SC (Gross)'!A:D,4,FALSE))/100)</f>
        <v/>
      </c>
      <c r="E467" s="1" t="str">
        <f>IF(B467="","",(VLOOKUP(B467,'Global (Gross)'!A:D,4,FALSE)/100))</f>
        <v/>
      </c>
      <c r="F467" s="1" t="str">
        <f>IF(B467="","",(VLOOKUP(B467,'BOGIX (Gross)'!A:D,4,FALSE)/100))</f>
        <v/>
      </c>
      <c r="G467" s="1"/>
      <c r="H467" s="1"/>
      <c r="I467" s="1"/>
      <c r="J467" s="1" t="str">
        <f>IF(B467="","",(VLOOKUP(B467,'BOGIX (Net)'!A:D,4,FALSE)/100))</f>
        <v/>
      </c>
      <c r="K467" s="1"/>
      <c r="L467" s="1"/>
      <c r="M467" s="1"/>
      <c r="S467" s="22" t="str">
        <f t="shared" si="234"/>
        <v/>
      </c>
      <c r="T467" s="22" t="str">
        <f t="shared" si="235"/>
        <v/>
      </c>
      <c r="U467" s="22" t="str">
        <f t="shared" si="236"/>
        <v/>
      </c>
      <c r="V467" s="22" t="str">
        <f t="shared" si="233"/>
        <v/>
      </c>
      <c r="W467" s="22" t="str">
        <f t="shared" si="238"/>
        <v/>
      </c>
      <c r="X467" s="22" t="str">
        <f t="shared" si="239"/>
        <v/>
      </c>
      <c r="Y467" s="22" t="str">
        <f t="shared" si="240"/>
        <v/>
      </c>
    </row>
    <row r="468" spans="2:25" x14ac:dyDescent="0.25">
      <c r="B468" s="169" t="str">
        <f>IF('LC (Gross)'!A615="","",'LC (Gross)'!A615)</f>
        <v/>
      </c>
      <c r="C468" s="1" t="str">
        <f>IF(B468="","",(VLOOKUP(B468,'LC (Gross)'!A:D,4,FALSE)/100))</f>
        <v/>
      </c>
      <c r="D468" s="1" t="str">
        <f>IF(B468="","",(VLOOKUP(B468,'SC (Gross)'!A:D,4,FALSE))/100)</f>
        <v/>
      </c>
      <c r="E468" s="1" t="str">
        <f>IF(B468="","",(VLOOKUP(B468,'Global (Gross)'!A:D,4,FALSE)/100))</f>
        <v/>
      </c>
      <c r="F468" s="1" t="str">
        <f>IF(B468="","",(VLOOKUP(B468,'BOGIX (Gross)'!A:D,4,FALSE)/100))</f>
        <v/>
      </c>
      <c r="G468" s="1"/>
      <c r="H468" s="1"/>
      <c r="I468" s="1"/>
      <c r="J468" s="1" t="str">
        <f>IF(B468="","",(VLOOKUP(B468,'BOGIX (Net)'!A:D,4,FALSE)/100))</f>
        <v/>
      </c>
      <c r="K468" s="1"/>
      <c r="L468" s="1"/>
      <c r="M468" s="1"/>
      <c r="S468" s="22" t="str">
        <f t="shared" si="234"/>
        <v/>
      </c>
      <c r="T468" s="22" t="str">
        <f t="shared" si="235"/>
        <v/>
      </c>
      <c r="U468" s="22" t="str">
        <f t="shared" si="236"/>
        <v/>
      </c>
      <c r="V468" s="22" t="str">
        <f t="shared" si="233"/>
        <v/>
      </c>
      <c r="W468" s="22" t="str">
        <f t="shared" si="238"/>
        <v/>
      </c>
      <c r="X468" s="22" t="str">
        <f t="shared" si="239"/>
        <v/>
      </c>
      <c r="Y468" s="22" t="str">
        <f t="shared" si="240"/>
        <v/>
      </c>
    </row>
    <row r="469" spans="2:25" x14ac:dyDescent="0.25">
      <c r="B469" s="169" t="str">
        <f>IF('LC (Gross)'!A616="","",'LC (Gross)'!A616)</f>
        <v/>
      </c>
      <c r="C469" s="1" t="str">
        <f>IF(B469="","",(VLOOKUP(B469,'LC (Gross)'!A:D,4,FALSE)/100))</f>
        <v/>
      </c>
      <c r="D469" s="1" t="str">
        <f>IF(B469="","",(VLOOKUP(B469,'SC (Gross)'!A:D,4,FALSE))/100)</f>
        <v/>
      </c>
      <c r="E469" s="1" t="str">
        <f>IF(B469="","",(VLOOKUP(B469,'Global (Gross)'!A:D,4,FALSE)/100))</f>
        <v/>
      </c>
      <c r="F469" s="1" t="str">
        <f>IF(B469="","",(VLOOKUP(B469,'BOGIX (Gross)'!A:D,4,FALSE)/100))</f>
        <v/>
      </c>
      <c r="G469" s="1"/>
      <c r="H469" s="1"/>
      <c r="I469" s="1"/>
      <c r="J469" s="1" t="str">
        <f>IF(B469="","",(VLOOKUP(B469,'BOGIX (Net)'!A:D,4,FALSE)/100))</f>
        <v/>
      </c>
      <c r="K469" s="1"/>
      <c r="L469" s="1"/>
      <c r="M469" s="1"/>
      <c r="S469" s="22" t="str">
        <f t="shared" si="234"/>
        <v/>
      </c>
      <c r="T469" s="22" t="str">
        <f t="shared" si="235"/>
        <v/>
      </c>
      <c r="U469" s="22" t="str">
        <f t="shared" si="236"/>
        <v/>
      </c>
      <c r="V469" s="22" t="str">
        <f t="shared" si="233"/>
        <v/>
      </c>
      <c r="W469" s="22" t="str">
        <f t="shared" si="238"/>
        <v/>
      </c>
      <c r="X469" s="22" t="str">
        <f t="shared" si="239"/>
        <v/>
      </c>
      <c r="Y469" s="22" t="str">
        <f t="shared" si="240"/>
        <v/>
      </c>
    </row>
    <row r="470" spans="2:25" x14ac:dyDescent="0.25">
      <c r="B470" s="169" t="str">
        <f>IF('LC (Gross)'!A617="","",'LC (Gross)'!A617)</f>
        <v/>
      </c>
      <c r="C470" s="1" t="str">
        <f>IF(B470="","",(VLOOKUP(B470,'LC (Gross)'!A:D,4,FALSE)/100))</f>
        <v/>
      </c>
      <c r="D470" s="1" t="str">
        <f>IF(B470="","",(VLOOKUP(B470,'SC (Gross)'!A:D,4,FALSE))/100)</f>
        <v/>
      </c>
      <c r="E470" s="1" t="str">
        <f>IF(B470="","",(VLOOKUP(B470,'Global (Gross)'!A:D,4,FALSE)/100))</f>
        <v/>
      </c>
      <c r="F470" s="1" t="str">
        <f>IF(B470="","",(VLOOKUP(B470,'BOGIX (Gross)'!A:D,4,FALSE)/100))</f>
        <v/>
      </c>
      <c r="G470" s="1"/>
      <c r="H470" s="1"/>
      <c r="I470" s="1"/>
      <c r="J470" s="1" t="str">
        <f>IF(B470="","",(VLOOKUP(B470,'BOGIX (Net)'!A:D,4,FALSE)/100))</f>
        <v/>
      </c>
      <c r="K470" s="1"/>
      <c r="L470" s="1"/>
      <c r="M470" s="1"/>
      <c r="S470" s="22" t="str">
        <f t="shared" si="234"/>
        <v/>
      </c>
      <c r="T470" s="22" t="str">
        <f t="shared" si="235"/>
        <v/>
      </c>
      <c r="U470" s="22" t="str">
        <f t="shared" si="236"/>
        <v/>
      </c>
      <c r="V470" s="22" t="str">
        <f t="shared" si="233"/>
        <v/>
      </c>
      <c r="W470" s="22" t="str">
        <f t="shared" si="238"/>
        <v/>
      </c>
      <c r="X470" s="22" t="str">
        <f t="shared" si="239"/>
        <v/>
      </c>
      <c r="Y470" s="22" t="str">
        <f t="shared" si="240"/>
        <v/>
      </c>
    </row>
    <row r="471" spans="2:25" x14ac:dyDescent="0.25">
      <c r="B471" s="169" t="str">
        <f>IF('LC (Gross)'!A618="","",'LC (Gross)'!A618)</f>
        <v/>
      </c>
      <c r="C471" s="1" t="str">
        <f>IF(B471="","",(VLOOKUP(B471,'LC (Gross)'!A:D,4,FALSE)/100))</f>
        <v/>
      </c>
      <c r="D471" s="1" t="str">
        <f>IF(B471="","",(VLOOKUP(B471,'SC (Gross)'!A:D,4,FALSE))/100)</f>
        <v/>
      </c>
      <c r="E471" s="1" t="str">
        <f>IF(B471="","",(VLOOKUP(B471,'Global (Gross)'!A:D,4,FALSE)/100))</f>
        <v/>
      </c>
      <c r="F471" s="1" t="str">
        <f>IF(B471="","",(VLOOKUP(B471,'BOGIX (Gross)'!A:D,4,FALSE)/100))</f>
        <v/>
      </c>
      <c r="G471" s="1"/>
      <c r="H471" s="1"/>
      <c r="I471" s="1"/>
      <c r="J471" s="1" t="str">
        <f>IF(B471="","",(VLOOKUP(B471,'BOGIX (Net)'!A:D,4,FALSE)/100))</f>
        <v/>
      </c>
      <c r="K471" s="1"/>
      <c r="L471" s="1"/>
      <c r="M471" s="1"/>
      <c r="S471" s="22" t="str">
        <f t="shared" si="234"/>
        <v/>
      </c>
      <c r="T471" s="22" t="str">
        <f t="shared" si="235"/>
        <v/>
      </c>
      <c r="U471" s="22" t="str">
        <f t="shared" si="236"/>
        <v/>
      </c>
      <c r="V471" s="22" t="str">
        <f t="shared" si="233"/>
        <v/>
      </c>
      <c r="W471" s="22" t="str">
        <f t="shared" si="238"/>
        <v/>
      </c>
      <c r="X471" s="22" t="str">
        <f t="shared" si="239"/>
        <v/>
      </c>
      <c r="Y471" s="22" t="str">
        <f t="shared" si="240"/>
        <v/>
      </c>
    </row>
    <row r="472" spans="2:25" x14ac:dyDescent="0.25">
      <c r="B472" s="169" t="str">
        <f>IF('LC (Gross)'!A619="","",'LC (Gross)'!A619)</f>
        <v/>
      </c>
      <c r="C472" s="1" t="str">
        <f>IF(B472="","",(VLOOKUP(B472,'LC (Gross)'!A:D,4,FALSE)/100))</f>
        <v/>
      </c>
      <c r="D472" s="1" t="str">
        <f>IF(B472="","",(VLOOKUP(B472,'SC (Gross)'!A:D,4,FALSE))/100)</f>
        <v/>
      </c>
      <c r="E472" s="1" t="str">
        <f>IF(B472="","",(VLOOKUP(B472,'Global (Gross)'!A:D,4,FALSE)/100))</f>
        <v/>
      </c>
      <c r="F472" s="1" t="str">
        <f>IF(B472="","",(VLOOKUP(B472,'BOGIX (Gross)'!A:D,4,FALSE)/100))</f>
        <v/>
      </c>
      <c r="G472" s="1"/>
      <c r="H472" s="1"/>
      <c r="I472" s="1"/>
      <c r="J472" s="1" t="str">
        <f>IF(B472="","",(VLOOKUP(B472,'BOGIX (Net)'!A:D,4,FALSE)/100))</f>
        <v/>
      </c>
      <c r="K472" s="1"/>
      <c r="L472" s="1"/>
      <c r="M472" s="1"/>
      <c r="S472" s="22" t="str">
        <f t="shared" si="234"/>
        <v/>
      </c>
      <c r="T472" s="22" t="str">
        <f t="shared" si="235"/>
        <v/>
      </c>
      <c r="U472" s="22" t="str">
        <f t="shared" si="236"/>
        <v/>
      </c>
      <c r="V472" s="22" t="str">
        <f t="shared" si="233"/>
        <v/>
      </c>
      <c r="W472" s="22" t="str">
        <f t="shared" si="238"/>
        <v/>
      </c>
      <c r="X472" s="22" t="str">
        <f t="shared" si="239"/>
        <v/>
      </c>
      <c r="Y472" s="22" t="str">
        <f t="shared" si="240"/>
        <v/>
      </c>
    </row>
    <row r="473" spans="2:25" x14ac:dyDescent="0.25">
      <c r="B473" s="169" t="str">
        <f>IF('LC (Gross)'!A620="","",'LC (Gross)'!A620)</f>
        <v/>
      </c>
      <c r="C473" s="1" t="str">
        <f>IF(B473="","",(VLOOKUP(B473,'LC (Gross)'!A:D,4,FALSE)/100))</f>
        <v/>
      </c>
      <c r="D473" s="1" t="str">
        <f>IF(B473="","",(VLOOKUP(B473,'SC (Gross)'!A:D,4,FALSE))/100)</f>
        <v/>
      </c>
      <c r="E473" s="1" t="str">
        <f>IF(B473="","",(VLOOKUP(B473,'Global (Gross)'!A:D,4,FALSE)/100))</f>
        <v/>
      </c>
      <c r="F473" s="1" t="str">
        <f>IF(B473="","",(VLOOKUP(B473,'BOGIX (Gross)'!A:D,4,FALSE)/100))</f>
        <v/>
      </c>
      <c r="G473" s="1"/>
      <c r="H473" s="1"/>
      <c r="I473" s="1"/>
      <c r="J473" s="1" t="str">
        <f>IF(B473="","",(VLOOKUP(B473,'BOGIX (Net)'!A:D,4,FALSE)/100))</f>
        <v/>
      </c>
      <c r="K473" s="1"/>
      <c r="L473" s="1"/>
      <c r="M473" s="1"/>
      <c r="S473" s="22" t="str">
        <f t="shared" si="234"/>
        <v/>
      </c>
      <c r="T473" s="22" t="str">
        <f t="shared" si="235"/>
        <v/>
      </c>
      <c r="U473" s="22" t="str">
        <f t="shared" si="236"/>
        <v/>
      </c>
      <c r="V473" s="22" t="str">
        <f t="shared" si="233"/>
        <v/>
      </c>
      <c r="W473" s="22" t="str">
        <f t="shared" si="238"/>
        <v/>
      </c>
      <c r="X473" s="22" t="str">
        <f t="shared" si="239"/>
        <v/>
      </c>
      <c r="Y473" s="22" t="str">
        <f t="shared" si="240"/>
        <v/>
      </c>
    </row>
    <row r="474" spans="2:25" x14ac:dyDescent="0.25">
      <c r="B474" s="169" t="str">
        <f>IF('LC (Gross)'!A621="","",'LC (Gross)'!A621)</f>
        <v/>
      </c>
      <c r="C474" s="1" t="str">
        <f>IF(B474="","",(VLOOKUP(B474,'LC (Gross)'!A:D,4,FALSE)/100))</f>
        <v/>
      </c>
      <c r="D474" s="1" t="str">
        <f>IF(B474="","",(VLOOKUP(B474,'SC (Gross)'!A:D,4,FALSE))/100)</f>
        <v/>
      </c>
      <c r="E474" s="1" t="str">
        <f>IF(B474="","",(VLOOKUP(B474,'Global (Gross)'!A:D,4,FALSE)/100))</f>
        <v/>
      </c>
      <c r="F474" s="1" t="str">
        <f>IF(B474="","",(VLOOKUP(B474,'BOGIX (Gross)'!A:D,4,FALSE)/100))</f>
        <v/>
      </c>
      <c r="G474" s="1"/>
      <c r="H474" s="1"/>
      <c r="I474" s="1"/>
      <c r="J474" s="1" t="str">
        <f>IF(B474="","",(VLOOKUP(B474,'BOGIX (Net)'!A:D,4,FALSE)/100))</f>
        <v/>
      </c>
      <c r="K474" s="1"/>
      <c r="L474" s="1"/>
      <c r="M474" s="1"/>
      <c r="S474" s="22" t="str">
        <f t="shared" si="234"/>
        <v/>
      </c>
      <c r="T474" s="22" t="str">
        <f t="shared" si="235"/>
        <v/>
      </c>
      <c r="U474" s="22" t="str">
        <f t="shared" si="236"/>
        <v/>
      </c>
      <c r="V474" s="22" t="str">
        <f t="shared" si="233"/>
        <v/>
      </c>
      <c r="W474" s="22" t="str">
        <f t="shared" si="238"/>
        <v/>
      </c>
      <c r="X474" s="22" t="str">
        <f t="shared" si="239"/>
        <v/>
      </c>
      <c r="Y474" s="22" t="str">
        <f t="shared" si="240"/>
        <v/>
      </c>
    </row>
    <row r="475" spans="2:25" x14ac:dyDescent="0.25">
      <c r="B475" s="169" t="str">
        <f>IF('LC (Gross)'!A622="","",'LC (Gross)'!A622)</f>
        <v/>
      </c>
      <c r="C475" s="1" t="str">
        <f>IF(B475="","",(VLOOKUP(B475,'LC (Gross)'!A:D,4,FALSE)/100))</f>
        <v/>
      </c>
      <c r="D475" s="1" t="str">
        <f>IF(B475="","",(VLOOKUP(B475,'SC (Gross)'!A:D,4,FALSE))/100)</f>
        <v/>
      </c>
      <c r="E475" s="1" t="str">
        <f>IF(B475="","",(VLOOKUP(B475,'Global (Gross)'!A:D,4,FALSE)/100))</f>
        <v/>
      </c>
      <c r="F475" s="1" t="str">
        <f>IF(B475="","",(VLOOKUP(B475,'BOGIX (Gross)'!A:D,4,FALSE)/100))</f>
        <v/>
      </c>
      <c r="G475" s="1"/>
      <c r="H475" s="1"/>
      <c r="I475" s="1"/>
      <c r="J475" s="1" t="str">
        <f>IF(B475="","",(VLOOKUP(B475,'BOGIX (Net)'!A:D,4,FALSE)/100))</f>
        <v/>
      </c>
      <c r="K475" s="1"/>
      <c r="L475" s="1"/>
      <c r="M475" s="1"/>
      <c r="S475" s="22" t="str">
        <f t="shared" si="234"/>
        <v/>
      </c>
      <c r="T475" s="22" t="str">
        <f t="shared" si="235"/>
        <v/>
      </c>
      <c r="U475" s="22" t="str">
        <f t="shared" si="236"/>
        <v/>
      </c>
      <c r="V475" s="22" t="str">
        <f t="shared" si="233"/>
        <v/>
      </c>
      <c r="W475" s="22" t="str">
        <f t="shared" si="238"/>
        <v/>
      </c>
      <c r="X475" s="22" t="str">
        <f t="shared" si="239"/>
        <v/>
      </c>
      <c r="Y475" s="22" t="str">
        <f t="shared" si="240"/>
        <v/>
      </c>
    </row>
    <row r="476" spans="2:25" x14ac:dyDescent="0.25">
      <c r="B476" s="169" t="str">
        <f>IF('LC (Gross)'!A623="","",'LC (Gross)'!A623)</f>
        <v/>
      </c>
      <c r="C476" s="1" t="str">
        <f>IF(B476="","",(VLOOKUP(B476,'LC (Gross)'!A:D,4,FALSE)/100))</f>
        <v/>
      </c>
      <c r="D476" s="1" t="str">
        <f>IF(B476="","",(VLOOKUP(B476,'SC (Gross)'!A:D,4,FALSE))/100)</f>
        <v/>
      </c>
      <c r="E476" s="1" t="str">
        <f>IF(B476="","",(VLOOKUP(B476,'Global (Gross)'!A:D,4,FALSE)/100))</f>
        <v/>
      </c>
      <c r="F476" s="1" t="str">
        <f>IF(B476="","",(VLOOKUP(B476,'BOGIX (Gross)'!A:D,4,FALSE)/100))</f>
        <v/>
      </c>
      <c r="G476" s="1"/>
      <c r="H476" s="1"/>
      <c r="I476" s="1"/>
      <c r="J476" s="1" t="str">
        <f>IF(B476="","",(VLOOKUP(B476,'BOGIX (Net)'!A:D,4,FALSE)/100))</f>
        <v/>
      </c>
      <c r="K476" s="1"/>
      <c r="L476" s="1"/>
      <c r="M476" s="1"/>
      <c r="S476" s="22" t="str">
        <f t="shared" si="234"/>
        <v/>
      </c>
      <c r="T476" s="22" t="str">
        <f t="shared" si="235"/>
        <v/>
      </c>
      <c r="U476" s="22" t="str">
        <f t="shared" si="236"/>
        <v/>
      </c>
      <c r="V476" s="22" t="str">
        <f t="shared" si="233"/>
        <v/>
      </c>
      <c r="W476" s="22" t="str">
        <f t="shared" si="238"/>
        <v/>
      </c>
      <c r="X476" s="22" t="str">
        <f t="shared" si="239"/>
        <v/>
      </c>
      <c r="Y476" s="22" t="str">
        <f t="shared" si="240"/>
        <v/>
      </c>
    </row>
    <row r="477" spans="2:25" x14ac:dyDescent="0.25">
      <c r="B477" s="169" t="str">
        <f>IF('LC (Gross)'!A624="","",'LC (Gross)'!A624)</f>
        <v/>
      </c>
      <c r="C477" s="1" t="str">
        <f>IF(B477="","",(VLOOKUP(B477,'LC (Gross)'!A:D,4,FALSE)/100))</f>
        <v/>
      </c>
      <c r="D477" s="1" t="str">
        <f>IF(B477="","",(VLOOKUP(B477,'SC (Gross)'!A:D,4,FALSE))/100)</f>
        <v/>
      </c>
      <c r="E477" s="1" t="str">
        <f>IF(B477="","",(VLOOKUP(B477,'Global (Gross)'!A:D,4,FALSE)/100))</f>
        <v/>
      </c>
      <c r="F477" s="1" t="str">
        <f>IF(B477="","",(VLOOKUP(B477,'BOGIX (Gross)'!A:D,4,FALSE)/100))</f>
        <v/>
      </c>
      <c r="G477" s="1"/>
      <c r="H477" s="1"/>
      <c r="I477" s="1"/>
      <c r="J477" s="1" t="str">
        <f>IF(B477="","",(VLOOKUP(B477,'BOGIX (Net)'!A:D,4,FALSE)/100))</f>
        <v/>
      </c>
      <c r="K477" s="1"/>
      <c r="L477" s="1"/>
      <c r="M477" s="1"/>
      <c r="S477" s="22" t="str">
        <f t="shared" si="234"/>
        <v/>
      </c>
      <c r="T477" s="22" t="str">
        <f t="shared" si="235"/>
        <v/>
      </c>
      <c r="U477" s="22" t="str">
        <f t="shared" si="236"/>
        <v/>
      </c>
      <c r="V477" s="22" t="str">
        <f t="shared" si="233"/>
        <v/>
      </c>
      <c r="W477" s="22" t="str">
        <f t="shared" si="238"/>
        <v/>
      </c>
      <c r="X477" s="22" t="str">
        <f t="shared" si="239"/>
        <v/>
      </c>
      <c r="Y477" s="22" t="str">
        <f t="shared" si="240"/>
        <v/>
      </c>
    </row>
    <row r="478" spans="2:25" x14ac:dyDescent="0.25">
      <c r="B478" s="169" t="str">
        <f>IF('LC (Gross)'!A625="","",'LC (Gross)'!A625)</f>
        <v/>
      </c>
      <c r="C478" s="1" t="str">
        <f>IF(B478="","",(VLOOKUP(B478,'LC (Gross)'!A:D,4,FALSE)/100))</f>
        <v/>
      </c>
      <c r="D478" s="1" t="str">
        <f>IF(B478="","",(VLOOKUP(B478,'SC (Gross)'!A:D,4,FALSE))/100)</f>
        <v/>
      </c>
      <c r="E478" s="1" t="str">
        <f>IF(B478="","",(VLOOKUP(B478,'Global (Gross)'!A:D,4,FALSE)/100))</f>
        <v/>
      </c>
      <c r="F478" s="1" t="str">
        <f>IF(B478="","",(VLOOKUP(B478,'BOGIX (Gross)'!A:D,4,FALSE)/100))</f>
        <v/>
      </c>
      <c r="G478" s="1"/>
      <c r="H478" s="1"/>
      <c r="I478" s="1"/>
      <c r="J478" s="1" t="str">
        <f>IF(B478="","",(VLOOKUP(B478,'BOGIX (Net)'!A:D,4,FALSE)/100))</f>
        <v/>
      </c>
      <c r="K478" s="1"/>
      <c r="L478" s="1"/>
      <c r="M478" s="1"/>
      <c r="S478" s="22" t="str">
        <f t="shared" si="234"/>
        <v/>
      </c>
      <c r="T478" s="22" t="str">
        <f t="shared" si="235"/>
        <v/>
      </c>
      <c r="U478" s="22" t="str">
        <f t="shared" si="236"/>
        <v/>
      </c>
      <c r="V478" s="22" t="str">
        <f t="shared" si="233"/>
        <v/>
      </c>
      <c r="W478" s="22" t="str">
        <f t="shared" si="238"/>
        <v/>
      </c>
      <c r="X478" s="22" t="str">
        <f t="shared" si="239"/>
        <v/>
      </c>
      <c r="Y478" s="22" t="str">
        <f t="shared" si="240"/>
        <v/>
      </c>
    </row>
    <row r="479" spans="2:25" x14ac:dyDescent="0.25">
      <c r="B479" s="169" t="str">
        <f>IF('LC (Gross)'!A626="","",'LC (Gross)'!A626)</f>
        <v/>
      </c>
      <c r="C479" s="1" t="str">
        <f>IF(B479="","",(VLOOKUP(B479,'LC (Gross)'!A:D,4,FALSE)/100))</f>
        <v/>
      </c>
      <c r="D479" s="1" t="str">
        <f>IF(B479="","",(VLOOKUP(B479,'SC (Gross)'!A:D,4,FALSE))/100)</f>
        <v/>
      </c>
      <c r="E479" s="1" t="str">
        <f>IF(B479="","",(VLOOKUP(B479,'Global (Gross)'!A:D,4,FALSE)/100))</f>
        <v/>
      </c>
      <c r="F479" s="1" t="str">
        <f>IF(B479="","",(VLOOKUP(B479,'BOGIX (Gross)'!A:D,4,FALSE)/100))</f>
        <v/>
      </c>
      <c r="G479" s="1"/>
      <c r="H479" s="1"/>
      <c r="I479" s="1"/>
      <c r="J479" s="1" t="str">
        <f>IF(B479="","",(VLOOKUP(B479,'BOGIX (Net)'!A:D,4,FALSE)/100))</f>
        <v/>
      </c>
      <c r="K479" s="1"/>
      <c r="L479" s="1"/>
      <c r="M479" s="1"/>
      <c r="S479" s="22" t="str">
        <f t="shared" si="234"/>
        <v/>
      </c>
      <c r="T479" s="22" t="str">
        <f t="shared" si="235"/>
        <v/>
      </c>
      <c r="U479" s="22" t="str">
        <f t="shared" si="236"/>
        <v/>
      </c>
      <c r="V479" s="22" t="str">
        <f t="shared" si="233"/>
        <v/>
      </c>
      <c r="W479" s="22" t="str">
        <f t="shared" si="238"/>
        <v/>
      </c>
      <c r="X479" s="22" t="str">
        <f t="shared" si="239"/>
        <v/>
      </c>
      <c r="Y479" s="22" t="str">
        <f t="shared" si="240"/>
        <v/>
      </c>
    </row>
    <row r="480" spans="2:25" x14ac:dyDescent="0.25">
      <c r="B480" s="169" t="str">
        <f>IF('LC (Gross)'!A627="","",'LC (Gross)'!A627)</f>
        <v/>
      </c>
      <c r="C480" s="1" t="str">
        <f>IF(B480="","",(VLOOKUP(B480,'LC (Gross)'!A:D,4,FALSE)/100))</f>
        <v/>
      </c>
      <c r="D480" s="1" t="str">
        <f>IF(B480="","",(VLOOKUP(B480,'SC (Gross)'!A:D,4,FALSE))/100)</f>
        <v/>
      </c>
      <c r="E480" s="1" t="str">
        <f>IF(B480="","",(VLOOKUP(B480,'Global (Gross)'!A:D,4,FALSE)/100))</f>
        <v/>
      </c>
      <c r="F480" s="1" t="str">
        <f>IF(B480="","",(VLOOKUP(B480,'BOGIX (Gross)'!A:D,4,FALSE)/100))</f>
        <v/>
      </c>
      <c r="G480" s="1"/>
      <c r="H480" s="1"/>
      <c r="I480" s="1"/>
      <c r="J480" s="1" t="str">
        <f>IF(B480="","",(VLOOKUP(B480,'BOGIX (Net)'!A:D,4,FALSE)/100))</f>
        <v/>
      </c>
      <c r="K480" s="1"/>
      <c r="L480" s="1"/>
      <c r="M480" s="1"/>
      <c r="S480" s="22" t="str">
        <f t="shared" si="234"/>
        <v/>
      </c>
      <c r="T480" s="22" t="str">
        <f t="shared" si="235"/>
        <v/>
      </c>
      <c r="U480" s="22" t="str">
        <f t="shared" si="236"/>
        <v/>
      </c>
      <c r="V480" s="22" t="str">
        <f t="shared" si="233"/>
        <v/>
      </c>
      <c r="W480" s="22" t="str">
        <f t="shared" si="238"/>
        <v/>
      </c>
      <c r="X480" s="22" t="str">
        <f t="shared" si="239"/>
        <v/>
      </c>
      <c r="Y480" s="22" t="str">
        <f t="shared" si="240"/>
        <v/>
      </c>
    </row>
    <row r="481" spans="2:25" x14ac:dyDescent="0.25">
      <c r="B481" s="169" t="str">
        <f>IF('LC (Gross)'!A628="","",'LC (Gross)'!A628)</f>
        <v/>
      </c>
      <c r="C481" s="1" t="str">
        <f>IF(B481="","",(VLOOKUP(B481,'LC (Gross)'!A:D,4,FALSE)/100))</f>
        <v/>
      </c>
      <c r="D481" s="1" t="str">
        <f>IF(B481="","",(VLOOKUP(B481,'SC (Gross)'!A:D,4,FALSE)-VLOOKUP(Website!B481,'SC (Gross)'!J:K,2,FALSE))/100)</f>
        <v/>
      </c>
      <c r="E481" s="1" t="str">
        <f>IF(B481="","",(VLOOKUP(B481,'Global (Gross)'!A:D,4,FALSE)/100))</f>
        <v/>
      </c>
      <c r="F481" s="1" t="str">
        <f>IF(B481="","",(VLOOKUP(B481,'BOGIX (Gross)'!A:D,4,FALSE)/100))</f>
        <v/>
      </c>
      <c r="G481" s="1"/>
      <c r="H481" s="1"/>
      <c r="I481" s="1"/>
      <c r="J481" s="1" t="str">
        <f>IF(B481="","",(VLOOKUP(B481,'BOGIX (Net)'!A:D,4,FALSE)/100))</f>
        <v/>
      </c>
      <c r="K481" s="1"/>
      <c r="L481" s="1"/>
      <c r="M481" s="1"/>
      <c r="S481" s="22" t="str">
        <f t="shared" si="234"/>
        <v/>
      </c>
      <c r="T481" s="22" t="str">
        <f t="shared" si="235"/>
        <v/>
      </c>
      <c r="U481" s="22" t="str">
        <f t="shared" si="236"/>
        <v/>
      </c>
      <c r="V481" s="22" t="str">
        <f t="shared" si="233"/>
        <v/>
      </c>
      <c r="W481" s="22" t="str">
        <f t="shared" si="238"/>
        <v/>
      </c>
      <c r="X481" s="22" t="str">
        <f t="shared" si="239"/>
        <v/>
      </c>
      <c r="Y481" s="22" t="str">
        <f t="shared" si="240"/>
        <v/>
      </c>
    </row>
    <row r="482" spans="2:25" x14ac:dyDescent="0.25">
      <c r="B482" s="169" t="str">
        <f>IF('LC (Gross)'!A629="","",'LC (Gross)'!A629)</f>
        <v/>
      </c>
      <c r="C482" s="1" t="str">
        <f>IF(B482="","",(VLOOKUP(B482,'LC (Gross)'!A:D,4,FALSE)/100))</f>
        <v/>
      </c>
      <c r="D482" s="1" t="str">
        <f>IF(B482="","",(VLOOKUP(B482,'SC (Gross)'!A:D,4,FALSE)-VLOOKUP(Website!B482,'SC (Gross)'!J:K,2,FALSE))/100)</f>
        <v/>
      </c>
      <c r="E482" s="1" t="str">
        <f>IF(B482="","",(VLOOKUP(B482,'Global (Gross)'!A:D,4,FALSE)-VLOOKUP(Website!B482,'Global (Gross)'!J:K,2,FALSE))/100)</f>
        <v/>
      </c>
      <c r="F482" s="1" t="str">
        <f>IF(B482="","",(VLOOKUP(B482,'BOGIX (Gross)'!A:D,4,FALSE)/100))</f>
        <v/>
      </c>
      <c r="G482" s="1"/>
      <c r="H482" s="1"/>
      <c r="I482" s="1"/>
      <c r="J482" s="1" t="str">
        <f>IF(B482="","",(VLOOKUP(B482,'BOGIX (Net)'!A:D,4,FALSE)/100))</f>
        <v/>
      </c>
      <c r="K482" s="1"/>
      <c r="L482" s="1"/>
      <c r="M482" s="1"/>
      <c r="S482" s="22" t="str">
        <f t="shared" si="234"/>
        <v/>
      </c>
      <c r="T482" s="22" t="str">
        <f t="shared" si="235"/>
        <v/>
      </c>
      <c r="U482" s="22" t="str">
        <f t="shared" si="236"/>
        <v/>
      </c>
      <c r="V482" s="22" t="str">
        <f t="shared" si="233"/>
        <v/>
      </c>
      <c r="W482" s="22" t="str">
        <f t="shared" si="238"/>
        <v/>
      </c>
      <c r="X482" s="22" t="str">
        <f t="shared" si="239"/>
        <v/>
      </c>
      <c r="Y482" s="22" t="str">
        <f t="shared" si="240"/>
        <v/>
      </c>
    </row>
    <row r="483" spans="2:25" x14ac:dyDescent="0.25">
      <c r="B483" s="169" t="str">
        <f>IF('LC (Gross)'!A630="","",'LC (Gross)'!A630)</f>
        <v/>
      </c>
      <c r="C483" s="1" t="str">
        <f>IF(B483="","",(VLOOKUP(B483,'LC (Gross)'!A:D,4,FALSE)/100))</f>
        <v/>
      </c>
      <c r="D483" s="1" t="str">
        <f>IF(B483="","",(VLOOKUP(B483,'SC (Gross)'!A:D,4,FALSE)-VLOOKUP(Website!B483,'SC (Gross)'!J:K,2,FALSE))/100)</f>
        <v/>
      </c>
      <c r="E483" s="1" t="str">
        <f>IF(B483="","",(VLOOKUP(B483,'Global (Gross)'!A:D,4,FALSE)-VLOOKUP(Website!B483,'Global (Gross)'!J:K,2,FALSE))/100)</f>
        <v/>
      </c>
      <c r="F483" s="1" t="str">
        <f>IF(B483="","",(VLOOKUP(B483,'BOGIX (Gross)'!A:D,4,FALSE)/100))</f>
        <v/>
      </c>
      <c r="G483" s="1"/>
      <c r="H483" s="1"/>
      <c r="I483" s="1"/>
      <c r="J483" s="1" t="str">
        <f>IF(B483="","",(VLOOKUP(B483,'BOGIX (Net)'!A:D,4,FALSE)/100))</f>
        <v/>
      </c>
      <c r="K483" s="1"/>
      <c r="L483" s="1"/>
      <c r="M483" s="1"/>
      <c r="S483" s="22" t="str">
        <f t="shared" si="234"/>
        <v/>
      </c>
      <c r="T483" s="22" t="str">
        <f t="shared" si="235"/>
        <v/>
      </c>
      <c r="U483" s="22" t="str">
        <f t="shared" si="236"/>
        <v/>
      </c>
      <c r="V483" s="22" t="str">
        <f t="shared" si="233"/>
        <v/>
      </c>
      <c r="W483" s="22" t="str">
        <f t="shared" si="238"/>
        <v/>
      </c>
      <c r="X483" s="22" t="str">
        <f t="shared" si="239"/>
        <v/>
      </c>
      <c r="Y483" s="22" t="str">
        <f t="shared" si="240"/>
        <v/>
      </c>
    </row>
    <row r="484" spans="2:25" x14ac:dyDescent="0.25">
      <c r="B484" s="169" t="str">
        <f>IF('LC (Gross)'!A631="","",'LC (Gross)'!A631)</f>
        <v/>
      </c>
      <c r="C484" s="1" t="str">
        <f>IF(B484="","",(VLOOKUP(B484,'LC (Gross)'!A:D,4,FALSE)/100))</f>
        <v/>
      </c>
      <c r="D484" s="1" t="str">
        <f>IF(B484="","",(VLOOKUP(B484,'SC (Gross)'!A:D,4,FALSE)-VLOOKUP(Website!B484,'SC (Gross)'!J:K,2,FALSE))/100)</f>
        <v/>
      </c>
      <c r="E484" s="1" t="str">
        <f>IF(B484="","",(VLOOKUP(B484,'Global (Gross)'!A:D,4,FALSE)-VLOOKUP(Website!B484,'Global (Gross)'!J:K,2,FALSE))/100)</f>
        <v/>
      </c>
      <c r="F484" s="1" t="str">
        <f>IF(B484="","",(VLOOKUP(B484,'BOGIX (Gross)'!A:D,4,FALSE)/100))</f>
        <v/>
      </c>
      <c r="G484" s="1"/>
      <c r="H484" s="1"/>
      <c r="I484" s="1"/>
      <c r="J484" s="1" t="str">
        <f>IF(B484="","",(VLOOKUP(B484,'BOGIX (Net)'!A:D,4,FALSE)/100))</f>
        <v/>
      </c>
      <c r="K484" s="1"/>
      <c r="L484" s="1"/>
      <c r="M484" s="1"/>
      <c r="S484" s="22" t="str">
        <f t="shared" si="234"/>
        <v/>
      </c>
      <c r="T484" s="22" t="str">
        <f t="shared" si="235"/>
        <v/>
      </c>
      <c r="U484" s="22" t="str">
        <f t="shared" si="236"/>
        <v/>
      </c>
      <c r="V484" s="22" t="str">
        <f t="shared" si="233"/>
        <v/>
      </c>
      <c r="W484" s="22" t="str">
        <f t="shared" si="238"/>
        <v/>
      </c>
      <c r="X484" s="22" t="str">
        <f t="shared" si="239"/>
        <v/>
      </c>
      <c r="Y484" s="22" t="str">
        <f t="shared" si="240"/>
        <v/>
      </c>
    </row>
    <row r="485" spans="2:25" x14ac:dyDescent="0.25">
      <c r="B485" s="169" t="str">
        <f>IF('LC (Gross)'!A632="","",'LC (Gross)'!A632)</f>
        <v/>
      </c>
      <c r="C485" s="1" t="str">
        <f>IF(B485="","",(VLOOKUP(B485,'LC (Gross)'!A:D,4,FALSE)/100))</f>
        <v/>
      </c>
      <c r="D485" s="1" t="str">
        <f>IF(B485="","",(VLOOKUP(B485,'SC (Gross)'!A:D,4,FALSE)-VLOOKUP(Website!B485,'SC (Gross)'!J:K,2,FALSE))/100)</f>
        <v/>
      </c>
      <c r="E485" s="1" t="str">
        <f>IF(B485="","",(VLOOKUP(B485,'Global (Gross)'!A:D,4,FALSE)-VLOOKUP(Website!B485,'Global (Gross)'!J:K,2,FALSE))/100)</f>
        <v/>
      </c>
      <c r="F485" s="1" t="str">
        <f>IF(B485="","",(VLOOKUP(B485,'BOGIX (Gross)'!A:D,4,FALSE)/100))</f>
        <v/>
      </c>
      <c r="G485" s="1"/>
      <c r="H485" s="1"/>
      <c r="I485" s="1"/>
      <c r="J485" s="1" t="str">
        <f>IF(B485="","",(VLOOKUP(B485,'BOGIX (Net)'!A:D,4,FALSE)/100))</f>
        <v/>
      </c>
      <c r="K485" s="1"/>
      <c r="L485" s="1"/>
      <c r="M485" s="1"/>
      <c r="S485" s="22" t="str">
        <f t="shared" si="234"/>
        <v/>
      </c>
      <c r="T485" s="22" t="str">
        <f t="shared" si="235"/>
        <v/>
      </c>
      <c r="U485" s="22" t="str">
        <f t="shared" si="236"/>
        <v/>
      </c>
      <c r="V485" s="22" t="str">
        <f t="shared" si="233"/>
        <v/>
      </c>
      <c r="W485" s="22" t="str">
        <f t="shared" si="238"/>
        <v/>
      </c>
      <c r="X485" s="22" t="str">
        <f t="shared" si="239"/>
        <v/>
      </c>
      <c r="Y485" s="22" t="str">
        <f t="shared" si="240"/>
        <v/>
      </c>
    </row>
    <row r="486" spans="2:25" x14ac:dyDescent="0.25">
      <c r="B486" s="169" t="str">
        <f>IF('LC (Gross)'!A633="","",'LC (Gross)'!A633)</f>
        <v/>
      </c>
      <c r="C486" s="1" t="str">
        <f>IF(B486="","",(VLOOKUP(B486,'LC (Gross)'!A:D,4,FALSE)/100))</f>
        <v/>
      </c>
      <c r="D486" s="1" t="str">
        <f>IF(B486="","",(VLOOKUP(B486,'SC (Gross)'!A:D,4,FALSE)-VLOOKUP(Website!B486,'SC (Gross)'!J:K,2,FALSE))/100)</f>
        <v/>
      </c>
      <c r="E486" s="1" t="str">
        <f>IF(B486="","",(VLOOKUP(B486,'Global (Gross)'!A:D,4,FALSE)-VLOOKUP(Website!B486,'Global (Gross)'!J:K,2,FALSE))/100)</f>
        <v/>
      </c>
      <c r="F486" s="1" t="str">
        <f>IF(B486="","",(VLOOKUP(B486,'BOGIX (Gross)'!A:D,4,FALSE)/100))</f>
        <v/>
      </c>
      <c r="G486" s="1"/>
      <c r="H486" s="1"/>
      <c r="I486" s="1"/>
      <c r="J486" s="1" t="str">
        <f>IF(B486="","",(VLOOKUP(B486,'BOGIX (Net)'!A:D,4,FALSE)/100))</f>
        <v/>
      </c>
      <c r="K486" s="1"/>
      <c r="L486" s="1"/>
      <c r="M486" s="1"/>
      <c r="S486" s="22" t="str">
        <f t="shared" si="234"/>
        <v/>
      </c>
      <c r="T486" s="22" t="str">
        <f t="shared" si="235"/>
        <v/>
      </c>
      <c r="U486" s="22" t="str">
        <f t="shared" si="236"/>
        <v/>
      </c>
      <c r="V486" s="22" t="str">
        <f t="shared" si="233"/>
        <v/>
      </c>
      <c r="W486" s="22" t="str">
        <f t="shared" si="238"/>
        <v/>
      </c>
      <c r="X486" s="22" t="str">
        <f t="shared" si="239"/>
        <v/>
      </c>
      <c r="Y486" s="22" t="str">
        <f t="shared" si="240"/>
        <v/>
      </c>
    </row>
    <row r="487" spans="2:25" x14ac:dyDescent="0.25">
      <c r="B487" s="169" t="str">
        <f>IF('LC (Gross)'!A634="","",'LC (Gross)'!A634)</f>
        <v/>
      </c>
      <c r="C487" s="1" t="str">
        <f>IF(B487="","",(VLOOKUP(B487,'LC (Gross)'!A:D,4,FALSE)/100))</f>
        <v/>
      </c>
      <c r="D487" s="1" t="str">
        <f>IF(B487="","",(VLOOKUP(B487,'SC (Gross)'!A:D,4,FALSE)-VLOOKUP(Website!B487,'SC (Gross)'!J:K,2,FALSE))/100)</f>
        <v/>
      </c>
      <c r="E487" s="1" t="str">
        <f>IF(B487="","",(VLOOKUP(B487,'Global (Gross)'!A:D,4,FALSE)-VLOOKUP(Website!B487,'Global (Gross)'!J:K,2,FALSE))/100)</f>
        <v/>
      </c>
      <c r="F487" s="1" t="str">
        <f>IF(B487="","",(VLOOKUP(B487,'BOGIX (Gross)'!A:D,4,FALSE)/100))</f>
        <v/>
      </c>
      <c r="G487" s="1"/>
      <c r="H487" s="1"/>
      <c r="I487" s="1"/>
      <c r="J487" s="1" t="str">
        <f>IF(B487="","",(VLOOKUP(B487,'BOGIX (Net)'!A:D,4,FALSE)/100))</f>
        <v/>
      </c>
      <c r="K487" s="1"/>
      <c r="L487" s="1"/>
      <c r="M487" s="1"/>
      <c r="S487" s="22" t="str">
        <f t="shared" si="234"/>
        <v/>
      </c>
      <c r="T487" s="22" t="str">
        <f t="shared" si="235"/>
        <v/>
      </c>
      <c r="U487" s="22" t="str">
        <f t="shared" si="236"/>
        <v/>
      </c>
      <c r="V487" s="22" t="str">
        <f t="shared" si="233"/>
        <v/>
      </c>
      <c r="W487" s="22" t="str">
        <f t="shared" si="238"/>
        <v/>
      </c>
      <c r="X487" s="22" t="str">
        <f t="shared" si="239"/>
        <v/>
      </c>
      <c r="Y487" s="22" t="str">
        <f t="shared" si="240"/>
        <v/>
      </c>
    </row>
    <row r="488" spans="2:25" x14ac:dyDescent="0.25">
      <c r="B488" s="169" t="str">
        <f>IF('LC (Gross)'!A635="","",'LC (Gross)'!A635)</f>
        <v/>
      </c>
      <c r="C488" s="1" t="str">
        <f>IF(B488="","",(VLOOKUP(B488,'LC (Gross)'!A:D,4,FALSE)/100))</f>
        <v/>
      </c>
      <c r="D488" s="1" t="str">
        <f>IF(B488="","",(VLOOKUP(B488,'SC (Gross)'!A:D,4,FALSE)-VLOOKUP(Website!B488,'SC (Gross)'!J:K,2,FALSE))/100)</f>
        <v/>
      </c>
      <c r="E488" s="1" t="str">
        <f>IF(B488="","",(VLOOKUP(B488,'Global (Gross)'!A:D,4,FALSE)-VLOOKUP(Website!B488,'Global (Gross)'!J:K,2,FALSE))/100)</f>
        <v/>
      </c>
      <c r="F488" s="1" t="str">
        <f>IF(B488="","",(VLOOKUP(B488,'BOGIX (Gross)'!A:D,4,FALSE)/100))</f>
        <v/>
      </c>
      <c r="G488" s="1"/>
      <c r="H488" s="1"/>
      <c r="I488" s="1"/>
      <c r="J488" s="1" t="str">
        <f>IF(B488="","",(VLOOKUP(B488,'BOGIX (Net)'!A:D,4,FALSE)/100))</f>
        <v/>
      </c>
      <c r="K488" s="1"/>
      <c r="L488" s="1"/>
      <c r="M488" s="1"/>
      <c r="S488" s="22" t="str">
        <f t="shared" si="234"/>
        <v/>
      </c>
      <c r="T488" s="22" t="str">
        <f t="shared" si="235"/>
        <v/>
      </c>
      <c r="U488" s="22" t="str">
        <f t="shared" si="236"/>
        <v/>
      </c>
      <c r="V488" s="22" t="str">
        <f t="shared" si="233"/>
        <v/>
      </c>
      <c r="W488" s="22" t="str">
        <f t="shared" si="238"/>
        <v/>
      </c>
      <c r="X488" s="22" t="str">
        <f t="shared" si="239"/>
        <v/>
      </c>
      <c r="Y488" s="22" t="str">
        <f t="shared" si="240"/>
        <v/>
      </c>
    </row>
    <row r="489" spans="2:25" x14ac:dyDescent="0.25">
      <c r="B489" s="169" t="str">
        <f>IF('LC (Gross)'!A636="","",'LC (Gross)'!A636)</f>
        <v/>
      </c>
      <c r="C489" s="1" t="str">
        <f>IF(B489="","",(VLOOKUP(B489,'LC (Gross)'!A:D,4,FALSE)/100))</f>
        <v/>
      </c>
      <c r="D489" s="1" t="str">
        <f>IF(B489="","",(VLOOKUP(B489,'SC (Gross)'!A:D,4,FALSE)-VLOOKUP(Website!B489,'SC (Gross)'!J:K,2,FALSE))/100)</f>
        <v/>
      </c>
      <c r="E489" s="1" t="str">
        <f>IF(B489="","",(VLOOKUP(B489,'Global (Gross)'!A:D,4,FALSE)-VLOOKUP(Website!B489,'Global (Gross)'!J:K,2,FALSE))/100)</f>
        <v/>
      </c>
      <c r="F489" s="1" t="str">
        <f>IF(B489="","",(VLOOKUP(B489,'BOGIX (Gross)'!A:D,4,FALSE)/100))</f>
        <v/>
      </c>
      <c r="G489" s="1"/>
      <c r="H489" s="1"/>
      <c r="I489" s="1"/>
      <c r="J489" s="1" t="str">
        <f>IF(B489="","",(VLOOKUP(B489,'BOGIX (Net)'!A:D,4,FALSE)/100))</f>
        <v/>
      </c>
      <c r="K489" s="1"/>
      <c r="L489" s="1"/>
      <c r="M489" s="1"/>
      <c r="S489" s="22" t="str">
        <f t="shared" si="234"/>
        <v/>
      </c>
      <c r="T489" s="22" t="str">
        <f t="shared" si="235"/>
        <v/>
      </c>
      <c r="U489" s="22" t="str">
        <f t="shared" si="236"/>
        <v/>
      </c>
      <c r="V489" s="22" t="str">
        <f t="shared" si="233"/>
        <v/>
      </c>
      <c r="W489" s="22" t="str">
        <f t="shared" si="238"/>
        <v/>
      </c>
      <c r="X489" s="22" t="str">
        <f t="shared" si="239"/>
        <v/>
      </c>
      <c r="Y489" s="22" t="str">
        <f t="shared" si="240"/>
        <v/>
      </c>
    </row>
    <row r="490" spans="2:25" x14ac:dyDescent="0.25">
      <c r="B490" s="169" t="str">
        <f>IF('LC (Gross)'!A637="","",'LC (Gross)'!A637)</f>
        <v/>
      </c>
      <c r="C490" s="1" t="str">
        <f>IF(B490="","",(VLOOKUP(B490,'LC (Gross)'!A:D,4,FALSE)/100))</f>
        <v/>
      </c>
      <c r="D490" s="1" t="str">
        <f>IF(B490="","",(VLOOKUP(B490,'SC (Gross)'!A:D,4,FALSE)-VLOOKUP(Website!B490,'SC (Gross)'!J:K,2,FALSE))/100)</f>
        <v/>
      </c>
      <c r="E490" s="1" t="str">
        <f>IF(B490="","",(VLOOKUP(B490,'Global (Gross)'!A:D,4,FALSE)-VLOOKUP(Website!B490,'Global (Gross)'!J:K,2,FALSE))/100)</f>
        <v/>
      </c>
      <c r="F490" s="1" t="str">
        <f>IF(B490="","",(VLOOKUP(B490,'BOGIX (Gross)'!A:D,4,FALSE)/100))</f>
        <v/>
      </c>
      <c r="G490" s="1"/>
      <c r="H490" s="1"/>
      <c r="I490" s="1"/>
      <c r="J490" s="1" t="str">
        <f>IF(B490="","",(VLOOKUP(B490,'BOGIX (Net)'!A:D,4,FALSE)/100))</f>
        <v/>
      </c>
      <c r="K490" s="1"/>
      <c r="L490" s="1"/>
      <c r="M490" s="1"/>
      <c r="S490" s="22" t="str">
        <f t="shared" si="234"/>
        <v/>
      </c>
      <c r="T490" s="22" t="str">
        <f t="shared" si="235"/>
        <v/>
      </c>
      <c r="U490" s="22" t="str">
        <f t="shared" si="236"/>
        <v/>
      </c>
      <c r="V490" s="22" t="str">
        <f t="shared" si="233"/>
        <v/>
      </c>
      <c r="W490" s="22" t="str">
        <f t="shared" si="238"/>
        <v/>
      </c>
      <c r="X490" s="22" t="str">
        <f t="shared" si="239"/>
        <v/>
      </c>
      <c r="Y490" s="22" t="str">
        <f t="shared" si="240"/>
        <v/>
      </c>
    </row>
    <row r="491" spans="2:25" x14ac:dyDescent="0.25">
      <c r="B491" s="169" t="str">
        <f>IF('LC (Gross)'!A638="","",'LC (Gross)'!A638)</f>
        <v/>
      </c>
      <c r="C491" s="1" t="str">
        <f>IF(B491="","",(VLOOKUP(B491,'LC (Gross)'!A:D,4,FALSE)/100))</f>
        <v/>
      </c>
      <c r="D491" s="1" t="str">
        <f>IF(B491="","",(VLOOKUP(B491,'SC (Gross)'!A:D,4,FALSE)-VLOOKUP(Website!B491,'SC (Gross)'!J:K,2,FALSE))/100)</f>
        <v/>
      </c>
      <c r="E491" s="1" t="str">
        <f>IF(B491="","",(VLOOKUP(B491,'Global (Gross)'!A:D,4,FALSE)-VLOOKUP(Website!B491,'Global (Gross)'!J:K,2,FALSE))/100)</f>
        <v/>
      </c>
      <c r="F491" s="1" t="str">
        <f>IF(B491="","",(VLOOKUP(B491,'BOGIX (Gross)'!A:D,4,FALSE)/100))</f>
        <v/>
      </c>
      <c r="G491" s="1"/>
      <c r="H491" s="1"/>
      <c r="I491" s="1"/>
      <c r="J491" s="1" t="str">
        <f>IF(B491="","",(VLOOKUP(B491,'BOGIX (Net)'!A:D,4,FALSE)/100))</f>
        <v/>
      </c>
      <c r="K491" s="1"/>
      <c r="L491" s="1"/>
      <c r="M491" s="1"/>
      <c r="S491" s="22" t="str">
        <f t="shared" si="234"/>
        <v/>
      </c>
      <c r="T491" s="22" t="str">
        <f t="shared" si="235"/>
        <v/>
      </c>
      <c r="U491" s="22" t="str">
        <f t="shared" si="236"/>
        <v/>
      </c>
      <c r="V491" s="22" t="str">
        <f t="shared" si="233"/>
        <v/>
      </c>
      <c r="W491" s="22" t="str">
        <f t="shared" si="238"/>
        <v/>
      </c>
      <c r="X491" s="22" t="str">
        <f t="shared" si="239"/>
        <v/>
      </c>
      <c r="Y491" s="22" t="str">
        <f t="shared" si="240"/>
        <v/>
      </c>
    </row>
    <row r="492" spans="2:25" x14ac:dyDescent="0.25">
      <c r="B492" s="169" t="str">
        <f>IF('LC (Gross)'!A639="","",'LC (Gross)'!A639)</f>
        <v/>
      </c>
      <c r="C492" s="1" t="str">
        <f>IF(B492="","",(VLOOKUP(B492,'LC (Gross)'!A:D,4,FALSE)/100))</f>
        <v/>
      </c>
      <c r="D492" s="1" t="str">
        <f>IF(B492="","",(VLOOKUP(B492,'SC (Gross)'!A:D,4,FALSE)-VLOOKUP(Website!B492,'SC (Gross)'!J:K,2,FALSE))/100)</f>
        <v/>
      </c>
      <c r="E492" s="1" t="str">
        <f>IF(B492="","",(VLOOKUP(B492,'Global (Gross)'!A:D,4,FALSE)-VLOOKUP(Website!B492,'Global (Gross)'!J:K,2,FALSE))/100)</f>
        <v/>
      </c>
      <c r="F492" s="1" t="str">
        <f>IF(B492="","",(VLOOKUP(B492,'BOGIX (Gross)'!A:D,4,FALSE)/100))</f>
        <v/>
      </c>
      <c r="G492" s="1"/>
      <c r="H492" s="1"/>
      <c r="I492" s="1"/>
      <c r="J492" s="1" t="str">
        <f>IF(B492="","",(VLOOKUP(B492,'BOGIX (Net)'!A:D,4,FALSE)/100))</f>
        <v/>
      </c>
      <c r="K492" s="1"/>
      <c r="L492" s="1"/>
      <c r="M492" s="1"/>
      <c r="S492" s="22" t="str">
        <f t="shared" si="234"/>
        <v/>
      </c>
      <c r="T492" s="22" t="str">
        <f t="shared" si="235"/>
        <v/>
      </c>
      <c r="U492" s="22" t="str">
        <f t="shared" si="236"/>
        <v/>
      </c>
      <c r="V492" s="22" t="str">
        <f t="shared" si="233"/>
        <v/>
      </c>
      <c r="W492" s="22" t="str">
        <f t="shared" si="238"/>
        <v/>
      </c>
      <c r="X492" s="22" t="str">
        <f t="shared" si="239"/>
        <v/>
      </c>
      <c r="Y492" s="22" t="str">
        <f t="shared" si="240"/>
        <v/>
      </c>
    </row>
    <row r="493" spans="2:25" x14ac:dyDescent="0.25">
      <c r="B493" s="169" t="str">
        <f>IF('LC (Gross)'!A640="","",'LC (Gross)'!A640)</f>
        <v/>
      </c>
      <c r="C493" s="1" t="str">
        <f>IF(B493="","",(VLOOKUP(B493,'LC (Gross)'!A:D,4,FALSE)/100))</f>
        <v/>
      </c>
      <c r="D493" s="1" t="str">
        <f>IF(B493="","",(VLOOKUP(B493,'SC (Gross)'!A:D,4,FALSE)-VLOOKUP(Website!B493,'SC (Gross)'!J:K,2,FALSE))/100)</f>
        <v/>
      </c>
      <c r="E493" s="1" t="str">
        <f>IF(B493="","",(VLOOKUP(B493,'Global (Gross)'!A:D,4,FALSE)-VLOOKUP(Website!B493,'Global (Gross)'!J:K,2,FALSE))/100)</f>
        <v/>
      </c>
      <c r="F493" s="1" t="str">
        <f>IF(B493="","",(VLOOKUP(B493,'BOGIX (Gross)'!A:D,4,FALSE)/100))</f>
        <v/>
      </c>
      <c r="G493" s="1"/>
      <c r="H493" s="1"/>
      <c r="I493" s="1"/>
      <c r="J493" s="1" t="str">
        <f>IF(B493="","",(VLOOKUP(B493,'BOGIX (Net)'!A:D,4,FALSE)/100))</f>
        <v/>
      </c>
      <c r="K493" s="1"/>
      <c r="L493" s="1"/>
      <c r="M493" s="1"/>
      <c r="S493" s="22" t="str">
        <f t="shared" si="234"/>
        <v/>
      </c>
      <c r="T493" s="22" t="str">
        <f t="shared" si="235"/>
        <v/>
      </c>
      <c r="U493" s="22" t="str">
        <f t="shared" si="236"/>
        <v/>
      </c>
      <c r="V493" s="22" t="str">
        <f t="shared" si="233"/>
        <v/>
      </c>
      <c r="W493" s="22" t="str">
        <f t="shared" si="238"/>
        <v/>
      </c>
      <c r="X493" s="22" t="str">
        <f t="shared" si="239"/>
        <v/>
      </c>
      <c r="Y493" s="22" t="str">
        <f t="shared" si="240"/>
        <v/>
      </c>
    </row>
    <row r="494" spans="2:25" x14ac:dyDescent="0.25">
      <c r="B494" s="169" t="str">
        <f>IF('LC (Gross)'!A641="","",'LC (Gross)'!A641)</f>
        <v/>
      </c>
      <c r="C494" s="1" t="str">
        <f>IF(B494="","",(VLOOKUP(B494,'LC (Gross)'!A:D,4,FALSE)/100))</f>
        <v/>
      </c>
      <c r="D494" s="1" t="str">
        <f>IF(B494="","",(VLOOKUP(B494,'SC (Gross)'!A:D,4,FALSE)-VLOOKUP(Website!B494,'SC (Gross)'!J:K,2,FALSE))/100)</f>
        <v/>
      </c>
      <c r="E494" s="1" t="str">
        <f>IF(B494="","",(VLOOKUP(B494,'Global (Gross)'!A:D,4,FALSE)-VLOOKUP(Website!B494,'Global (Gross)'!J:K,2,FALSE))/100)</f>
        <v/>
      </c>
      <c r="F494" s="1" t="str">
        <f>IF(B494="","",(VLOOKUP(B494,'BOGIX (Gross)'!A:D,4,FALSE)/100))</f>
        <v/>
      </c>
      <c r="G494" s="1"/>
      <c r="H494" s="1"/>
      <c r="I494" s="1"/>
      <c r="J494" s="1" t="str">
        <f>IF(B494="","",(VLOOKUP(B494,'BOGIX (Net)'!A:D,4,FALSE)/100))</f>
        <v/>
      </c>
      <c r="K494" s="1"/>
      <c r="L494" s="1"/>
      <c r="M494" s="1"/>
      <c r="S494" s="22" t="str">
        <f t="shared" si="234"/>
        <v/>
      </c>
      <c r="T494" s="22" t="str">
        <f t="shared" si="235"/>
        <v/>
      </c>
      <c r="U494" s="22" t="str">
        <f t="shared" si="236"/>
        <v/>
      </c>
      <c r="V494" s="22" t="str">
        <f t="shared" si="233"/>
        <v/>
      </c>
      <c r="W494" s="22" t="str">
        <f t="shared" si="238"/>
        <v/>
      </c>
      <c r="X494" s="22" t="str">
        <f t="shared" si="239"/>
        <v/>
      </c>
      <c r="Y494" s="22" t="str">
        <f t="shared" si="240"/>
        <v/>
      </c>
    </row>
    <row r="495" spans="2:25" x14ac:dyDescent="0.25">
      <c r="B495" s="169" t="str">
        <f>IF('LC (Gross)'!A642="","",'LC (Gross)'!A642)</f>
        <v/>
      </c>
      <c r="C495" s="1" t="str">
        <f>IF(B495="","",(VLOOKUP(B495,'LC (Gross)'!A:D,4,FALSE)/100))</f>
        <v/>
      </c>
      <c r="D495" s="1" t="str">
        <f>IF(B495="","",(VLOOKUP(B495,'SC (Gross)'!A:D,4,FALSE)-VLOOKUP(Website!B495,'SC (Gross)'!J:K,2,FALSE))/100)</f>
        <v/>
      </c>
      <c r="E495" s="1" t="str">
        <f>IF(B495="","",(VLOOKUP(B495,'Global (Gross)'!A:D,4,FALSE)-VLOOKUP(Website!B495,'Global (Gross)'!J:K,2,FALSE))/100)</f>
        <v/>
      </c>
      <c r="F495" s="1" t="str">
        <f>IF(B495="","",(VLOOKUP(B495,'BOGIX (Gross)'!A:D,4,FALSE)/100))</f>
        <v/>
      </c>
      <c r="G495" s="1"/>
      <c r="H495" s="1"/>
      <c r="I495" s="1"/>
      <c r="J495" s="1" t="str">
        <f>IF(B495="","",(VLOOKUP(B495,'BOGIX (Net)'!A:D,4,FALSE)/100))</f>
        <v/>
      </c>
      <c r="K495" s="1"/>
      <c r="L495" s="1"/>
      <c r="M495" s="1"/>
      <c r="S495" s="22" t="str">
        <f t="shared" si="234"/>
        <v/>
      </c>
      <c r="T495" s="22" t="str">
        <f t="shared" si="235"/>
        <v/>
      </c>
      <c r="U495" s="22" t="str">
        <f t="shared" si="236"/>
        <v/>
      </c>
      <c r="V495" s="22" t="str">
        <f t="shared" si="233"/>
        <v/>
      </c>
      <c r="W495" s="22" t="str">
        <f t="shared" si="238"/>
        <v/>
      </c>
      <c r="X495" s="22" t="str">
        <f t="shared" si="239"/>
        <v/>
      </c>
      <c r="Y495" s="22" t="str">
        <f t="shared" si="240"/>
        <v/>
      </c>
    </row>
    <row r="496" spans="2:25" x14ac:dyDescent="0.25">
      <c r="B496" s="169" t="str">
        <f>IF('LC (Gross)'!A643="","",'LC (Gross)'!A643)</f>
        <v/>
      </c>
      <c r="C496" s="1" t="str">
        <f>IF(B496="","",(VLOOKUP(B496,'LC (Gross)'!A:D,4,FALSE)/100))</f>
        <v/>
      </c>
      <c r="D496" s="1" t="str">
        <f>IF(B496="","",(VLOOKUP(B496,'SC (Gross)'!A:D,4,FALSE)-VLOOKUP(Website!B496,'SC (Gross)'!J:K,2,FALSE))/100)</f>
        <v/>
      </c>
      <c r="E496" s="1" t="str">
        <f>IF(B496="","",(VLOOKUP(B496,'Global (Gross)'!A:D,4,FALSE)-VLOOKUP(Website!B496,'Global (Gross)'!J:K,2,FALSE))/100)</f>
        <v/>
      </c>
      <c r="F496" s="1" t="str">
        <f>IF(B496="","",(VLOOKUP(B496,'BOGIX (Gross)'!A:D,4,FALSE)/100))</f>
        <v/>
      </c>
      <c r="G496" s="1"/>
      <c r="H496" s="1"/>
      <c r="I496" s="1"/>
      <c r="J496" s="1" t="str">
        <f>IF(B496="","",(VLOOKUP(B496,'BOGIX (Net)'!A:D,4,FALSE)/100))</f>
        <v/>
      </c>
      <c r="K496" s="1"/>
      <c r="L496" s="1"/>
      <c r="M496" s="1"/>
      <c r="S496" s="22" t="str">
        <f t="shared" si="234"/>
        <v/>
      </c>
      <c r="T496" s="22" t="str">
        <f t="shared" si="235"/>
        <v/>
      </c>
      <c r="U496" s="22" t="str">
        <f t="shared" si="236"/>
        <v/>
      </c>
      <c r="V496" s="22" t="str">
        <f t="shared" si="233"/>
        <v/>
      </c>
      <c r="W496" s="22" t="str">
        <f t="shared" si="238"/>
        <v/>
      </c>
      <c r="X496" s="22" t="str">
        <f t="shared" si="239"/>
        <v/>
      </c>
      <c r="Y496" s="22" t="str">
        <f t="shared" si="240"/>
        <v/>
      </c>
    </row>
    <row r="497" spans="2:25" x14ac:dyDescent="0.25">
      <c r="B497" s="169" t="str">
        <f>IF('LC (Gross)'!A644="","",'LC (Gross)'!A644)</f>
        <v/>
      </c>
      <c r="C497" s="1" t="str">
        <f>IF(B497="","",(VLOOKUP(B497,'LC (Gross)'!A:D,4,FALSE)/100))</f>
        <v/>
      </c>
      <c r="D497" s="1" t="str">
        <f>IF(B497="","",(VLOOKUP(B497,'SC (Gross)'!A:D,4,FALSE)-VLOOKUP(Website!B497,'SC (Gross)'!J:K,2,FALSE))/100)</f>
        <v/>
      </c>
      <c r="E497" s="1" t="str">
        <f>IF(B497="","",(VLOOKUP(B497,'Global (Gross)'!A:D,4,FALSE)-VLOOKUP(Website!B497,'Global (Gross)'!J:K,2,FALSE))/100)</f>
        <v/>
      </c>
      <c r="F497" s="1" t="str">
        <f>IF(B497="","",(VLOOKUP(B497,'BOGIX (Gross)'!A:D,4,FALSE)/100))</f>
        <v/>
      </c>
      <c r="G497" s="1"/>
      <c r="H497" s="1"/>
      <c r="I497" s="1"/>
      <c r="J497" s="1" t="str">
        <f>IF(B497="","",(VLOOKUP(B497,'BOGIX (Net)'!A:D,4,FALSE)/100))</f>
        <v/>
      </c>
      <c r="K497" s="1"/>
      <c r="L497" s="1"/>
      <c r="M497" s="1"/>
      <c r="S497" s="22" t="str">
        <f t="shared" si="234"/>
        <v/>
      </c>
      <c r="T497" s="22" t="str">
        <f t="shared" si="235"/>
        <v/>
      </c>
      <c r="U497" s="22" t="str">
        <f t="shared" si="236"/>
        <v/>
      </c>
      <c r="V497" s="22" t="str">
        <f t="shared" si="233"/>
        <v/>
      </c>
      <c r="W497" s="22" t="str">
        <f t="shared" si="238"/>
        <v/>
      </c>
      <c r="X497" s="22" t="str">
        <f t="shared" si="239"/>
        <v/>
      </c>
      <c r="Y497" s="22" t="str">
        <f t="shared" si="240"/>
        <v/>
      </c>
    </row>
    <row r="498" spans="2:25" x14ac:dyDescent="0.25">
      <c r="B498" s="169" t="str">
        <f>IF('LC (Gross)'!A645="","",'LC (Gross)'!A645)</f>
        <v/>
      </c>
      <c r="C498" s="1" t="str">
        <f>IF(B498="","",(VLOOKUP(B498,'LC (Gross)'!A:D,4,FALSE)/100))</f>
        <v/>
      </c>
      <c r="D498" s="1" t="str">
        <f>IF(B498="","",(VLOOKUP(B498,'SC (Gross)'!A:D,4,FALSE)-VLOOKUP(Website!B498,'SC (Gross)'!J:K,2,FALSE))/100)</f>
        <v/>
      </c>
      <c r="E498" s="1" t="str">
        <f>IF(B498="","",(VLOOKUP(B498,'Global (Gross)'!A:D,4,FALSE)-VLOOKUP(Website!B498,'Global (Gross)'!J:K,2,FALSE))/100)</f>
        <v/>
      </c>
      <c r="F498" s="1" t="str">
        <f>IF(B498="","",(VLOOKUP(B498,'BOGIX (Gross)'!A:D,4,FALSE)/100))</f>
        <v/>
      </c>
      <c r="G498" s="1"/>
      <c r="H498" s="1"/>
      <c r="I498" s="1"/>
      <c r="J498" s="1" t="str">
        <f>IF(B498="","",(VLOOKUP(B498,'BOGIX (Net)'!A:D,4,FALSE)/100))</f>
        <v/>
      </c>
      <c r="K498" s="1"/>
      <c r="L498" s="1"/>
      <c r="M498" s="1"/>
      <c r="S498" s="22" t="str">
        <f t="shared" si="234"/>
        <v/>
      </c>
      <c r="T498" s="22" t="str">
        <f t="shared" si="235"/>
        <v/>
      </c>
      <c r="U498" s="22" t="str">
        <f t="shared" si="236"/>
        <v/>
      </c>
      <c r="V498" s="22" t="str">
        <f t="shared" si="233"/>
        <v/>
      </c>
      <c r="W498" s="22" t="str">
        <f t="shared" ref="W498:W524" si="241">IF(G498="","",G498-S498)</f>
        <v/>
      </c>
      <c r="X498" s="22" t="str">
        <f t="shared" ref="X498:X524" si="242">IF(H498="","",H498-T498)</f>
        <v/>
      </c>
      <c r="Y498" s="22" t="str">
        <f t="shared" ref="Y498:Y524" si="243">IF(I498="","",I498-U498)</f>
        <v/>
      </c>
    </row>
    <row r="499" spans="2:25" x14ac:dyDescent="0.25">
      <c r="B499" s="169" t="str">
        <f>IF('LC (Gross)'!A646="","",'LC (Gross)'!A646)</f>
        <v/>
      </c>
      <c r="C499" s="1" t="str">
        <f>IF(B499="","",(VLOOKUP(B499,'LC (Gross)'!A:D,4,FALSE)/100))</f>
        <v/>
      </c>
      <c r="D499" s="1" t="str">
        <f>IF(B499="","",(VLOOKUP(B499,'SC (Gross)'!A:D,4,FALSE)-VLOOKUP(Website!B499,'SC (Gross)'!J:K,2,FALSE))/100)</f>
        <v/>
      </c>
      <c r="E499" s="1" t="str">
        <f>IF(B499="","",(VLOOKUP(B499,'Global (Gross)'!A:D,4,FALSE)-VLOOKUP(Website!B499,'Global (Gross)'!J:K,2,FALSE))/100)</f>
        <v/>
      </c>
      <c r="F499" s="1" t="str">
        <f>IF(B499="","",(VLOOKUP(B499,'BOGIX (Gross)'!A:D,4,FALSE)/100))</f>
        <v/>
      </c>
      <c r="G499" s="1"/>
      <c r="H499" s="1"/>
      <c r="I499" s="1"/>
      <c r="J499" s="1" t="str">
        <f>IF(B499="","",(VLOOKUP(B499,'BOGIX (Net)'!A:D,4,FALSE)/100))</f>
        <v/>
      </c>
      <c r="K499" s="1"/>
      <c r="L499" s="1"/>
      <c r="M499" s="1"/>
      <c r="S499" s="22" t="str">
        <f t="shared" si="234"/>
        <v/>
      </c>
      <c r="T499" s="22" t="str">
        <f t="shared" si="235"/>
        <v/>
      </c>
      <c r="U499" s="22" t="str">
        <f t="shared" si="236"/>
        <v/>
      </c>
      <c r="V499" s="22" t="str">
        <f t="shared" si="233"/>
        <v/>
      </c>
      <c r="W499" s="22" t="str">
        <f t="shared" si="241"/>
        <v/>
      </c>
      <c r="X499" s="22" t="str">
        <f t="shared" si="242"/>
        <v/>
      </c>
      <c r="Y499" s="22" t="str">
        <f t="shared" si="243"/>
        <v/>
      </c>
    </row>
    <row r="500" spans="2:25" x14ac:dyDescent="0.25">
      <c r="B500" s="169" t="str">
        <f>IF('LC (Gross)'!A647="","",'LC (Gross)'!A647)</f>
        <v/>
      </c>
      <c r="C500" s="1" t="str">
        <f>IF(B500="","",(VLOOKUP(B500,'LC (Gross)'!A:D,4,FALSE)/100))</f>
        <v/>
      </c>
      <c r="D500" s="1" t="str">
        <f>IF(B500="","",(VLOOKUP(B500,'SC (Gross)'!A:D,4,FALSE)-VLOOKUP(Website!B500,'SC (Gross)'!J:K,2,FALSE))/100)</f>
        <v/>
      </c>
      <c r="E500" s="1" t="str">
        <f>IF(B500="","",(VLOOKUP(B500,'Global (Gross)'!A:D,4,FALSE)-VLOOKUP(Website!B500,'Global (Gross)'!J:K,2,FALSE))/100)</f>
        <v/>
      </c>
      <c r="F500" s="1" t="str">
        <f>IF(B500="","",(VLOOKUP(B500,'BOGIX (Gross)'!A:D,4,FALSE)/100))</f>
        <v/>
      </c>
      <c r="G500" s="1"/>
      <c r="H500" s="1"/>
      <c r="I500" s="1"/>
      <c r="J500" s="1" t="str">
        <f>IF(B500="","",(VLOOKUP(B500,'BOGIX (Net)'!A:D,4,FALSE)/100))</f>
        <v/>
      </c>
      <c r="K500" s="1"/>
      <c r="L500" s="1"/>
      <c r="M500" s="1"/>
      <c r="S500" s="22" t="str">
        <f t="shared" si="234"/>
        <v/>
      </c>
      <c r="T500" s="22" t="str">
        <f t="shared" si="235"/>
        <v/>
      </c>
      <c r="U500" s="22" t="str">
        <f t="shared" si="236"/>
        <v/>
      </c>
      <c r="V500" s="22" t="str">
        <f t="shared" si="233"/>
        <v/>
      </c>
      <c r="W500" s="22" t="str">
        <f t="shared" si="241"/>
        <v/>
      </c>
      <c r="X500" s="22" t="str">
        <f t="shared" si="242"/>
        <v/>
      </c>
      <c r="Y500" s="22" t="str">
        <f t="shared" si="243"/>
        <v/>
      </c>
    </row>
    <row r="501" spans="2:25" x14ac:dyDescent="0.25">
      <c r="B501" s="169" t="str">
        <f>IF('LC (Gross)'!A648="","",'LC (Gross)'!A648)</f>
        <v/>
      </c>
      <c r="C501" s="1" t="str">
        <f>IF(B501="","",(VLOOKUP(B501,'LC (Gross)'!A:D,4,FALSE)/100))</f>
        <v/>
      </c>
      <c r="D501" s="1" t="str">
        <f>IF(B501="","",(VLOOKUP(B501,'SC (Gross)'!A:D,4,FALSE)-VLOOKUP(Website!B501,'SC (Gross)'!J:K,2,FALSE))/100)</f>
        <v/>
      </c>
      <c r="E501" s="1" t="str">
        <f>IF(B501="","",(VLOOKUP(B501,'Global (Gross)'!A:D,4,FALSE)-VLOOKUP(Website!B501,'Global (Gross)'!J:K,2,FALSE))/100)</f>
        <v/>
      </c>
      <c r="F501" s="1" t="str">
        <f>IF(B501="","",(VLOOKUP(B501,'BOGIX (Gross)'!A:D,4,FALSE)/100))</f>
        <v/>
      </c>
      <c r="G501" s="1"/>
      <c r="H501" s="1"/>
      <c r="I501" s="1"/>
      <c r="J501" s="1" t="str">
        <f>IF(B501="","",(VLOOKUP(B501,'BOGIX (Net)'!A:D,4,FALSE)/100))</f>
        <v/>
      </c>
      <c r="K501" s="1"/>
      <c r="L501" s="1"/>
      <c r="M501" s="1"/>
      <c r="S501" s="22" t="str">
        <f t="shared" si="234"/>
        <v/>
      </c>
      <c r="T501" s="22" t="str">
        <f t="shared" si="235"/>
        <v/>
      </c>
      <c r="U501" s="22" t="str">
        <f t="shared" si="236"/>
        <v/>
      </c>
      <c r="V501" s="22" t="str">
        <f t="shared" si="233"/>
        <v/>
      </c>
      <c r="W501" s="22" t="str">
        <f t="shared" si="241"/>
        <v/>
      </c>
      <c r="X501" s="22" t="str">
        <f t="shared" si="242"/>
        <v/>
      </c>
      <c r="Y501" s="22" t="str">
        <f t="shared" si="243"/>
        <v/>
      </c>
    </row>
    <row r="502" spans="2:25" x14ac:dyDescent="0.25">
      <c r="B502" s="169" t="str">
        <f>IF('LC (Gross)'!A649="","",'LC (Gross)'!A649)</f>
        <v/>
      </c>
      <c r="C502" s="1" t="str">
        <f>IF(B502="","",(VLOOKUP(B502,'LC (Gross)'!A:D,4,FALSE)/100))</f>
        <v/>
      </c>
      <c r="D502" s="1" t="str">
        <f>IF(B502="","",(VLOOKUP(B502,'SC (Gross)'!A:D,4,FALSE)-VLOOKUP(Website!B502,'SC (Gross)'!J:K,2,FALSE))/100)</f>
        <v/>
      </c>
      <c r="E502" s="1" t="str">
        <f>IF(B502="","",(VLOOKUP(B502,'Global (Gross)'!A:D,4,FALSE)-VLOOKUP(Website!B502,'Global (Gross)'!J:K,2,FALSE))/100)</f>
        <v/>
      </c>
      <c r="F502" s="1" t="str">
        <f>IF(B502="","",(VLOOKUP(B502,'BOGIX (Gross)'!A:D,4,FALSE)/100))</f>
        <v/>
      </c>
      <c r="G502" s="1"/>
      <c r="H502" s="1"/>
      <c r="I502" s="1"/>
      <c r="J502" s="1" t="str">
        <f>IF(B502="","",(VLOOKUP(B502,'BOGIX (Net)'!A:D,4,FALSE)/100))</f>
        <v/>
      </c>
      <c r="K502" s="1"/>
      <c r="L502" s="1"/>
      <c r="M502" s="1"/>
      <c r="S502" s="22" t="str">
        <f t="shared" si="234"/>
        <v/>
      </c>
      <c r="T502" s="22" t="str">
        <f t="shared" si="235"/>
        <v/>
      </c>
      <c r="U502" s="22" t="str">
        <f t="shared" si="236"/>
        <v/>
      </c>
      <c r="V502" s="22" t="str">
        <f t="shared" si="233"/>
        <v/>
      </c>
      <c r="W502" s="22" t="str">
        <f t="shared" si="241"/>
        <v/>
      </c>
      <c r="X502" s="22" t="str">
        <f t="shared" si="242"/>
        <v/>
      </c>
      <c r="Y502" s="22" t="str">
        <f t="shared" si="243"/>
        <v/>
      </c>
    </row>
    <row r="503" spans="2:25" x14ac:dyDescent="0.25">
      <c r="B503" s="169" t="str">
        <f>IF('LC (Gross)'!A650="","",'LC (Gross)'!A650)</f>
        <v/>
      </c>
      <c r="C503" s="1" t="str">
        <f>IF(B503="","",(VLOOKUP(B503,'LC (Gross)'!A:D,4,FALSE)/100))</f>
        <v/>
      </c>
      <c r="D503" s="1" t="str">
        <f>IF(B503="","",(VLOOKUP(B503,'SC (Gross)'!A:D,4,FALSE)-VLOOKUP(Website!B503,'SC (Gross)'!J:K,2,FALSE))/100)</f>
        <v/>
      </c>
      <c r="E503" s="1" t="str">
        <f>IF(B503="","",(VLOOKUP(B503,'Global (Gross)'!A:D,4,FALSE)-VLOOKUP(Website!B503,'Global (Gross)'!J:K,2,FALSE))/100)</f>
        <v/>
      </c>
      <c r="F503" s="1" t="str">
        <f>IF(B503="","",(VLOOKUP(B503,'BOGIX (Gross)'!A:D,4,FALSE)/100))</f>
        <v/>
      </c>
      <c r="G503" s="1"/>
      <c r="H503" s="1"/>
      <c r="I503" s="1"/>
      <c r="J503" s="1" t="str">
        <f>IF(B503="","",(VLOOKUP(B503,'BOGIX (Net)'!A:D,4,FALSE)/100))</f>
        <v/>
      </c>
      <c r="K503" s="1"/>
      <c r="L503" s="1"/>
      <c r="M503" s="1"/>
      <c r="S503" s="22" t="str">
        <f t="shared" si="234"/>
        <v/>
      </c>
      <c r="T503" s="22" t="str">
        <f t="shared" si="235"/>
        <v/>
      </c>
      <c r="U503" s="22" t="str">
        <f t="shared" si="236"/>
        <v/>
      </c>
      <c r="V503" s="22" t="str">
        <f t="shared" si="233"/>
        <v/>
      </c>
      <c r="W503" s="22" t="str">
        <f t="shared" si="241"/>
        <v/>
      </c>
      <c r="X503" s="22" t="str">
        <f t="shared" si="242"/>
        <v/>
      </c>
      <c r="Y503" s="22" t="str">
        <f t="shared" si="243"/>
        <v/>
      </c>
    </row>
    <row r="504" spans="2:25" x14ac:dyDescent="0.25">
      <c r="B504" s="169" t="str">
        <f>IF('LC (Gross)'!A651="","",'LC (Gross)'!A651)</f>
        <v/>
      </c>
      <c r="C504" s="1" t="str">
        <f>IF(B504="","",(VLOOKUP(B504,'LC (Gross)'!A:D,4,FALSE)/100))</f>
        <v/>
      </c>
      <c r="D504" s="1" t="str">
        <f>IF(B504="","",(VLOOKUP(B504,'SC (Gross)'!A:D,4,FALSE)-VLOOKUP(Website!B504,'SC (Gross)'!J:K,2,FALSE))/100)</f>
        <v/>
      </c>
      <c r="E504" s="1" t="str">
        <f>IF(B504="","",(VLOOKUP(B504,'Global (Gross)'!A:D,4,FALSE)-VLOOKUP(Website!B504,'Global (Gross)'!J:K,2,FALSE))/100)</f>
        <v/>
      </c>
      <c r="F504" s="1" t="str">
        <f>IF(B504="","",(VLOOKUP(B504,'BOGIX (Gross)'!A:D,4,FALSE)/100))</f>
        <v/>
      </c>
      <c r="G504" s="1"/>
      <c r="H504" s="1"/>
      <c r="I504" s="1"/>
      <c r="J504" s="1" t="str">
        <f>IF(B504="","",(VLOOKUP(B504,'BOGIX (Net)'!A:D,4,FALSE)/100))</f>
        <v/>
      </c>
      <c r="K504" s="1"/>
      <c r="L504" s="1"/>
      <c r="M504" s="1"/>
      <c r="S504" s="22" t="str">
        <f t="shared" si="234"/>
        <v/>
      </c>
      <c r="T504" s="22" t="str">
        <f t="shared" si="235"/>
        <v/>
      </c>
      <c r="U504" s="22" t="str">
        <f t="shared" si="236"/>
        <v/>
      </c>
      <c r="V504" s="22" t="str">
        <f t="shared" si="233"/>
        <v/>
      </c>
      <c r="W504" s="22" t="str">
        <f t="shared" si="241"/>
        <v/>
      </c>
      <c r="X504" s="22" t="str">
        <f t="shared" si="242"/>
        <v/>
      </c>
      <c r="Y504" s="22" t="str">
        <f t="shared" si="243"/>
        <v/>
      </c>
    </row>
    <row r="505" spans="2:25" x14ac:dyDescent="0.25">
      <c r="B505" s="169" t="str">
        <f>IF('LC (Gross)'!A652="","",'LC (Gross)'!A652)</f>
        <v/>
      </c>
      <c r="C505" s="1" t="str">
        <f>IF(B505="","",(VLOOKUP(B505,'LC (Gross)'!A:D,4,FALSE)/100))</f>
        <v/>
      </c>
      <c r="D505" s="1" t="str">
        <f>IF(B505="","",(VLOOKUP(B505,'SC (Gross)'!A:D,4,FALSE)-VLOOKUP(Website!B505,'SC (Gross)'!J:K,2,FALSE))/100)</f>
        <v/>
      </c>
      <c r="E505" s="1" t="str">
        <f>IF(B505="","",(VLOOKUP(B505,'Global (Gross)'!A:D,4,FALSE)-VLOOKUP(Website!B505,'Global (Gross)'!J:K,2,FALSE))/100)</f>
        <v/>
      </c>
      <c r="F505" s="1" t="str">
        <f>IF(B505="","",(VLOOKUP(B505,'BOGIX (Gross)'!A:D,4,FALSE)/100))</f>
        <v/>
      </c>
      <c r="G505" s="1"/>
      <c r="H505" s="1"/>
      <c r="I505" s="1"/>
      <c r="J505" s="1" t="str">
        <f>IF(B505="","",(VLOOKUP(B505,'BOGIX (Net)'!A:D,4,FALSE)/100))</f>
        <v/>
      </c>
      <c r="K505" s="1"/>
      <c r="L505" s="1"/>
      <c r="M505" s="1"/>
      <c r="S505" s="22" t="str">
        <f t="shared" si="234"/>
        <v/>
      </c>
      <c r="T505" s="22" t="str">
        <f t="shared" si="235"/>
        <v/>
      </c>
      <c r="U505" s="22" t="str">
        <f t="shared" si="236"/>
        <v/>
      </c>
      <c r="V505" s="22" t="str">
        <f t="shared" si="233"/>
        <v/>
      </c>
      <c r="W505" s="22" t="str">
        <f t="shared" si="241"/>
        <v/>
      </c>
      <c r="X505" s="22" t="str">
        <f t="shared" si="242"/>
        <v/>
      </c>
      <c r="Y505" s="22" t="str">
        <f t="shared" si="243"/>
        <v/>
      </c>
    </row>
    <row r="506" spans="2:25" x14ac:dyDescent="0.25">
      <c r="B506" s="169" t="str">
        <f>IF('LC (Gross)'!A653="","",'LC (Gross)'!A653)</f>
        <v/>
      </c>
      <c r="C506" s="1" t="str">
        <f>IF(B506="","",(VLOOKUP(B506,'LC (Gross)'!A:D,4,FALSE)/100))</f>
        <v/>
      </c>
      <c r="D506" s="1" t="str">
        <f>IF(B506="","",(VLOOKUP(B506,'SC (Gross)'!A:D,4,FALSE)-VLOOKUP(Website!B506,'SC (Gross)'!J:K,2,FALSE))/100)</f>
        <v/>
      </c>
      <c r="E506" s="1" t="str">
        <f>IF(B506="","",(VLOOKUP(B506,'Global (Gross)'!A:D,4,FALSE)-VLOOKUP(Website!B506,'Global (Gross)'!J:K,2,FALSE))/100)</f>
        <v/>
      </c>
      <c r="F506" s="1" t="str">
        <f>IF(B506="","",(VLOOKUP(B506,'BOGIX (Gross)'!A:D,4,FALSE)/100))</f>
        <v/>
      </c>
      <c r="G506" s="1"/>
      <c r="H506" s="1"/>
      <c r="I506" s="1"/>
      <c r="J506" s="1" t="str">
        <f>IF(B506="","",(VLOOKUP(B506,'BOGIX (Net)'!A:D,4,FALSE)/100))</f>
        <v/>
      </c>
      <c r="K506" s="1"/>
      <c r="L506" s="1"/>
      <c r="M506" s="1"/>
      <c r="S506" s="22" t="str">
        <f t="shared" si="234"/>
        <v/>
      </c>
      <c r="T506" s="22" t="str">
        <f t="shared" si="235"/>
        <v/>
      </c>
      <c r="U506" s="22" t="str">
        <f t="shared" si="236"/>
        <v/>
      </c>
      <c r="V506" s="22" t="str">
        <f t="shared" si="233"/>
        <v/>
      </c>
      <c r="W506" s="22" t="str">
        <f t="shared" si="241"/>
        <v/>
      </c>
      <c r="X506" s="22" t="str">
        <f t="shared" si="242"/>
        <v/>
      </c>
      <c r="Y506" s="22" t="str">
        <f t="shared" si="243"/>
        <v/>
      </c>
    </row>
    <row r="507" spans="2:25" x14ac:dyDescent="0.25">
      <c r="B507" s="169" t="str">
        <f>IF('LC (Gross)'!A654="","",'LC (Gross)'!A654)</f>
        <v/>
      </c>
      <c r="C507" s="1" t="str">
        <f>IF(B507="","",(VLOOKUP(B507,'LC (Gross)'!A:D,4,FALSE)/100))</f>
        <v/>
      </c>
      <c r="D507" s="1" t="str">
        <f>IF(B507="","",(VLOOKUP(B507,'SC (Gross)'!A:D,4,FALSE)-VLOOKUP(Website!B507,'SC (Gross)'!J:K,2,FALSE))/100)</f>
        <v/>
      </c>
      <c r="E507" s="1" t="str">
        <f>IF(B507="","",(VLOOKUP(B507,'Global (Gross)'!A:D,4,FALSE)-VLOOKUP(Website!B507,'Global (Gross)'!J:K,2,FALSE))/100)</f>
        <v/>
      </c>
      <c r="F507" s="1" t="str">
        <f>IF(B507="","",(VLOOKUP(B507,'BOGIX (Gross)'!A:D,4,FALSE)/100))</f>
        <v/>
      </c>
      <c r="G507" s="1"/>
      <c r="H507" s="1"/>
      <c r="I507" s="1"/>
      <c r="J507" s="1" t="str">
        <f>IF(B507="","",(VLOOKUP(B507,'BOGIX (Net)'!A:D,4,FALSE)/100))</f>
        <v/>
      </c>
      <c r="K507" s="1"/>
      <c r="L507" s="1"/>
      <c r="M507" s="1"/>
      <c r="S507" s="22" t="str">
        <f t="shared" si="234"/>
        <v/>
      </c>
      <c r="T507" s="22" t="str">
        <f t="shared" si="235"/>
        <v/>
      </c>
      <c r="U507" s="22" t="str">
        <f t="shared" si="236"/>
        <v/>
      </c>
      <c r="V507" s="22" t="str">
        <f t="shared" si="233"/>
        <v/>
      </c>
      <c r="W507" s="22" t="str">
        <f t="shared" si="241"/>
        <v/>
      </c>
      <c r="X507" s="22" t="str">
        <f t="shared" si="242"/>
        <v/>
      </c>
      <c r="Y507" s="22" t="str">
        <f t="shared" si="243"/>
        <v/>
      </c>
    </row>
    <row r="508" spans="2:25" x14ac:dyDescent="0.25">
      <c r="B508" s="169" t="str">
        <f>IF('LC (Gross)'!A655="","",'LC (Gross)'!A655)</f>
        <v/>
      </c>
      <c r="C508" s="1" t="str">
        <f>IF(B508="","",(VLOOKUP(B508,'LC (Gross)'!A:D,4,FALSE)/100))</f>
        <v/>
      </c>
      <c r="D508" s="1" t="str">
        <f>IF(B508="","",(VLOOKUP(B508,'SC (Gross)'!A:D,4,FALSE)-VLOOKUP(Website!B508,'SC (Gross)'!J:K,2,FALSE))/100)</f>
        <v/>
      </c>
      <c r="E508" s="1" t="str">
        <f>IF(B508="","",(VLOOKUP(B508,'Global (Gross)'!A:D,4,FALSE)-VLOOKUP(Website!B508,'Global (Gross)'!J:K,2,FALSE))/100)</f>
        <v/>
      </c>
      <c r="F508" s="1" t="str">
        <f>IF(B508="","",(VLOOKUP(B508,'BOGIX (Gross)'!A:D,4,FALSE)/100))</f>
        <v/>
      </c>
      <c r="G508" s="1"/>
      <c r="H508" s="1"/>
      <c r="I508" s="1"/>
      <c r="J508" s="1" t="str">
        <f>IF(B508="","",(VLOOKUP(B508,'BOGIX (Net)'!A:D,4,FALSE)/100))</f>
        <v/>
      </c>
      <c r="K508" s="1"/>
      <c r="L508" s="1"/>
      <c r="M508" s="1"/>
      <c r="S508" s="22" t="str">
        <f t="shared" si="234"/>
        <v/>
      </c>
      <c r="T508" s="22" t="str">
        <f t="shared" si="235"/>
        <v/>
      </c>
      <c r="U508" s="22" t="str">
        <f t="shared" si="236"/>
        <v/>
      </c>
      <c r="V508" s="22" t="str">
        <f t="shared" si="233"/>
        <v/>
      </c>
      <c r="W508" s="22" t="str">
        <f t="shared" si="241"/>
        <v/>
      </c>
      <c r="X508" s="22" t="str">
        <f t="shared" si="242"/>
        <v/>
      </c>
      <c r="Y508" s="22" t="str">
        <f t="shared" si="243"/>
        <v/>
      </c>
    </row>
    <row r="509" spans="2:25" x14ac:dyDescent="0.25">
      <c r="B509" s="169" t="str">
        <f>IF('LC (Gross)'!A656="","",'LC (Gross)'!A656)</f>
        <v/>
      </c>
      <c r="C509" s="1" t="str">
        <f>IF(B509="","",(VLOOKUP(B509,'LC (Gross)'!A:D,4,FALSE)/100))</f>
        <v/>
      </c>
      <c r="D509" s="1" t="str">
        <f>IF(B509="","",(VLOOKUP(B509,'SC (Gross)'!A:D,4,FALSE)-VLOOKUP(Website!B509,'SC (Gross)'!J:K,2,FALSE))/100)</f>
        <v/>
      </c>
      <c r="E509" s="1" t="str">
        <f>IF(B509="","",(VLOOKUP(B509,'Global (Gross)'!A:D,4,FALSE)-VLOOKUP(Website!B509,'Global (Gross)'!J:K,2,FALSE))/100)</f>
        <v/>
      </c>
      <c r="F509" s="1" t="str">
        <f>IF(B509="","",(VLOOKUP(B509,'BOGIX (Gross)'!A:D,4,FALSE)/100))</f>
        <v/>
      </c>
      <c r="G509" s="1"/>
      <c r="H509" s="1"/>
      <c r="I509" s="1"/>
      <c r="J509" s="1" t="str">
        <f>IF(B509="","",(VLOOKUP(B509,'BOGIX (Net)'!A:D,4,FALSE)/100))</f>
        <v/>
      </c>
      <c r="K509" s="1"/>
      <c r="L509" s="1"/>
      <c r="M509" s="1"/>
      <c r="S509" s="22" t="str">
        <f t="shared" si="234"/>
        <v/>
      </c>
      <c r="T509" s="22" t="str">
        <f t="shared" si="235"/>
        <v/>
      </c>
      <c r="U509" s="22" t="str">
        <f t="shared" si="236"/>
        <v/>
      </c>
      <c r="V509" s="22" t="str">
        <f t="shared" ref="V509:V524" si="244">IF(F509="","",F509-P509)</f>
        <v/>
      </c>
      <c r="W509" s="22" t="str">
        <f t="shared" si="241"/>
        <v/>
      </c>
      <c r="X509" s="22" t="str">
        <f t="shared" si="242"/>
        <v/>
      </c>
      <c r="Y509" s="22" t="str">
        <f t="shared" si="243"/>
        <v/>
      </c>
    </row>
    <row r="510" spans="2:25" x14ac:dyDescent="0.25">
      <c r="B510" s="169" t="str">
        <f>IF('LC (Gross)'!A657="","",'LC (Gross)'!A657)</f>
        <v/>
      </c>
      <c r="C510" s="1" t="str">
        <f>IF(B510="","",(VLOOKUP(B510,'LC (Gross)'!A:D,4,FALSE)/100))</f>
        <v/>
      </c>
      <c r="D510" s="1" t="str">
        <f>IF(B510="","",(VLOOKUP(B510,'SC (Gross)'!A:D,4,FALSE)-VLOOKUP(Website!B510,'SC (Gross)'!J:K,2,FALSE))/100)</f>
        <v/>
      </c>
      <c r="E510" s="1" t="str">
        <f>IF(B510="","",(VLOOKUP(B510,'Global (Gross)'!A:D,4,FALSE)-VLOOKUP(Website!B510,'Global (Gross)'!J:K,2,FALSE))/100)</f>
        <v/>
      </c>
      <c r="F510" s="1" t="str">
        <f>IF(B510="","",(VLOOKUP(B510,'BOGIX (Gross)'!A:D,4,FALSE)/100))</f>
        <v/>
      </c>
      <c r="G510" s="1"/>
      <c r="H510" s="1"/>
      <c r="I510" s="1"/>
      <c r="J510" s="1" t="str">
        <f>IF(B510="","",(VLOOKUP(B510,'BOGIX (Net)'!A:D,4,FALSE)/100))</f>
        <v/>
      </c>
      <c r="K510" s="1"/>
      <c r="L510" s="1"/>
      <c r="M510" s="1"/>
      <c r="S510" s="22" t="str">
        <f t="shared" si="234"/>
        <v/>
      </c>
      <c r="T510" s="22" t="str">
        <f t="shared" si="235"/>
        <v/>
      </c>
      <c r="U510" s="22" t="str">
        <f t="shared" si="236"/>
        <v/>
      </c>
      <c r="V510" s="22" t="str">
        <f t="shared" si="244"/>
        <v/>
      </c>
      <c r="W510" s="22" t="str">
        <f t="shared" si="241"/>
        <v/>
      </c>
      <c r="X510" s="22" t="str">
        <f t="shared" si="242"/>
        <v/>
      </c>
      <c r="Y510" s="22" t="str">
        <f t="shared" si="243"/>
        <v/>
      </c>
    </row>
    <row r="511" spans="2:25" x14ac:dyDescent="0.25">
      <c r="B511" s="169" t="str">
        <f>IF('LC (Gross)'!A658="","",'LC (Gross)'!A658)</f>
        <v/>
      </c>
      <c r="C511" s="1" t="str">
        <f>IF(B511="","",(VLOOKUP(B511,'LC (Gross)'!A:D,4,FALSE)/100))</f>
        <v/>
      </c>
      <c r="D511" s="1" t="str">
        <f>IF(B511="","",(VLOOKUP(B511,'SC (Gross)'!A:D,4,FALSE)-VLOOKUP(Website!B511,'SC (Gross)'!J:K,2,FALSE))/100)</f>
        <v/>
      </c>
      <c r="E511" s="1" t="str">
        <f>IF(B511="","",(VLOOKUP(B511,'Global (Gross)'!A:D,4,FALSE)-VLOOKUP(Website!B511,'Global (Gross)'!J:K,2,FALSE))/100)</f>
        <v/>
      </c>
      <c r="F511" s="1" t="str">
        <f>IF(B511="","",(VLOOKUP(B511,'BOGIX (Gross)'!A:D,4,FALSE)/100))</f>
        <v/>
      </c>
      <c r="G511" s="1"/>
      <c r="H511" s="1"/>
      <c r="I511" s="1"/>
      <c r="J511" s="1" t="str">
        <f>IF(B511="","",(VLOOKUP(B511,'BOGIX (Net)'!A:D,4,FALSE)/100))</f>
        <v/>
      </c>
      <c r="K511" s="1"/>
      <c r="L511" s="1"/>
      <c r="M511" s="1"/>
      <c r="S511" s="22" t="str">
        <f t="shared" si="234"/>
        <v/>
      </c>
      <c r="T511" s="22" t="str">
        <f t="shared" si="235"/>
        <v/>
      </c>
      <c r="U511" s="22" t="str">
        <f t="shared" si="236"/>
        <v/>
      </c>
      <c r="V511" s="22" t="str">
        <f t="shared" si="244"/>
        <v/>
      </c>
      <c r="W511" s="22" t="str">
        <f t="shared" si="241"/>
        <v/>
      </c>
      <c r="X511" s="22" t="str">
        <f t="shared" si="242"/>
        <v/>
      </c>
      <c r="Y511" s="22" t="str">
        <f t="shared" si="243"/>
        <v/>
      </c>
    </row>
    <row r="512" spans="2:25" x14ac:dyDescent="0.25">
      <c r="B512" s="169" t="str">
        <f>IF('LC (Gross)'!A659="","",'LC (Gross)'!A659)</f>
        <v/>
      </c>
      <c r="C512" s="1" t="str">
        <f>IF(B512="","",(VLOOKUP(B512,'LC (Gross)'!A:D,4,FALSE)/100))</f>
        <v/>
      </c>
      <c r="D512" s="1" t="str">
        <f>IF(B512="","",(VLOOKUP(B512,'SC (Gross)'!A:D,4,FALSE)-VLOOKUP(Website!B512,'SC (Gross)'!J:K,2,FALSE))/100)</f>
        <v/>
      </c>
      <c r="E512" s="1" t="str">
        <f>IF(B512="","",(VLOOKUP(B512,'Global (Gross)'!A:D,4,FALSE)-VLOOKUP(Website!B512,'Global (Gross)'!J:K,2,FALSE))/100)</f>
        <v/>
      </c>
      <c r="F512" s="1" t="str">
        <f>IF(B512="","",(VLOOKUP(B512,'BOGIX (Gross)'!A:D,4,FALSE)/100))</f>
        <v/>
      </c>
      <c r="G512" s="1"/>
      <c r="H512" s="1"/>
      <c r="I512" s="1"/>
      <c r="J512" s="1" t="str">
        <f>IF(B512="","",(VLOOKUP(B512,'BOGIX (Net)'!A:D,4,FALSE)/100))</f>
        <v/>
      </c>
      <c r="K512" s="1"/>
      <c r="L512" s="1"/>
      <c r="M512" s="1"/>
      <c r="S512" s="22" t="str">
        <f t="shared" si="234"/>
        <v/>
      </c>
      <c r="T512" s="22" t="str">
        <f t="shared" si="235"/>
        <v/>
      </c>
      <c r="U512" s="22" t="str">
        <f t="shared" si="236"/>
        <v/>
      </c>
      <c r="V512" s="22" t="str">
        <f t="shared" si="244"/>
        <v/>
      </c>
      <c r="W512" s="22" t="str">
        <f t="shared" si="241"/>
        <v/>
      </c>
      <c r="X512" s="22" t="str">
        <f t="shared" si="242"/>
        <v/>
      </c>
      <c r="Y512" s="22" t="str">
        <f t="shared" si="243"/>
        <v/>
      </c>
    </row>
    <row r="513" spans="2:25" x14ac:dyDescent="0.25">
      <c r="B513" s="169" t="str">
        <f>IF('LC (Gross)'!A660="","",'LC (Gross)'!A660)</f>
        <v/>
      </c>
      <c r="C513" s="1" t="str">
        <f>IF(B513="","",(VLOOKUP(B513,'LC (Gross)'!A:D,4,FALSE)/100))</f>
        <v/>
      </c>
      <c r="D513" s="1" t="str">
        <f>IF(B513="","",(VLOOKUP(B513,'SC (Gross)'!A:D,4,FALSE)-VLOOKUP(Website!B513,'SC (Gross)'!J:K,2,FALSE))/100)</f>
        <v/>
      </c>
      <c r="E513" s="1" t="str">
        <f>IF(B513="","",(VLOOKUP(B513,'Global (Gross)'!A:D,4,FALSE)-VLOOKUP(Website!B513,'Global (Gross)'!J:K,2,FALSE))/100)</f>
        <v/>
      </c>
      <c r="F513" s="1" t="str">
        <f>IF(B513="","",(VLOOKUP(B513,'BOGIX (Gross)'!A:D,4,FALSE)/100))</f>
        <v/>
      </c>
      <c r="G513" s="1"/>
      <c r="H513" s="1"/>
      <c r="I513" s="1"/>
      <c r="J513" s="1" t="str">
        <f>IF(B513="","",(VLOOKUP(B513,'BOGIX (Net)'!A:D,4,FALSE)/100))</f>
        <v/>
      </c>
      <c r="K513" s="1"/>
      <c r="L513" s="1"/>
      <c r="M513" s="1"/>
      <c r="S513" s="22" t="str">
        <f t="shared" si="234"/>
        <v/>
      </c>
      <c r="T513" s="22" t="str">
        <f t="shared" si="235"/>
        <v/>
      </c>
      <c r="U513" s="22" t="str">
        <f t="shared" si="236"/>
        <v/>
      </c>
      <c r="V513" s="22" t="str">
        <f t="shared" si="244"/>
        <v/>
      </c>
      <c r="W513" s="22" t="str">
        <f t="shared" si="241"/>
        <v/>
      </c>
      <c r="X513" s="22" t="str">
        <f t="shared" si="242"/>
        <v/>
      </c>
      <c r="Y513" s="22" t="str">
        <f t="shared" si="243"/>
        <v/>
      </c>
    </row>
    <row r="514" spans="2:25" x14ac:dyDescent="0.25">
      <c r="B514" s="169" t="str">
        <f>IF('LC (Gross)'!A661="","",'LC (Gross)'!A661)</f>
        <v/>
      </c>
      <c r="C514" s="1" t="str">
        <f>IF(B514="","",(VLOOKUP(B514,'LC (Gross)'!A:D,4,FALSE)/100))</f>
        <v/>
      </c>
      <c r="D514" s="1" t="str">
        <f>IF(B514="","",(VLOOKUP(B514,'SC (Gross)'!A:D,4,FALSE)-VLOOKUP(Website!B514,'SC (Gross)'!J:K,2,FALSE))/100)</f>
        <v/>
      </c>
      <c r="E514" s="1" t="str">
        <f>IF(B514="","",(VLOOKUP(B514,'Global (Gross)'!A:D,4,FALSE)-VLOOKUP(Website!B514,'Global (Gross)'!J:K,2,FALSE))/100)</f>
        <v/>
      </c>
      <c r="F514" s="1" t="str">
        <f>IF(B514="","",(VLOOKUP(B514,'BOGIX (Gross)'!A:D,4,FALSE)/100))</f>
        <v/>
      </c>
      <c r="G514" s="1"/>
      <c r="H514" s="1"/>
      <c r="I514" s="1"/>
      <c r="J514" s="1" t="str">
        <f>IF(B514="","",(VLOOKUP(B514,'BOGIX (Net)'!A:D,4,FALSE)/100))</f>
        <v/>
      </c>
      <c r="K514" s="1"/>
      <c r="L514" s="1"/>
      <c r="M514" s="1"/>
      <c r="S514" s="22" t="str">
        <f t="shared" si="234"/>
        <v/>
      </c>
      <c r="T514" s="22" t="str">
        <f t="shared" si="235"/>
        <v/>
      </c>
      <c r="U514" s="22" t="str">
        <f t="shared" si="236"/>
        <v/>
      </c>
      <c r="V514" s="22" t="str">
        <f t="shared" si="244"/>
        <v/>
      </c>
      <c r="W514" s="22" t="str">
        <f t="shared" si="241"/>
        <v/>
      </c>
      <c r="X514" s="22" t="str">
        <f t="shared" si="242"/>
        <v/>
      </c>
      <c r="Y514" s="22" t="str">
        <f t="shared" si="243"/>
        <v/>
      </c>
    </row>
    <row r="515" spans="2:25" x14ac:dyDescent="0.25">
      <c r="B515" s="169" t="str">
        <f>IF('LC (Gross)'!A662="","",'LC (Gross)'!A662)</f>
        <v/>
      </c>
      <c r="C515" s="1" t="str">
        <f>IF(B515="","",(VLOOKUP(B515,'LC (Gross)'!A:D,4,FALSE)/100))</f>
        <v/>
      </c>
      <c r="D515" s="1" t="str">
        <f>IF(B515="","",(VLOOKUP(B515,'SC (Gross)'!A:D,4,FALSE)-VLOOKUP(Website!B515,'SC (Gross)'!J:K,2,FALSE))/100)</f>
        <v/>
      </c>
      <c r="E515" s="1" t="str">
        <f>IF(B515="","",(VLOOKUP(B515,'Global (Gross)'!A:D,4,FALSE)-VLOOKUP(Website!B515,'Global (Gross)'!J:K,2,FALSE))/100)</f>
        <v/>
      </c>
      <c r="F515" s="1" t="str">
        <f>IF(B515="","",(VLOOKUP(B515,'BOGIX (Gross)'!A:D,4,FALSE)/100))</f>
        <v/>
      </c>
      <c r="G515" s="1"/>
      <c r="H515" s="1"/>
      <c r="I515" s="1"/>
      <c r="J515" s="1" t="str">
        <f>IF(B515="","",(VLOOKUP(B515,'BOGIX (Net)'!A:D,4,FALSE)/100))</f>
        <v/>
      </c>
      <c r="K515" s="1"/>
      <c r="L515" s="1"/>
      <c r="M515" s="1"/>
      <c r="S515" s="22" t="str">
        <f t="shared" ref="S515:S524" si="245">IF(C515="","",C515-O515)</f>
        <v/>
      </c>
      <c r="T515" s="22" t="str">
        <f t="shared" ref="T515:T524" si="246">IF(D515="","",D515-P515)</f>
        <v/>
      </c>
      <c r="U515" s="22" t="str">
        <f t="shared" ref="U515:U524" si="247">IF(E515="","",E515-Q515)</f>
        <v/>
      </c>
      <c r="V515" s="22" t="str">
        <f t="shared" si="244"/>
        <v/>
      </c>
      <c r="W515" s="22" t="str">
        <f t="shared" si="241"/>
        <v/>
      </c>
      <c r="X515" s="22" t="str">
        <f t="shared" si="242"/>
        <v/>
      </c>
      <c r="Y515" s="22" t="str">
        <f t="shared" si="243"/>
        <v/>
      </c>
    </row>
    <row r="516" spans="2:25" x14ac:dyDescent="0.25">
      <c r="B516" s="169" t="str">
        <f>IF('LC (Gross)'!A663="","",'LC (Gross)'!A663)</f>
        <v/>
      </c>
      <c r="C516" s="1" t="str">
        <f>IF(B516="","",(VLOOKUP(B516,'LC (Gross)'!A:D,4,FALSE)/100))</f>
        <v/>
      </c>
      <c r="D516" s="1" t="str">
        <f>IF(B516="","",(VLOOKUP(B516,'SC (Gross)'!A:D,4,FALSE)-VLOOKUP(Website!B516,'SC (Gross)'!J:K,2,FALSE))/100)</f>
        <v/>
      </c>
      <c r="E516" s="1" t="str">
        <f>IF(B516="","",(VLOOKUP(B516,'Global (Gross)'!A:D,4,FALSE)-VLOOKUP(Website!B516,'Global (Gross)'!J:K,2,FALSE))/100)</f>
        <v/>
      </c>
      <c r="F516" s="1" t="str">
        <f>IF(B516="","",(VLOOKUP(B516,'BOGIX (Gross)'!A:D,4,FALSE)/100))</f>
        <v/>
      </c>
      <c r="G516" s="1"/>
      <c r="H516" s="1"/>
      <c r="I516" s="1"/>
      <c r="J516" s="1" t="str">
        <f>IF(B516="","",(VLOOKUP(B516,'BOGIX (Net)'!A:D,4,FALSE)/100))</f>
        <v/>
      </c>
      <c r="K516" s="1"/>
      <c r="L516" s="1"/>
      <c r="M516" s="1"/>
      <c r="S516" s="22" t="str">
        <f t="shared" si="245"/>
        <v/>
      </c>
      <c r="T516" s="22" t="str">
        <f t="shared" si="246"/>
        <v/>
      </c>
      <c r="U516" s="22" t="str">
        <f t="shared" si="247"/>
        <v/>
      </c>
      <c r="V516" s="22" t="str">
        <f t="shared" si="244"/>
        <v/>
      </c>
      <c r="W516" s="22" t="str">
        <f t="shared" si="241"/>
        <v/>
      </c>
      <c r="X516" s="22" t="str">
        <f t="shared" si="242"/>
        <v/>
      </c>
      <c r="Y516" s="22" t="str">
        <f t="shared" si="243"/>
        <v/>
      </c>
    </row>
    <row r="517" spans="2:25" x14ac:dyDescent="0.25">
      <c r="B517" s="169" t="str">
        <f>IF('LC (Gross)'!A664="","",'LC (Gross)'!A664)</f>
        <v/>
      </c>
      <c r="C517" s="1" t="str">
        <f>IF(B517="","",(VLOOKUP(B517,'LC (Gross)'!A:D,4,FALSE)/100))</f>
        <v/>
      </c>
      <c r="D517" s="1" t="str">
        <f>IF(B517="","",(VLOOKUP(B517,'SC (Gross)'!A:D,4,FALSE)-VLOOKUP(Website!B517,'SC (Gross)'!J:K,2,FALSE))/100)</f>
        <v/>
      </c>
      <c r="E517" s="1" t="str">
        <f>IF(B517="","",(VLOOKUP(B517,'Global (Gross)'!A:D,4,FALSE)-VLOOKUP(Website!B517,'Global (Gross)'!J:K,2,FALSE))/100)</f>
        <v/>
      </c>
      <c r="F517" s="1" t="str">
        <f>IF(B517="","",(VLOOKUP(B517,'BOGIX (Gross)'!A:D,4,FALSE)/100))</f>
        <v/>
      </c>
      <c r="G517" s="1"/>
      <c r="H517" s="1"/>
      <c r="I517" s="1"/>
      <c r="J517" s="1" t="str">
        <f>IF(B517="","",(VLOOKUP(B517,'BOGIX (Net)'!A:D,4,FALSE)/100))</f>
        <v/>
      </c>
      <c r="K517" s="1"/>
      <c r="L517" s="1"/>
      <c r="M517" s="1"/>
      <c r="S517" s="22" t="str">
        <f t="shared" si="245"/>
        <v/>
      </c>
      <c r="T517" s="22" t="str">
        <f t="shared" si="246"/>
        <v/>
      </c>
      <c r="U517" s="22" t="str">
        <f t="shared" si="247"/>
        <v/>
      </c>
      <c r="V517" s="22" t="str">
        <f t="shared" si="244"/>
        <v/>
      </c>
      <c r="W517" s="22" t="str">
        <f t="shared" si="241"/>
        <v/>
      </c>
      <c r="X517" s="22" t="str">
        <f t="shared" si="242"/>
        <v/>
      </c>
      <c r="Y517" s="22" t="str">
        <f t="shared" si="243"/>
        <v/>
      </c>
    </row>
    <row r="518" spans="2:25" x14ac:dyDescent="0.25">
      <c r="B518" s="169" t="str">
        <f>IF('LC (Gross)'!A665="","",'LC (Gross)'!A665)</f>
        <v/>
      </c>
      <c r="C518" s="1" t="str">
        <f>IF(B518="","",(VLOOKUP(B518,'LC (Gross)'!A:D,4,FALSE)/100))</f>
        <v/>
      </c>
      <c r="D518" s="1" t="str">
        <f>IF(B518="","",(VLOOKUP(B518,'SC (Gross)'!A:D,4,FALSE)-VLOOKUP(Website!B518,'SC (Gross)'!J:K,2,FALSE))/100)</f>
        <v/>
      </c>
      <c r="E518" s="1" t="str">
        <f>IF(B518="","",(VLOOKUP(B518,'Global (Gross)'!A:D,4,FALSE)-VLOOKUP(Website!B518,'Global (Gross)'!J:K,2,FALSE))/100)</f>
        <v/>
      </c>
      <c r="F518" s="1" t="str">
        <f>IF(B518="","",(VLOOKUP(B518,'BOGIX (Gross)'!A:D,4,FALSE)/100))</f>
        <v/>
      </c>
      <c r="G518" s="1"/>
      <c r="H518" s="1"/>
      <c r="I518" s="1"/>
      <c r="J518" s="1" t="str">
        <f>IF(B518="","",(VLOOKUP(B518,'BOGIX (Net)'!A:D,4,FALSE)/100))</f>
        <v/>
      </c>
      <c r="K518" s="1"/>
      <c r="L518" s="1"/>
      <c r="M518" s="1"/>
      <c r="S518" s="22" t="str">
        <f t="shared" si="245"/>
        <v/>
      </c>
      <c r="T518" s="22" t="str">
        <f t="shared" si="246"/>
        <v/>
      </c>
      <c r="U518" s="22" t="str">
        <f t="shared" si="247"/>
        <v/>
      </c>
      <c r="V518" s="22" t="str">
        <f t="shared" si="244"/>
        <v/>
      </c>
      <c r="W518" s="22" t="str">
        <f t="shared" si="241"/>
        <v/>
      </c>
      <c r="X518" s="22" t="str">
        <f t="shared" si="242"/>
        <v/>
      </c>
      <c r="Y518" s="22" t="str">
        <f t="shared" si="243"/>
        <v/>
      </c>
    </row>
    <row r="519" spans="2:25" x14ac:dyDescent="0.25">
      <c r="B519" s="169" t="str">
        <f>IF('LC (Gross)'!A666="","",'LC (Gross)'!A666)</f>
        <v/>
      </c>
      <c r="C519" s="1" t="str">
        <f>IF(B519="","",(VLOOKUP(B519,'LC (Gross)'!A:D,4,FALSE)/100))</f>
        <v/>
      </c>
      <c r="D519" s="1" t="str">
        <f>IF(B519="","",(VLOOKUP(B519,'SC (Gross)'!A:D,4,FALSE)-VLOOKUP(Website!B519,'SC (Gross)'!J:K,2,FALSE))/100)</f>
        <v/>
      </c>
      <c r="E519" s="1" t="str">
        <f>IF(B519="","",(VLOOKUP(B519,'Global (Gross)'!A:D,4,FALSE)-VLOOKUP(Website!B519,'Global (Gross)'!J:K,2,FALSE))/100)</f>
        <v/>
      </c>
      <c r="F519" s="1" t="str">
        <f>IF(B519="","",(VLOOKUP(B519,'BOGIX (Gross)'!A:D,4,FALSE)/100))</f>
        <v/>
      </c>
      <c r="G519" s="1"/>
      <c r="H519" s="1"/>
      <c r="I519" s="1"/>
      <c r="J519" s="1" t="str">
        <f>IF(B519="","",(VLOOKUP(B519,'BOGIX (Net)'!A:D,4,FALSE)/100))</f>
        <v/>
      </c>
      <c r="K519" s="1"/>
      <c r="L519" s="1"/>
      <c r="M519" s="1"/>
      <c r="S519" s="22" t="str">
        <f t="shared" si="245"/>
        <v/>
      </c>
      <c r="T519" s="22" t="str">
        <f t="shared" si="246"/>
        <v/>
      </c>
      <c r="U519" s="22" t="str">
        <f t="shared" si="247"/>
        <v/>
      </c>
      <c r="V519" s="22" t="str">
        <f t="shared" si="244"/>
        <v/>
      </c>
      <c r="W519" s="22" t="str">
        <f t="shared" si="241"/>
        <v/>
      </c>
      <c r="X519" s="22" t="str">
        <f t="shared" si="242"/>
        <v/>
      </c>
      <c r="Y519" s="22" t="str">
        <f t="shared" si="243"/>
        <v/>
      </c>
    </row>
    <row r="520" spans="2:25" x14ac:dyDescent="0.25">
      <c r="B520" s="169" t="str">
        <f>IF('LC (Gross)'!A667="","",'LC (Gross)'!A667)</f>
        <v/>
      </c>
      <c r="C520" s="1" t="str">
        <f>IF(B520="","",(VLOOKUP(B520,'LC (Gross)'!A:D,4,FALSE)/100))</f>
        <v/>
      </c>
      <c r="D520" s="1" t="str">
        <f>IF(B520="","",(VLOOKUP(B520,'SC (Gross)'!A:D,4,FALSE)-VLOOKUP(Website!B520,'SC (Gross)'!J:K,2,FALSE))/100)</f>
        <v/>
      </c>
      <c r="E520" s="1" t="str">
        <f>IF(B520="","",(VLOOKUP(B520,'Global (Gross)'!A:D,4,FALSE)-VLOOKUP(Website!B520,'Global (Gross)'!J:K,2,FALSE))/100)</f>
        <v/>
      </c>
      <c r="F520" s="1" t="str">
        <f>IF(B520="","",(VLOOKUP(B520,'BOGIX (Gross)'!A:D,4,FALSE)/100))</f>
        <v/>
      </c>
      <c r="G520" s="1"/>
      <c r="H520" s="1"/>
      <c r="I520" s="1"/>
      <c r="J520" s="1" t="str">
        <f>IF(B520="","",(VLOOKUP(B520,'BOGIX (Net)'!A:D,4,FALSE)/100))</f>
        <v/>
      </c>
      <c r="K520" s="1"/>
      <c r="L520" s="1"/>
      <c r="M520" s="1"/>
      <c r="S520" s="22" t="str">
        <f t="shared" si="245"/>
        <v/>
      </c>
      <c r="T520" s="22" t="str">
        <f t="shared" si="246"/>
        <v/>
      </c>
      <c r="U520" s="22" t="str">
        <f t="shared" si="247"/>
        <v/>
      </c>
      <c r="V520" s="22" t="str">
        <f t="shared" si="244"/>
        <v/>
      </c>
      <c r="W520" s="22" t="str">
        <f t="shared" si="241"/>
        <v/>
      </c>
      <c r="X520" s="22" t="str">
        <f t="shared" si="242"/>
        <v/>
      </c>
      <c r="Y520" s="22" t="str">
        <f t="shared" si="243"/>
        <v/>
      </c>
    </row>
    <row r="521" spans="2:25" x14ac:dyDescent="0.25">
      <c r="B521" s="169" t="str">
        <f>IF('LC (Gross)'!A668="","",'LC (Gross)'!A668)</f>
        <v/>
      </c>
      <c r="C521" s="1" t="str">
        <f>IF(B521="","",(VLOOKUP(B521,'LC (Gross)'!A:D,4,FALSE)/100))</f>
        <v/>
      </c>
      <c r="D521" s="1" t="str">
        <f>IF(B521="","",(VLOOKUP(B521,'SC (Gross)'!A:D,4,FALSE)-VLOOKUP(Website!B521,'SC (Gross)'!J:K,2,FALSE))/100)</f>
        <v/>
      </c>
      <c r="E521" s="1" t="str">
        <f>IF(B521="","",(VLOOKUP(B521,'Global (Gross)'!A:D,4,FALSE)-VLOOKUP(Website!B521,'Global (Gross)'!J:K,2,FALSE))/100)</f>
        <v/>
      </c>
      <c r="F521" s="1" t="str">
        <f>IF(B521="","",(VLOOKUP(B521,'BOGIX (Gross)'!A:D,4,FALSE)/100))</f>
        <v/>
      </c>
      <c r="G521" s="1"/>
      <c r="H521" s="1"/>
      <c r="I521" s="1"/>
      <c r="J521" s="1" t="str">
        <f>IF(B521="","",(VLOOKUP(B521,'BOGIX (Net)'!A:D,4,FALSE)/100))</f>
        <v/>
      </c>
      <c r="K521" s="1"/>
      <c r="L521" s="1"/>
      <c r="M521" s="1"/>
      <c r="S521" s="22" t="str">
        <f t="shared" si="245"/>
        <v/>
      </c>
      <c r="T521" s="22" t="str">
        <f t="shared" si="246"/>
        <v/>
      </c>
      <c r="U521" s="22" t="str">
        <f t="shared" si="247"/>
        <v/>
      </c>
      <c r="V521" s="22" t="str">
        <f t="shared" si="244"/>
        <v/>
      </c>
      <c r="W521" s="22" t="str">
        <f t="shared" si="241"/>
        <v/>
      </c>
      <c r="X521" s="22" t="str">
        <f t="shared" si="242"/>
        <v/>
      </c>
      <c r="Y521" s="22" t="str">
        <f t="shared" si="243"/>
        <v/>
      </c>
    </row>
    <row r="522" spans="2:25" x14ac:dyDescent="0.25">
      <c r="B522" s="169" t="str">
        <f>IF('LC (Gross)'!A669="","",'LC (Gross)'!A669)</f>
        <v/>
      </c>
      <c r="C522" s="1" t="str">
        <f>IF(B522="","",(VLOOKUP(B522,'LC (Gross)'!A:D,4,FALSE)/100))</f>
        <v/>
      </c>
      <c r="D522" s="1" t="str">
        <f>IF(B522="","",(VLOOKUP(B522,'SC (Gross)'!A:D,4,FALSE)-VLOOKUP(Website!B522,'SC (Gross)'!J:K,2,FALSE))/100)</f>
        <v/>
      </c>
      <c r="E522" s="1" t="str">
        <f>IF(B522="","",(VLOOKUP(B522,'Global (Gross)'!A:D,4,FALSE)-VLOOKUP(Website!B522,'Global (Gross)'!J:K,2,FALSE))/100)</f>
        <v/>
      </c>
      <c r="F522" s="1" t="str">
        <f>IF(B522="","",(VLOOKUP(B522,'BOGIX (Gross)'!A:D,4,FALSE)/100))</f>
        <v/>
      </c>
      <c r="G522" s="1"/>
      <c r="H522" s="1"/>
      <c r="I522" s="1"/>
      <c r="J522" s="1" t="str">
        <f>IF(B522="","",(VLOOKUP(B522,'BOGIX (Net)'!A:D,4,FALSE)/100))</f>
        <v/>
      </c>
      <c r="K522" s="1"/>
      <c r="L522" s="1"/>
      <c r="M522" s="1"/>
      <c r="S522" s="22" t="str">
        <f t="shared" si="245"/>
        <v/>
      </c>
      <c r="T522" s="22" t="str">
        <f t="shared" si="246"/>
        <v/>
      </c>
      <c r="U522" s="22" t="str">
        <f t="shared" si="247"/>
        <v/>
      </c>
      <c r="V522" s="22" t="str">
        <f t="shared" si="244"/>
        <v/>
      </c>
      <c r="W522" s="22" t="str">
        <f t="shared" si="241"/>
        <v/>
      </c>
      <c r="X522" s="22" t="str">
        <f t="shared" si="242"/>
        <v/>
      </c>
      <c r="Y522" s="22" t="str">
        <f t="shared" si="243"/>
        <v/>
      </c>
    </row>
    <row r="523" spans="2:25" x14ac:dyDescent="0.25">
      <c r="B523" s="169" t="str">
        <f>IF('LC (Gross)'!A670="","",'LC (Gross)'!A670)</f>
        <v/>
      </c>
      <c r="C523" s="1" t="str">
        <f>IF(B523="","",(VLOOKUP(B523,'LC (Gross)'!A:D,4,FALSE)/100))</f>
        <v/>
      </c>
      <c r="D523" s="1" t="str">
        <f>IF(B523="","",(VLOOKUP(B523,'SC (Gross)'!A:D,4,FALSE)-VLOOKUP(Website!B523,'SC (Gross)'!J:K,2,FALSE))/100)</f>
        <v/>
      </c>
      <c r="E523" s="1" t="str">
        <f>IF(B523="","",(VLOOKUP(B523,'Global (Gross)'!A:D,4,FALSE)-VLOOKUP(Website!B523,'Global (Gross)'!J:K,2,FALSE))/100)</f>
        <v/>
      </c>
      <c r="F523" s="1" t="str">
        <f>IF(B523="","",(VLOOKUP(B523,'BOGIX (Gross)'!A:D,4,FALSE)/100))</f>
        <v/>
      </c>
      <c r="G523" s="1"/>
      <c r="H523" s="1"/>
      <c r="I523" s="1"/>
      <c r="J523" s="1" t="str">
        <f>IF(B523="","",(VLOOKUP(B523,'BOGIX (Net)'!A:D,4,FALSE)/100))</f>
        <v/>
      </c>
      <c r="K523" s="1"/>
      <c r="L523" s="1"/>
      <c r="M523" s="1"/>
      <c r="S523" s="22" t="str">
        <f t="shared" si="245"/>
        <v/>
      </c>
      <c r="T523" s="22" t="str">
        <f t="shared" si="246"/>
        <v/>
      </c>
      <c r="U523" s="22" t="str">
        <f t="shared" si="247"/>
        <v/>
      </c>
      <c r="V523" s="22" t="str">
        <f t="shared" si="244"/>
        <v/>
      </c>
      <c r="W523" s="22" t="str">
        <f t="shared" si="241"/>
        <v/>
      </c>
      <c r="X523" s="22" t="str">
        <f t="shared" si="242"/>
        <v/>
      </c>
      <c r="Y523" s="22" t="str">
        <f t="shared" si="243"/>
        <v/>
      </c>
    </row>
    <row r="524" spans="2:25" x14ac:dyDescent="0.25">
      <c r="B524" s="169" t="str">
        <f>IF('LC (Gross)'!A671="","",'LC (Gross)'!A671)</f>
        <v/>
      </c>
      <c r="C524" s="1" t="str">
        <f>IF(B524="","",(VLOOKUP(B524,'LC (Gross)'!A:D,4,FALSE)/100))</f>
        <v/>
      </c>
      <c r="D524" s="1" t="str">
        <f>IF(B524="","",(VLOOKUP(B524,'SC (Gross)'!A:D,4,FALSE)-VLOOKUP(Website!B524,'SC (Gross)'!J:K,2,FALSE))/100)</f>
        <v/>
      </c>
      <c r="E524" s="1" t="str">
        <f>IF(B524="","",(VLOOKUP(B524,'Global (Gross)'!A:D,4,FALSE)-VLOOKUP(Website!B524,'Global (Gross)'!J:K,2,FALSE))/100)</f>
        <v/>
      </c>
      <c r="F524" s="1" t="str">
        <f>IF(B524="","",(VLOOKUP(B524,'BOGIX (Gross)'!A:D,4,FALSE)/100))</f>
        <v/>
      </c>
      <c r="G524" s="1"/>
      <c r="H524" s="1"/>
      <c r="I524" s="1"/>
      <c r="J524" s="1" t="str">
        <f>IF(B524="","",(VLOOKUP(B524,'BOGIX (Net)'!A:D,4,FALSE)/100))</f>
        <v/>
      </c>
      <c r="K524" s="1"/>
      <c r="L524" s="1"/>
      <c r="M524" s="1"/>
      <c r="S524" s="22" t="str">
        <f t="shared" si="245"/>
        <v/>
      </c>
      <c r="T524" s="22" t="str">
        <f t="shared" si="246"/>
        <v/>
      </c>
      <c r="U524" s="22" t="str">
        <f t="shared" si="247"/>
        <v/>
      </c>
      <c r="V524" s="22" t="str">
        <f t="shared" si="244"/>
        <v/>
      </c>
      <c r="W524" s="22" t="str">
        <f t="shared" si="241"/>
        <v/>
      </c>
      <c r="X524" s="22" t="str">
        <f t="shared" si="242"/>
        <v/>
      </c>
      <c r="Y524" s="22" t="str">
        <f t="shared" si="243"/>
        <v/>
      </c>
    </row>
    <row r="525" spans="2:25" x14ac:dyDescent="0.25">
      <c r="B525" s="169" t="str">
        <f>IF('LC (Gross)'!A672="","",'LC (Gross)'!A672)</f>
        <v/>
      </c>
      <c r="D525" s="1" t="str">
        <f>IF(B525="","",(VLOOKUP(B525,'SC (Gross)'!A:D,4,FALSE)-VLOOKUP(Website!B525,'SC (Gross)'!J:K,2,FALSE))/100)</f>
        <v/>
      </c>
      <c r="E525" s="1" t="str">
        <f>IF(B525="","",(VLOOKUP(B525,'Global (Gross)'!A:D,4,FALSE)-VLOOKUP(Website!B525,'Global (Gross)'!J:K,2,FALSE))/100)</f>
        <v/>
      </c>
      <c r="F525" s="1" t="str">
        <f>IF(B525="","",(VLOOKUP(B525,'BOGIX (Gross)'!A:D,4,FALSE)/100))</f>
        <v/>
      </c>
      <c r="G525" s="1"/>
      <c r="H525" s="1"/>
      <c r="I525" s="1"/>
      <c r="J525" s="1" t="str">
        <f>IF(B525="","",(VLOOKUP(B525,'BOGIX (Net)'!A:D,4,FALSE)/100))</f>
        <v/>
      </c>
      <c r="K525" s="1"/>
      <c r="L525" s="1"/>
      <c r="M525" s="1"/>
    </row>
    <row r="526" spans="2:25" x14ac:dyDescent="0.25">
      <c r="B526" s="169" t="str">
        <f>IF('LC (Gross)'!A673="","",'LC (Gross)'!A673)</f>
        <v/>
      </c>
      <c r="D526" s="1" t="str">
        <f>IF(B526="","",(VLOOKUP(B526,'SC (Gross)'!A:D,4,FALSE)-VLOOKUP(Website!B526,'SC (Gross)'!J:K,2,FALSE))/100)</f>
        <v/>
      </c>
      <c r="E526" s="1" t="str">
        <f>IF(B526="","",(VLOOKUP(B526,'Global (Gross)'!A:D,4,FALSE)-VLOOKUP(Website!B526,'Global (Gross)'!J:K,2,FALSE))/100)</f>
        <v/>
      </c>
      <c r="F526" s="1" t="str">
        <f>IF(B526="","",(VLOOKUP(B526,'BOGIX (Gross)'!A:D,4,FALSE)/100))</f>
        <v/>
      </c>
      <c r="G526" s="1"/>
      <c r="H526" s="1"/>
      <c r="I526" s="1"/>
      <c r="J526" s="1" t="str">
        <f>IF(B526="","",(VLOOKUP(B526,'BOGIX (Net)'!A:D,4,FALSE)/100))</f>
        <v/>
      </c>
      <c r="K526" s="1"/>
      <c r="L526" s="1"/>
      <c r="M526" s="1"/>
    </row>
    <row r="527" spans="2:25" x14ac:dyDescent="0.25">
      <c r="B527" s="169" t="str">
        <f>IF('LC (Gross)'!A674="","",'LC (Gross)'!A674)</f>
        <v/>
      </c>
      <c r="D527" s="1" t="str">
        <f>IF(B527="","",(VLOOKUP(B527,'SC (Gross)'!A:D,4,FALSE)-VLOOKUP(Website!B527,'SC (Gross)'!J:K,2,FALSE))/100)</f>
        <v/>
      </c>
      <c r="E527" s="1" t="str">
        <f>IF(B527="","",(VLOOKUP(B527,'Global (Gross)'!A:D,4,FALSE)-VLOOKUP(Website!B527,'Global (Gross)'!J:K,2,FALSE))/100)</f>
        <v/>
      </c>
      <c r="F527" s="1" t="str">
        <f>IF(B527="","",(VLOOKUP(B527,'BOGIX (Gross)'!A:D,4,FALSE)/100))</f>
        <v/>
      </c>
      <c r="G527" s="1"/>
      <c r="H527" s="1"/>
      <c r="I527" s="1"/>
      <c r="J527" s="1" t="str">
        <f>IF(B527="","",(VLOOKUP(B527,'BOGIX (Net)'!A:D,4,FALSE)/100))</f>
        <v/>
      </c>
      <c r="K527" s="1"/>
      <c r="L527" s="1"/>
      <c r="M527" s="1"/>
    </row>
    <row r="528" spans="2:25" x14ac:dyDescent="0.25">
      <c r="B528" s="169" t="str">
        <f>IF('LC (Gross)'!A675="","",'LC (Gross)'!A675)</f>
        <v/>
      </c>
      <c r="D528" s="1" t="str">
        <f>IF(B528="","",(VLOOKUP(B528,'SC (Gross)'!A:D,4,FALSE)-VLOOKUP(Website!B528,'SC (Gross)'!J:K,2,FALSE))/100)</f>
        <v/>
      </c>
      <c r="E528" s="1" t="str">
        <f>IF(B528="","",(VLOOKUP(B528,'Global (Gross)'!A:D,4,FALSE)-VLOOKUP(Website!B528,'Global (Gross)'!J:K,2,FALSE))/100)</f>
        <v/>
      </c>
      <c r="F528" s="1" t="str">
        <f>IF(B528="","",(VLOOKUP(B528,'BOGIX (Gross)'!A:D,4,FALSE)/100))</f>
        <v/>
      </c>
      <c r="G528" s="1"/>
      <c r="H528" s="1"/>
      <c r="I528" s="1"/>
      <c r="J528" s="1" t="str">
        <f>IF(B528="","",(VLOOKUP(B528,'BOGIX (Net)'!A:D,4,FALSE)/100))</f>
        <v/>
      </c>
      <c r="K528" s="1"/>
      <c r="L528" s="1"/>
      <c r="M528" s="1"/>
    </row>
    <row r="529" spans="2:13" x14ac:dyDescent="0.25">
      <c r="B529" s="169" t="str">
        <f>IF('LC (Gross)'!A676="","",'LC (Gross)'!A676)</f>
        <v/>
      </c>
      <c r="D529" s="1" t="str">
        <f>IF(B529="","",(VLOOKUP(B529,'SC (Gross)'!A:D,4,FALSE)-VLOOKUP(Website!B529,'SC (Gross)'!J:K,2,FALSE))/100)</f>
        <v/>
      </c>
      <c r="E529" s="1" t="str">
        <f>IF(B529="","",(VLOOKUP(B529,'Global (Gross)'!A:D,4,FALSE)-VLOOKUP(Website!B529,'Global (Gross)'!J:K,2,FALSE))/100)</f>
        <v/>
      </c>
      <c r="F529" s="1" t="str">
        <f>IF(B529="","",(VLOOKUP(B529,'BOGIX (Gross)'!A:D,4,FALSE)/100))</f>
        <v/>
      </c>
      <c r="G529" s="1"/>
      <c r="H529" s="1"/>
      <c r="I529" s="1"/>
      <c r="J529" s="1" t="str">
        <f>IF(B529="","",(VLOOKUP(B529,'BOGIX (Net)'!A:D,4,FALSE)/100))</f>
        <v/>
      </c>
      <c r="K529" s="1"/>
      <c r="L529" s="1"/>
      <c r="M529" s="1"/>
    </row>
    <row r="530" spans="2:13" x14ac:dyDescent="0.25">
      <c r="B530" s="169" t="str">
        <f>IF('LC (Gross)'!A677="","",'LC (Gross)'!A677)</f>
        <v/>
      </c>
      <c r="D530" s="1" t="str">
        <f>IF(B530="","",(VLOOKUP(B530,'SC (Gross)'!A:D,4,FALSE)-VLOOKUP(Website!B530,'SC (Gross)'!J:K,2,FALSE))/100)</f>
        <v/>
      </c>
      <c r="E530" s="1" t="str">
        <f>IF(B530="","",(VLOOKUP(B530,'Global (Gross)'!A:D,4,FALSE)-VLOOKUP(Website!B530,'Global (Gross)'!J:K,2,FALSE))/100)</f>
        <v/>
      </c>
      <c r="F530" s="1" t="str">
        <f>IF(B530="","",(VLOOKUP(B530,'BOGIX (Gross)'!A:D,4,FALSE)/100))</f>
        <v/>
      </c>
      <c r="G530" s="1"/>
      <c r="H530" s="1"/>
      <c r="I530" s="1"/>
      <c r="J530" s="1" t="str">
        <f>IF(B530="","",(VLOOKUP(B530,'BOGIX (Net)'!A:D,4,FALSE)/100))</f>
        <v/>
      </c>
      <c r="K530" s="1"/>
      <c r="L530" s="1"/>
      <c r="M530" s="1"/>
    </row>
    <row r="531" spans="2:13" x14ac:dyDescent="0.25">
      <c r="B531" s="169" t="str">
        <f>IF('LC (Gross)'!A678="","",'LC (Gross)'!A678)</f>
        <v/>
      </c>
      <c r="D531" s="1" t="str">
        <f>IF(B531="","",(VLOOKUP(B531,'SC (Gross)'!A:D,4,FALSE)-VLOOKUP(Website!B531,'SC (Gross)'!J:K,2,FALSE))/100)</f>
        <v/>
      </c>
      <c r="E531" s="1" t="str">
        <f>IF(B531="","",(VLOOKUP(B531,'Global (Gross)'!A:D,4,FALSE)-VLOOKUP(Website!B531,'Global (Gross)'!J:K,2,FALSE))/100)</f>
        <v/>
      </c>
      <c r="F531" s="1" t="str">
        <f>IF(B531="","",(VLOOKUP(B531,'BOGIX (Gross)'!A:D,4,FALSE)/100))</f>
        <v/>
      </c>
      <c r="G531" s="1"/>
      <c r="H531" s="1"/>
      <c r="I531" s="1"/>
      <c r="J531" s="1" t="str">
        <f>IF(B531="","",(VLOOKUP(B531,'BOGIX (Net)'!A:D,4,FALSE)/100))</f>
        <v/>
      </c>
      <c r="K531" s="1"/>
      <c r="L531" s="1"/>
      <c r="M531" s="1"/>
    </row>
    <row r="532" spans="2:13" x14ac:dyDescent="0.25">
      <c r="B532" s="169" t="str">
        <f>IF('LC (Gross)'!A679="","",'LC (Gross)'!A679)</f>
        <v/>
      </c>
      <c r="D532" s="1" t="str">
        <f>IF(B532="","",(VLOOKUP(B532,'SC (Gross)'!A:D,4,FALSE)-VLOOKUP(Website!B532,'SC (Gross)'!J:K,2,FALSE))/100)</f>
        <v/>
      </c>
      <c r="E532" s="1" t="str">
        <f>IF(B532="","",(VLOOKUP(B532,'Global (Gross)'!A:D,4,FALSE)-VLOOKUP(Website!B532,'Global (Gross)'!J:K,2,FALSE))/100)</f>
        <v/>
      </c>
      <c r="F532" s="1" t="str">
        <f>IF(B532="","",(VLOOKUP(B532,'BOGIX (Gross)'!A:D,4,FALSE)/100))</f>
        <v/>
      </c>
      <c r="G532" s="1"/>
      <c r="H532" s="1"/>
      <c r="I532" s="1"/>
      <c r="J532" s="1" t="str">
        <f>IF(B532="","",(VLOOKUP(B532,'BOGIX (Net)'!A:D,4,FALSE)/100))</f>
        <v/>
      </c>
      <c r="K532" s="1"/>
      <c r="L532" s="1"/>
      <c r="M532" s="1"/>
    </row>
    <row r="533" spans="2:13" x14ac:dyDescent="0.25">
      <c r="B533" s="169" t="str">
        <f>IF('LC (Gross)'!A680="","",'LC (Gross)'!A680)</f>
        <v/>
      </c>
      <c r="D533" s="1" t="str">
        <f>IF(B533="","",(VLOOKUP(B533,'SC (Gross)'!A:D,4,FALSE)-VLOOKUP(Website!B533,'SC (Gross)'!J:K,2,FALSE))/100)</f>
        <v/>
      </c>
      <c r="E533" s="1" t="str">
        <f>IF(B533="","",(VLOOKUP(B533,'Global (Gross)'!A:D,4,FALSE)-VLOOKUP(Website!B533,'Global (Gross)'!J:K,2,FALSE))/100)</f>
        <v/>
      </c>
      <c r="F533" s="1" t="str">
        <f>IF(B533="","",(VLOOKUP(B533,'BOGIX (Gross)'!A:D,4,FALSE)/100))</f>
        <v/>
      </c>
      <c r="G533" s="1"/>
      <c r="H533" s="1"/>
      <c r="I533" s="1"/>
      <c r="J533" s="1" t="str">
        <f>IF(B533="","",(VLOOKUP(B533,'BOGIX (Net)'!A:D,4,FALSE)/100))</f>
        <v/>
      </c>
      <c r="K533" s="1"/>
      <c r="L533" s="1"/>
      <c r="M533" s="1"/>
    </row>
    <row r="534" spans="2:13" x14ac:dyDescent="0.25">
      <c r="B534" s="169" t="str">
        <f>IF('LC (Gross)'!A681="","",'LC (Gross)'!A681)</f>
        <v/>
      </c>
      <c r="D534" s="1" t="str">
        <f>IF(B534="","",(VLOOKUP(B534,'SC (Gross)'!A:D,4,FALSE)-VLOOKUP(Website!B534,'SC (Gross)'!J:K,2,FALSE))/100)</f>
        <v/>
      </c>
      <c r="E534" s="1" t="str">
        <f>IF(B534="","",(VLOOKUP(B534,'Global (Gross)'!A:D,4,FALSE)-VLOOKUP(Website!B534,'Global (Gross)'!J:K,2,FALSE))/100)</f>
        <v/>
      </c>
      <c r="F534" s="1" t="str">
        <f>IF(B534="","",(VLOOKUP(B534,'BOGIX (Gross)'!A:D,4,FALSE)/100))</f>
        <v/>
      </c>
      <c r="G534" s="1"/>
      <c r="H534" s="1"/>
      <c r="I534" s="1"/>
      <c r="J534" s="1" t="str">
        <f>IF(B534="","",(VLOOKUP(B534,'BOGIX (Net)'!A:D,4,FALSE)/100))</f>
        <v/>
      </c>
      <c r="K534" s="1"/>
      <c r="L534" s="1"/>
      <c r="M534" s="1"/>
    </row>
    <row r="535" spans="2:13" x14ac:dyDescent="0.25">
      <c r="B535" s="169" t="str">
        <f>IF('LC (Gross)'!A682="","",'LC (Gross)'!A682)</f>
        <v/>
      </c>
      <c r="D535" s="1" t="str">
        <f>IF(B535="","",(VLOOKUP(B535,'SC (Gross)'!A:D,4,FALSE)-VLOOKUP(Website!B535,'SC (Gross)'!J:K,2,FALSE))/100)</f>
        <v/>
      </c>
      <c r="E535" s="1" t="str">
        <f>IF(B535="","",(VLOOKUP(B535,'Global (Gross)'!A:D,4,FALSE)-VLOOKUP(Website!B535,'Global (Gross)'!J:K,2,FALSE))/100)</f>
        <v/>
      </c>
      <c r="F535" s="1" t="str">
        <f>IF(B535="","",(VLOOKUP(B535,'BOGIX (Gross)'!A:D,4,FALSE)/100))</f>
        <v/>
      </c>
      <c r="G535" s="1"/>
      <c r="H535" s="1"/>
      <c r="I535" s="1"/>
      <c r="J535" s="1" t="str">
        <f>IF(B535="","",(VLOOKUP(B535,'BOGIX (Net)'!A:D,4,FALSE)/100))</f>
        <v/>
      </c>
      <c r="K535" s="1"/>
      <c r="L535" s="1"/>
      <c r="M535" s="1"/>
    </row>
    <row r="536" spans="2:13" x14ac:dyDescent="0.25">
      <c r="B536" s="169" t="str">
        <f>IF('LC (Gross)'!A683="","",'LC (Gross)'!A683)</f>
        <v/>
      </c>
      <c r="D536" s="1" t="str">
        <f>IF(B536="","",(VLOOKUP(B536,'SC (Gross)'!A:D,4,FALSE)-VLOOKUP(Website!B536,'SC (Gross)'!J:K,2,FALSE))/100)</f>
        <v/>
      </c>
      <c r="E536" s="1" t="str">
        <f>IF(B536="","",(VLOOKUP(B536,'Global (Gross)'!A:D,4,FALSE)-VLOOKUP(Website!B536,'Global (Gross)'!J:K,2,FALSE))/100)</f>
        <v/>
      </c>
      <c r="F536" s="1" t="str">
        <f>IF(B536="","",(VLOOKUP(B536,'BOGIX (Gross)'!A:D,4,FALSE)/100))</f>
        <v/>
      </c>
      <c r="G536" s="1"/>
      <c r="H536" s="1"/>
      <c r="I536" s="1"/>
      <c r="J536" s="1" t="str">
        <f>IF(B536="","",(VLOOKUP(B536,'BOGIX (Net)'!A:D,4,FALSE)/100))</f>
        <v/>
      </c>
      <c r="K536" s="1"/>
      <c r="L536" s="1"/>
      <c r="M536" s="1"/>
    </row>
    <row r="537" spans="2:13" x14ac:dyDescent="0.25">
      <c r="B537" s="169" t="str">
        <f>IF('LC (Gross)'!A684="","",'LC (Gross)'!A684)</f>
        <v/>
      </c>
      <c r="D537" s="1" t="str">
        <f>IF(B537="","",(VLOOKUP(B537,'SC (Gross)'!A:D,4,FALSE)-VLOOKUP(Website!B537,'SC (Gross)'!J:K,2,FALSE))/100)</f>
        <v/>
      </c>
      <c r="E537" s="1" t="str">
        <f>IF(B537="","",(VLOOKUP(B537,'Global (Gross)'!A:D,4,FALSE)-VLOOKUP(Website!B537,'Global (Gross)'!J:K,2,FALSE))/100)</f>
        <v/>
      </c>
      <c r="F537" s="1" t="str">
        <f>IF(B537="","",(VLOOKUP(B537,'BOGIX (Gross)'!A:D,4,FALSE)/100))</f>
        <v/>
      </c>
      <c r="G537" s="1"/>
      <c r="H537" s="1"/>
      <c r="I537" s="1"/>
      <c r="J537" s="1" t="str">
        <f>IF(B537="","",(VLOOKUP(B537,'BOGIX (Net)'!A:D,4,FALSE)/100))</f>
        <v/>
      </c>
      <c r="K537" s="1"/>
      <c r="L537" s="1"/>
      <c r="M537" s="1"/>
    </row>
    <row r="538" spans="2:13" x14ac:dyDescent="0.25">
      <c r="B538" s="169" t="str">
        <f>IF('LC (Gross)'!A685="","",'LC (Gross)'!A685)</f>
        <v/>
      </c>
      <c r="D538" s="1" t="str">
        <f>IF(B538="","",(VLOOKUP(B538,'SC (Gross)'!A:D,4,FALSE)-VLOOKUP(Website!B538,'SC (Gross)'!J:K,2,FALSE))/100)</f>
        <v/>
      </c>
      <c r="E538" s="1" t="str">
        <f>IF(B538="","",(VLOOKUP(B538,'Global (Gross)'!A:D,4,FALSE)-VLOOKUP(Website!B538,'Global (Gross)'!J:K,2,FALSE))/100)</f>
        <v/>
      </c>
      <c r="F538" s="1" t="str">
        <f>IF(B538="","",(VLOOKUP(B538,'BOGIX (Gross)'!A:D,4,FALSE)/100))</f>
        <v/>
      </c>
      <c r="G538" s="1"/>
      <c r="H538" s="1"/>
      <c r="I538" s="1"/>
      <c r="J538" s="1" t="str">
        <f>IF(B538="","",(VLOOKUP(B538,'BOGIX (Net)'!A:D,4,FALSE)/100))</f>
        <v/>
      </c>
      <c r="K538" s="1"/>
      <c r="L538" s="1"/>
      <c r="M538" s="1"/>
    </row>
    <row r="539" spans="2:13" x14ac:dyDescent="0.25">
      <c r="B539" s="169" t="str">
        <f>IF('LC (Gross)'!A686="","",'LC (Gross)'!A686)</f>
        <v/>
      </c>
      <c r="D539" s="1" t="str">
        <f>IF(B539="","",(VLOOKUP(B539,'SC (Gross)'!A:D,4,FALSE)-VLOOKUP(Website!B539,'SC (Gross)'!J:K,2,FALSE))/100)</f>
        <v/>
      </c>
      <c r="E539" s="1" t="str">
        <f>IF(B539="","",(VLOOKUP(B539,'Global (Gross)'!A:D,4,FALSE)-VLOOKUP(Website!B539,'Global (Gross)'!J:K,2,FALSE))/100)</f>
        <v/>
      </c>
      <c r="F539" s="1" t="str">
        <f>IF(B539="","",(VLOOKUP(B539,'BOGIX (Gross)'!A:D,4,FALSE)/100))</f>
        <v/>
      </c>
      <c r="G539" s="1"/>
      <c r="H539" s="1"/>
      <c r="I539" s="1"/>
      <c r="J539" s="1" t="str">
        <f>IF(B539="","",(VLOOKUP(B539,'BOGIX (Net)'!A:D,4,FALSE)/100))</f>
        <v/>
      </c>
      <c r="K539" s="1"/>
      <c r="L539" s="1"/>
      <c r="M539" s="1"/>
    </row>
    <row r="540" spans="2:13" x14ac:dyDescent="0.25">
      <c r="B540" s="169" t="str">
        <f>IF('LC (Gross)'!A687="","",'LC (Gross)'!A687)</f>
        <v/>
      </c>
      <c r="D540" s="1" t="str">
        <f>IF(B540="","",(VLOOKUP(B540,'SC (Gross)'!A:D,4,FALSE)-VLOOKUP(Website!B540,'SC (Gross)'!J:K,2,FALSE))/100)</f>
        <v/>
      </c>
      <c r="E540" s="1" t="str">
        <f>IF(B540="","",(VLOOKUP(B540,'Global (Gross)'!A:D,4,FALSE)-VLOOKUP(Website!B540,'Global (Gross)'!J:K,2,FALSE))/100)</f>
        <v/>
      </c>
      <c r="F540" s="1" t="str">
        <f>IF(B540="","",(VLOOKUP(B540,'BOGIX (Gross)'!A:D,4,FALSE)/100))</f>
        <v/>
      </c>
      <c r="G540" s="1"/>
      <c r="H540" s="1"/>
      <c r="I540" s="1"/>
      <c r="J540" s="1" t="str">
        <f>IF(B540="","",(VLOOKUP(B540,'BOGIX (Net)'!A:D,4,FALSE)/100))</f>
        <v/>
      </c>
      <c r="K540" s="1"/>
      <c r="L540" s="1"/>
      <c r="M540" s="1"/>
    </row>
    <row r="541" spans="2:13" x14ac:dyDescent="0.25">
      <c r="B541" s="169" t="str">
        <f>IF('LC (Gross)'!A688="","",'LC (Gross)'!A688)</f>
        <v/>
      </c>
      <c r="D541" s="1" t="str">
        <f>IF(B541="","",(VLOOKUP(B541,'SC (Gross)'!A:D,4,FALSE)-VLOOKUP(Website!B541,'SC (Gross)'!J:K,2,FALSE))/100)</f>
        <v/>
      </c>
      <c r="E541" s="1" t="str">
        <f>IF(B541="","",(VLOOKUP(B541,'Global (Gross)'!A:D,4,FALSE)-VLOOKUP(Website!B541,'Global (Gross)'!J:K,2,FALSE))/100)</f>
        <v/>
      </c>
      <c r="F541" s="1" t="str">
        <f>IF(B541="","",(VLOOKUP(B541,'BOGIX (Gross)'!A:D,4,FALSE)/100))</f>
        <v/>
      </c>
      <c r="G541" s="1"/>
      <c r="H541" s="1"/>
      <c r="I541" s="1"/>
      <c r="J541" s="1" t="str">
        <f>IF(B541="","",(VLOOKUP(B541,'BOGIX (Net)'!A:D,4,FALSE)/100))</f>
        <v/>
      </c>
      <c r="K541" s="1"/>
      <c r="L541" s="1"/>
      <c r="M541" s="1"/>
    </row>
    <row r="542" spans="2:13" x14ac:dyDescent="0.25">
      <c r="B542" s="169" t="str">
        <f>IF('LC (Gross)'!A689="","",'LC (Gross)'!A689)</f>
        <v/>
      </c>
      <c r="D542" s="1" t="str">
        <f>IF(B542="","",(VLOOKUP(B542,'SC (Gross)'!A:D,4,FALSE)-VLOOKUP(Website!B542,'SC (Gross)'!J:K,2,FALSE))/100)</f>
        <v/>
      </c>
      <c r="E542" s="1" t="str">
        <f>IF(B542="","",(VLOOKUP(B542,'Global (Gross)'!A:D,4,FALSE)-VLOOKUP(Website!B542,'Global (Gross)'!J:K,2,FALSE))/100)</f>
        <v/>
      </c>
      <c r="F542" s="1" t="str">
        <f>IF(B542="","",(VLOOKUP(B542,'BOGIX (Gross)'!A:D,4,FALSE)/100))</f>
        <v/>
      </c>
      <c r="G542" s="1"/>
      <c r="H542" s="1"/>
      <c r="I542" s="1"/>
      <c r="J542" s="1" t="str">
        <f>IF(B542="","",(VLOOKUP(B542,'BOGIX (Net)'!A:D,4,FALSE)/100))</f>
        <v/>
      </c>
      <c r="K542" s="1"/>
      <c r="L542" s="1"/>
      <c r="M542" s="1"/>
    </row>
    <row r="543" spans="2:13" x14ac:dyDescent="0.25">
      <c r="B543" s="169" t="str">
        <f>IF('LC (Gross)'!A690="","",'LC (Gross)'!A690)</f>
        <v/>
      </c>
      <c r="D543" s="1" t="str">
        <f>IF(B543="","",(VLOOKUP(B543,'SC (Gross)'!A:D,4,FALSE)-VLOOKUP(Website!B543,'SC (Gross)'!J:K,2,FALSE))/100)</f>
        <v/>
      </c>
      <c r="E543" s="1" t="str">
        <f>IF(B543="","",(VLOOKUP(B543,'Global (Gross)'!A:D,4,FALSE)-VLOOKUP(Website!B543,'Global (Gross)'!J:K,2,FALSE))/100)</f>
        <v/>
      </c>
      <c r="F543" s="1" t="str">
        <f>IF(B543="","",(VLOOKUP(B543,'BOGIX (Gross)'!A:D,4,FALSE)/100))</f>
        <v/>
      </c>
      <c r="G543" s="1"/>
      <c r="H543" s="1"/>
      <c r="I543" s="1"/>
      <c r="J543" s="1" t="str">
        <f>IF(B543="","",(VLOOKUP(B543,'BOGIX (Net)'!A:D,4,FALSE)/100))</f>
        <v/>
      </c>
      <c r="K543" s="1"/>
      <c r="L543" s="1"/>
      <c r="M543" s="1"/>
    </row>
    <row r="544" spans="2:13" x14ac:dyDescent="0.25">
      <c r="B544" s="169" t="str">
        <f>IF('LC (Gross)'!A691="","",'LC (Gross)'!A691)</f>
        <v/>
      </c>
      <c r="D544" s="1" t="str">
        <f>IF(B544="","",(VLOOKUP(B544,'SC (Gross)'!A:D,4,FALSE)-VLOOKUP(Website!B544,'SC (Gross)'!J:K,2,FALSE))/100)</f>
        <v/>
      </c>
      <c r="E544" s="1" t="str">
        <f>IF(B544="","",(VLOOKUP(B544,'Global (Gross)'!A:D,4,FALSE)-VLOOKUP(Website!B544,'Global (Gross)'!J:K,2,FALSE))/100)</f>
        <v/>
      </c>
      <c r="F544" s="1" t="str">
        <f>IF(B544="","",(VLOOKUP(B544,'BOGIX (Gross)'!A:D,4,FALSE)/100))</f>
        <v/>
      </c>
      <c r="G544" s="1"/>
      <c r="H544" s="1"/>
      <c r="I544" s="1"/>
      <c r="J544" s="1" t="str">
        <f>IF(B544="","",(VLOOKUP(B544,'BOGIX (Net)'!A:D,4,FALSE)/100))</f>
        <v/>
      </c>
      <c r="K544" s="1"/>
      <c r="L544" s="1"/>
      <c r="M544" s="1"/>
    </row>
    <row r="545" spans="2:13" x14ac:dyDescent="0.25">
      <c r="B545" s="169" t="str">
        <f>IF('LC (Gross)'!A692="","",'LC (Gross)'!A692)</f>
        <v/>
      </c>
      <c r="D545" s="1" t="str">
        <f>IF(B545="","",(VLOOKUP(B545,'SC (Gross)'!A:D,4,FALSE)-VLOOKUP(Website!B545,'SC (Gross)'!J:K,2,FALSE))/100)</f>
        <v/>
      </c>
      <c r="E545" s="1" t="str">
        <f>IF(B545="","",(VLOOKUP(B545,'Global (Gross)'!A:D,4,FALSE)-VLOOKUP(Website!B545,'Global (Gross)'!J:K,2,FALSE))/100)</f>
        <v/>
      </c>
      <c r="F545" s="1" t="str">
        <f>IF(B545="","",(VLOOKUP(B545,'BOGIX (Gross)'!A:D,4,FALSE)/100))</f>
        <v/>
      </c>
      <c r="G545" s="1"/>
      <c r="H545" s="1"/>
      <c r="I545" s="1"/>
      <c r="J545" s="1" t="str">
        <f>IF(B545="","",(VLOOKUP(B545,'BOGIX (Net)'!A:D,4,FALSE)/100))</f>
        <v/>
      </c>
      <c r="K545" s="1"/>
      <c r="L545" s="1"/>
      <c r="M545" s="1"/>
    </row>
    <row r="546" spans="2:13" x14ac:dyDescent="0.25">
      <c r="B546" s="169" t="str">
        <f>IF('LC (Gross)'!A693="","",'LC (Gross)'!A693)</f>
        <v/>
      </c>
      <c r="D546" s="1" t="str">
        <f>IF(B546="","",(VLOOKUP(B546,'SC (Gross)'!A:D,4,FALSE)-VLOOKUP(Website!B546,'SC (Gross)'!J:K,2,FALSE))/100)</f>
        <v/>
      </c>
      <c r="E546" s="1" t="str">
        <f>IF(B546="","",(VLOOKUP(B546,'Global (Gross)'!A:D,4,FALSE)-VLOOKUP(Website!B546,'Global (Gross)'!J:K,2,FALSE))/100)</f>
        <v/>
      </c>
      <c r="F546" s="1" t="str">
        <f>IF(B546="","",(VLOOKUP(B546,'BOGIX (Gross)'!A:D,4,FALSE)/100))</f>
        <v/>
      </c>
      <c r="G546" s="1"/>
      <c r="H546" s="1"/>
      <c r="I546" s="1"/>
      <c r="J546" s="1" t="str">
        <f>IF(B546="","",(VLOOKUP(B546,'BOGIX (Net)'!A:D,4,FALSE)/100))</f>
        <v/>
      </c>
      <c r="K546" s="1"/>
      <c r="L546" s="1"/>
      <c r="M546" s="1"/>
    </row>
    <row r="547" spans="2:13" x14ac:dyDescent="0.25">
      <c r="B547" s="169" t="str">
        <f>IF('LC (Gross)'!A694="","",'LC (Gross)'!A694)</f>
        <v/>
      </c>
      <c r="D547" s="1" t="str">
        <f>IF(B547="","",(VLOOKUP(B547,'SC (Gross)'!A:D,4,FALSE)-VLOOKUP(Website!B547,'SC (Gross)'!J:K,2,FALSE))/100)</f>
        <v/>
      </c>
      <c r="E547" s="1" t="str">
        <f>IF(B547="","",(VLOOKUP(B547,'Global (Gross)'!A:D,4,FALSE)-VLOOKUP(Website!B547,'Global (Gross)'!J:K,2,FALSE))/100)</f>
        <v/>
      </c>
      <c r="F547" s="1" t="str">
        <f>IF(B547="","",(VLOOKUP(B547,'BOGIX (Gross)'!A:D,4,FALSE)/100))</f>
        <v/>
      </c>
      <c r="G547" s="1"/>
      <c r="H547" s="1"/>
      <c r="I547" s="1"/>
      <c r="J547" s="1" t="str">
        <f>IF(B547="","",(VLOOKUP(B547,'BOGIX (Net)'!A:D,4,FALSE)/100))</f>
        <v/>
      </c>
      <c r="K547" s="1"/>
      <c r="L547" s="1"/>
      <c r="M547" s="1"/>
    </row>
    <row r="548" spans="2:13" x14ac:dyDescent="0.25">
      <c r="B548" s="169" t="str">
        <f>IF('LC (Gross)'!A695="","",'LC (Gross)'!A695)</f>
        <v/>
      </c>
      <c r="D548" s="1" t="str">
        <f>IF(B548="","",(VLOOKUP(B548,'SC (Gross)'!A:D,4,FALSE)-VLOOKUP(Website!B548,'SC (Gross)'!J:K,2,FALSE))/100)</f>
        <v/>
      </c>
      <c r="E548" s="1" t="str">
        <f>IF(B548="","",(VLOOKUP(B548,'Global (Gross)'!A:D,4,FALSE)-VLOOKUP(Website!B548,'Global (Gross)'!J:K,2,FALSE))/100)</f>
        <v/>
      </c>
      <c r="F548" s="1" t="str">
        <f>IF(B548="","",(VLOOKUP(B548,'BOGIX (Gross)'!A:D,4,FALSE)/100))</f>
        <v/>
      </c>
      <c r="G548" s="1"/>
      <c r="H548" s="1"/>
      <c r="I548" s="1"/>
      <c r="J548" s="1" t="str">
        <f>IF(B548="","",(VLOOKUP(B548,'BOGIX (Net)'!A:D,4,FALSE)/100))</f>
        <v/>
      </c>
      <c r="K548" s="1"/>
      <c r="L548" s="1"/>
      <c r="M548" s="1"/>
    </row>
    <row r="549" spans="2:13" x14ac:dyDescent="0.25">
      <c r="B549" s="169" t="str">
        <f>IF('LC (Gross)'!A696="","",'LC (Gross)'!A696)</f>
        <v/>
      </c>
      <c r="D549" s="1" t="str">
        <f>IF(B549="","",(VLOOKUP(B549,'SC (Gross)'!A:D,4,FALSE)-VLOOKUP(Website!B549,'SC (Gross)'!J:K,2,FALSE))/100)</f>
        <v/>
      </c>
      <c r="E549" s="1" t="str">
        <f>IF(B549="","",(VLOOKUP(B549,'Global (Gross)'!A:D,4,FALSE)-VLOOKUP(Website!B549,'Global (Gross)'!J:K,2,FALSE))/100)</f>
        <v/>
      </c>
      <c r="F549" s="1" t="str">
        <f>IF(B549="","",(VLOOKUP(B549,'BOGIX (Gross)'!A:D,4,FALSE)/100))</f>
        <v/>
      </c>
      <c r="G549" s="1"/>
      <c r="H549" s="1"/>
      <c r="I549" s="1"/>
      <c r="J549" s="1" t="str">
        <f>IF(B549="","",(VLOOKUP(B549,'BOGIX (Net)'!A:D,4,FALSE)/100))</f>
        <v/>
      </c>
      <c r="K549" s="1"/>
      <c r="L549" s="1"/>
      <c r="M549" s="1"/>
    </row>
    <row r="550" spans="2:13" x14ac:dyDescent="0.25">
      <c r="B550" s="169" t="str">
        <f>IF('LC (Gross)'!A697="","",'LC (Gross)'!A697)</f>
        <v/>
      </c>
      <c r="D550" s="1" t="str">
        <f>IF(B550="","",(VLOOKUP(B550,'SC (Gross)'!A:D,4,FALSE)-VLOOKUP(Website!B550,'SC (Gross)'!J:K,2,FALSE))/100)</f>
        <v/>
      </c>
      <c r="E550" s="1" t="str">
        <f>IF(B550="","",(VLOOKUP(B550,'Global (Gross)'!A:D,4,FALSE)-VLOOKUP(Website!B550,'Global (Gross)'!J:K,2,FALSE))/100)</f>
        <v/>
      </c>
      <c r="F550" s="1" t="str">
        <f>IF(B550="","",(VLOOKUP(B550,'BOGIX (Gross)'!A:D,4,FALSE)/100))</f>
        <v/>
      </c>
      <c r="G550" s="1"/>
      <c r="H550" s="1"/>
      <c r="I550" s="1"/>
      <c r="J550" s="1" t="str">
        <f>IF(B550="","",(VLOOKUP(B550,'BOGIX (Net)'!A:D,4,FALSE)/100))</f>
        <v/>
      </c>
      <c r="K550" s="1"/>
      <c r="L550" s="1"/>
      <c r="M550" s="1"/>
    </row>
    <row r="551" spans="2:13" x14ac:dyDescent="0.25">
      <c r="B551" s="169" t="str">
        <f>IF('LC (Gross)'!A698="","",'LC (Gross)'!A698)</f>
        <v/>
      </c>
      <c r="D551" s="1" t="str">
        <f>IF(B551="","",(VLOOKUP(B551,'SC (Gross)'!A:D,4,FALSE)-VLOOKUP(Website!B551,'SC (Gross)'!J:K,2,FALSE))/100)</f>
        <v/>
      </c>
      <c r="E551" s="1" t="str">
        <f>IF(B551="","",(VLOOKUP(B551,'Global (Gross)'!A:D,4,FALSE)-VLOOKUP(Website!B551,'Global (Gross)'!J:K,2,FALSE))/100)</f>
        <v/>
      </c>
      <c r="F551" s="1" t="str">
        <f>IF(B551="","",(VLOOKUP(B551,'BOGIX (Gross)'!A:D,4,FALSE)/100))</f>
        <v/>
      </c>
      <c r="G551" s="1"/>
      <c r="H551" s="1"/>
      <c r="I551" s="1"/>
      <c r="J551" s="1" t="str">
        <f>IF(B551="","",(VLOOKUP(B551,'BOGIX (Net)'!A:D,4,FALSE)/100))</f>
        <v/>
      </c>
      <c r="K551" s="1"/>
      <c r="L551" s="1"/>
      <c r="M551" s="1"/>
    </row>
    <row r="552" spans="2:13" x14ac:dyDescent="0.25">
      <c r="B552" s="169" t="str">
        <f>IF('LC (Gross)'!A699="","",'LC (Gross)'!A699)</f>
        <v/>
      </c>
      <c r="D552" s="1" t="str">
        <f>IF(B552="","",(VLOOKUP(B552,'SC (Gross)'!A:D,4,FALSE)-VLOOKUP(Website!B552,'SC (Gross)'!J:K,2,FALSE))/100)</f>
        <v/>
      </c>
      <c r="E552" s="1" t="str">
        <f>IF(B552="","",(VLOOKUP(B552,'Global (Gross)'!A:D,4,FALSE)-VLOOKUP(Website!B552,'Global (Gross)'!J:K,2,FALSE))/100)</f>
        <v/>
      </c>
      <c r="F552" s="1" t="str">
        <f>IF(B552="","",(VLOOKUP(B552,'BOGIX (Gross)'!A:D,4,FALSE)/100))</f>
        <v/>
      </c>
      <c r="G552" s="1"/>
      <c r="H552" s="1"/>
      <c r="I552" s="1"/>
      <c r="J552" s="1" t="str">
        <f>IF(B552="","",(VLOOKUP(B552,'BOGIX (Net)'!A:D,4,FALSE)/100))</f>
        <v/>
      </c>
      <c r="K552" s="1"/>
      <c r="L552" s="1"/>
      <c r="M552" s="1"/>
    </row>
    <row r="553" spans="2:13" x14ac:dyDescent="0.25">
      <c r="B553" s="169" t="str">
        <f>IF('LC (Gross)'!A700="","",'LC (Gross)'!A700)</f>
        <v/>
      </c>
      <c r="D553" s="1" t="str">
        <f>IF(B553="","",(VLOOKUP(B553,'SC (Gross)'!A:D,4,FALSE)-VLOOKUP(Website!B553,'SC (Gross)'!J:K,2,FALSE))/100)</f>
        <v/>
      </c>
      <c r="E553" s="1" t="str">
        <f>IF(B553="","",(VLOOKUP(B553,'Global (Gross)'!A:D,4,FALSE)-VLOOKUP(Website!B553,'Global (Gross)'!J:K,2,FALSE))/100)</f>
        <v/>
      </c>
      <c r="F553" s="1" t="str">
        <f>IF(B553="","",(VLOOKUP(B553,'BOGIX (Gross)'!A:D,4,FALSE)/100))</f>
        <v/>
      </c>
      <c r="G553" s="1"/>
      <c r="H553" s="1"/>
      <c r="I553" s="1"/>
      <c r="J553" s="1" t="str">
        <f>IF(B553="","",(VLOOKUP(B553,'BOGIX (Net)'!A:D,4,FALSE)/100))</f>
        <v/>
      </c>
      <c r="K553" s="1"/>
      <c r="L553" s="1"/>
      <c r="M553" s="1"/>
    </row>
    <row r="554" spans="2:13" x14ac:dyDescent="0.25">
      <c r="B554" s="169" t="str">
        <f>IF('LC (Gross)'!A701="","",'LC (Gross)'!A701)</f>
        <v/>
      </c>
      <c r="D554" s="1" t="str">
        <f>IF(B554="","",(VLOOKUP(B554,'SC (Gross)'!A:D,4,FALSE)-VLOOKUP(Website!B554,'SC (Gross)'!J:K,2,FALSE))/100)</f>
        <v/>
      </c>
      <c r="E554" s="1" t="str">
        <f>IF(B554="","",(VLOOKUP(B554,'Global (Gross)'!A:D,4,FALSE)-VLOOKUP(Website!B554,'Global (Gross)'!J:K,2,FALSE))/100)</f>
        <v/>
      </c>
      <c r="F554" s="1" t="str">
        <f>IF(B554="","",(VLOOKUP(B554,'BOGIX (Gross)'!A:D,4,FALSE)/100))</f>
        <v/>
      </c>
      <c r="G554" s="1"/>
      <c r="H554" s="1"/>
      <c r="I554" s="1"/>
      <c r="J554" s="1" t="str">
        <f>IF(B554="","",(VLOOKUP(B554,'BOGIX (Net)'!A:D,4,FALSE)/100))</f>
        <v/>
      </c>
      <c r="K554" s="1"/>
      <c r="L554" s="1"/>
      <c r="M554" s="1"/>
    </row>
    <row r="555" spans="2:13" x14ac:dyDescent="0.25">
      <c r="B555" s="169" t="str">
        <f>IF('LC (Gross)'!A702="","",'LC (Gross)'!A702)</f>
        <v/>
      </c>
      <c r="D555" s="1" t="str">
        <f>IF(B555="","",(VLOOKUP(B555,'SC (Gross)'!A:D,4,FALSE)-VLOOKUP(Website!B555,'SC (Gross)'!J:K,2,FALSE))/100)</f>
        <v/>
      </c>
      <c r="E555" s="1" t="str">
        <f>IF(B555="","",(VLOOKUP(B555,'Global (Gross)'!A:D,4,FALSE)-VLOOKUP(Website!B555,'Global (Gross)'!J:K,2,FALSE))/100)</f>
        <v/>
      </c>
      <c r="F555" s="1" t="str">
        <f>IF(B555="","",(VLOOKUP(B555,'BOGIX (Gross)'!A:D,4,FALSE)/100))</f>
        <v/>
      </c>
      <c r="G555" s="1"/>
      <c r="H555" s="1"/>
      <c r="I555" s="1"/>
      <c r="J555" s="1" t="str">
        <f>IF(B555="","",(VLOOKUP(B555,'BOGIX (Net)'!A:D,4,FALSE)/100))</f>
        <v/>
      </c>
      <c r="K555" s="1"/>
      <c r="L555" s="1"/>
      <c r="M555" s="1"/>
    </row>
    <row r="556" spans="2:13" x14ac:dyDescent="0.25">
      <c r="B556" s="169" t="str">
        <f>IF('LC (Gross)'!A703="","",'LC (Gross)'!A703)</f>
        <v/>
      </c>
      <c r="D556" s="1" t="str">
        <f>IF(B556="","",(VLOOKUP(B556,'SC (Gross)'!A:D,4,FALSE)-VLOOKUP(Website!B556,'SC (Gross)'!J:K,2,FALSE))/100)</f>
        <v/>
      </c>
      <c r="E556" s="1" t="str">
        <f>IF(B556="","",(VLOOKUP(B556,'Global (Gross)'!A:D,4,FALSE)-VLOOKUP(Website!B556,'Global (Gross)'!J:K,2,FALSE))/100)</f>
        <v/>
      </c>
      <c r="F556" s="1" t="str">
        <f>IF(B556="","",(VLOOKUP(B556,'BOGIX (Gross)'!A:D,4,FALSE)/100))</f>
        <v/>
      </c>
      <c r="G556" s="1"/>
      <c r="H556" s="1"/>
      <c r="I556" s="1"/>
      <c r="J556" s="1" t="str">
        <f>IF(B556="","",(VLOOKUP(B556,'BOGIX (Net)'!A:D,4,FALSE)/100))</f>
        <v/>
      </c>
      <c r="K556" s="1"/>
      <c r="L556" s="1"/>
      <c r="M556" s="1"/>
    </row>
    <row r="557" spans="2:13" x14ac:dyDescent="0.25">
      <c r="B557" s="169" t="str">
        <f>IF('LC (Gross)'!A704="","",'LC (Gross)'!A704)</f>
        <v/>
      </c>
      <c r="D557" s="1" t="str">
        <f>IF(B557="","",(VLOOKUP(B557,'SC (Gross)'!A:D,4,FALSE)-VLOOKUP(Website!B557,'SC (Gross)'!J:K,2,FALSE))/100)</f>
        <v/>
      </c>
      <c r="E557" s="1" t="str">
        <f>IF(B557="","",(VLOOKUP(B557,'Global (Gross)'!A:D,4,FALSE)-VLOOKUP(Website!B557,'Global (Gross)'!J:K,2,FALSE))/100)</f>
        <v/>
      </c>
      <c r="F557" s="1" t="str">
        <f>IF(B557="","",(VLOOKUP(B557,'BOGIX (Gross)'!A:D,4,FALSE)/100))</f>
        <v/>
      </c>
      <c r="G557" s="1"/>
      <c r="H557" s="1"/>
      <c r="I557" s="1"/>
      <c r="J557" s="1" t="str">
        <f>IF(B557="","",(VLOOKUP(B557,'BOGIX (Net)'!A:D,4,FALSE)/100))</f>
        <v/>
      </c>
      <c r="K557" s="1"/>
      <c r="L557" s="1"/>
      <c r="M557" s="1"/>
    </row>
    <row r="558" spans="2:13" x14ac:dyDescent="0.25">
      <c r="B558" s="169" t="str">
        <f>IF('LC (Gross)'!A705="","",'LC (Gross)'!A705)</f>
        <v/>
      </c>
      <c r="D558" s="1" t="str">
        <f>IF(B558="","",(VLOOKUP(B558,'SC (Gross)'!A:D,4,FALSE)-VLOOKUP(Website!B558,'SC (Gross)'!J:K,2,FALSE))/100)</f>
        <v/>
      </c>
      <c r="E558" s="1" t="str">
        <f>IF(B558="","",(VLOOKUP(B558,'Global (Gross)'!A:D,4,FALSE)-VLOOKUP(Website!B558,'Global (Gross)'!J:K,2,FALSE))/100)</f>
        <v/>
      </c>
      <c r="F558" s="1" t="str">
        <f>IF(B558="","",(VLOOKUP(B558,'BOGIX (Gross)'!A:D,4,FALSE)/100))</f>
        <v/>
      </c>
      <c r="G558" s="1"/>
      <c r="H558" s="1"/>
      <c r="I558" s="1"/>
      <c r="J558" s="1" t="str">
        <f>IF(B558="","",(VLOOKUP(B558,'BOGIX (Net)'!A:D,4,FALSE)/100))</f>
        <v/>
      </c>
      <c r="K558" s="1"/>
      <c r="L558" s="1"/>
      <c r="M558" s="1"/>
    </row>
    <row r="559" spans="2:13" x14ac:dyDescent="0.25">
      <c r="B559" s="169" t="str">
        <f>IF('LC (Gross)'!A706="","",'LC (Gross)'!A706)</f>
        <v/>
      </c>
      <c r="D559" s="1" t="str">
        <f>IF(B559="","",(VLOOKUP(B559,'SC (Gross)'!A:D,4,FALSE)-VLOOKUP(Website!B559,'SC (Gross)'!J:K,2,FALSE))/100)</f>
        <v/>
      </c>
      <c r="E559" s="1" t="str">
        <f>IF(B559="","",(VLOOKUP(B559,'Global (Gross)'!A:D,4,FALSE)-VLOOKUP(Website!B559,'Global (Gross)'!J:K,2,FALSE))/100)</f>
        <v/>
      </c>
      <c r="F559" s="1" t="str">
        <f>IF(B559="","",(VLOOKUP(B559,'BOGIX (Gross)'!A:D,4,FALSE)/100))</f>
        <v/>
      </c>
      <c r="G559" s="1"/>
      <c r="H559" s="1"/>
      <c r="I559" s="1"/>
      <c r="J559" s="1" t="str">
        <f>IF(B559="","",(VLOOKUP(B559,'BOGIX (Net)'!A:D,4,FALSE)/100))</f>
        <v/>
      </c>
      <c r="K559" s="1"/>
      <c r="L559" s="1"/>
      <c r="M559" s="1"/>
    </row>
    <row r="560" spans="2:13" x14ac:dyDescent="0.25">
      <c r="B560" s="169" t="str">
        <f>IF('LC (Gross)'!A707="","",'LC (Gross)'!A707)</f>
        <v/>
      </c>
      <c r="D560" s="1" t="str">
        <f>IF(B560="","",(VLOOKUP(B560,'SC (Gross)'!A:D,4,FALSE)-VLOOKUP(Website!B560,'SC (Gross)'!J:K,2,FALSE))/100)</f>
        <v/>
      </c>
      <c r="E560" s="1" t="str">
        <f>IF(B560="","",(VLOOKUP(B560,'Global (Gross)'!A:D,4,FALSE)-VLOOKUP(Website!B560,'Global (Gross)'!J:K,2,FALSE))/100)</f>
        <v/>
      </c>
      <c r="F560" s="1" t="str">
        <f>IF(B560="","",(VLOOKUP(B560,'BOGIX (Gross)'!A:D,4,FALSE)/100))</f>
        <v/>
      </c>
      <c r="G560" s="1"/>
      <c r="H560" s="1"/>
      <c r="I560" s="1"/>
      <c r="J560" s="1" t="str">
        <f>IF(B560="","",(VLOOKUP(B560,'BOGIX (Net)'!A:D,4,FALSE)/100))</f>
        <v/>
      </c>
      <c r="K560" s="1"/>
      <c r="L560" s="1"/>
      <c r="M560" s="1"/>
    </row>
    <row r="561" spans="2:13" x14ac:dyDescent="0.25">
      <c r="B561" s="169" t="str">
        <f>IF('LC (Gross)'!A708="","",'LC (Gross)'!A708)</f>
        <v/>
      </c>
      <c r="D561" s="1" t="str">
        <f>IF(B561="","",(VLOOKUP(B561,'SC (Gross)'!A:D,4,FALSE)-VLOOKUP(Website!B561,'SC (Gross)'!J:K,2,FALSE))/100)</f>
        <v/>
      </c>
      <c r="E561" s="1" t="str">
        <f>IF(B561="","",(VLOOKUP(B561,'Global (Gross)'!A:D,4,FALSE)-VLOOKUP(Website!B561,'Global (Gross)'!J:K,2,FALSE))/100)</f>
        <v/>
      </c>
      <c r="F561" s="1" t="str">
        <f>IF(B561="","",(VLOOKUP(B561,'BOGIX (Gross)'!A:D,4,FALSE)/100))</f>
        <v/>
      </c>
      <c r="G561" s="1"/>
      <c r="H561" s="1"/>
      <c r="I561" s="1"/>
      <c r="J561" s="1" t="str">
        <f>IF(B561="","",(VLOOKUP(B561,'BOGIX (Net)'!A:D,4,FALSE)/100))</f>
        <v/>
      </c>
      <c r="K561" s="1"/>
      <c r="L561" s="1"/>
      <c r="M561" s="1"/>
    </row>
    <row r="562" spans="2:13" x14ac:dyDescent="0.25">
      <c r="B562" s="169" t="str">
        <f>IF('LC (Gross)'!A709="","",'LC (Gross)'!A709)</f>
        <v/>
      </c>
      <c r="D562" s="1" t="str">
        <f>IF(B562="","",(VLOOKUP(B562,'SC (Gross)'!A:D,4,FALSE)-VLOOKUP(Website!B562,'SC (Gross)'!J:K,2,FALSE))/100)</f>
        <v/>
      </c>
      <c r="E562" s="1" t="str">
        <f>IF(B562="","",(VLOOKUP(B562,'Global (Gross)'!A:D,4,FALSE)-VLOOKUP(Website!B562,'Global (Gross)'!J:K,2,FALSE))/100)</f>
        <v/>
      </c>
      <c r="F562" s="1" t="str">
        <f>IF(B562="","",(VLOOKUP(B562,'BOGIX (Gross)'!A:D,4,FALSE)/100))</f>
        <v/>
      </c>
      <c r="G562" s="1"/>
      <c r="H562" s="1"/>
      <c r="I562" s="1"/>
      <c r="J562" s="1" t="str">
        <f>IF(B562="","",(VLOOKUP(B562,'BOGIX (Net)'!A:D,4,FALSE)/100))</f>
        <v/>
      </c>
      <c r="K562" s="1"/>
      <c r="L562" s="1"/>
      <c r="M562" s="1"/>
    </row>
    <row r="563" spans="2:13" x14ac:dyDescent="0.25">
      <c r="B563" s="169" t="str">
        <f>IF('LC (Gross)'!A710="","",'LC (Gross)'!A710)</f>
        <v/>
      </c>
      <c r="D563" s="1" t="str">
        <f>IF(B563="","",(VLOOKUP(B563,'SC (Gross)'!A:D,4,FALSE)-VLOOKUP(Website!B563,'SC (Gross)'!J:K,2,FALSE))/100)</f>
        <v/>
      </c>
      <c r="E563" s="1" t="str">
        <f>IF(B563="","",(VLOOKUP(B563,'Global (Gross)'!A:D,4,FALSE)-VLOOKUP(Website!B563,'Global (Gross)'!J:K,2,FALSE))/100)</f>
        <v/>
      </c>
      <c r="F563" s="1" t="str">
        <f>IF(B563="","",(VLOOKUP(B563,'BOGIX (Gross)'!A:D,4,FALSE)/100))</f>
        <v/>
      </c>
      <c r="G563" s="1"/>
      <c r="H563" s="1"/>
      <c r="I563" s="1"/>
      <c r="J563" s="1" t="str">
        <f>IF(B563="","",(VLOOKUP(B563,'BOGIX (Net)'!A:D,4,FALSE)/100))</f>
        <v/>
      </c>
      <c r="K563" s="1"/>
      <c r="L563" s="1"/>
      <c r="M563" s="1"/>
    </row>
    <row r="564" spans="2:13" x14ac:dyDescent="0.25">
      <c r="B564" s="169" t="str">
        <f>IF('LC (Gross)'!A711="","",'LC (Gross)'!A711)</f>
        <v/>
      </c>
      <c r="D564" s="1" t="str">
        <f>IF(B564="","",(VLOOKUP(B564,'SC (Gross)'!A:D,4,FALSE)-VLOOKUP(Website!B564,'SC (Gross)'!J:K,2,FALSE))/100)</f>
        <v/>
      </c>
      <c r="E564" s="1" t="str">
        <f>IF(B564="","",(VLOOKUP(B564,'Global (Gross)'!A:D,4,FALSE)-VLOOKUP(Website!B564,'Global (Gross)'!J:K,2,FALSE))/100)</f>
        <v/>
      </c>
      <c r="F564" s="1" t="str">
        <f>IF(B564="","",(VLOOKUP(B564,'BOGIX (Gross)'!A:D,4,FALSE)/100))</f>
        <v/>
      </c>
      <c r="G564" s="1"/>
      <c r="H564" s="1"/>
      <c r="I564" s="1"/>
      <c r="J564" s="1" t="str">
        <f>IF(B564="","",(VLOOKUP(B564,'BOGIX (Net)'!A:D,4,FALSE)/100))</f>
        <v/>
      </c>
      <c r="K564" s="1"/>
      <c r="L564" s="1"/>
      <c r="M564" s="1"/>
    </row>
    <row r="565" spans="2:13" x14ac:dyDescent="0.25">
      <c r="B565" s="169" t="str">
        <f>IF('LC (Gross)'!A712="","",'LC (Gross)'!A712)</f>
        <v/>
      </c>
      <c r="D565" s="1" t="str">
        <f>IF(B565="","",(VLOOKUP(B565,'SC (Gross)'!A:D,4,FALSE)-VLOOKUP(Website!B565,'SC (Gross)'!J:K,2,FALSE))/100)</f>
        <v/>
      </c>
      <c r="E565" s="1" t="str">
        <f>IF(B565="","",(VLOOKUP(B565,'Global (Gross)'!A:D,4,FALSE)-VLOOKUP(Website!B565,'Global (Gross)'!J:K,2,FALSE))/100)</f>
        <v/>
      </c>
      <c r="F565" s="1" t="str">
        <f>IF(B565="","",(VLOOKUP(B565,'BOGIX (Gross)'!A:D,4,FALSE)/100))</f>
        <v/>
      </c>
      <c r="G565" s="1"/>
      <c r="H565" s="1"/>
      <c r="I565" s="1"/>
      <c r="J565" s="1" t="str">
        <f>IF(B565="","",(VLOOKUP(B565,'BOGIX (Net)'!A:D,4,FALSE)/100))</f>
        <v/>
      </c>
      <c r="K565" s="1"/>
      <c r="L565" s="1"/>
      <c r="M565" s="1"/>
    </row>
    <row r="566" spans="2:13" x14ac:dyDescent="0.25">
      <c r="B566" s="169" t="str">
        <f>IF('LC (Gross)'!A713="","",'LC (Gross)'!A713)</f>
        <v/>
      </c>
      <c r="D566" s="1" t="str">
        <f>IF(B566="","",(VLOOKUP(B566,'SC (Gross)'!A:D,4,FALSE)-VLOOKUP(Website!B566,'SC (Gross)'!J:K,2,FALSE))/100)</f>
        <v/>
      </c>
      <c r="E566" s="1" t="str">
        <f>IF(B566="","",(VLOOKUP(B566,'Global (Gross)'!A:D,4,FALSE)-VLOOKUP(Website!B566,'Global (Gross)'!J:K,2,FALSE))/100)</f>
        <v/>
      </c>
      <c r="F566" s="1" t="str">
        <f>IF(B566="","",(VLOOKUP(B566,'BOGIX (Gross)'!A:D,4,FALSE)/100))</f>
        <v/>
      </c>
      <c r="G566" s="1"/>
      <c r="H566" s="1"/>
      <c r="I566" s="1"/>
      <c r="J566" s="1" t="str">
        <f>IF(B566="","",(VLOOKUP(B566,'BOGIX (Net)'!A:D,4,FALSE)/100))</f>
        <v/>
      </c>
      <c r="K566" s="1"/>
      <c r="L566" s="1"/>
      <c r="M566" s="1"/>
    </row>
    <row r="567" spans="2:13" x14ac:dyDescent="0.25">
      <c r="B567" s="169" t="str">
        <f>IF('LC (Gross)'!A714="","",'LC (Gross)'!A714)</f>
        <v/>
      </c>
      <c r="D567" s="1" t="str">
        <f>IF(B567="","",(VLOOKUP(B567,'SC (Gross)'!A:D,4,FALSE)-VLOOKUP(Website!B567,'SC (Gross)'!J:K,2,FALSE))/100)</f>
        <v/>
      </c>
      <c r="E567" s="1" t="str">
        <f>IF(B567="","",(VLOOKUP(B567,'Global (Gross)'!A:D,4,FALSE)-VLOOKUP(Website!B567,'Global (Gross)'!J:K,2,FALSE))/100)</f>
        <v/>
      </c>
      <c r="F567" s="1" t="str">
        <f>IF(B567="","",(VLOOKUP(B567,'BOGIX (Gross)'!A:D,4,FALSE)/100))</f>
        <v/>
      </c>
      <c r="G567" s="1"/>
      <c r="H567" s="1"/>
      <c r="I567" s="1"/>
      <c r="J567" s="1" t="str">
        <f>IF(B567="","",(VLOOKUP(B567,'BOGIX (Net)'!A:D,4,FALSE)/100))</f>
        <v/>
      </c>
      <c r="K567" s="1"/>
      <c r="L567" s="1"/>
      <c r="M567" s="1"/>
    </row>
    <row r="568" spans="2:13" x14ac:dyDescent="0.25">
      <c r="B568" s="169" t="str">
        <f>IF('LC (Gross)'!A715="","",'LC (Gross)'!A715)</f>
        <v/>
      </c>
      <c r="D568" s="1" t="str">
        <f>IF(B568="","",(VLOOKUP(B568,'SC (Gross)'!A:D,4,FALSE)-VLOOKUP(Website!B568,'SC (Gross)'!J:K,2,FALSE))/100)</f>
        <v/>
      </c>
      <c r="E568" s="1" t="str">
        <f>IF(B568="","",(VLOOKUP(B568,'Global (Gross)'!A:D,4,FALSE)-VLOOKUP(Website!B568,'Global (Gross)'!J:K,2,FALSE))/100)</f>
        <v/>
      </c>
      <c r="F568" s="1" t="str">
        <f>IF(B568="","",(VLOOKUP(B568,'BOGIX (Gross)'!A:D,4,FALSE)/100))</f>
        <v/>
      </c>
      <c r="G568" s="1"/>
      <c r="H568" s="1"/>
      <c r="I568" s="1"/>
      <c r="J568" s="1" t="str">
        <f>IF(B568="","",(VLOOKUP(B568,'BOGIX (Net)'!A:D,4,FALSE)/100))</f>
        <v/>
      </c>
      <c r="K568" s="1"/>
      <c r="L568" s="1"/>
      <c r="M568" s="1"/>
    </row>
    <row r="569" spans="2:13" x14ac:dyDescent="0.25">
      <c r="B569" s="169" t="str">
        <f>IF('LC (Gross)'!A716="","",'LC (Gross)'!A716)</f>
        <v/>
      </c>
      <c r="D569" s="1" t="str">
        <f>IF(B569="","",(VLOOKUP(B569,'SC (Gross)'!A:D,4,FALSE)-VLOOKUP(Website!B569,'SC (Gross)'!J:K,2,FALSE))/100)</f>
        <v/>
      </c>
      <c r="E569" s="1" t="str">
        <f>IF(B569="","",(VLOOKUP(B569,'Global (Gross)'!A:D,4,FALSE)-VLOOKUP(Website!B569,'Global (Gross)'!J:K,2,FALSE))/100)</f>
        <v/>
      </c>
      <c r="F569" s="1" t="str">
        <f>IF(B569="","",(VLOOKUP(B569,'BOGIX (Gross)'!A:D,4,FALSE)/100))</f>
        <v/>
      </c>
      <c r="G569" s="1"/>
      <c r="H569" s="1"/>
      <c r="I569" s="1"/>
      <c r="J569" s="1" t="str">
        <f>IF(B569="","",(VLOOKUP(B569,'BOGIX (Net)'!A:D,4,FALSE)/100))</f>
        <v/>
      </c>
      <c r="K569" s="1"/>
      <c r="L569" s="1"/>
      <c r="M569" s="1"/>
    </row>
    <row r="570" spans="2:13" x14ac:dyDescent="0.25">
      <c r="B570" s="169" t="str">
        <f>IF('LC (Gross)'!A717="","",'LC (Gross)'!A717)</f>
        <v/>
      </c>
      <c r="D570" s="1" t="str">
        <f>IF(B570="","",(VLOOKUP(B570,'SC (Gross)'!A:D,4,FALSE)-VLOOKUP(Website!B570,'SC (Gross)'!J:K,2,FALSE))/100)</f>
        <v/>
      </c>
      <c r="E570" s="1" t="str">
        <f>IF(B570="","",(VLOOKUP(B570,'Global (Gross)'!A:D,4,FALSE)-VLOOKUP(Website!B570,'Global (Gross)'!J:K,2,FALSE))/100)</f>
        <v/>
      </c>
      <c r="F570" s="1" t="str">
        <f>IF(B570="","",(VLOOKUP(B570,'BOGIX (Gross)'!A:D,4,FALSE)/100))</f>
        <v/>
      </c>
      <c r="G570" s="1"/>
      <c r="H570" s="1"/>
      <c r="I570" s="1"/>
      <c r="J570" s="1" t="str">
        <f>IF(B570="","",(VLOOKUP(B570,'BOGIX (Net)'!A:D,4,FALSE)/100))</f>
        <v/>
      </c>
      <c r="K570" s="1"/>
      <c r="L570" s="1"/>
      <c r="M570" s="1"/>
    </row>
    <row r="571" spans="2:13" x14ac:dyDescent="0.25">
      <c r="B571" s="169" t="str">
        <f>IF('LC (Gross)'!A718="","",'LC (Gross)'!A718)</f>
        <v/>
      </c>
      <c r="D571" s="1" t="str">
        <f>IF(B571="","",(VLOOKUP(B571,'SC (Gross)'!A:D,4,FALSE)-VLOOKUP(Website!B571,'SC (Gross)'!J:K,2,FALSE))/100)</f>
        <v/>
      </c>
      <c r="E571" s="1" t="str">
        <f>IF(B571="","",(VLOOKUP(B571,'Global (Gross)'!A:D,4,FALSE)-VLOOKUP(Website!B571,'Global (Gross)'!J:K,2,FALSE))/100)</f>
        <v/>
      </c>
      <c r="F571" s="1" t="str">
        <f>IF(B571="","",(VLOOKUP(B571,'BOGIX (Gross)'!A:D,4,FALSE)/100))</f>
        <v/>
      </c>
      <c r="G571" s="1"/>
      <c r="H571" s="1"/>
      <c r="I571" s="1"/>
      <c r="J571" s="1" t="str">
        <f>IF(B571="","",(VLOOKUP(B571,'BOGIX (Net)'!A:D,4,FALSE)/100))</f>
        <v/>
      </c>
      <c r="K571" s="1"/>
      <c r="L571" s="1"/>
      <c r="M571" s="1"/>
    </row>
    <row r="572" spans="2:13" x14ac:dyDescent="0.25">
      <c r="B572" s="169" t="str">
        <f>IF('LC (Gross)'!A719="","",'LC (Gross)'!A719)</f>
        <v/>
      </c>
      <c r="D572" s="1" t="str">
        <f>IF(B572="","",(VLOOKUP(B572,'SC (Gross)'!A:D,4,FALSE)-VLOOKUP(Website!B572,'SC (Gross)'!J:K,2,FALSE))/100)</f>
        <v/>
      </c>
      <c r="E572" s="1" t="str">
        <f>IF(B572="","",(VLOOKUP(B572,'Global (Gross)'!A:D,4,FALSE)-VLOOKUP(Website!B572,'Global (Gross)'!J:K,2,FALSE))/100)</f>
        <v/>
      </c>
      <c r="F572" s="1" t="str">
        <f>IF(B572="","",(VLOOKUP(B572,'BOGIX (Gross)'!A:D,4,FALSE)/100))</f>
        <v/>
      </c>
      <c r="G572" s="1"/>
      <c r="H572" s="1"/>
      <c r="I572" s="1"/>
      <c r="J572" s="1" t="str">
        <f>IF(B572="","",(VLOOKUP(B572,'BOGIX (Net)'!A:D,4,FALSE)/100))</f>
        <v/>
      </c>
      <c r="K572" s="1"/>
      <c r="L572" s="1"/>
      <c r="M572" s="1"/>
    </row>
    <row r="573" spans="2:13" x14ac:dyDescent="0.25">
      <c r="B573" s="169" t="str">
        <f>IF('LC (Gross)'!A720="","",'LC (Gross)'!A720)</f>
        <v/>
      </c>
      <c r="D573" s="1" t="str">
        <f>IF(B573="","",(VLOOKUP(B573,'SC (Gross)'!A:D,4,FALSE)-VLOOKUP(Website!B573,'SC (Gross)'!J:K,2,FALSE))/100)</f>
        <v/>
      </c>
      <c r="E573" s="1" t="str">
        <f>IF(B573="","",(VLOOKUP(B573,'Global (Gross)'!A:D,4,FALSE)-VLOOKUP(Website!B573,'Global (Gross)'!J:K,2,FALSE))/100)</f>
        <v/>
      </c>
      <c r="F573" s="1" t="str">
        <f>IF(B573="","",(VLOOKUP(B573,'BOGIX (Gross)'!A:D,4,FALSE)/100))</f>
        <v/>
      </c>
      <c r="G573" s="1"/>
      <c r="H573" s="1"/>
      <c r="I573" s="1"/>
      <c r="J573" s="1" t="str">
        <f>IF(B573="","",(VLOOKUP(B573,'BOGIX (Net)'!A:D,4,FALSE)/100))</f>
        <v/>
      </c>
      <c r="K573" s="1"/>
      <c r="L573" s="1"/>
      <c r="M573" s="1"/>
    </row>
    <row r="574" spans="2:13" x14ac:dyDescent="0.25">
      <c r="B574" s="169" t="str">
        <f>IF('LC (Gross)'!A721="","",'LC (Gross)'!A721)</f>
        <v/>
      </c>
      <c r="D574" s="1" t="str">
        <f>IF(B574="","",(VLOOKUP(B574,'SC (Gross)'!A:D,4,FALSE)-VLOOKUP(Website!B574,'SC (Gross)'!J:K,2,FALSE))/100)</f>
        <v/>
      </c>
      <c r="E574" s="1" t="str">
        <f>IF(B574="","",(VLOOKUP(B574,'Global (Gross)'!A:D,4,FALSE)-VLOOKUP(Website!B574,'Global (Gross)'!J:K,2,FALSE))/100)</f>
        <v/>
      </c>
      <c r="F574" s="1" t="str">
        <f>IF(B574="","",(VLOOKUP(B574,'BOGIX (Gross)'!A:D,4,FALSE)/100))</f>
        <v/>
      </c>
      <c r="G574" s="1"/>
      <c r="H574" s="1"/>
      <c r="I574" s="1"/>
      <c r="J574" s="1" t="str">
        <f>IF(B574="","",(VLOOKUP(B574,'BOGIX (Net)'!A:D,4,FALSE)/100))</f>
        <v/>
      </c>
      <c r="K574" s="1"/>
      <c r="L574" s="1"/>
      <c r="M574" s="1"/>
    </row>
    <row r="575" spans="2:13" x14ac:dyDescent="0.25">
      <c r="B575" s="169" t="str">
        <f>IF('LC (Gross)'!A722="","",'LC (Gross)'!A722)</f>
        <v/>
      </c>
      <c r="D575" s="1" t="str">
        <f>IF(B575="","",(VLOOKUP(B575,'SC (Gross)'!A:D,4,FALSE)-VLOOKUP(Website!B575,'SC (Gross)'!J:K,2,FALSE))/100)</f>
        <v/>
      </c>
      <c r="E575" s="1" t="str">
        <f>IF(B575="","",(VLOOKUP(B575,'Global (Gross)'!A:D,4,FALSE)-VLOOKUP(Website!B575,'Global (Gross)'!J:K,2,FALSE))/100)</f>
        <v/>
      </c>
      <c r="F575" s="1" t="str">
        <f>IF(B575="","",(VLOOKUP(B575,'BOGIX (Gross)'!A:D,4,FALSE)/100))</f>
        <v/>
      </c>
      <c r="G575" s="1"/>
      <c r="H575" s="1"/>
      <c r="I575" s="1"/>
      <c r="J575" s="1" t="str">
        <f>IF(B575="","",(VLOOKUP(B575,'BOGIX (Net)'!A:D,4,FALSE)/100))</f>
        <v/>
      </c>
      <c r="K575" s="1"/>
      <c r="L575" s="1"/>
      <c r="M575" s="1"/>
    </row>
    <row r="576" spans="2:13" x14ac:dyDescent="0.25">
      <c r="B576" s="169" t="str">
        <f>IF('LC (Gross)'!A723="","",'LC (Gross)'!A723)</f>
        <v/>
      </c>
      <c r="D576" s="1" t="str">
        <f>IF(B576="","",(VLOOKUP(B576,'SC (Gross)'!A:D,4,FALSE)-VLOOKUP(Website!B576,'SC (Gross)'!J:K,2,FALSE))/100)</f>
        <v/>
      </c>
      <c r="E576" s="1" t="str">
        <f>IF(B576="","",(VLOOKUP(B576,'Global (Gross)'!A:D,4,FALSE)-VLOOKUP(Website!B576,'Global (Gross)'!J:K,2,FALSE))/100)</f>
        <v/>
      </c>
      <c r="F576" s="1" t="str">
        <f>IF(B576="","",(VLOOKUP(B576,'BOGIX (Gross)'!A:D,4,FALSE)/100))</f>
        <v/>
      </c>
      <c r="G576" s="1"/>
      <c r="H576" s="1"/>
      <c r="I576" s="1"/>
      <c r="J576" s="1" t="str">
        <f>IF(B576="","",(VLOOKUP(B576,'BOGIX (Net)'!A:D,4,FALSE)/100))</f>
        <v/>
      </c>
      <c r="K576" s="1"/>
      <c r="L576" s="1"/>
      <c r="M576" s="1"/>
    </row>
    <row r="577" spans="2:13" x14ac:dyDescent="0.25">
      <c r="B577" s="169" t="str">
        <f>IF('LC (Gross)'!A724="","",'LC (Gross)'!A724)</f>
        <v/>
      </c>
      <c r="D577" s="1" t="str">
        <f>IF(B577="","",(VLOOKUP(B577,'SC (Gross)'!A:D,4,FALSE)-VLOOKUP(Website!B577,'SC (Gross)'!J:K,2,FALSE))/100)</f>
        <v/>
      </c>
      <c r="E577" s="1" t="str">
        <f>IF(B577="","",(VLOOKUP(B577,'Global (Gross)'!A:D,4,FALSE)-VLOOKUP(Website!B577,'Global (Gross)'!J:K,2,FALSE))/100)</f>
        <v/>
      </c>
      <c r="F577" s="1" t="str">
        <f>IF(B577="","",(VLOOKUP(B577,'BOGIX (Gross)'!A:D,4,FALSE)/100))</f>
        <v/>
      </c>
      <c r="G577" s="1"/>
      <c r="H577" s="1"/>
      <c r="I577" s="1"/>
      <c r="J577" s="1" t="str">
        <f>IF(B577="","",(VLOOKUP(B577,'BOGIX (Net)'!A:D,4,FALSE)/100))</f>
        <v/>
      </c>
      <c r="K577" s="1"/>
      <c r="L577" s="1"/>
      <c r="M577" s="1"/>
    </row>
    <row r="578" spans="2:13" x14ac:dyDescent="0.25">
      <c r="B578" s="169" t="str">
        <f>IF('LC (Gross)'!A725="","",'LC (Gross)'!A725)</f>
        <v/>
      </c>
      <c r="D578" s="1" t="str">
        <f>IF(B578="","",(VLOOKUP(B578,'SC (Gross)'!A:D,4,FALSE)-VLOOKUP(Website!B578,'SC (Gross)'!J:K,2,FALSE))/100)</f>
        <v/>
      </c>
      <c r="E578" s="1" t="str">
        <f>IF(B578="","",(VLOOKUP(B578,'Global (Gross)'!A:D,4,FALSE)-VLOOKUP(Website!B578,'Global (Gross)'!J:K,2,FALSE))/100)</f>
        <v/>
      </c>
      <c r="F578" s="1" t="str">
        <f>IF(B578="","",(VLOOKUP(B578,'BOGIX (Gross)'!A:D,4,FALSE)/100))</f>
        <v/>
      </c>
      <c r="G578" s="1"/>
      <c r="H578" s="1"/>
      <c r="I578" s="1"/>
      <c r="J578" s="1" t="str">
        <f>IF(B578="","",(VLOOKUP(B578,'BOGIX (Net)'!A:D,4,FALSE)/100))</f>
        <v/>
      </c>
      <c r="K578" s="1"/>
      <c r="L578" s="1"/>
      <c r="M578" s="1"/>
    </row>
    <row r="579" spans="2:13" x14ac:dyDescent="0.25">
      <c r="B579" s="169" t="str">
        <f>IF('LC (Gross)'!A726="","",'LC (Gross)'!A726)</f>
        <v/>
      </c>
      <c r="D579" s="1" t="str">
        <f>IF(B579="","",(VLOOKUP(B579,'SC (Gross)'!A:D,4,FALSE)-VLOOKUP(Website!B579,'SC (Gross)'!J:K,2,FALSE))/100)</f>
        <v/>
      </c>
      <c r="E579" s="1" t="str">
        <f>IF(B579="","",(VLOOKUP(B579,'Global (Gross)'!A:D,4,FALSE)-VLOOKUP(Website!B579,'Global (Gross)'!J:K,2,FALSE))/100)</f>
        <v/>
      </c>
      <c r="F579" s="1" t="str">
        <f>IF(B579="","",(VLOOKUP(B579,'BOGIX (Gross)'!A:D,4,FALSE)/100))</f>
        <v/>
      </c>
      <c r="G579" s="1"/>
      <c r="H579" s="1"/>
      <c r="I579" s="1"/>
      <c r="J579" s="1" t="str">
        <f>IF(B579="","",(VLOOKUP(B579,'BOGIX (Net)'!A:D,4,FALSE)/100))</f>
        <v/>
      </c>
      <c r="K579" s="1"/>
      <c r="L579" s="1"/>
      <c r="M579" s="1"/>
    </row>
    <row r="580" spans="2:13" x14ac:dyDescent="0.25">
      <c r="B580" s="169" t="str">
        <f>IF('LC (Gross)'!A727="","",'LC (Gross)'!A727)</f>
        <v/>
      </c>
      <c r="D580" s="1" t="str">
        <f>IF(B580="","",(VLOOKUP(B580,'SC (Gross)'!A:D,4,FALSE)-VLOOKUP(Website!B580,'SC (Gross)'!J:K,2,FALSE))/100)</f>
        <v/>
      </c>
      <c r="E580" s="1" t="str">
        <f>IF(B580="","",(VLOOKUP(B580,'Global (Gross)'!A:D,4,FALSE)-VLOOKUP(Website!B580,'Global (Gross)'!J:K,2,FALSE))/100)</f>
        <v/>
      </c>
      <c r="F580" s="1" t="str">
        <f>IF(B580="","",(VLOOKUP(B580,'BOGIX (Gross)'!A:D,4,FALSE)/100))</f>
        <v/>
      </c>
      <c r="G580" s="1"/>
      <c r="H580" s="1"/>
      <c r="I580" s="1"/>
      <c r="J580" s="1" t="str">
        <f>IF(B580="","",(VLOOKUP(B580,'BOGIX (Net)'!A:D,4,FALSE)/100))</f>
        <v/>
      </c>
      <c r="K580" s="1"/>
      <c r="L580" s="1"/>
      <c r="M580" s="1"/>
    </row>
    <row r="581" spans="2:13" x14ac:dyDescent="0.25">
      <c r="B581" s="169" t="str">
        <f>IF('LC (Gross)'!A728="","",'LC (Gross)'!A728)</f>
        <v/>
      </c>
      <c r="D581" s="1" t="str">
        <f>IF(B581="","",(VLOOKUP(B581,'SC (Gross)'!A:D,4,FALSE)-VLOOKUP(Website!B581,'SC (Gross)'!J:K,2,FALSE))/100)</f>
        <v/>
      </c>
      <c r="E581" s="1" t="str">
        <f>IF(B581="","",(VLOOKUP(B581,'Global (Gross)'!A:D,4,FALSE)-VLOOKUP(Website!B581,'Global (Gross)'!J:K,2,FALSE))/100)</f>
        <v/>
      </c>
      <c r="F581" s="1" t="str">
        <f>IF(B581="","",(VLOOKUP(B581,'BOGIX (Gross)'!A:D,4,FALSE)/100))</f>
        <v/>
      </c>
      <c r="G581" s="1"/>
      <c r="H581" s="1"/>
      <c r="I581" s="1"/>
      <c r="J581" s="1" t="str">
        <f>IF(B581="","",(VLOOKUP(B581,'BOGIX (Net)'!A:D,4,FALSE)/100))</f>
        <v/>
      </c>
      <c r="K581" s="1"/>
      <c r="L581" s="1"/>
      <c r="M581" s="1"/>
    </row>
    <row r="582" spans="2:13" x14ac:dyDescent="0.25">
      <c r="B582" s="169" t="str">
        <f>IF('LC (Gross)'!A729="","",'LC (Gross)'!A729)</f>
        <v/>
      </c>
      <c r="D582" s="1" t="str">
        <f>IF(B582="","",(VLOOKUP(B582,'SC (Gross)'!A:D,4,FALSE)-VLOOKUP(Website!B582,'SC (Gross)'!J:K,2,FALSE))/100)</f>
        <v/>
      </c>
      <c r="E582" s="1" t="str">
        <f>IF(B582="","",(VLOOKUP(B582,'Global (Gross)'!A:D,4,FALSE)-VLOOKUP(Website!B582,'Global (Gross)'!J:K,2,FALSE))/100)</f>
        <v/>
      </c>
      <c r="F582" s="1" t="str">
        <f>IF(B582="","",(VLOOKUP(B582,'BOGIX (Gross)'!A:D,4,FALSE)/100))</f>
        <v/>
      </c>
      <c r="G582" s="1"/>
      <c r="H582" s="1"/>
      <c r="I582" s="1"/>
      <c r="J582" s="1" t="str">
        <f>IF(B582="","",(VLOOKUP(B582,'BOGIX (Net)'!A:D,4,FALSE)/100))</f>
        <v/>
      </c>
      <c r="K582" s="1"/>
      <c r="L582" s="1"/>
      <c r="M582" s="1"/>
    </row>
    <row r="583" spans="2:13" x14ac:dyDescent="0.25">
      <c r="B583" s="169" t="str">
        <f>IF('LC (Gross)'!A730="","",'LC (Gross)'!A730)</f>
        <v/>
      </c>
      <c r="D583" s="1" t="str">
        <f>IF(B583="","",(VLOOKUP(B583,'SC (Gross)'!A:D,4,FALSE)-VLOOKUP(Website!B583,'SC (Gross)'!J:K,2,FALSE))/100)</f>
        <v/>
      </c>
      <c r="E583" s="1" t="str">
        <f>IF(B583="","",(VLOOKUP(B583,'Global (Gross)'!A:D,4,FALSE)-VLOOKUP(Website!B583,'Global (Gross)'!J:K,2,FALSE))/100)</f>
        <v/>
      </c>
      <c r="F583" s="1" t="str">
        <f>IF(B583="","",(VLOOKUP(B583,'BOGIX (Gross)'!A:D,4,FALSE)/100))</f>
        <v/>
      </c>
      <c r="G583" s="1"/>
      <c r="H583" s="1"/>
      <c r="I583" s="1"/>
      <c r="J583" s="1" t="str">
        <f>IF(B583="","",(VLOOKUP(B583,'BOGIX (Net)'!A:D,4,FALSE)/100))</f>
        <v/>
      </c>
      <c r="K583" s="1"/>
      <c r="L583" s="1"/>
      <c r="M583" s="1"/>
    </row>
    <row r="584" spans="2:13" x14ac:dyDescent="0.25">
      <c r="B584" s="169" t="str">
        <f>IF('LC (Gross)'!A731="","",'LC (Gross)'!A731)</f>
        <v/>
      </c>
      <c r="D584" s="1" t="str">
        <f>IF(B584="","",(VLOOKUP(B584,'SC (Gross)'!A:D,4,FALSE)-VLOOKUP(Website!B584,'SC (Gross)'!J:K,2,FALSE))/100)</f>
        <v/>
      </c>
      <c r="E584" s="1" t="str">
        <f>IF(B584="","",(VLOOKUP(B584,'Global (Gross)'!A:D,4,FALSE)-VLOOKUP(Website!B584,'Global (Gross)'!J:K,2,FALSE))/100)</f>
        <v/>
      </c>
      <c r="F584" s="1" t="str">
        <f>IF(B584="","",(VLOOKUP(B584,'BOGIX (Gross)'!A:D,4,FALSE)/100))</f>
        <v/>
      </c>
      <c r="G584" s="1"/>
      <c r="H584" s="1"/>
      <c r="I584" s="1"/>
      <c r="J584" s="1" t="str">
        <f>IF(B584="","",(VLOOKUP(B584,'BOGIX (Net)'!A:D,4,FALSE)/100))</f>
        <v/>
      </c>
      <c r="K584" s="1"/>
      <c r="L584" s="1"/>
      <c r="M584" s="1"/>
    </row>
    <row r="585" spans="2:13" x14ac:dyDescent="0.25">
      <c r="B585" s="169" t="str">
        <f>IF('LC (Gross)'!A732="","",'LC (Gross)'!A732)</f>
        <v/>
      </c>
      <c r="D585" s="1" t="str">
        <f>IF(B585="","",(VLOOKUP(B585,'SC (Gross)'!A:D,4,FALSE)-VLOOKUP(Website!B585,'SC (Gross)'!J:K,2,FALSE))/100)</f>
        <v/>
      </c>
      <c r="E585" s="1" t="str">
        <f>IF(B585="","",(VLOOKUP(B585,'Global (Gross)'!A:D,4,FALSE)-VLOOKUP(Website!B585,'Global (Gross)'!J:K,2,FALSE))/100)</f>
        <v/>
      </c>
      <c r="F585" s="1" t="str">
        <f>IF(B585="","",(VLOOKUP(B585,'BOGIX (Gross)'!A:D,4,FALSE)/100))</f>
        <v/>
      </c>
      <c r="G585" s="1"/>
      <c r="H585" s="1"/>
      <c r="I585" s="1"/>
      <c r="J585" s="1" t="str">
        <f>IF(B585="","",(VLOOKUP(B585,'BOGIX (Net)'!A:D,4,FALSE)/100))</f>
        <v/>
      </c>
      <c r="K585" s="1"/>
      <c r="L585" s="1"/>
      <c r="M585" s="1"/>
    </row>
    <row r="586" spans="2:13" x14ac:dyDescent="0.25">
      <c r="B586" s="169" t="str">
        <f>IF('LC (Gross)'!A733="","",'LC (Gross)'!A733)</f>
        <v/>
      </c>
      <c r="D586" s="1" t="str">
        <f>IF(B586="","",(VLOOKUP(B586,'SC (Gross)'!A:D,4,FALSE)-VLOOKUP(Website!B586,'SC (Gross)'!J:K,2,FALSE))/100)</f>
        <v/>
      </c>
      <c r="E586" s="1" t="str">
        <f>IF(B586="","",(VLOOKUP(B586,'Global (Gross)'!A:D,4,FALSE)-VLOOKUP(Website!B586,'Global (Gross)'!J:K,2,FALSE))/100)</f>
        <v/>
      </c>
      <c r="F586" s="1" t="str">
        <f>IF(B586="","",(VLOOKUP(B586,'BOGIX (Gross)'!A:D,4,FALSE)/100))</f>
        <v/>
      </c>
      <c r="G586" s="1"/>
      <c r="H586" s="1"/>
      <c r="I586" s="1"/>
      <c r="J586" s="1" t="str">
        <f>IF(B586="","",(VLOOKUP(B586,'BOGIX (Net)'!A:D,4,FALSE)/100))</f>
        <v/>
      </c>
      <c r="K586" s="1"/>
      <c r="L586" s="1"/>
      <c r="M586" s="1"/>
    </row>
    <row r="587" spans="2:13" x14ac:dyDescent="0.25">
      <c r="B587" s="169" t="str">
        <f>IF('LC (Gross)'!A734="","",'LC (Gross)'!A734)</f>
        <v/>
      </c>
      <c r="D587" s="1" t="str">
        <f>IF(B587="","",(VLOOKUP(B587,'SC (Gross)'!A:D,4,FALSE)-VLOOKUP(Website!B587,'SC (Gross)'!J:K,2,FALSE))/100)</f>
        <v/>
      </c>
      <c r="E587" s="1" t="str">
        <f>IF(B587="","",(VLOOKUP(B587,'Global (Gross)'!A:D,4,FALSE)-VLOOKUP(Website!B587,'Global (Gross)'!J:K,2,FALSE))/100)</f>
        <v/>
      </c>
      <c r="F587" s="1" t="str">
        <f>IF(B587="","",(VLOOKUP(B587,'BOGIX (Gross)'!A:D,4,FALSE)/100))</f>
        <v/>
      </c>
      <c r="G587" s="1"/>
      <c r="H587" s="1"/>
      <c r="I587" s="1"/>
      <c r="J587" s="1" t="str">
        <f>IF(B587="","",(VLOOKUP(B587,'BOGIX (Net)'!A:D,4,FALSE)/100))</f>
        <v/>
      </c>
      <c r="K587" s="1"/>
      <c r="L587" s="1"/>
      <c r="M587" s="1"/>
    </row>
    <row r="588" spans="2:13" x14ac:dyDescent="0.25">
      <c r="B588" s="169" t="str">
        <f>IF('LC (Gross)'!A735="","",'LC (Gross)'!A735)</f>
        <v/>
      </c>
      <c r="D588" s="1" t="str">
        <f>IF(B588="","",(VLOOKUP(B588,'SC (Gross)'!A:D,4,FALSE)-VLOOKUP(Website!B588,'SC (Gross)'!J:K,2,FALSE))/100)</f>
        <v/>
      </c>
      <c r="E588" s="1" t="str">
        <f>IF(B588="","",(VLOOKUP(B588,'Global (Gross)'!A:D,4,FALSE)-VLOOKUP(Website!B588,'Global (Gross)'!J:K,2,FALSE))/100)</f>
        <v/>
      </c>
      <c r="F588" s="1" t="str">
        <f>IF(B588="","",(VLOOKUP(B588,'BOGIX (Gross)'!A:D,4,FALSE)/100))</f>
        <v/>
      </c>
      <c r="G588" s="1"/>
      <c r="H588" s="1"/>
      <c r="I588" s="1"/>
      <c r="J588" s="1" t="str">
        <f>IF(B588="","",(VLOOKUP(B588,'BOGIX (Net)'!A:D,4,FALSE)/100))</f>
        <v/>
      </c>
      <c r="K588" s="1"/>
      <c r="L588" s="1"/>
      <c r="M588" s="1"/>
    </row>
    <row r="589" spans="2:13" x14ac:dyDescent="0.25">
      <c r="B589" s="169" t="str">
        <f>IF('LC (Gross)'!A736="","",'LC (Gross)'!A736)</f>
        <v/>
      </c>
      <c r="D589" s="1" t="str">
        <f>IF(B589="","",(VLOOKUP(B589,'SC (Gross)'!A:D,4,FALSE)-VLOOKUP(Website!B589,'SC (Gross)'!J:K,2,FALSE))/100)</f>
        <v/>
      </c>
      <c r="E589" s="1" t="str">
        <f>IF(B589="","",(VLOOKUP(B589,'Global (Gross)'!A:D,4,FALSE)-VLOOKUP(Website!B589,'Global (Gross)'!J:K,2,FALSE))/100)</f>
        <v/>
      </c>
      <c r="F589" s="1" t="str">
        <f>IF(B589="","",(VLOOKUP(B589,'BOGIX (Gross)'!A:D,4,FALSE)/100))</f>
        <v/>
      </c>
      <c r="G589" s="1"/>
      <c r="H589" s="1"/>
      <c r="I589" s="1"/>
      <c r="J589" s="1" t="str">
        <f>IF(B589="","",(VLOOKUP(B589,'BOGIX (Net)'!A:D,4,FALSE)/100))</f>
        <v/>
      </c>
      <c r="K589" s="1"/>
      <c r="L589" s="1"/>
      <c r="M589" s="1"/>
    </row>
    <row r="590" spans="2:13" x14ac:dyDescent="0.25">
      <c r="B590" s="169" t="str">
        <f>IF('LC (Gross)'!A737="","",'LC (Gross)'!A737)</f>
        <v/>
      </c>
      <c r="D590" s="1" t="str">
        <f>IF(B590="","",(VLOOKUP(B590,'SC (Gross)'!A:D,4,FALSE)-VLOOKUP(Website!B590,'SC (Gross)'!J:K,2,FALSE))/100)</f>
        <v/>
      </c>
      <c r="E590" s="1" t="str">
        <f>IF(B590="","",(VLOOKUP(B590,'Global (Gross)'!A:D,4,FALSE)-VLOOKUP(Website!B590,'Global (Gross)'!J:K,2,FALSE))/100)</f>
        <v/>
      </c>
      <c r="F590" s="1" t="str">
        <f>IF(B590="","",(VLOOKUP(B590,'BOGIX (Gross)'!A:D,4,FALSE)/100))</f>
        <v/>
      </c>
      <c r="G590" s="1"/>
      <c r="H590" s="1"/>
      <c r="I590" s="1"/>
      <c r="J590" s="1" t="str">
        <f>IF(B590="","",(VLOOKUP(B590,'BOGIX (Net)'!A:D,4,FALSE)/100))</f>
        <v/>
      </c>
      <c r="K590" s="1"/>
      <c r="L590" s="1"/>
      <c r="M590" s="1"/>
    </row>
    <row r="591" spans="2:13" x14ac:dyDescent="0.25">
      <c r="B591" s="169" t="str">
        <f>IF('LC (Gross)'!A738="","",'LC (Gross)'!A738)</f>
        <v/>
      </c>
      <c r="D591" s="1" t="str">
        <f>IF(B591="","",(VLOOKUP(B591,'SC (Gross)'!A:D,4,FALSE)-VLOOKUP(Website!B591,'SC (Gross)'!J:K,2,FALSE))/100)</f>
        <v/>
      </c>
      <c r="E591" s="1" t="str">
        <f>IF(B591="","",(VLOOKUP(B591,'Global (Gross)'!A:D,4,FALSE)-VLOOKUP(Website!B591,'Global (Gross)'!J:K,2,FALSE))/100)</f>
        <v/>
      </c>
      <c r="F591" s="1" t="str">
        <f>IF(B591="","",(VLOOKUP(B591,'BOGIX (Gross)'!A:D,4,FALSE)/100))</f>
        <v/>
      </c>
      <c r="G591" s="1"/>
      <c r="H591" s="1"/>
      <c r="I591" s="1"/>
      <c r="J591" s="1" t="str">
        <f>IF(B591="","",(VLOOKUP(B591,'BOGIX (Net)'!A:D,4,FALSE)/100))</f>
        <v/>
      </c>
      <c r="K591" s="1"/>
      <c r="L591" s="1"/>
      <c r="M591" s="1"/>
    </row>
    <row r="592" spans="2:13" x14ac:dyDescent="0.25">
      <c r="B592" s="169" t="str">
        <f>IF('LC (Gross)'!A739="","",'LC (Gross)'!A739)</f>
        <v/>
      </c>
      <c r="D592" s="1" t="str">
        <f>IF(B592="","",(VLOOKUP(B592,'SC (Gross)'!A:D,4,FALSE)-VLOOKUP(Website!B592,'SC (Gross)'!J:K,2,FALSE))/100)</f>
        <v/>
      </c>
      <c r="E592" s="1" t="str">
        <f>IF(B592="","",(VLOOKUP(B592,'Global (Gross)'!A:D,4,FALSE)-VLOOKUP(Website!B592,'Global (Gross)'!J:K,2,FALSE))/100)</f>
        <v/>
      </c>
      <c r="F592" s="1" t="str">
        <f>IF(B592="","",(VLOOKUP(B592,'BOGIX (Gross)'!A:D,4,FALSE)/100))</f>
        <v/>
      </c>
      <c r="G592" s="1"/>
      <c r="H592" s="1"/>
      <c r="I592" s="1"/>
      <c r="J592" s="1" t="str">
        <f>IF(B592="","",(VLOOKUP(B592,'BOGIX (Net)'!A:D,4,FALSE)/100))</f>
        <v/>
      </c>
      <c r="K592" s="1"/>
      <c r="L592" s="1"/>
      <c r="M592" s="1"/>
    </row>
    <row r="593" spans="2:13" x14ac:dyDescent="0.25">
      <c r="B593" s="169" t="str">
        <f>IF('LC (Gross)'!A740="","",'LC (Gross)'!A740)</f>
        <v/>
      </c>
      <c r="D593" s="1" t="str">
        <f>IF(B593="","",(VLOOKUP(B593,'SC (Gross)'!A:D,4,FALSE)-VLOOKUP(Website!B593,'SC (Gross)'!J:K,2,FALSE))/100)</f>
        <v/>
      </c>
      <c r="E593" s="1" t="str">
        <f>IF(B593="","",(VLOOKUP(B593,'Global (Gross)'!A:D,4,FALSE)-VLOOKUP(Website!B593,'Global (Gross)'!J:K,2,FALSE))/100)</f>
        <v/>
      </c>
      <c r="F593" s="1" t="str">
        <f>IF(B593="","",(VLOOKUP(B593,'BOGIX (Gross)'!A:D,4,FALSE)/100))</f>
        <v/>
      </c>
      <c r="G593" s="1"/>
      <c r="H593" s="1"/>
      <c r="I593" s="1"/>
      <c r="J593" s="1" t="str">
        <f>IF(B593="","",(VLOOKUP(B593,'BOGIX (Net)'!A:D,4,FALSE)/100))</f>
        <v/>
      </c>
      <c r="K593" s="1"/>
      <c r="L593" s="1"/>
      <c r="M593" s="1"/>
    </row>
    <row r="594" spans="2:13" x14ac:dyDescent="0.25">
      <c r="B594" s="169" t="str">
        <f>IF('LC (Gross)'!A741="","",'LC (Gross)'!A741)</f>
        <v/>
      </c>
      <c r="D594" s="1" t="str">
        <f>IF(B594="","",(VLOOKUP(B594,'SC (Gross)'!A:D,4,FALSE)-VLOOKUP(Website!B594,'SC (Gross)'!J:K,2,FALSE))/100)</f>
        <v/>
      </c>
      <c r="E594" s="1" t="str">
        <f>IF(B594="","",(VLOOKUP(B594,'Global (Gross)'!A:D,4,FALSE)-VLOOKUP(Website!B594,'Global (Gross)'!J:K,2,FALSE))/100)</f>
        <v/>
      </c>
      <c r="F594" s="1" t="str">
        <f>IF(B594="","",(VLOOKUP(B594,'BOGIX (Gross)'!A:D,4,FALSE)/100))</f>
        <v/>
      </c>
      <c r="G594" s="1"/>
      <c r="H594" s="1"/>
      <c r="I594" s="1"/>
      <c r="J594" s="1" t="str">
        <f>IF(B594="","",(VLOOKUP(B594,'BOGIX (Net)'!A:D,4,FALSE)/100))</f>
        <v/>
      </c>
      <c r="K594" s="1"/>
      <c r="L594" s="1"/>
      <c r="M594" s="1"/>
    </row>
    <row r="595" spans="2:13" x14ac:dyDescent="0.25">
      <c r="B595" s="169" t="str">
        <f>IF('LC (Gross)'!A742="","",'LC (Gross)'!A742)</f>
        <v/>
      </c>
      <c r="D595" s="1" t="str">
        <f>IF(B595="","",(VLOOKUP(B595,'SC (Gross)'!A:D,4,FALSE)-VLOOKUP(Website!B595,'SC (Gross)'!J:K,2,FALSE))/100)</f>
        <v/>
      </c>
      <c r="E595" s="1" t="str">
        <f>IF(B595="","",(VLOOKUP(B595,'Global (Gross)'!A:D,4,FALSE)-VLOOKUP(Website!B595,'Global (Gross)'!J:K,2,FALSE))/100)</f>
        <v/>
      </c>
      <c r="F595" s="1" t="str">
        <f>IF(B595="","",(VLOOKUP(B595,'BOGIX (Gross)'!A:D,4,FALSE)/100))</f>
        <v/>
      </c>
      <c r="G595" s="1"/>
      <c r="H595" s="1"/>
      <c r="I595" s="1"/>
      <c r="J595" s="1" t="str">
        <f>IF(B595="","",(VLOOKUP(B595,'BOGIX (Net)'!A:D,4,FALSE)/100))</f>
        <v/>
      </c>
      <c r="K595" s="1"/>
      <c r="L595" s="1"/>
      <c r="M595" s="1"/>
    </row>
    <row r="596" spans="2:13" x14ac:dyDescent="0.25">
      <c r="B596" s="169" t="str">
        <f>IF('LC (Gross)'!A743="","",'LC (Gross)'!A743)</f>
        <v/>
      </c>
      <c r="D596" s="1" t="str">
        <f>IF(B596="","",(VLOOKUP(B596,'SC (Gross)'!A:D,4,FALSE)-VLOOKUP(Website!B596,'SC (Gross)'!J:K,2,FALSE))/100)</f>
        <v/>
      </c>
      <c r="E596" s="1" t="str">
        <f>IF(B596="","",(VLOOKUP(B596,'Global (Gross)'!A:D,4,FALSE)-VLOOKUP(Website!B596,'Global (Gross)'!J:K,2,FALSE))/100)</f>
        <v/>
      </c>
      <c r="F596" s="1" t="str">
        <f>IF(B596="","",(VLOOKUP(B596,'BOGIX (Gross)'!A:D,4,FALSE)/100))</f>
        <v/>
      </c>
      <c r="G596" s="1"/>
      <c r="H596" s="1"/>
      <c r="I596" s="1"/>
      <c r="J596" s="1" t="str">
        <f>IF(B596="","",(VLOOKUP(B596,'BOGIX (Net)'!A:D,4,FALSE)/100))</f>
        <v/>
      </c>
      <c r="K596" s="1"/>
      <c r="L596" s="1"/>
      <c r="M596" s="1"/>
    </row>
    <row r="597" spans="2:13" x14ac:dyDescent="0.25">
      <c r="B597" s="169" t="str">
        <f>IF('LC (Gross)'!A744="","",'LC (Gross)'!A744)</f>
        <v/>
      </c>
      <c r="D597" s="1" t="str">
        <f>IF(B597="","",(VLOOKUP(B597,'SC (Gross)'!A:D,4,FALSE)-VLOOKUP(Website!B597,'SC (Gross)'!J:K,2,FALSE))/100)</f>
        <v/>
      </c>
      <c r="E597" s="1" t="str">
        <f>IF(B597="","",(VLOOKUP(B597,'Global (Gross)'!A:D,4,FALSE)-VLOOKUP(Website!B597,'Global (Gross)'!J:K,2,FALSE))/100)</f>
        <v/>
      </c>
      <c r="F597" s="1" t="str">
        <f>IF(B597="","",(VLOOKUP(B597,'BOGIX (Gross)'!A:D,4,FALSE)/100))</f>
        <v/>
      </c>
      <c r="G597" s="1"/>
      <c r="H597" s="1"/>
      <c r="I597" s="1"/>
      <c r="J597" s="1" t="str">
        <f>IF(B597="","",(VLOOKUP(B597,'BOGIX (Net)'!A:D,4,FALSE)/100))</f>
        <v/>
      </c>
      <c r="K597" s="1"/>
      <c r="L597" s="1"/>
      <c r="M597" s="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F9D3-4E0A-5B4C-A2EF-CBBC9D4AD905}">
  <dimension ref="A1:N46"/>
  <sheetViews>
    <sheetView workbookViewId="0">
      <pane ySplit="15" topLeftCell="A34" activePane="bottomLeft" state="frozen"/>
      <selection pane="bottomLeft" activeCell="C45" sqref="C45"/>
    </sheetView>
  </sheetViews>
  <sheetFormatPr defaultColWidth="11" defaultRowHeight="15.75" x14ac:dyDescent="0.25"/>
  <cols>
    <col min="2" max="2" width="10.625" customWidth="1"/>
    <col min="4" max="4" width="11.625" bestFit="1" customWidth="1"/>
    <col min="5" max="5" width="13.625" bestFit="1" customWidth="1"/>
    <col min="6" max="6" width="6.625" bestFit="1" customWidth="1"/>
    <col min="7" max="7" width="9" bestFit="1" customWidth="1"/>
    <col min="8" max="8" width="6.5" bestFit="1" customWidth="1"/>
    <col min="9" max="9" width="2" customWidth="1"/>
    <col min="11" max="11" width="6.625" bestFit="1" customWidth="1"/>
    <col min="12" max="12" width="11.5" bestFit="1" customWidth="1"/>
    <col min="13" max="13" width="6.625" bestFit="1" customWidth="1"/>
    <col min="14" max="14" width="9" bestFit="1" customWidth="1"/>
  </cols>
  <sheetData>
    <row r="1" spans="1:14" x14ac:dyDescent="0.25">
      <c r="B1" s="23" t="s">
        <v>385</v>
      </c>
      <c r="C1" s="74" t="s">
        <v>380</v>
      </c>
      <c r="D1" s="13"/>
      <c r="E1" s="14"/>
      <c r="F1" s="15"/>
      <c r="I1" s="39"/>
      <c r="J1" s="7" t="s">
        <v>38</v>
      </c>
      <c r="K1" s="13"/>
      <c r="L1" s="13"/>
      <c r="M1" s="14"/>
      <c r="N1" s="15"/>
    </row>
    <row r="2" spans="1:14" x14ac:dyDescent="0.25">
      <c r="A2" s="7"/>
      <c r="B2" s="23"/>
      <c r="C2" s="36"/>
      <c r="D2" s="16"/>
      <c r="E2" s="16"/>
      <c r="F2" s="16"/>
      <c r="G2" s="16"/>
      <c r="H2" s="16"/>
      <c r="I2" s="39"/>
      <c r="K2" s="16"/>
      <c r="L2" s="36"/>
      <c r="M2" s="16"/>
      <c r="N2" s="16"/>
    </row>
    <row r="3" spans="1:14" x14ac:dyDescent="0.25">
      <c r="B3" s="23"/>
      <c r="C3" s="7"/>
      <c r="D3" s="191"/>
      <c r="E3" s="16"/>
      <c r="F3" s="16"/>
      <c r="G3" s="16"/>
      <c r="H3" s="16"/>
      <c r="I3" s="39"/>
      <c r="K3" s="16"/>
      <c r="L3" s="16"/>
      <c r="M3" s="16"/>
      <c r="N3" s="16"/>
    </row>
    <row r="4" spans="1:14" x14ac:dyDescent="0.25">
      <c r="A4" s="7"/>
      <c r="B4" s="23"/>
      <c r="C4" s="23"/>
      <c r="D4" s="16" t="s">
        <v>41</v>
      </c>
      <c r="E4" s="23" t="s">
        <v>42</v>
      </c>
      <c r="F4" s="17" t="s">
        <v>43</v>
      </c>
      <c r="G4" s="35" t="s">
        <v>44</v>
      </c>
      <c r="H4" s="17" t="s">
        <v>45</v>
      </c>
      <c r="I4" s="39"/>
      <c r="K4" s="23" t="s">
        <v>41</v>
      </c>
      <c r="L4" s="17" t="s">
        <v>43</v>
      </c>
      <c r="M4" s="17" t="s">
        <v>45</v>
      </c>
      <c r="N4" s="35"/>
    </row>
    <row r="5" spans="1:14" x14ac:dyDescent="0.25">
      <c r="B5" s="23" t="e">
        <f ca="1">MAX(B16:B545)-VLOOKUP(DATE(YEAR(TODAY())-1,12,31),A:B,2,0)</f>
        <v>#N/A</v>
      </c>
      <c r="C5" s="7" t="s">
        <v>7</v>
      </c>
      <c r="D5" s="16" t="str">
        <f t="array" aca="1" ref="D5" ca="1">IFERROR((GEOMEAN(1+OFFSET(D$16,MAX($B$16:$B$509)-$B$5+1,0,$B$5,1)/100)^$B$5-1)*100,"N/A")</f>
        <v>N/A</v>
      </c>
      <c r="E5" s="36" t="str">
        <f t="shared" ref="E5:E12" ca="1" si="0">IFERROR(D5-$K5,"N/A")</f>
        <v>N/A</v>
      </c>
      <c r="F5" s="16" t="str">
        <f ca="1">IFERROR(SLOPE(OFFSET(D$16,MAX($B$16:$B$509)-$B$5+1,0,$B$5,1),OFFSET($K$16,MAX($B$16:$B$509)-$B$5+1,0,$B$5,1)),"N/A")</f>
        <v>N/A</v>
      </c>
      <c r="G5" s="16" t="str">
        <f t="array" aca="1" ref="G5" ca="1">IFERROR(INTERCEPT(OFFSET(D$16,MAX($B$16:$B$509)-$B$5+1,0,$B$5,1),OFFSET($K$16,MAX($B$16:$B$509)-$B$5+1,0,$B$5,1))*12,"N/A")</f>
        <v>N/A</v>
      </c>
      <c r="H5" s="16" t="str">
        <f ca="1">IFERROR(STDEVP(OFFSET(D$16,MAX($B$16:$B$509)-$B$5+1,0,$B$5,1))*SQRT(12),"N/A")</f>
        <v>N/A</v>
      </c>
      <c r="I5" s="39"/>
      <c r="J5" s="7" t="s">
        <v>7</v>
      </c>
      <c r="K5" s="16" t="str">
        <f t="array" aca="1" ref="K5" ca="1">IFERROR((GEOMEAN(1+OFFSET(K$16,MAX($B$16:$B$509)-$B$5+1,0,$B$5,1)/100)^$B$5-1)*100,"N/A")</f>
        <v>N/A</v>
      </c>
      <c r="L5" s="16" t="str">
        <f ca="1">IFERROR(SLOPE(OFFSET(K$16,MAX($B$16:$B$509)-$B$5+1,0,$B$5,1),OFFSET($K$16,MAX($B$16:$B$509)-$B$5+1,0,$B$5,1)),"N/A")</f>
        <v>N/A</v>
      </c>
      <c r="M5" s="16" t="str">
        <f ca="1">IFERROR(STDEVP(OFFSET(K$16,MAX($B$16:$B$509)-$B$5+1,0,$B$5,1))*SQRT(12),"N/A")</f>
        <v>N/A</v>
      </c>
      <c r="N5" s="16"/>
    </row>
    <row r="6" spans="1:14" x14ac:dyDescent="0.25">
      <c r="B6" s="23"/>
      <c r="C6" s="7" t="s">
        <v>46</v>
      </c>
      <c r="D6" s="16">
        <f t="array" aca="1" ref="D6" ca="1">IFERROR((GEOMEAN(1+OFFSET(D$16,MAX($B$16:$B$509)-11,0,12,1)/100)^12-1)*100,"N/A")</f>
        <v>17.941912564328266</v>
      </c>
      <c r="E6" s="36">
        <f t="shared" ca="1" si="0"/>
        <v>-1.482692097914029</v>
      </c>
      <c r="F6" s="16">
        <f ca="1">IFERROR(SLOPE(OFFSET(D$16,MAX($B$16:$B$509)-11,0,12,1),OFFSET($K$16,MAX($B$16:$B$509)-11,0,12,1)),"N/A")</f>
        <v>0.76739376603590703</v>
      </c>
      <c r="G6" s="16">
        <f ca="1">IFERROR(INTERCEPT(OFFSET(D$16,MAX($B$16:$B$509)-11,0,12,1),OFFSET($K$16,MAX($B$16:$B$509)-11,0,12,1))*12,"N/A")</f>
        <v>3.9086678765360983</v>
      </c>
      <c r="H6" s="16">
        <f ca="1">IFERROR(STDEVP(OFFSET(D$16,MAX($B$16:$B$509)-11,0,12,1))*SQRT(12),"N/A")</f>
        <v>12.620859379253</v>
      </c>
      <c r="I6" s="39"/>
      <c r="J6" s="7" t="s">
        <v>46</v>
      </c>
      <c r="K6" s="16">
        <f t="array" aca="1" ref="K6" ca="1">IFERROR((GEOMEAN(1+OFFSET(K$16,MAX($B$16:$B$509)-11,0,12,1)/100)^12-1)*100,"N/A")</f>
        <v>19.424604662242295</v>
      </c>
      <c r="L6" s="16">
        <f ca="1">IFERROR(SLOPE(OFFSET(K$16,MAX($B$16:$B$509)-11,0,12,1),OFFSET($K$16,MAX($B$16:$B$509)-11,0,12,1)),"N/A")</f>
        <v>1</v>
      </c>
      <c r="M6" s="16">
        <f ca="1">IFERROR(STDEVP(OFFSET(K$16,MAX($B$16:$B$509)-11,0,12,1))*SQRT(12),"N/A")</f>
        <v>13.999023268517377</v>
      </c>
      <c r="N6" s="16"/>
    </row>
    <row r="7" spans="1:14" x14ac:dyDescent="0.25">
      <c r="B7" s="23"/>
      <c r="C7" s="7" t="s">
        <v>47</v>
      </c>
      <c r="D7" s="16">
        <f t="array" aca="1" ref="D7" ca="1">IFERROR((GEOMEAN(1+OFFSET(D$16,MAX($B$16:$B$509)-23,0,24,1)/100)^12-1)*100,"N/A")</f>
        <v>13.853271071084116</v>
      </c>
      <c r="E7" s="36">
        <f t="shared" ca="1" si="0"/>
        <v>-5.6378818186501043</v>
      </c>
      <c r="F7" s="16">
        <f ca="1">IFERROR(SLOPE(OFFSET(D$16,MAX($B$16:$B$509)-23,0,24,1),OFFSET($K$16,MAX($B$16:$B$509)-23,0,24,1)),"N/A")</f>
        <v>0.98866292058709004</v>
      </c>
      <c r="G7" s="16">
        <f ca="1">IFERROR(INTERCEPT(OFFSET(D$16,MAX($B$16:$B$509)-23,0,24,1),OFFSET($K$16,MAX($B$16:$B$509)-23,0,24,1))*12,"N/A")</f>
        <v>-4.9154190989732518</v>
      </c>
      <c r="H7" s="16">
        <f ca="1">IFERROR(STDEVP(OFFSET(D$16,MAX($B$16:$B$509)-23,0,24,1))*SQRT(12),"N/A")</f>
        <v>19.923632701629231</v>
      </c>
      <c r="I7" s="39"/>
      <c r="J7" s="7" t="s">
        <v>47</v>
      </c>
      <c r="K7" s="16">
        <f t="array" aca="1" ref="K7" ca="1">IFERROR((GEOMEAN(1+OFFSET(K$16,MAX($B$16:$B$509)-23,0,24,1)/100)^12-1)*100,"N/A")</f>
        <v>19.49115288973422</v>
      </c>
      <c r="L7" s="16">
        <f ca="1">IFERROR(SLOPE(OFFSET(K$16,MAX($B$16:$B$509)-23,0,24,1),OFFSET($K$16,MAX($B$16:$B$509)-23,0,24,1)),"N/A")</f>
        <v>1</v>
      </c>
      <c r="M7" s="16">
        <f ca="1">IFERROR(STDEVP(OFFSET(K$16,MAX($B$16:$B$509)-23,0,24,1))*SQRT(12),"N/A")</f>
        <v>17.511216344861122</v>
      </c>
      <c r="N7" s="16"/>
    </row>
    <row r="8" spans="1:14" x14ac:dyDescent="0.25">
      <c r="B8" s="23"/>
      <c r="C8" s="7" t="s">
        <v>48</v>
      </c>
      <c r="D8" s="16" t="str">
        <f t="array" aca="1" ref="D8" ca="1">IFERROR((GEOMEAN(1+OFFSET(D$16,MAX($B$16:$B$509)-35,0,36,1)/100)^12-1)*100,"N/A")</f>
        <v>N/A</v>
      </c>
      <c r="E8" s="36" t="str">
        <f t="shared" ca="1" si="0"/>
        <v>N/A</v>
      </c>
      <c r="F8" s="16">
        <f ca="1">IFERROR(SLOPE(OFFSET(D$16,MAX($B$16:$B$509)-35,0,36,1),OFFSET($K$16,MAX($B$16:$B$509)-35,0,36,1)),"N/A")</f>
        <v>0.91344067299143628</v>
      </c>
      <c r="G8" s="16">
        <f ca="1">IFERROR(INTERCEPT(OFFSET(D$16,MAX($B$16:$B$509)-35,0,36,1),OFFSET($K$16,MAX($B$16:$B$509)-35,0,36,1))*12,"N/A")</f>
        <v>-1.3625596094051917</v>
      </c>
      <c r="H8" s="16">
        <f ca="1">IFERROR(STDEVP(OFFSET(D$16,MAX($B$16:$B$509)-35,0,36,1))*SQRT(12),"N/A")</f>
        <v>19.743718452854988</v>
      </c>
      <c r="I8" s="39"/>
      <c r="J8" s="7" t="s">
        <v>48</v>
      </c>
      <c r="K8" s="16" t="str">
        <f t="array" aca="1" ref="K8" ca="1">IFERROR((GEOMEAN(1+OFFSET(K$16,MAX($B$16:$B$509)-35,0,36,1)/100)^12-1)*100,"N/A")</f>
        <v>N/A</v>
      </c>
      <c r="L8" s="16">
        <f ca="1">IFERROR(SLOPE(OFFSET(K$16,MAX($B$16:$B$509)-35,0,36,1),OFFSET($K$16,MAX($B$16:$B$509)-35,0,36,1)),"N/A")</f>
        <v>1</v>
      </c>
      <c r="M8" s="16">
        <f ca="1">IFERROR(STDEVP(OFFSET(K$16,MAX($B$16:$B$509)-35,0,36,1))*SQRT(12),"N/A")</f>
        <v>18.664446430015207</v>
      </c>
      <c r="N8" s="16"/>
    </row>
    <row r="9" spans="1:14" x14ac:dyDescent="0.25">
      <c r="B9" s="23"/>
      <c r="C9" s="7" t="s">
        <v>49</v>
      </c>
      <c r="D9" s="16" t="str">
        <f t="array" aca="1" ref="D9" ca="1">IFERROR((GEOMEAN(1+OFFSET(D$16,MAX($B$16:$B$509)-47,0,48,1)/100)^12-1)*100,"N/A")</f>
        <v>N/A</v>
      </c>
      <c r="E9" s="36" t="str">
        <f t="shared" ca="1" si="0"/>
        <v>N/A</v>
      </c>
      <c r="F9" s="16" t="str">
        <f ca="1">IFERROR(SLOPE(OFFSET(D$16,MAX($B$16:$B$509)-47,0,48,1),OFFSET($K$16,MAX($B$16:$B$509)-47,0,48,1)),"N/A")</f>
        <v>N/A</v>
      </c>
      <c r="G9" s="16" t="str">
        <f ca="1">IFERROR(INTERCEPT(OFFSET(D$16,MAX($B$16:$B$509)-47,0,48,1),OFFSET($K$16,MAX($B$16:$B$509)-47,0,48,1))*12,"N/A")</f>
        <v>N/A</v>
      </c>
      <c r="H9" s="16" t="str">
        <f ca="1">IFERROR(STDEVP(OFFSET(D$16,MAX($B$16:$B$509)-47,0,48,1))*SQRT(12),"N/A")</f>
        <v>N/A</v>
      </c>
      <c r="I9" s="39"/>
      <c r="J9" s="7" t="s">
        <v>49</v>
      </c>
      <c r="K9" s="16" t="str">
        <f t="array" aca="1" ref="K9" ca="1">IFERROR((GEOMEAN(1+OFFSET(K$16,MAX($B$16:$B$509)-47,0,48,1)/100)^12-1)*100,"N/A")</f>
        <v>N/A</v>
      </c>
      <c r="L9" s="16" t="str">
        <f ca="1">IFERROR(SLOPE(OFFSET(K$16,MAX($B$16:$B$509)-47,0,48,1),OFFSET($K$16,MAX($B$16:$B$509)-47,0,48,1)),"N/A")</f>
        <v>N/A</v>
      </c>
      <c r="M9" s="16" t="str">
        <f ca="1">IFERROR(STDEVP(OFFSET(K$16,MAX($B$16:$B$509)-47,0,48,1))*SQRT(12),"N/A")</f>
        <v>N/A</v>
      </c>
      <c r="N9" s="16"/>
    </row>
    <row r="10" spans="1:14" x14ac:dyDescent="0.25">
      <c r="B10" s="23"/>
      <c r="C10" s="7" t="s">
        <v>50</v>
      </c>
      <c r="D10" s="16" t="str">
        <f t="array" aca="1" ref="D10" ca="1">IFERROR((GEOMEAN(1+OFFSET(D$16,MAX($B$16:$B$509)-59,0,60,1)/100)^12-1)*100,"N/A")</f>
        <v>N/A</v>
      </c>
      <c r="E10" s="36" t="str">
        <f t="shared" ca="1" si="0"/>
        <v>N/A</v>
      </c>
      <c r="F10" s="16" t="str">
        <f ca="1">IFERROR(SLOPE(OFFSET(D$16,MAX($B$16:$B$509)-59,0,60,1),OFFSET($K$16,MAX($B$16:$B$509)-59,0,60,1)),"N/A")</f>
        <v>N/A</v>
      </c>
      <c r="G10" s="16" t="str">
        <f ca="1">IFERROR(INTERCEPT(OFFSET(D$16,MAX($B$16:$B$509)-59,0,60,1),OFFSET($K$16,MAX($B$16:$B$509)-59,0,60,1))*12,"N/A")</f>
        <v>N/A</v>
      </c>
      <c r="H10" s="16" t="str">
        <f ca="1">IFERROR(STDEVP(OFFSET(D$16,MAX($B$16:$B$509)-59,0,60,1))*SQRT(12),"N/A")</f>
        <v>N/A</v>
      </c>
      <c r="I10" s="39"/>
      <c r="J10" s="7" t="s">
        <v>50</v>
      </c>
      <c r="K10" s="16" t="str">
        <f t="array" aca="1" ref="K10" ca="1">IFERROR((GEOMEAN(1+OFFSET(K$16,MAX($B$16:$B$509)-59,0,60,1)/100)^12-1)*100,"N/A")</f>
        <v>N/A</v>
      </c>
      <c r="L10" s="16" t="str">
        <f ca="1">IFERROR(SLOPE(OFFSET(K$16,MAX($B$16:$B$509)-59,0,60,1),OFFSET($K$16,MAX($B$16:$B$509)-59,0,60,1)),"N/A")</f>
        <v>N/A</v>
      </c>
      <c r="M10" s="16" t="str">
        <f ca="1">IFERROR(STDEVP(OFFSET(K$16,MAX($B$16:$B$509)-59,0,60,1))*SQRT(12),"N/A")</f>
        <v>N/A</v>
      </c>
      <c r="N10" s="16"/>
    </row>
    <row r="11" spans="1:14" x14ac:dyDescent="0.25">
      <c r="B11" s="23"/>
      <c r="C11" s="7" t="s">
        <v>51</v>
      </c>
      <c r="D11" s="16" t="str">
        <f t="array" aca="1" ref="D11" ca="1">IFERROR((GEOMEAN(1+OFFSET(D$16,MAX($B$16:$B$509)-119,0,120,1)/100)^12-1)*100,"N/A")</f>
        <v>N/A</v>
      </c>
      <c r="E11" s="36" t="str">
        <f t="shared" ca="1" si="0"/>
        <v>N/A</v>
      </c>
      <c r="F11" s="16" t="str">
        <f ca="1">IFERROR(SLOPE(OFFSET(D$16,MAX($B$16:$B$509)-119,0,120,1),OFFSET($K$16,MAX($B$16:$B$509)-119,0,120,1)),"N/A")</f>
        <v>N/A</v>
      </c>
      <c r="G11" s="16" t="str">
        <f ca="1">IFERROR(INTERCEPT(OFFSET(D$16,MAX($B$16:$B$509)-119,0,120,1),OFFSET($K$16,MAX($B$16:$B$509)-119,0,120,1))*12,"N/A")</f>
        <v>N/A</v>
      </c>
      <c r="H11" s="16" t="str">
        <f ca="1">IFERROR(STDEVP(OFFSET(D$16,MAX($B$16:$B$509)-119,0,120,1))*SQRT(12),"N/A")</f>
        <v>N/A</v>
      </c>
      <c r="I11" s="39"/>
      <c r="J11" s="7" t="s">
        <v>51</v>
      </c>
      <c r="K11" s="16" t="str">
        <f t="array" aca="1" ref="K11" ca="1">IFERROR((GEOMEAN(1+OFFSET(K$16,MAX($B$16:$B$509)-119,0,120,1)/100)^12-1)*100,"N/A")</f>
        <v>N/A</v>
      </c>
      <c r="L11" s="16" t="str">
        <f ca="1">IFERROR(SLOPE(OFFSET(K$16,MAX($B$16:$B$509)-119,0,120,1),OFFSET($K$16,MAX($B$16:$B$509)-119,0,120,1)),"N/A")</f>
        <v>N/A</v>
      </c>
      <c r="M11" s="16" t="str">
        <f ca="1">IFERROR(STDEVP(OFFSET(K$16,MAX($B$16:$B$509)-119,0,120,1))*SQRT(12),"N/A")</f>
        <v>N/A</v>
      </c>
      <c r="N11" s="16"/>
    </row>
    <row r="12" spans="1:14" x14ac:dyDescent="0.25">
      <c r="B12" s="23"/>
      <c r="C12" s="7" t="s">
        <v>52</v>
      </c>
      <c r="D12" s="33" cm="1">
        <f t="array" aca="1" ref="D12" ca="1">IFERROR((GEOMEAN(1+OFFSET(D$16,1,0,MAX($B$16:$B$509),1)/100)^12-1)*100,"N/A")</f>
        <v>3.8103374745821483</v>
      </c>
      <c r="E12" s="36">
        <f t="shared" ca="1" si="0"/>
        <v>-1.6709190852653988</v>
      </c>
      <c r="F12" s="16">
        <f ca="1">IFERROR(SLOPE(OFFSET(D$16,1,0,MAX($B$16:$B$509),1),OFFSET($K$16,1,0,MAX($B$16:$B$509),1)),"N/A")</f>
        <v>0.92007184272920706</v>
      </c>
      <c r="G12" s="16">
        <f ca="1">IFERROR(INTERCEPT(OFFSET(D$16,1,0,MAX($B$16:$B$509),1),OFFSET($K$16,1,0,MAX($B$16:$B$509),1))*12,"N/A")</f>
        <v>-0.93236025406939849</v>
      </c>
      <c r="H12" s="16">
        <f ca="1">IFERROR(STDEVP(OFFSET(D$16,1,0,MAX($B$16:$B$509),1))*SQRT(12),"N/A")</f>
        <v>19.989815222198295</v>
      </c>
      <c r="I12" s="39"/>
      <c r="J12" s="7" t="s">
        <v>53</v>
      </c>
      <c r="K12" s="16" cm="1">
        <f t="array" aca="1" ref="K12" ca="1">IFERROR((GEOMEAN(1+OFFSET(K$16,1,0,MAX($B$16:$B$509),1)/100)^12-1)*100,"N/A")</f>
        <v>5.4812565598475471</v>
      </c>
      <c r="L12" s="16">
        <f ca="1">IFERROR(SLOPE(OFFSET(K$16,1,0,MAX($B$16:$B$509),1),OFFSET($K$16,1,0,MAX($B$16:$B$509),1)),"N/A")</f>
        <v>1</v>
      </c>
      <c r="M12" s="16">
        <f ca="1">IFERROR(STDEVP(OFFSET(K$16,1,0,MAX($B$16:$B$509),1))*SQRT(12),"N/A")</f>
        <v>18.74107703466337</v>
      </c>
      <c r="N12" s="16"/>
    </row>
    <row r="13" spans="1:14" x14ac:dyDescent="0.25">
      <c r="B13" s="23"/>
      <c r="C13" s="7"/>
      <c r="D13" s="33"/>
      <c r="E13" s="42"/>
      <c r="F13" s="33"/>
      <c r="G13" s="33"/>
      <c r="H13" s="33"/>
      <c r="I13" s="39"/>
      <c r="J13" s="7"/>
      <c r="K13" s="16"/>
      <c r="L13" s="16"/>
      <c r="M13" s="16"/>
      <c r="N13" s="16"/>
    </row>
    <row r="14" spans="1:14" x14ac:dyDescent="0.25">
      <c r="A14" s="7"/>
      <c r="B14" s="23"/>
      <c r="C14" s="17"/>
      <c r="D14" s="16"/>
      <c r="E14" s="18"/>
      <c r="F14" s="16"/>
      <c r="I14" s="39"/>
      <c r="J14" s="7"/>
      <c r="K14" s="16"/>
      <c r="L14" s="16"/>
      <c r="M14" s="16"/>
      <c r="N14" s="10"/>
    </row>
    <row r="15" spans="1:14" x14ac:dyDescent="0.25">
      <c r="A15" s="13" t="s">
        <v>69</v>
      </c>
      <c r="B15" s="23" t="s">
        <v>70</v>
      </c>
      <c r="C15" s="13" t="s">
        <v>71</v>
      </c>
      <c r="D15" s="33" t="s">
        <v>72</v>
      </c>
      <c r="E15" s="13" t="s">
        <v>73</v>
      </c>
      <c r="F15" s="13" t="s">
        <v>74</v>
      </c>
      <c r="G15" s="13" t="s">
        <v>75</v>
      </c>
      <c r="H15" s="33"/>
      <c r="I15" s="44"/>
      <c r="J15" s="13" t="s">
        <v>69</v>
      </c>
      <c r="K15" s="33" t="s">
        <v>41</v>
      </c>
      <c r="L15" s="13" t="s">
        <v>73</v>
      </c>
      <c r="M15" s="13" t="s">
        <v>74</v>
      </c>
      <c r="N15" s="13" t="s">
        <v>75</v>
      </c>
    </row>
    <row r="16" spans="1:14" x14ac:dyDescent="0.25">
      <c r="A16" s="20">
        <v>44561</v>
      </c>
      <c r="B16" s="24">
        <v>0</v>
      </c>
      <c r="C16" s="96" t="s">
        <v>380</v>
      </c>
      <c r="D16" s="27"/>
      <c r="E16" s="46">
        <v>1000000</v>
      </c>
      <c r="F16" s="8"/>
      <c r="I16" s="39"/>
      <c r="J16" s="20">
        <f>$A16</f>
        <v>44561</v>
      </c>
      <c r="K16" s="16"/>
      <c r="L16" s="46">
        <v>1000000</v>
      </c>
      <c r="M16" s="8"/>
    </row>
    <row r="17" spans="1:14" x14ac:dyDescent="0.25">
      <c r="A17" s="21">
        <v>44592</v>
      </c>
      <c r="B17" s="24">
        <f t="shared" ref="B17:B33" si="1">IF(A17&gt;A16,1+B16,"-")</f>
        <v>1</v>
      </c>
      <c r="C17" s="96" t="s">
        <v>380</v>
      </c>
      <c r="D17" s="27">
        <v>-5.3683350000000001</v>
      </c>
      <c r="E17" s="46">
        <f>E16*D17/100+E16</f>
        <v>946316.65</v>
      </c>
      <c r="F17" s="10"/>
      <c r="I17" s="39"/>
      <c r="J17" s="20">
        <f t="shared" ref="J17:J43" si="2">$A17</f>
        <v>44592</v>
      </c>
      <c r="K17" s="27">
        <f>'LC (Gross)'!K281</f>
        <v>-5.1748589999999997</v>
      </c>
      <c r="L17" s="46">
        <f>L16*K17/100+L16</f>
        <v>948251.41</v>
      </c>
      <c r="M17" s="10"/>
    </row>
    <row r="18" spans="1:14" x14ac:dyDescent="0.25">
      <c r="A18" s="21">
        <v>44620</v>
      </c>
      <c r="B18" s="24">
        <f t="shared" si="1"/>
        <v>2</v>
      </c>
      <c r="C18" s="96" t="s">
        <v>380</v>
      </c>
      <c r="D18" s="27">
        <v>0.674068</v>
      </c>
      <c r="E18" s="46">
        <f t="shared" ref="E18:E23" si="3">E17*D18/100+E17</f>
        <v>952695.46771632205</v>
      </c>
      <c r="F18" s="10"/>
      <c r="I18" s="39"/>
      <c r="J18" s="20">
        <f t="shared" si="2"/>
        <v>44620</v>
      </c>
      <c r="K18" s="27">
        <f>'LC (Gross)'!K282</f>
        <v>-2.9970180000000002</v>
      </c>
      <c r="L18" s="46">
        <f>L17*K18/100+L17</f>
        <v>919832.14455704624</v>
      </c>
      <c r="M18" s="10"/>
    </row>
    <row r="19" spans="1:14" x14ac:dyDescent="0.25">
      <c r="A19" s="21">
        <v>44651</v>
      </c>
      <c r="B19" s="24">
        <f t="shared" si="1"/>
        <v>3</v>
      </c>
      <c r="C19" s="96" t="s">
        <v>380</v>
      </c>
      <c r="D19" s="27">
        <v>0.27189400000000002</v>
      </c>
      <c r="E19" s="46">
        <f t="shared" si="3"/>
        <v>955285.78953131463</v>
      </c>
      <c r="F19" s="10"/>
      <c r="G19" s="5">
        <f>(E19/E16-1)*100</f>
        <v>-4.4714210468685405</v>
      </c>
      <c r="I19" s="39"/>
      <c r="J19" s="20">
        <f t="shared" si="2"/>
        <v>44651</v>
      </c>
      <c r="K19" s="27">
        <f>'LC (Gross)'!K283</f>
        <v>3.7118120000000001</v>
      </c>
      <c r="L19" s="46">
        <f t="shared" ref="L19:L22" si="4">L18*K19/100+L18</f>
        <v>953974.58447857201</v>
      </c>
      <c r="M19" s="10"/>
      <c r="N19" s="5">
        <f>(L19/L16-1)*100</f>
        <v>-4.602541552142803</v>
      </c>
    </row>
    <row r="20" spans="1:14" x14ac:dyDescent="0.25">
      <c r="A20" s="21">
        <v>44681</v>
      </c>
      <c r="B20" s="24">
        <f t="shared" si="1"/>
        <v>4</v>
      </c>
      <c r="C20" s="96" t="s">
        <v>380</v>
      </c>
      <c r="D20" s="27">
        <v>-4.2199290000000005</v>
      </c>
      <c r="E20" s="46">
        <f t="shared" si="3"/>
        <v>914973.40746600367</v>
      </c>
      <c r="F20" s="8"/>
      <c r="I20" s="39"/>
      <c r="J20" s="20">
        <f t="shared" si="2"/>
        <v>44681</v>
      </c>
      <c r="K20" s="27">
        <f>'LC (Gross)'!K284</f>
        <v>-8.7200340000000001</v>
      </c>
      <c r="L20" s="46">
        <f t="shared" si="4"/>
        <v>870787.67636068177</v>
      </c>
      <c r="M20" s="8"/>
    </row>
    <row r="21" spans="1:14" x14ac:dyDescent="0.25">
      <c r="A21" s="21">
        <v>44712</v>
      </c>
      <c r="B21" s="24">
        <f t="shared" si="1"/>
        <v>5</v>
      </c>
      <c r="C21" s="96" t="s">
        <v>380</v>
      </c>
      <c r="D21" s="27">
        <v>3.466018</v>
      </c>
      <c r="E21" s="46">
        <f t="shared" si="3"/>
        <v>946686.55046398868</v>
      </c>
      <c r="F21" s="37"/>
      <c r="G21" s="5"/>
      <c r="I21" s="39"/>
      <c r="J21" s="20">
        <f t="shared" si="2"/>
        <v>44712</v>
      </c>
      <c r="K21" s="27">
        <f>'LC (Gross)'!K285</f>
        <v>0.18353</v>
      </c>
      <c r="L21" s="46">
        <f t="shared" si="4"/>
        <v>872385.83298310649</v>
      </c>
      <c r="M21" s="37"/>
      <c r="N21" s="5"/>
    </row>
    <row r="22" spans="1:14" x14ac:dyDescent="0.25">
      <c r="A22" s="21">
        <v>44742</v>
      </c>
      <c r="B22" s="24">
        <f t="shared" si="1"/>
        <v>6</v>
      </c>
      <c r="C22" s="96" t="s">
        <v>380</v>
      </c>
      <c r="D22" s="27">
        <v>-10.524471</v>
      </c>
      <c r="E22" s="46">
        <f t="shared" si="3"/>
        <v>847052.79899950582</v>
      </c>
      <c r="F22" s="37"/>
      <c r="G22" s="5">
        <f>(E22/E19-1)*100</f>
        <v>-11.329906894659281</v>
      </c>
      <c r="H22" s="5"/>
      <c r="I22" s="39"/>
      <c r="J22" s="20">
        <f t="shared" si="2"/>
        <v>44742</v>
      </c>
      <c r="K22" s="27">
        <f>'LC (Gross)'!K286</f>
        <v>-8.2601279999999999</v>
      </c>
      <c r="L22" s="46">
        <f t="shared" si="4"/>
        <v>800325.64652483573</v>
      </c>
      <c r="M22" s="37"/>
      <c r="N22" s="5">
        <f>(L22/L19-1)*100</f>
        <v>-16.106187780434254</v>
      </c>
    </row>
    <row r="23" spans="1:14" x14ac:dyDescent="0.25">
      <c r="A23" s="21">
        <v>44773</v>
      </c>
      <c r="B23" s="24">
        <f t="shared" si="1"/>
        <v>7</v>
      </c>
      <c r="C23" s="96" t="s">
        <v>380</v>
      </c>
      <c r="D23" s="27">
        <v>7.1159810000000006</v>
      </c>
      <c r="E23" s="46">
        <f t="shared" si="3"/>
        <v>907328.9152362789</v>
      </c>
      <c r="F23" s="12"/>
      <c r="I23" s="39"/>
      <c r="J23" s="20">
        <f t="shared" si="2"/>
        <v>44773</v>
      </c>
      <c r="K23" s="27">
        <f>'LC (Gross)'!K287</f>
        <v>9.2206969999999995</v>
      </c>
      <c r="L23" s="46">
        <f t="shared" ref="L23:L24" si="5">L22*K23/100+L22</f>
        <v>874121.24940418184</v>
      </c>
      <c r="M23" s="12"/>
    </row>
    <row r="24" spans="1:14" x14ac:dyDescent="0.25">
      <c r="A24" s="21">
        <v>44804</v>
      </c>
      <c r="B24" s="24">
        <f t="shared" si="1"/>
        <v>8</v>
      </c>
      <c r="C24" s="96" t="s">
        <v>380</v>
      </c>
      <c r="D24" s="27">
        <v>-7.0594160000000006</v>
      </c>
      <c r="E24" s="46">
        <f t="shared" ref="E24" si="6">E23*D24/100+E23</f>
        <v>843276.79262146261</v>
      </c>
      <c r="F24" s="12"/>
      <c r="I24" s="39"/>
      <c r="J24" s="20">
        <f t="shared" si="2"/>
        <v>44804</v>
      </c>
      <c r="K24" s="27">
        <f>'LC (Gross)'!K288</f>
        <v>-4.0782619999999996</v>
      </c>
      <c r="L24" s="46">
        <f t="shared" si="5"/>
        <v>838472.29465580592</v>
      </c>
      <c r="M24" s="12"/>
    </row>
    <row r="25" spans="1:14" x14ac:dyDescent="0.25">
      <c r="A25" s="21">
        <v>44834</v>
      </c>
      <c r="B25" s="24">
        <f t="shared" si="1"/>
        <v>9</v>
      </c>
      <c r="C25" s="96" t="s">
        <v>380</v>
      </c>
      <c r="D25" s="27">
        <v>-9.9835329999999995</v>
      </c>
      <c r="E25" s="46">
        <f t="shared" ref="E25" si="7">E24*D25/100+E24</f>
        <v>759087.97574875737</v>
      </c>
      <c r="F25" s="12"/>
      <c r="G25" s="5">
        <f>(E25/E22-1)*100</f>
        <v>-10.384809938016604</v>
      </c>
      <c r="I25" s="39"/>
      <c r="J25" s="20">
        <f t="shared" si="2"/>
        <v>44834</v>
      </c>
      <c r="K25" s="27">
        <f>'LC (Gross)'!K289</f>
        <v>-9.2175670000000007</v>
      </c>
      <c r="L25" s="46">
        <f t="shared" ref="L25" si="8">L24*K25/100+L24</f>
        <v>761185.54911946959</v>
      </c>
      <c r="M25" s="12"/>
      <c r="N25" s="5">
        <f>(L25/L22-1)*100</f>
        <v>-4.890521449027629</v>
      </c>
    </row>
    <row r="26" spans="1:14" x14ac:dyDescent="0.25">
      <c r="A26" s="21">
        <v>44865</v>
      </c>
      <c r="B26" s="24">
        <f t="shared" si="1"/>
        <v>10</v>
      </c>
      <c r="C26" s="96" t="s">
        <v>380</v>
      </c>
      <c r="D26" s="27">
        <v>11.972269000000001</v>
      </c>
      <c r="E26" s="46">
        <f t="shared" ref="E26" si="9">E25*D26/100+E25</f>
        <v>849968.03015205334</v>
      </c>
      <c r="F26" s="12"/>
      <c r="G26" s="5"/>
      <c r="I26" s="39"/>
      <c r="J26" s="20">
        <f t="shared" si="2"/>
        <v>44865</v>
      </c>
      <c r="K26" s="27">
        <f>'LC (Gross)'!K290</f>
        <v>8.0963370000000001</v>
      </c>
      <c r="L26" s="46">
        <f t="shared" ref="L26" si="10">L25*K26/100+L25</f>
        <v>822813.69637148234</v>
      </c>
      <c r="M26" s="12"/>
      <c r="N26" s="5"/>
    </row>
    <row r="27" spans="1:14" x14ac:dyDescent="0.25">
      <c r="A27" s="21">
        <v>44895</v>
      </c>
      <c r="B27" s="24">
        <f t="shared" si="1"/>
        <v>11</v>
      </c>
      <c r="C27" s="96" t="s">
        <v>380</v>
      </c>
      <c r="D27" s="27">
        <v>8.9779129999999991</v>
      </c>
      <c r="E27" s="46">
        <f t="shared" ref="E27" si="11">E26*D27/100+E26</f>
        <v>926277.42042691843</v>
      </c>
      <c r="F27" s="12"/>
      <c r="I27" s="39"/>
      <c r="J27" s="20">
        <f t="shared" si="2"/>
        <v>44895</v>
      </c>
      <c r="K27" s="27">
        <f>'LC (Gross)'!K291</f>
        <v>5.5884159999999996</v>
      </c>
      <c r="L27" s="46">
        <f t="shared" ref="L27" si="12">L26*K27/100+L26</f>
        <v>868795.94862969767</v>
      </c>
      <c r="M27" s="12"/>
    </row>
    <row r="28" spans="1:14" x14ac:dyDescent="0.25">
      <c r="A28" s="21">
        <v>44926</v>
      </c>
      <c r="B28" s="24">
        <f t="shared" si="1"/>
        <v>12</v>
      </c>
      <c r="C28" s="96" t="s">
        <v>380</v>
      </c>
      <c r="D28" s="27">
        <v>-2.6921659999999998</v>
      </c>
      <c r="E28" s="46">
        <f t="shared" ref="E28:E33" si="13">E27*D28/100+E27</f>
        <v>901340.49464850791</v>
      </c>
      <c r="F28" s="12">
        <f>((E28-$E$16)/$E$16)*100</f>
        <v>-9.8659505351492101</v>
      </c>
      <c r="G28" s="5">
        <f>(E28/E25-1)*100</f>
        <v>18.739925205564468</v>
      </c>
      <c r="I28" s="39"/>
      <c r="J28" s="20">
        <f t="shared" si="2"/>
        <v>44926</v>
      </c>
      <c r="K28" s="27">
        <f>'LC (Gross)'!K292</f>
        <v>-5.7714730000000003</v>
      </c>
      <c r="L28" s="46">
        <f t="shared" ref="L28:L33" si="14">L27*K28/100+L27</f>
        <v>818653.62502944074</v>
      </c>
      <c r="M28" s="12">
        <f>((L28-$L$16)/$L$16)*100</f>
        <v>-18.134637497055927</v>
      </c>
      <c r="N28" s="5">
        <f>(L28/L25-1)*100</f>
        <v>7.5498117346617377</v>
      </c>
    </row>
    <row r="29" spans="1:14" x14ac:dyDescent="0.25">
      <c r="A29" s="21">
        <v>44957</v>
      </c>
      <c r="B29" s="24">
        <f t="shared" si="1"/>
        <v>13</v>
      </c>
      <c r="C29" s="96" t="s">
        <v>380</v>
      </c>
      <c r="D29" s="27">
        <v>8.475085</v>
      </c>
      <c r="E29" s="46">
        <f t="shared" si="13"/>
        <v>977729.86770938942</v>
      </c>
      <c r="I29" s="39"/>
      <c r="J29" s="20">
        <f t="shared" si="2"/>
        <v>44957</v>
      </c>
      <c r="K29" s="27">
        <f>'LC (Gross)'!K293</f>
        <v>6.2828720000000002</v>
      </c>
      <c r="L29" s="46">
        <f t="shared" si="14"/>
        <v>870088.5844134005</v>
      </c>
    </row>
    <row r="30" spans="1:14" x14ac:dyDescent="0.25">
      <c r="A30" s="21">
        <v>44985</v>
      </c>
      <c r="B30" s="24">
        <f t="shared" si="1"/>
        <v>14</v>
      </c>
      <c r="C30" s="96" t="s">
        <v>380</v>
      </c>
      <c r="D30" s="27">
        <v>-4.9849820000000005</v>
      </c>
      <c r="E30" s="46">
        <f t="shared" si="13"/>
        <v>928990.20979545254</v>
      </c>
      <c r="I30" s="39"/>
      <c r="J30" s="20">
        <f t="shared" si="2"/>
        <v>44985</v>
      </c>
      <c r="K30" s="27">
        <f>'LC (Gross)'!K294</f>
        <v>-2.449071</v>
      </c>
      <c r="L30" s="46">
        <f t="shared" si="14"/>
        <v>848779.49721822143</v>
      </c>
    </row>
    <row r="31" spans="1:14" x14ac:dyDescent="0.25">
      <c r="A31" s="21">
        <v>45016</v>
      </c>
      <c r="B31" s="24">
        <f t="shared" si="1"/>
        <v>15</v>
      </c>
      <c r="C31" s="96" t="s">
        <v>380</v>
      </c>
      <c r="D31" s="27">
        <v>-2.969109</v>
      </c>
      <c r="E31" s="46">
        <f t="shared" si="13"/>
        <v>901407.4778672969</v>
      </c>
      <c r="G31" s="5">
        <f>(E31/E28-1)*100</f>
        <v>7.4315110867306799E-3</v>
      </c>
      <c r="I31" s="39"/>
      <c r="J31" s="20">
        <f t="shared" si="2"/>
        <v>45016</v>
      </c>
      <c r="K31" s="27">
        <f>'LC (Gross)'!K295</f>
        <v>3.669584</v>
      </c>
      <c r="L31" s="46">
        <f t="shared" si="14"/>
        <v>879926.17384342174</v>
      </c>
      <c r="N31" s="5">
        <f>(L31/L28-1)*100</f>
        <v>7.4845510898186696</v>
      </c>
    </row>
    <row r="32" spans="1:14" x14ac:dyDescent="0.25">
      <c r="A32" s="21">
        <v>45046</v>
      </c>
      <c r="B32" s="24">
        <f t="shared" si="1"/>
        <v>16</v>
      </c>
      <c r="C32" s="96" t="s">
        <v>380</v>
      </c>
      <c r="D32" s="27">
        <v>3.110703</v>
      </c>
      <c r="E32" s="46">
        <f t="shared" si="13"/>
        <v>929447.58732353919</v>
      </c>
      <c r="I32" s="39"/>
      <c r="J32" s="20">
        <f t="shared" si="2"/>
        <v>45046</v>
      </c>
      <c r="K32" s="27">
        <f>'LC (Gross)'!K296</f>
        <v>1.560872</v>
      </c>
      <c r="L32" s="46">
        <f t="shared" si="14"/>
        <v>893660.695111615</v>
      </c>
    </row>
    <row r="33" spans="1:14" x14ac:dyDescent="0.25">
      <c r="A33" s="21">
        <v>45077</v>
      </c>
      <c r="B33" s="24">
        <f t="shared" si="1"/>
        <v>17</v>
      </c>
      <c r="C33" s="96" t="s">
        <v>380</v>
      </c>
      <c r="D33" s="27">
        <v>-4.1382279999999998</v>
      </c>
      <c r="E33" s="46">
        <f t="shared" si="13"/>
        <v>890984.92701959203</v>
      </c>
      <c r="F33" s="12"/>
      <c r="I33" s="39"/>
      <c r="J33" s="20">
        <f t="shared" si="2"/>
        <v>45077</v>
      </c>
      <c r="K33" s="27">
        <f>'LC (Gross)'!K297</f>
        <v>0.43486429999999998</v>
      </c>
      <c r="L33" s="46">
        <f t="shared" si="14"/>
        <v>897546.90643778723</v>
      </c>
      <c r="M33" s="12"/>
    </row>
    <row r="34" spans="1:14" x14ac:dyDescent="0.25">
      <c r="A34" s="21">
        <v>45107</v>
      </c>
      <c r="B34" s="24">
        <f t="shared" ref="B34:B38" si="15">IF(A34&gt;A33,1+B33,"-")</f>
        <v>18</v>
      </c>
      <c r="C34" s="96" t="s">
        <v>380</v>
      </c>
      <c r="D34" s="27">
        <v>4.4871742000000001</v>
      </c>
      <c r="E34" s="46">
        <f t="shared" ref="E34" si="16">E33*D34/100+E33</f>
        <v>930964.97279070399</v>
      </c>
      <c r="F34" s="12"/>
      <c r="G34" s="5">
        <f>(E34/E31-1)*100</f>
        <v>3.2790381319377504</v>
      </c>
      <c r="I34" s="39"/>
      <c r="J34" s="20">
        <f t="shared" si="2"/>
        <v>45107</v>
      </c>
      <c r="K34" s="27">
        <f>'LC (Gross)'!K298</f>
        <v>6.60738</v>
      </c>
      <c r="L34" s="46">
        <f t="shared" ref="L34" si="17">L33*K34/100+L33</f>
        <v>956851.24122437625</v>
      </c>
      <c r="M34" s="12"/>
      <c r="N34" s="5">
        <f>(L34/L31-1)*100</f>
        <v>8.7422183437224188</v>
      </c>
    </row>
    <row r="35" spans="1:14" x14ac:dyDescent="0.25">
      <c r="A35" s="21">
        <v>45138</v>
      </c>
      <c r="B35" s="24">
        <f t="shared" si="15"/>
        <v>19</v>
      </c>
      <c r="C35" s="96" t="s">
        <v>380</v>
      </c>
      <c r="D35" s="27">
        <v>4.7833513405502002</v>
      </c>
      <c r="E35" s="46">
        <f t="shared" ref="E35" si="18">E34*D35/100+E34</f>
        <v>975496.29829674098</v>
      </c>
      <c r="F35" s="12"/>
      <c r="G35" s="5"/>
      <c r="I35" s="39"/>
      <c r="J35" s="20">
        <f t="shared" si="2"/>
        <v>45138</v>
      </c>
      <c r="K35" s="27">
        <f>'LC (Gross)'!K299</f>
        <v>3.2124999999999999</v>
      </c>
      <c r="L35" s="46">
        <f t="shared" ref="L35" si="19">L34*K35/100+L34</f>
        <v>987590.08734870935</v>
      </c>
      <c r="M35" s="12"/>
      <c r="N35" s="5"/>
    </row>
    <row r="36" spans="1:14" x14ac:dyDescent="0.25">
      <c r="A36" s="21">
        <v>45169</v>
      </c>
      <c r="B36" s="24">
        <f t="shared" si="15"/>
        <v>20</v>
      </c>
      <c r="C36" s="96" t="s">
        <v>380</v>
      </c>
      <c r="D36" s="27">
        <v>-3.0319041468627801</v>
      </c>
      <c r="E36" s="46">
        <f t="shared" ref="E36" si="20">E35*D36/100+E35</f>
        <v>945920.18557618919</v>
      </c>
      <c r="F36" s="12"/>
      <c r="G36" s="5"/>
      <c r="I36" s="39"/>
      <c r="J36" s="20">
        <f t="shared" si="2"/>
        <v>45169</v>
      </c>
      <c r="K36" s="27">
        <f>'LC (Gross)'!K300</f>
        <v>-1.592168</v>
      </c>
      <c r="L36" s="46">
        <f t="shared" ref="L36" si="21">L35*K36/100+L35</f>
        <v>971865.99400677113</v>
      </c>
      <c r="M36" s="12"/>
      <c r="N36" s="5"/>
    </row>
    <row r="37" spans="1:14" x14ac:dyDescent="0.25">
      <c r="A37" s="21">
        <v>45199</v>
      </c>
      <c r="B37" s="24">
        <f t="shared" si="15"/>
        <v>21</v>
      </c>
      <c r="C37" s="96" t="s">
        <v>380</v>
      </c>
      <c r="D37" s="27">
        <v>-2.6386678388978742</v>
      </c>
      <c r="E37" s="46">
        <f t="shared" ref="E37" si="22">E36*D37/100+E36</f>
        <v>920960.49385774718</v>
      </c>
      <c r="F37" s="12"/>
      <c r="G37" s="5">
        <f>(E37/E34-1)*100</f>
        <v>-1.0746353756969973</v>
      </c>
      <c r="I37" s="39"/>
      <c r="J37" s="20">
        <f t="shared" si="2"/>
        <v>45199</v>
      </c>
      <c r="K37" s="27">
        <f>'LC (Gross)'!K301</f>
        <v>-4.7678450000000003</v>
      </c>
      <c r="L37" s="46">
        <f t="shared" ref="L37" si="23">L36*K37/100+L36</f>
        <v>925528.92980481894</v>
      </c>
      <c r="M37" s="12"/>
      <c r="N37" s="5">
        <f>(L37/L34-1)*100</f>
        <v>-3.2734776389564568</v>
      </c>
    </row>
    <row r="38" spans="1:14" x14ac:dyDescent="0.25">
      <c r="A38" s="21">
        <v>45230</v>
      </c>
      <c r="B38" s="24">
        <f t="shared" si="15"/>
        <v>22</v>
      </c>
      <c r="C38" s="96" t="s">
        <v>380</v>
      </c>
      <c r="D38" s="27">
        <v>-2.3886685000000001</v>
      </c>
      <c r="E38" s="46">
        <f t="shared" ref="E38:E40" si="24">E37*D38/100+E37</f>
        <v>898961.80064352276</v>
      </c>
      <c r="F38" s="12"/>
      <c r="G38" s="5"/>
      <c r="I38" s="39"/>
      <c r="J38" s="20">
        <f t="shared" si="2"/>
        <v>45230</v>
      </c>
      <c r="K38" s="27">
        <f>'LC (Gross)'!K302</f>
        <v>-2.102582</v>
      </c>
      <c r="L38" s="46">
        <f t="shared" ref="L38:L40" si="25">L37*K38/100+L37</f>
        <v>906068.92512195022</v>
      </c>
      <c r="M38" s="12"/>
      <c r="N38" s="5"/>
    </row>
    <row r="39" spans="1:14" x14ac:dyDescent="0.25">
      <c r="A39" s="21">
        <v>45260</v>
      </c>
      <c r="B39" s="24">
        <f t="shared" ref="B39:B43" si="26">IF(A39&gt;A38,1+B38,"-")</f>
        <v>23</v>
      </c>
      <c r="C39" s="96" t="s">
        <v>380</v>
      </c>
      <c r="D39" s="27">
        <v>7.3741556107753903</v>
      </c>
      <c r="E39" s="46">
        <f t="shared" si="24"/>
        <v>965252.64270440454</v>
      </c>
      <c r="F39" s="12"/>
      <c r="G39" s="5"/>
      <c r="I39" s="39"/>
      <c r="J39" s="20">
        <f t="shared" si="2"/>
        <v>45260</v>
      </c>
      <c r="K39" s="27">
        <f>'LC (Gross)'!K303</f>
        <v>9.1325979999999998</v>
      </c>
      <c r="L39" s="46">
        <f t="shared" si="25"/>
        <v>988816.55765625893</v>
      </c>
      <c r="M39" s="12"/>
      <c r="N39" s="5"/>
    </row>
    <row r="40" spans="1:14" x14ac:dyDescent="0.25">
      <c r="A40" s="21">
        <v>45291</v>
      </c>
      <c r="B40" s="24">
        <f t="shared" si="26"/>
        <v>24</v>
      </c>
      <c r="C40" s="96" t="s">
        <v>380</v>
      </c>
      <c r="D40" s="27">
        <v>4.3607727000000001</v>
      </c>
      <c r="E40" s="46">
        <f t="shared" si="24"/>
        <v>1007345.1164334868</v>
      </c>
      <c r="F40" s="12">
        <f t="shared" ref="F40" si="27">((E40-$E$28)/$E$28)*100</f>
        <v>11.760774359340981</v>
      </c>
      <c r="G40" s="5">
        <f t="shared" ref="G40" si="28">(E40/E37-1)*100</f>
        <v>9.3798401942182252</v>
      </c>
      <c r="I40" s="39"/>
      <c r="J40" s="20">
        <f t="shared" si="2"/>
        <v>45291</v>
      </c>
      <c r="K40" s="27">
        <f>'LC (Gross)'!K304</f>
        <v>4.5311300000000001</v>
      </c>
      <c r="L40" s="46">
        <f t="shared" si="25"/>
        <v>1033621.1213451889</v>
      </c>
      <c r="M40" s="12">
        <f t="shared" ref="M40" si="29">((L40-$L$28)/$L$28)*100</f>
        <v>26.258662973368917</v>
      </c>
      <c r="N40" s="5">
        <f t="shared" ref="N40" si="30">(L40/L37-1)*100</f>
        <v>11.67896411008622</v>
      </c>
    </row>
    <row r="41" spans="1:14" x14ac:dyDescent="0.25">
      <c r="A41" s="21">
        <v>45322</v>
      </c>
      <c r="B41" s="24">
        <f t="shared" si="26"/>
        <v>25</v>
      </c>
      <c r="C41" s="96" t="s">
        <v>380</v>
      </c>
      <c r="D41" s="27">
        <v>3.7863674562366501</v>
      </c>
      <c r="E41" s="46">
        <f t="shared" ref="E41:E43" si="31">E40*D41/100+E40</f>
        <v>1045486.9040941135</v>
      </c>
      <c r="I41" s="39"/>
      <c r="J41" s="20">
        <f t="shared" si="2"/>
        <v>45322</v>
      </c>
      <c r="K41" s="27">
        <f>'LC (Gross)'!K305</f>
        <v>1.6793610000000001</v>
      </c>
      <c r="L41" s="46">
        <f t="shared" ref="L41" si="32">L40*K41/100+L40</f>
        <v>1050979.3513448227</v>
      </c>
    </row>
    <row r="42" spans="1:14" x14ac:dyDescent="0.25">
      <c r="A42" s="21">
        <v>45351</v>
      </c>
      <c r="B42" s="24">
        <f t="shared" si="26"/>
        <v>26</v>
      </c>
      <c r="C42" s="96" t="s">
        <v>380</v>
      </c>
      <c r="D42" s="27">
        <v>0.55734005879926907</v>
      </c>
      <c r="E42" s="46">
        <f t="shared" si="31"/>
        <v>1051313.8214201303</v>
      </c>
      <c r="I42" s="39"/>
      <c r="J42" s="20">
        <f t="shared" si="2"/>
        <v>45351</v>
      </c>
      <c r="K42" s="27">
        <f>'LC (Gross)'!K306</f>
        <v>5.3395099999999998</v>
      </c>
      <c r="L42" s="46">
        <f t="shared" ref="L42:L43" si="33">L41*K42/100+L41</f>
        <v>1107096.4989078145</v>
      </c>
    </row>
    <row r="43" spans="1:14" x14ac:dyDescent="0.25">
      <c r="A43" s="21">
        <v>45382</v>
      </c>
      <c r="B43" s="24">
        <f t="shared" si="26"/>
        <v>27</v>
      </c>
      <c r="C43" s="96" t="s">
        <v>380</v>
      </c>
      <c r="D43" s="27">
        <v>4.4405459</v>
      </c>
      <c r="E43" s="46">
        <f t="shared" si="31"/>
        <v>1097997.8942133351</v>
      </c>
      <c r="F43" s="12">
        <f>((E43-$E$40)/$E$40)*100</f>
        <v>8.9991777694624844</v>
      </c>
      <c r="G43" s="5">
        <f t="shared" ref="G43" si="34">(E43/E40-1)*100</f>
        <v>8.9991777694624844</v>
      </c>
      <c r="I43" s="39"/>
      <c r="J43" s="20">
        <f t="shared" si="2"/>
        <v>45382</v>
      </c>
      <c r="K43" s="27">
        <f>'LC (Gross)'!K307</f>
        <v>3.2173630000000002</v>
      </c>
      <c r="L43" s="46">
        <f t="shared" si="33"/>
        <v>1142715.8120379699</v>
      </c>
      <c r="M43" s="12">
        <f>((L43-$L$40)/$L$40)*100</f>
        <v>10.554611205196887</v>
      </c>
      <c r="N43" s="5">
        <f>(L43/L40-1)*100</f>
        <v>10.554611205196895</v>
      </c>
    </row>
    <row r="44" spans="1:14" x14ac:dyDescent="0.25">
      <c r="A44" s="21">
        <v>45412</v>
      </c>
      <c r="B44" s="24">
        <f t="shared" ref="B44:B46" si="35">IF(A44&gt;A43,1+B43,"-")</f>
        <v>28</v>
      </c>
    </row>
    <row r="45" spans="1:14" x14ac:dyDescent="0.25">
      <c r="A45" s="21">
        <v>45443</v>
      </c>
      <c r="B45" s="24">
        <f t="shared" si="35"/>
        <v>29</v>
      </c>
    </row>
    <row r="46" spans="1:14" x14ac:dyDescent="0.25">
      <c r="A46" s="21">
        <v>45473</v>
      </c>
      <c r="B46" s="24">
        <f t="shared" si="35"/>
        <v>30</v>
      </c>
    </row>
  </sheetData>
  <phoneticPr fontId="71" type="noConversion"/>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BBE6-6FC0-2A4D-9590-E526B9DB9A4B}">
  <dimension ref="A1:V139"/>
  <sheetViews>
    <sheetView workbookViewId="0">
      <pane ySplit="15" topLeftCell="A30" activePane="bottomLeft" state="frozen"/>
      <selection pane="bottomLeft" activeCell="B45" sqref="B45"/>
    </sheetView>
  </sheetViews>
  <sheetFormatPr defaultColWidth="11" defaultRowHeight="15.75" x14ac:dyDescent="0.25"/>
  <cols>
    <col min="2" max="2" width="9.5" bestFit="1" customWidth="1"/>
    <col min="4" max="4" width="11.625" bestFit="1" customWidth="1"/>
    <col min="5" max="5" width="13.625" bestFit="1" customWidth="1"/>
    <col min="6" max="6" width="6.625" bestFit="1" customWidth="1"/>
    <col min="7" max="7" width="9" bestFit="1" customWidth="1"/>
    <col min="8" max="8" width="6.5" bestFit="1" customWidth="1"/>
    <col min="9" max="9" width="2" customWidth="1"/>
    <col min="11" max="11" width="6.625" bestFit="1" customWidth="1"/>
    <col min="12" max="12" width="11.5" bestFit="1" customWidth="1"/>
    <col min="13" max="13" width="6.625" bestFit="1" customWidth="1"/>
    <col min="14" max="14" width="9" bestFit="1" customWidth="1"/>
    <col min="15" max="15" width="2" customWidth="1"/>
    <col min="18" max="18" width="11.5" bestFit="1" customWidth="1"/>
    <col min="19" max="19" width="6.625" bestFit="1" customWidth="1"/>
    <col min="22" max="22" width="12.625" bestFit="1" customWidth="1"/>
  </cols>
  <sheetData>
    <row r="1" spans="1:22" x14ac:dyDescent="0.25">
      <c r="B1" s="23" t="s">
        <v>384</v>
      </c>
      <c r="C1" s="74" t="s">
        <v>379</v>
      </c>
      <c r="D1" s="13"/>
      <c r="E1" s="14"/>
      <c r="F1" s="15"/>
      <c r="I1" s="39"/>
      <c r="J1" s="7" t="s">
        <v>38</v>
      </c>
      <c r="K1" s="13"/>
      <c r="L1" s="13"/>
      <c r="M1" s="14"/>
      <c r="N1" s="15"/>
      <c r="O1" s="39"/>
      <c r="P1" s="7" t="s">
        <v>289</v>
      </c>
      <c r="Q1" s="13"/>
      <c r="R1" s="13"/>
      <c r="S1" s="14"/>
      <c r="T1" s="15"/>
    </row>
    <row r="2" spans="1:22" x14ac:dyDescent="0.25">
      <c r="A2" s="7"/>
      <c r="B2" s="23"/>
      <c r="C2" s="36"/>
      <c r="D2" s="16"/>
      <c r="E2" s="16"/>
      <c r="F2" s="16"/>
      <c r="G2" s="16"/>
      <c r="H2" s="16"/>
      <c r="I2" s="39"/>
      <c r="K2" s="16"/>
      <c r="L2" s="36"/>
      <c r="M2" s="16"/>
      <c r="N2" s="16"/>
      <c r="O2" s="39"/>
      <c r="Q2" s="16"/>
      <c r="R2" s="36"/>
      <c r="S2" s="16"/>
      <c r="T2" s="16"/>
    </row>
    <row r="3" spans="1:22" x14ac:dyDescent="0.25">
      <c r="B3" s="23"/>
      <c r="C3" s="7"/>
      <c r="D3" s="191"/>
      <c r="E3" s="16"/>
      <c r="F3" s="16"/>
      <c r="G3" s="16"/>
      <c r="H3" s="16"/>
      <c r="I3" s="39"/>
      <c r="K3" s="16"/>
      <c r="L3" s="16"/>
      <c r="M3" s="16"/>
      <c r="N3" s="16"/>
      <c r="O3" s="39"/>
      <c r="Q3" s="16"/>
      <c r="R3" s="16"/>
      <c r="S3" s="16"/>
      <c r="T3" s="16"/>
      <c r="V3" s="1"/>
    </row>
    <row r="4" spans="1:22" x14ac:dyDescent="0.25">
      <c r="A4" s="7"/>
      <c r="B4" s="23"/>
      <c r="C4" s="23"/>
      <c r="D4" s="16" t="s">
        <v>41</v>
      </c>
      <c r="E4" s="23" t="s">
        <v>42</v>
      </c>
      <c r="F4" s="17" t="s">
        <v>43</v>
      </c>
      <c r="G4" s="35" t="s">
        <v>44</v>
      </c>
      <c r="H4" s="17" t="s">
        <v>45</v>
      </c>
      <c r="I4" s="39"/>
      <c r="K4" s="23" t="s">
        <v>41</v>
      </c>
      <c r="L4" s="17" t="s">
        <v>43</v>
      </c>
      <c r="M4" s="17" t="s">
        <v>45</v>
      </c>
      <c r="N4" s="35"/>
      <c r="O4" s="39"/>
      <c r="Q4" s="23" t="s">
        <v>41</v>
      </c>
      <c r="R4" s="17" t="s">
        <v>43</v>
      </c>
      <c r="S4" s="17" t="s">
        <v>45</v>
      </c>
      <c r="T4" s="35"/>
      <c r="V4" s="1"/>
    </row>
    <row r="5" spans="1:22" x14ac:dyDescent="0.25">
      <c r="B5" s="23" t="e">
        <f ca="1">MAX(B16:B545)-VLOOKUP(DATE(YEAR(TODAY())-1,12,31),A:B,2,0)</f>
        <v>#N/A</v>
      </c>
      <c r="C5" s="7" t="s">
        <v>7</v>
      </c>
      <c r="D5" s="16" t="str">
        <f t="array" aca="1" ref="D5" ca="1">IFERROR((GEOMEAN(1+OFFSET(D$16,MAX($B$16:$B$509)-$B$5+1,0,$B$5,1)/100)^$B$5-1)*100,"N/A")</f>
        <v>N/A</v>
      </c>
      <c r="E5" s="36" t="str">
        <f t="shared" ref="E5:E12" ca="1" si="0">IFERROR(D5-$K5,"N/A")</f>
        <v>N/A</v>
      </c>
      <c r="F5" s="16" t="str">
        <f ca="1">IFERROR(SLOPE(OFFSET(D$16,MAX($B$16:$B$509)-$B$5+1,0,$B$5,1),OFFSET($K$16,MAX($B$16:$B$509)-$B$5+1,0,$B$5,1)),"N/A")</f>
        <v>N/A</v>
      </c>
      <c r="G5" s="16" t="str">
        <f t="array" aca="1" ref="G5" ca="1">IFERROR(INTERCEPT(OFFSET(D$16,MAX($B$16:$B$509)-$B$5+1,0,$B$5,1),OFFSET($K$16,MAX($B$16:$B$509)-$B$5+1,0,$B$5,1))*12,"N/A")</f>
        <v>N/A</v>
      </c>
      <c r="H5" s="16" t="str">
        <f ca="1">IFERROR(STDEVP(OFFSET(D$16,MAX($B$16:$B$509)-$B$5+1,0,$B$5,1))*SQRT(12),"N/A")</f>
        <v>N/A</v>
      </c>
      <c r="I5" s="39"/>
      <c r="J5" s="7" t="s">
        <v>7</v>
      </c>
      <c r="K5" s="16" t="str">
        <f t="array" aca="1" ref="K5" ca="1">IFERROR((GEOMEAN(1+OFFSET(K$16,MAX($B$16:$B$509)-$B$5+1,0,$B$5,1)/100)^$B$5-1)*100,"N/A")</f>
        <v>N/A</v>
      </c>
      <c r="L5" s="16" t="str">
        <f ca="1">IFERROR(SLOPE(OFFSET(K$16,MAX($B$16:$B$509)-$B$5+1,0,$B$5,1),OFFSET($K$16,MAX($B$16:$B$509)-$B$5+1,0,$B$5,1)),"N/A")</f>
        <v>N/A</v>
      </c>
      <c r="M5" s="16" t="str">
        <f ca="1">IFERROR(STDEVP(OFFSET(K$16,MAX($B$16:$B$509)-$B$5+1,0,$B$5,1))*SQRT(12),"N/A")</f>
        <v>N/A</v>
      </c>
      <c r="N5" s="16"/>
      <c r="O5" s="39"/>
      <c r="P5" s="7" t="s">
        <v>7</v>
      </c>
      <c r="Q5" s="16" t="str">
        <f t="array" aca="1" ref="Q5" ca="1">IFERROR((GEOMEAN(1+OFFSET(Q$16,MAX($B$16:$B$509)-$B$5+1,0,$B$5,1)/100)^$B$5-1)*100,"N/A")</f>
        <v>N/A</v>
      </c>
      <c r="R5" s="16" t="str">
        <f ca="1">IFERROR(SLOPE(OFFSET(Q$16,MAX($B$16:$B$509)-$B$5+1,0,$B$5,1),OFFSET($K$16,MAX($B$16:$B$509)-$B$5+1,0,$B$5,1)),"N/A")</f>
        <v>N/A</v>
      </c>
      <c r="S5" s="16" t="str">
        <f ca="1">IFERROR(STDEVP(OFFSET(Q$16,MAX($B$16:$B$509)-$B$5+1,0,$B$5,1))*SQRT(12),"N/A")</f>
        <v>N/A</v>
      </c>
      <c r="T5" s="16"/>
      <c r="V5" s="1"/>
    </row>
    <row r="6" spans="1:22" x14ac:dyDescent="0.25">
      <c r="B6" s="23"/>
      <c r="C6" s="7" t="s">
        <v>46</v>
      </c>
      <c r="D6" s="16">
        <f t="array" aca="1" ref="D6" ca="1">IFERROR((GEOMEAN(1+OFFSET(D$16,MAX($B$16:$B$509)-11,0,12,1)/100)^12-1)*100,"N/A")</f>
        <v>21.719833631746589</v>
      </c>
      <c r="E6" s="36">
        <f t="shared" ca="1" si="0"/>
        <v>2.2952289695042936</v>
      </c>
      <c r="F6" s="16">
        <f ca="1">IFERROR(SLOPE(OFFSET(D$16,MAX($B$16:$B$509)-11,0,12,1),OFFSET($K$16,MAX($B$16:$B$509)-11,0,12,1)),"N/A")</f>
        <v>0.99851476782338722</v>
      </c>
      <c r="G6" s="16">
        <f ca="1">IFERROR(INTERCEPT(OFFSET(D$16,MAX($B$16:$B$509)-11,0,12,1),OFFSET($K$16,MAX($B$16:$B$509)-11,0,12,1))*12,"N/A")</f>
        <v>2.9789811584518819</v>
      </c>
      <c r="H6" s="16">
        <f ca="1">IFERROR(STDEVP(OFFSET(D$16,MAX($B$16:$B$509)-11,0,12,1))*SQRT(12),"N/A")</f>
        <v>16.383850129626694</v>
      </c>
      <c r="I6" s="39"/>
      <c r="J6" s="7" t="s">
        <v>46</v>
      </c>
      <c r="K6" s="16">
        <f t="array" aca="1" ref="K6" ca="1">IFERROR((GEOMEAN(1+OFFSET(K$16,MAX($B$16:$B$509)-11,0,12,1)/100)^12-1)*100,"N/A")</f>
        <v>19.424604662242295</v>
      </c>
      <c r="L6" s="16">
        <f ca="1">IFERROR(SLOPE(OFFSET(K$16,MAX($B$16:$B$509)-11,0,12,1),OFFSET($K$16,MAX($B$16:$B$509)-11,0,12,1)),"N/A")</f>
        <v>1</v>
      </c>
      <c r="M6" s="16">
        <f ca="1">IFERROR(STDEVP(OFFSET(K$16,MAX($B$16:$B$509)-11,0,12,1))*SQRT(12),"N/A")</f>
        <v>13.999023268517377</v>
      </c>
      <c r="N6" s="16"/>
      <c r="O6" s="39"/>
      <c r="P6" s="7" t="s">
        <v>46</v>
      </c>
      <c r="Q6" s="16">
        <f t="array" aca="1" ref="Q6" ca="1">IFERROR((GEOMEAN(1+OFFSET(Q$16,MAX($B$16:$B$509)-11,0,12,1)/100)^12-1)*100,"N/A")</f>
        <v>7.0830000861251019</v>
      </c>
      <c r="R6" s="16">
        <f ca="1">IFERROR(SLOPE(OFFSET(Q$16,MAX($B$16:$B$509)-11,0,12,1),OFFSET($K$16,MAX($B$16:$B$509)-11,0,12,1)),"N/A")</f>
        <v>0.62340354198101244</v>
      </c>
      <c r="S6" s="16">
        <f ca="1">IFERROR(STDEVP(OFFSET(Q$16,MAX($B$16:$B$509)-11,0,12,1))*SQRT(12),"N/A")</f>
        <v>9.3669670082873893</v>
      </c>
      <c r="T6" s="16"/>
      <c r="V6" s="1"/>
    </row>
    <row r="7" spans="1:22" x14ac:dyDescent="0.25">
      <c r="B7" s="23"/>
      <c r="C7" s="7" t="s">
        <v>47</v>
      </c>
      <c r="D7" s="16">
        <f t="array" aca="1" ref="D7" ca="1">IFERROR((GEOMEAN(1+OFFSET(D$16,MAX($B$16:$B$509)-23,0,24,1)/100)^12-1)*100,"N/A")</f>
        <v>11.774819605683607</v>
      </c>
      <c r="E7" s="36">
        <f t="shared" ca="1" si="0"/>
        <v>-7.7163332840506129</v>
      </c>
      <c r="F7" s="16">
        <f ca="1">IFERROR(SLOPE(OFFSET(D$16,MAX($B$16:$B$509)-23,0,24,1),OFFSET($K$16,MAX($B$16:$B$509)-23,0,24,1)),"N/A")</f>
        <v>0.87008570707763422</v>
      </c>
      <c r="G7" s="16">
        <f ca="1">IFERROR(INTERCEPT(OFFSET(D$16,MAX($B$16:$B$509)-23,0,24,1),OFFSET($K$16,MAX($B$16:$B$509)-23,0,24,1))*12,"N/A")</f>
        <v>-4.8274377988456827</v>
      </c>
      <c r="H7" s="16">
        <f ca="1">IFERROR(STDEVP(OFFSET(D$16,MAX($B$16:$B$509)-23,0,24,1))*SQRT(12),"N/A")</f>
        <v>17.828997473015352</v>
      </c>
      <c r="I7" s="39"/>
      <c r="J7" s="7" t="s">
        <v>47</v>
      </c>
      <c r="K7" s="16">
        <f t="array" aca="1" ref="K7" ca="1">IFERROR((GEOMEAN(1+OFFSET(K$16,MAX($B$16:$B$509)-23,0,24,1)/100)^12-1)*100,"N/A")</f>
        <v>19.49115288973422</v>
      </c>
      <c r="L7" s="16">
        <f ca="1">IFERROR(SLOPE(OFFSET(K$16,MAX($B$16:$B$509)-23,0,24,1),OFFSET($K$16,MAX($B$16:$B$509)-23,0,24,1)),"N/A")</f>
        <v>1</v>
      </c>
      <c r="M7" s="16">
        <f ca="1">IFERROR(STDEVP(OFFSET(K$16,MAX($B$16:$B$509)-23,0,24,1))*SQRT(12),"N/A")</f>
        <v>17.511216344861122</v>
      </c>
      <c r="N7" s="16"/>
      <c r="O7" s="39"/>
      <c r="P7" s="7" t="s">
        <v>47</v>
      </c>
      <c r="Q7" s="16">
        <f t="array" aca="1" ref="Q7" ca="1">IFERROR((GEOMEAN(1+OFFSET(Q$16,MAX($B$16:$B$509)-23,0,24,1)/100)^12-1)*100,"N/A")</f>
        <v>5.4799705736479076</v>
      </c>
      <c r="R7" s="16">
        <f ca="1">IFERROR(SLOPE(OFFSET(Q$16,MAX($B$16:$B$509)-23,0,24,1),OFFSET($K$16,MAX($B$16:$B$509)-23,0,24,1)),"N/A")</f>
        <v>0.65155525356134836</v>
      </c>
      <c r="S7" s="16">
        <f ca="1">IFERROR(STDEVP(OFFSET(Q$16,MAX($B$16:$B$509)-23,0,24,1))*SQRT(12),"N/A")</f>
        <v>13.219148129772318</v>
      </c>
      <c r="T7" s="16"/>
      <c r="V7" s="1"/>
    </row>
    <row r="8" spans="1:22" x14ac:dyDescent="0.25">
      <c r="B8" s="23"/>
      <c r="C8" s="7" t="s">
        <v>48</v>
      </c>
      <c r="D8" s="16" t="str">
        <f t="array" aca="1" ref="D8" ca="1">IFERROR((GEOMEAN(1+OFFSET(D$16,MAX($B$16:$B$509)-35,0,36,1)/100)^12-1)*100,"N/A")</f>
        <v>N/A</v>
      </c>
      <c r="E8" s="36" t="str">
        <f t="shared" ca="1" si="0"/>
        <v>N/A</v>
      </c>
      <c r="F8" s="16">
        <f ca="1">IFERROR(SLOPE(OFFSET(D$16,MAX($B$16:$B$509)-35,0,36,1),OFFSET($K$16,MAX($B$16:$B$509)-35,0,36,1)),"N/A")</f>
        <v>0.82266411961865238</v>
      </c>
      <c r="G8" s="16">
        <f ca="1">IFERROR(INTERCEPT(OFFSET(D$16,MAX($B$16:$B$509)-35,0,36,1),OFFSET($K$16,MAX($B$16:$B$509)-35,0,36,1))*12,"N/A")</f>
        <v>-3.2269781921178931</v>
      </c>
      <c r="H8" s="16">
        <f ca="1">IFERROR(STDEVP(OFFSET(D$16,MAX($B$16:$B$509)-35,0,36,1))*SQRT(12),"N/A")</f>
        <v>17.615020391261833</v>
      </c>
      <c r="I8" s="39"/>
      <c r="J8" s="7" t="s">
        <v>48</v>
      </c>
      <c r="K8" s="16" t="str">
        <f t="array" aca="1" ref="K8" ca="1">IFERROR((GEOMEAN(1+OFFSET(K$16,MAX($B$16:$B$509)-35,0,36,1)/100)^12-1)*100,"N/A")</f>
        <v>N/A</v>
      </c>
      <c r="L8" s="16">
        <f ca="1">IFERROR(SLOPE(OFFSET(K$16,MAX($B$16:$B$509)-35,0,36,1),OFFSET($K$16,MAX($B$16:$B$509)-35,0,36,1)),"N/A")</f>
        <v>1</v>
      </c>
      <c r="M8" s="16">
        <f ca="1">IFERROR(STDEVP(OFFSET(K$16,MAX($B$16:$B$509)-35,0,36,1))*SQRT(12),"N/A")</f>
        <v>18.664446430015207</v>
      </c>
      <c r="N8" s="16"/>
      <c r="O8" s="39"/>
      <c r="P8" s="7" t="s">
        <v>48</v>
      </c>
      <c r="Q8" s="16" t="str">
        <f t="array" aca="1" ref="Q8" ca="1">IFERROR((GEOMEAN(1+OFFSET(Q$16,MAX($B$16:$B$509)-35,0,36,1)/100)^12-1)*100,"N/A")</f>
        <v>N/A</v>
      </c>
      <c r="R8" s="16">
        <f ca="1">IFERROR(SLOPE(OFFSET(Q$16,MAX($B$16:$B$509)-35,0,36,1),OFFSET($K$16,MAX($B$16:$B$509)-35,0,36,1)),"N/A")</f>
        <v>0.58802492714670129</v>
      </c>
      <c r="S8" s="16">
        <f ca="1">IFERROR(STDEVP(OFFSET(Q$16,MAX($B$16:$B$509)-35,0,36,1))*SQRT(12),"N/A")</f>
        <v>12.952599885646681</v>
      </c>
      <c r="T8" s="16"/>
      <c r="V8" s="1"/>
    </row>
    <row r="9" spans="1:22" x14ac:dyDescent="0.25">
      <c r="B9" s="23"/>
      <c r="C9" s="7" t="s">
        <v>49</v>
      </c>
      <c r="D9" s="16" t="str">
        <f t="array" aca="1" ref="D9" ca="1">IFERROR((GEOMEAN(1+OFFSET(D$16,MAX($B$16:$B$509)-47,0,48,1)/100)^12-1)*100,"N/A")</f>
        <v>N/A</v>
      </c>
      <c r="E9" s="36" t="str">
        <f t="shared" ca="1" si="0"/>
        <v>N/A</v>
      </c>
      <c r="F9" s="16" t="str">
        <f ca="1">IFERROR(SLOPE(OFFSET(D$16,MAX($B$16:$B$509)-47,0,48,1),OFFSET($K$16,MAX($B$16:$B$509)-47,0,48,1)),"N/A")</f>
        <v>N/A</v>
      </c>
      <c r="G9" s="16" t="str">
        <f ca="1">IFERROR(INTERCEPT(OFFSET(D$16,MAX($B$16:$B$509)-47,0,48,1),OFFSET($K$16,MAX($B$16:$B$509)-47,0,48,1))*12,"N/A")</f>
        <v>N/A</v>
      </c>
      <c r="H9" s="16" t="str">
        <f ca="1">IFERROR(STDEVP(OFFSET(D$16,MAX($B$16:$B$509)-47,0,48,1))*SQRT(12),"N/A")</f>
        <v>N/A</v>
      </c>
      <c r="I9" s="39"/>
      <c r="J9" s="7" t="s">
        <v>49</v>
      </c>
      <c r="K9" s="16" t="str">
        <f t="array" aca="1" ref="K9" ca="1">IFERROR((GEOMEAN(1+OFFSET(K$16,MAX($B$16:$B$509)-47,0,48,1)/100)^12-1)*100,"N/A")</f>
        <v>N/A</v>
      </c>
      <c r="L9" s="16" t="str">
        <f ca="1">IFERROR(SLOPE(OFFSET(K$16,MAX($B$16:$B$509)-47,0,48,1),OFFSET($K$16,MAX($B$16:$B$509)-47,0,48,1)),"N/A")</f>
        <v>N/A</v>
      </c>
      <c r="M9" s="16" t="str">
        <f ca="1">IFERROR(STDEVP(OFFSET(K$16,MAX($B$16:$B$509)-47,0,48,1))*SQRT(12),"N/A")</f>
        <v>N/A</v>
      </c>
      <c r="N9" s="16"/>
      <c r="O9" s="39"/>
      <c r="P9" s="7" t="s">
        <v>49</v>
      </c>
      <c r="Q9" s="16" t="str">
        <f t="array" aca="1" ref="Q9" ca="1">IFERROR((GEOMEAN(1+OFFSET(Q$16,MAX($B$16:$B$509)-47,0,48,1)/100)^12-1)*100,"N/A")</f>
        <v>N/A</v>
      </c>
      <c r="R9" s="16" t="str">
        <f ca="1">IFERROR(SLOPE(OFFSET(Q$16,MAX($B$16:$B$509)-47,0,48,1),OFFSET($K$16,MAX($B$16:$B$509)-47,0,48,1)),"N/A")</f>
        <v>N/A</v>
      </c>
      <c r="S9" s="16" t="str">
        <f ca="1">IFERROR(STDEVP(OFFSET(Q$16,MAX($B$16:$B$509)-47,0,48,1))*SQRT(12),"N/A")</f>
        <v>N/A</v>
      </c>
      <c r="T9" s="16"/>
      <c r="V9" s="1"/>
    </row>
    <row r="10" spans="1:22" x14ac:dyDescent="0.25">
      <c r="B10" s="23"/>
      <c r="C10" s="7" t="s">
        <v>50</v>
      </c>
      <c r="D10" s="16" t="str">
        <f t="array" aca="1" ref="D10" ca="1">IFERROR((GEOMEAN(1+OFFSET(D$16,MAX($B$16:$B$509)-59,0,60,1)/100)^12-1)*100,"N/A")</f>
        <v>N/A</v>
      </c>
      <c r="E10" s="36" t="str">
        <f t="shared" ca="1" si="0"/>
        <v>N/A</v>
      </c>
      <c r="F10" s="16" t="str">
        <f ca="1">IFERROR(SLOPE(OFFSET(D$16,MAX($B$16:$B$509)-59,0,60,1),OFFSET($K$16,MAX($B$16:$B$509)-59,0,60,1)),"N/A")</f>
        <v>N/A</v>
      </c>
      <c r="G10" s="16" t="str">
        <f ca="1">IFERROR(INTERCEPT(OFFSET(D$16,MAX($B$16:$B$509)-59,0,60,1),OFFSET($K$16,MAX($B$16:$B$509)-59,0,60,1))*12,"N/A")</f>
        <v>N/A</v>
      </c>
      <c r="H10" s="16" t="str">
        <f ca="1">IFERROR(STDEVP(OFFSET(D$16,MAX($B$16:$B$509)-59,0,60,1))*SQRT(12),"N/A")</f>
        <v>N/A</v>
      </c>
      <c r="I10" s="39"/>
      <c r="J10" s="7" t="s">
        <v>50</v>
      </c>
      <c r="K10" s="16" t="str">
        <f t="array" aca="1" ref="K10" ca="1">IFERROR((GEOMEAN(1+OFFSET(K$16,MAX($B$16:$B$509)-59,0,60,1)/100)^12-1)*100,"N/A")</f>
        <v>N/A</v>
      </c>
      <c r="L10" s="16" t="str">
        <f ca="1">IFERROR(SLOPE(OFFSET(K$16,MAX($B$16:$B$509)-59,0,60,1),OFFSET($K$16,MAX($B$16:$B$509)-59,0,60,1)),"N/A")</f>
        <v>N/A</v>
      </c>
      <c r="M10" s="16" t="str">
        <f ca="1">IFERROR(STDEVP(OFFSET(K$16,MAX($B$16:$B$509)-59,0,60,1))*SQRT(12),"N/A")</f>
        <v>N/A</v>
      </c>
      <c r="N10" s="16"/>
      <c r="O10" s="39"/>
      <c r="P10" s="7" t="s">
        <v>50</v>
      </c>
      <c r="Q10" s="16" t="str">
        <f t="array" aca="1" ref="Q10" ca="1">IFERROR((GEOMEAN(1+OFFSET(Q$16,MAX($B$16:$B$509)-59,0,60,1)/100)^12-1)*100,"N/A")</f>
        <v>N/A</v>
      </c>
      <c r="R10" s="16" t="str">
        <f ca="1">IFERROR(SLOPE(OFFSET(Q$16,MAX($B$16:$B$509)-59,0,60,1),OFFSET($K$16,MAX($B$16:$B$509)-59,0,60,1)),"N/A")</f>
        <v>N/A</v>
      </c>
      <c r="S10" s="16" t="str">
        <f ca="1">IFERROR(STDEVP(OFFSET(Q$16,MAX($B$16:$B$509)-59,0,60,1))*SQRT(12),"N/A")</f>
        <v>N/A</v>
      </c>
      <c r="T10" s="16"/>
      <c r="V10" s="1"/>
    </row>
    <row r="11" spans="1:22" x14ac:dyDescent="0.25">
      <c r="B11" s="23"/>
      <c r="C11" s="7" t="s">
        <v>51</v>
      </c>
      <c r="D11" s="16" t="str">
        <f t="array" aca="1" ref="D11" ca="1">IFERROR((GEOMEAN(1+OFFSET(D$16,MAX($B$16:$B$509)-119,0,120,1)/100)^12-1)*100,"N/A")</f>
        <v>N/A</v>
      </c>
      <c r="E11" s="36" t="str">
        <f t="shared" ca="1" si="0"/>
        <v>N/A</v>
      </c>
      <c r="F11" s="16" t="str">
        <f ca="1">IFERROR(SLOPE(OFFSET(D$16,MAX($B$16:$B$509)-119,0,120,1),OFFSET($K$16,MAX($B$16:$B$509)-119,0,120,1)),"N/A")</f>
        <v>N/A</v>
      </c>
      <c r="G11" s="16" t="str">
        <f ca="1">IFERROR(INTERCEPT(OFFSET(D$16,MAX($B$16:$B$509)-119,0,120,1),OFFSET($K$16,MAX($B$16:$B$509)-119,0,120,1))*12,"N/A")</f>
        <v>N/A</v>
      </c>
      <c r="H11" s="16" t="str">
        <f ca="1">IFERROR(STDEVP(OFFSET(D$16,MAX($B$16:$B$509)-119,0,120,1))*SQRT(12),"N/A")</f>
        <v>N/A</v>
      </c>
      <c r="I11" s="39"/>
      <c r="J11" s="7" t="s">
        <v>51</v>
      </c>
      <c r="K11" s="16" t="str">
        <f t="array" aca="1" ref="K11" ca="1">IFERROR((GEOMEAN(1+OFFSET(K$16,MAX($B$16:$B$509)-119,0,120,1)/100)^12-1)*100,"N/A")</f>
        <v>N/A</v>
      </c>
      <c r="L11" s="16" t="str">
        <f ca="1">IFERROR(SLOPE(OFFSET(K$16,MAX($B$16:$B$509)-119,0,120,1),OFFSET($K$16,MAX($B$16:$B$509)-119,0,120,1)),"N/A")</f>
        <v>N/A</v>
      </c>
      <c r="M11" s="16" t="str">
        <f ca="1">IFERROR(STDEVP(OFFSET(K$16,MAX($B$16:$B$509)-119,0,120,1))*SQRT(12),"N/A")</f>
        <v>N/A</v>
      </c>
      <c r="N11" s="16"/>
      <c r="O11" s="39"/>
      <c r="P11" s="7" t="s">
        <v>51</v>
      </c>
      <c r="Q11" s="16" t="str">
        <f t="array" aca="1" ref="Q11" ca="1">IFERROR((GEOMEAN(1+OFFSET(Q$16,MAX($B$16:$B$509)-119,0,120,1)/100)^12-1)*100,"N/A")</f>
        <v>N/A</v>
      </c>
      <c r="R11" s="16" t="str">
        <f ca="1">IFERROR(SLOPE(OFFSET(Q$16,MAX($B$16:$B$509)-119,0,120,1),OFFSET($K$16,MAX($B$16:$B$509)-119,0,120,1)),"N/A")</f>
        <v>N/A</v>
      </c>
      <c r="S11" s="16" t="str">
        <f ca="1">IFERROR(STDEVP(OFFSET(Q$16,MAX($B$16:$B$509)-119,0,120,1))*SQRT(12),"N/A")</f>
        <v>N/A</v>
      </c>
      <c r="T11" s="16"/>
      <c r="V11" s="1"/>
    </row>
    <row r="12" spans="1:22" x14ac:dyDescent="0.25">
      <c r="B12" s="23"/>
      <c r="C12" s="7" t="s">
        <v>52</v>
      </c>
      <c r="D12" s="33" cm="1">
        <f t="array" aca="1" ref="D12" ca="1">IFERROR((GEOMEAN(1+OFFSET(D$16,1,0,MAX($B$16:$B$509),1)/100)^12-1)*100,"N/A")</f>
        <v>2.2057821354124929</v>
      </c>
      <c r="E12" s="36">
        <f t="shared" ca="1" si="0"/>
        <v>-3.2754744244350542</v>
      </c>
      <c r="F12" s="16">
        <f ca="1">IFERROR(SLOPE(OFFSET(D$16,1,0,MAX($B$16:$B$509),1),OFFSET($K$16,1,0,MAX($B$16:$B$509),1)),"N/A")</f>
        <v>0.83512244721523121</v>
      </c>
      <c r="G12" s="16">
        <f ca="1">IFERROR(INTERCEPT(OFFSET(D$16,1,0,MAX($B$16:$B$509),1),OFFSET($K$16,1,0,MAX($B$16:$B$509),1))*12,"N/A")</f>
        <v>-2.4187400210931731</v>
      </c>
      <c r="H12" s="16">
        <f ca="1">IFERROR(STDEVP(OFFSET(D$16,1,0,MAX($B$16:$B$509),1))*SQRT(12),"N/A")</f>
        <v>17.896388690845146</v>
      </c>
      <c r="I12" s="39"/>
      <c r="J12" s="7" t="s">
        <v>53</v>
      </c>
      <c r="K12" s="16" cm="1">
        <f t="array" aca="1" ref="K12" ca="1">IFERROR((GEOMEAN(1+OFFSET(K$16,1,0,MAX($B$16:$B$509),1)/100)^12-1)*100,"N/A")</f>
        <v>5.4812565598475471</v>
      </c>
      <c r="L12" s="16">
        <f ca="1">IFERROR(SLOPE(OFFSET(K$16,1,0,MAX($B$16:$B$509),1),OFFSET($K$16,1,0,MAX($B$16:$B$509),1)),"N/A")</f>
        <v>1</v>
      </c>
      <c r="M12" s="16">
        <f ca="1">IFERROR(STDEVP(OFFSET(K$16,1,0,MAX($B$16:$B$509),1))*SQRT(12),"N/A")</f>
        <v>18.74107703466337</v>
      </c>
      <c r="N12" s="16"/>
      <c r="O12" s="39"/>
      <c r="P12" s="7" t="s">
        <v>53</v>
      </c>
      <c r="Q12" s="16" cm="1">
        <f t="array" aca="1" ref="Q12" ca="1">IFERROR((GEOMEAN(1+OFFSET(Q$16,1,0,MAX($B$16:$B$509),1)/100)^12-1)*100,"N/A")</f>
        <v>0.68004129129348723</v>
      </c>
      <c r="R12" s="16">
        <f ca="1">IFERROR(SLOPE(OFFSET(Q$16,1,0,MAX($B$16:$B$509),1),OFFSET($K$16,1,0,MAX($B$16:$B$509),1)),"N/A")</f>
        <v>0.60161090255788585</v>
      </c>
      <c r="S12" s="16">
        <f ca="1">IFERROR(STDEVP(OFFSET(Q$16,1,0,MAX($B$16:$B$509),1))*SQRT(12),"N/A")</f>
        <v>13.185461891618047</v>
      </c>
      <c r="T12" s="16"/>
      <c r="V12" s="1"/>
    </row>
    <row r="13" spans="1:22" x14ac:dyDescent="0.25">
      <c r="B13" s="23"/>
      <c r="C13" s="7"/>
      <c r="D13" s="33"/>
      <c r="E13" s="42"/>
      <c r="F13" s="33"/>
      <c r="G13" s="33"/>
      <c r="H13" s="33"/>
      <c r="I13" s="39"/>
      <c r="J13" s="7"/>
      <c r="K13" s="16"/>
      <c r="L13" s="16"/>
      <c r="M13" s="16"/>
      <c r="N13" s="16"/>
      <c r="O13" s="39"/>
      <c r="P13" s="7"/>
      <c r="Q13" s="16"/>
      <c r="R13" s="16"/>
      <c r="S13" s="16"/>
      <c r="T13" s="16"/>
      <c r="V13" s="1"/>
    </row>
    <row r="14" spans="1:22" x14ac:dyDescent="0.25">
      <c r="A14" s="7"/>
      <c r="B14" s="23"/>
      <c r="C14" s="17"/>
      <c r="D14" s="16"/>
      <c r="E14" s="18"/>
      <c r="F14" s="16"/>
      <c r="I14" s="39"/>
      <c r="J14" s="7"/>
      <c r="K14" s="16"/>
      <c r="L14" s="16"/>
      <c r="M14" s="16"/>
      <c r="N14" s="10"/>
      <c r="O14" s="39"/>
      <c r="P14" s="7"/>
      <c r="Q14" s="16"/>
      <c r="R14" s="16"/>
      <c r="S14" s="16"/>
      <c r="T14" s="10"/>
      <c r="V14" s="1"/>
    </row>
    <row r="15" spans="1:22" x14ac:dyDescent="0.25">
      <c r="A15" s="13" t="s">
        <v>69</v>
      </c>
      <c r="B15" s="23" t="s">
        <v>70</v>
      </c>
      <c r="C15" s="13" t="s">
        <v>71</v>
      </c>
      <c r="D15" s="33" t="s">
        <v>72</v>
      </c>
      <c r="E15" s="13" t="s">
        <v>73</v>
      </c>
      <c r="F15" s="13" t="s">
        <v>74</v>
      </c>
      <c r="G15" s="13" t="s">
        <v>75</v>
      </c>
      <c r="H15" s="33"/>
      <c r="I15" s="44"/>
      <c r="J15" s="13" t="s">
        <v>69</v>
      </c>
      <c r="K15" s="33" t="s">
        <v>41</v>
      </c>
      <c r="L15" s="13" t="s">
        <v>73</v>
      </c>
      <c r="M15" s="13" t="s">
        <v>74</v>
      </c>
      <c r="N15" s="13" t="s">
        <v>75</v>
      </c>
      <c r="O15" s="44"/>
      <c r="P15" s="13" t="s">
        <v>69</v>
      </c>
      <c r="Q15" s="33" t="s">
        <v>41</v>
      </c>
      <c r="R15" s="13" t="s">
        <v>73</v>
      </c>
      <c r="S15" s="13" t="s">
        <v>74</v>
      </c>
      <c r="T15" s="13" t="s">
        <v>75</v>
      </c>
      <c r="V15" s="1"/>
    </row>
    <row r="16" spans="1:22" x14ac:dyDescent="0.25">
      <c r="A16" s="20">
        <v>44561</v>
      </c>
      <c r="B16" s="23">
        <v>0</v>
      </c>
      <c r="C16" s="96" t="s">
        <v>379</v>
      </c>
      <c r="D16" s="27"/>
      <c r="E16" s="46">
        <v>1000000</v>
      </c>
      <c r="F16" s="8"/>
      <c r="I16" s="39"/>
      <c r="J16" s="20">
        <f>$A16</f>
        <v>44561</v>
      </c>
      <c r="K16" s="16"/>
      <c r="L16" s="46">
        <v>1000000</v>
      </c>
      <c r="M16" s="8"/>
      <c r="O16" s="39"/>
      <c r="P16" s="20">
        <f>$A16</f>
        <v>44561</v>
      </c>
      <c r="Q16" s="16"/>
      <c r="R16" s="46">
        <v>1000000</v>
      </c>
      <c r="S16" s="8"/>
      <c r="V16" s="1"/>
    </row>
    <row r="17" spans="1:22" x14ac:dyDescent="0.25">
      <c r="A17" s="21">
        <v>44592</v>
      </c>
      <c r="B17" s="24">
        <f>IF(A17&gt;A16,1+B16,"-")</f>
        <v>1</v>
      </c>
      <c r="C17" s="96" t="s">
        <v>379</v>
      </c>
      <c r="D17" s="27">
        <v>-6.9413703837432079</v>
      </c>
      <c r="E17" s="46">
        <f>E16*D17/100+E16</f>
        <v>930586.29616256792</v>
      </c>
      <c r="F17" s="10"/>
      <c r="I17" s="39"/>
      <c r="J17" s="20">
        <f t="shared" ref="J17:J43" si="1">$A17</f>
        <v>44592</v>
      </c>
      <c r="K17" s="27">
        <f>'LC (Gross)'!K281</f>
        <v>-5.1748589999999997</v>
      </c>
      <c r="L17" s="46">
        <f>L16*K17/100+L16</f>
        <v>948251.41</v>
      </c>
      <c r="M17" s="10"/>
      <c r="O17" s="39"/>
      <c r="P17" s="20">
        <f t="shared" ref="P17:P43" si="2">$A17</f>
        <v>44592</v>
      </c>
      <c r="Q17" s="27">
        <f>'LC (Gross)'!X281</f>
        <v>-4.5388330000000003</v>
      </c>
      <c r="R17" s="46">
        <f>R16*Q17/100+R16</f>
        <v>954611.67</v>
      </c>
      <c r="S17" s="10"/>
      <c r="V17" s="1"/>
    </row>
    <row r="18" spans="1:22" x14ac:dyDescent="0.25">
      <c r="A18" s="21">
        <v>44620</v>
      </c>
      <c r="B18" s="24">
        <f t="shared" ref="B18:B22" si="3">IF(A18&gt;A17,1+B17,"-")</f>
        <v>2</v>
      </c>
      <c r="C18" s="96" t="s">
        <v>379</v>
      </c>
      <c r="D18" s="27">
        <v>-2.3529942543225344</v>
      </c>
      <c r="E18" s="46">
        <f t="shared" ref="E18:E23" si="4">E17*D18/100+E17</f>
        <v>908689.65408234985</v>
      </c>
      <c r="F18" s="10"/>
      <c r="I18" s="39"/>
      <c r="J18" s="20">
        <f t="shared" si="1"/>
        <v>44620</v>
      </c>
      <c r="K18" s="27">
        <f>'LC (Gross)'!K282</f>
        <v>-2.9970180000000002</v>
      </c>
      <c r="L18" s="46">
        <f t="shared" ref="L18:L23" si="5">L17*K18/100+L17</f>
        <v>919832.14455704624</v>
      </c>
      <c r="M18" s="10"/>
      <c r="O18" s="39"/>
      <c r="P18" s="20">
        <f t="shared" si="2"/>
        <v>44620</v>
      </c>
      <c r="Q18" s="27">
        <f>'LC (Gross)'!X282</f>
        <v>-2.3047249999999999</v>
      </c>
      <c r="R18" s="46">
        <f t="shared" ref="R18:R23" si="6">R17*Q18/100+R17</f>
        <v>932610.49618859251</v>
      </c>
      <c r="S18" s="10"/>
      <c r="V18" s="1"/>
    </row>
    <row r="19" spans="1:22" x14ac:dyDescent="0.25">
      <c r="A19" s="21">
        <v>44651</v>
      </c>
      <c r="B19" s="24">
        <f t="shared" si="3"/>
        <v>3</v>
      </c>
      <c r="C19" s="96" t="s">
        <v>379</v>
      </c>
      <c r="D19" s="27">
        <v>2.6790324912730088</v>
      </c>
      <c r="E19" s="46">
        <f t="shared" si="4"/>
        <v>933033.74516005232</v>
      </c>
      <c r="F19" s="37"/>
      <c r="G19" s="5">
        <f>(E19/E16-1)*100</f>
        <v>-6.696625483994767</v>
      </c>
      <c r="I19" s="39"/>
      <c r="J19" s="20">
        <f t="shared" si="1"/>
        <v>44651</v>
      </c>
      <c r="K19" s="27">
        <f>'LC (Gross)'!K283</f>
        <v>3.7118120000000001</v>
      </c>
      <c r="L19" s="46">
        <f t="shared" si="5"/>
        <v>953974.58447857201</v>
      </c>
      <c r="M19" s="10"/>
      <c r="N19" s="5">
        <f>(L19/L16-1)*100</f>
        <v>-4.602541552142803</v>
      </c>
      <c r="O19" s="39"/>
      <c r="P19" s="20">
        <f t="shared" si="2"/>
        <v>44651</v>
      </c>
      <c r="Q19" s="27">
        <f>'LC (Gross)'!X283</f>
        <v>5.3825909999999997</v>
      </c>
      <c r="R19" s="46">
        <f t="shared" si="6"/>
        <v>982809.10482149501</v>
      </c>
      <c r="S19" s="10"/>
      <c r="T19" s="5">
        <f>(R19/R16-1)*100</f>
        <v>-1.7190895178505028</v>
      </c>
      <c r="V19" s="1"/>
    </row>
    <row r="20" spans="1:22" x14ac:dyDescent="0.25">
      <c r="A20" s="21">
        <v>44681</v>
      </c>
      <c r="B20" s="24">
        <f t="shared" si="3"/>
        <v>4</v>
      </c>
      <c r="C20" s="96" t="s">
        <v>379</v>
      </c>
      <c r="D20" s="27">
        <v>-4.8480661521032564</v>
      </c>
      <c r="E20" s="46">
        <f t="shared" si="4"/>
        <v>887799.65197324648</v>
      </c>
      <c r="F20" s="8"/>
      <c r="I20" s="39"/>
      <c r="J20" s="20">
        <f t="shared" si="1"/>
        <v>44681</v>
      </c>
      <c r="K20" s="27">
        <f>'LC (Gross)'!K284</f>
        <v>-8.7200340000000001</v>
      </c>
      <c r="L20" s="46">
        <f t="shared" si="5"/>
        <v>870787.67636068177</v>
      </c>
      <c r="M20" s="8"/>
      <c r="O20" s="39"/>
      <c r="P20" s="20">
        <f t="shared" si="2"/>
        <v>44681</v>
      </c>
      <c r="Q20" s="27">
        <f>'LC (Gross)'!X284</f>
        <v>-2.303798</v>
      </c>
      <c r="R20" s="46">
        <f t="shared" si="6"/>
        <v>960167.16832079948</v>
      </c>
      <c r="S20" s="8"/>
      <c r="V20" s="1"/>
    </row>
    <row r="21" spans="1:22" x14ac:dyDescent="0.25">
      <c r="A21" s="21">
        <v>44712</v>
      </c>
      <c r="B21" s="24">
        <f t="shared" si="3"/>
        <v>5</v>
      </c>
      <c r="C21" s="96" t="s">
        <v>379</v>
      </c>
      <c r="D21" s="27">
        <v>2.2758972538682429</v>
      </c>
      <c r="E21" s="46">
        <f t="shared" si="4"/>
        <v>908005.05987235741</v>
      </c>
      <c r="F21" s="37"/>
      <c r="G21" s="5"/>
      <c r="I21" s="39"/>
      <c r="J21" s="20">
        <f t="shared" si="1"/>
        <v>44712</v>
      </c>
      <c r="K21" s="27">
        <f>'LC (Gross)'!K285</f>
        <v>0.18353</v>
      </c>
      <c r="L21" s="46">
        <f t="shared" si="5"/>
        <v>872385.83298310649</v>
      </c>
      <c r="M21" s="8"/>
      <c r="N21" s="5"/>
      <c r="O21" s="39"/>
      <c r="P21" s="20">
        <f t="shared" si="2"/>
        <v>44712</v>
      </c>
      <c r="Q21" s="27">
        <f>'LC (Gross)'!X285</f>
        <v>-0.54373320000000003</v>
      </c>
      <c r="R21" s="46">
        <f t="shared" si="6"/>
        <v>954946.42065113946</v>
      </c>
      <c r="S21" s="8"/>
      <c r="T21" s="5"/>
      <c r="U21">
        <v>18417.61</v>
      </c>
      <c r="V21" s="1"/>
    </row>
    <row r="22" spans="1:22" x14ac:dyDescent="0.25">
      <c r="A22" s="21">
        <v>44742</v>
      </c>
      <c r="B22" s="24">
        <f t="shared" si="3"/>
        <v>6</v>
      </c>
      <c r="C22" s="96" t="s">
        <v>379</v>
      </c>
      <c r="D22" s="27">
        <v>-6.907982775465273</v>
      </c>
      <c r="E22" s="46">
        <f t="shared" si="4"/>
        <v>845280.22673602181</v>
      </c>
      <c r="F22" s="37"/>
      <c r="G22" s="5">
        <f>(E22/E19-1)*100</f>
        <v>-9.4051816324153705</v>
      </c>
      <c r="H22" s="5"/>
      <c r="I22" s="39"/>
      <c r="J22" s="20">
        <f t="shared" si="1"/>
        <v>44742</v>
      </c>
      <c r="K22" s="27">
        <f>'LC (Gross)'!K286</f>
        <v>-8.2601279999999999</v>
      </c>
      <c r="L22" s="46">
        <f t="shared" si="5"/>
        <v>800325.64652483573</v>
      </c>
      <c r="M22" s="37"/>
      <c r="N22" s="5">
        <f>(L22/L19-1)*100</f>
        <v>-16.106187780434254</v>
      </c>
      <c r="O22" s="39"/>
      <c r="P22" s="20">
        <f t="shared" si="2"/>
        <v>44742</v>
      </c>
      <c r="Q22" s="27">
        <f>'LC (Gross)'!X286</f>
        <v>-4.2718959999999999</v>
      </c>
      <c r="R22" s="46">
        <f t="shared" si="6"/>
        <v>914152.1027052002</v>
      </c>
      <c r="S22" s="37"/>
      <c r="T22" s="5">
        <f>(R22/R19-1)*100</f>
        <v>-6.9857922336570955</v>
      </c>
      <c r="U22">
        <v>17136.39</v>
      </c>
      <c r="V22" s="314">
        <f>(U22-U21)/U21</f>
        <v>-6.9564943551307754E-2</v>
      </c>
    </row>
    <row r="23" spans="1:22" x14ac:dyDescent="0.25">
      <c r="A23" s="21">
        <v>44773</v>
      </c>
      <c r="B23" s="24">
        <f t="shared" ref="B23:B28" si="7">IF(A23&gt;A22,1+B22,"-")</f>
        <v>7</v>
      </c>
      <c r="C23" s="96" t="s">
        <v>379</v>
      </c>
      <c r="D23" s="27">
        <v>3.35320495664745</v>
      </c>
      <c r="E23" s="46">
        <f t="shared" si="4"/>
        <v>873624.20519649494</v>
      </c>
      <c r="F23" s="12"/>
      <c r="I23" s="39"/>
      <c r="J23" s="20">
        <f t="shared" si="1"/>
        <v>44773</v>
      </c>
      <c r="K23" s="27">
        <f>'LC (Gross)'!K287</f>
        <v>9.2206969999999995</v>
      </c>
      <c r="L23" s="46">
        <f t="shared" si="5"/>
        <v>874121.24940418184</v>
      </c>
      <c r="M23" s="12"/>
      <c r="O23" s="39"/>
      <c r="P23" s="20">
        <f t="shared" si="2"/>
        <v>44773</v>
      </c>
      <c r="Q23" s="27">
        <f>'LC (Gross)'!X287</f>
        <v>4.2321569999999999</v>
      </c>
      <c r="R23" s="46">
        <f t="shared" si="6"/>
        <v>952840.45491048554</v>
      </c>
      <c r="S23" s="12"/>
      <c r="U23">
        <v>17712.18</v>
      </c>
      <c r="V23" s="314">
        <f>(U23-U22)/U22</f>
        <v>3.3600425760618245E-2</v>
      </c>
    </row>
    <row r="24" spans="1:22" x14ac:dyDescent="0.25">
      <c r="A24" s="21">
        <v>44804</v>
      </c>
      <c r="B24" s="24">
        <f t="shared" si="7"/>
        <v>8</v>
      </c>
      <c r="C24" s="96" t="s">
        <v>379</v>
      </c>
      <c r="D24" s="27">
        <v>-4.337361522743806</v>
      </c>
      <c r="E24" s="46">
        <f t="shared" ref="E24" si="8">E23*D24/100+E23</f>
        <v>835731.96506692574</v>
      </c>
      <c r="F24" s="12"/>
      <c r="I24" s="39"/>
      <c r="J24" s="20">
        <f t="shared" si="1"/>
        <v>44804</v>
      </c>
      <c r="K24" s="27">
        <f>'LC (Gross)'!K288</f>
        <v>-4.0782619999999996</v>
      </c>
      <c r="L24" s="46">
        <f t="shared" ref="L24" si="9">L23*K24/100+L23</f>
        <v>838472.29465580592</v>
      </c>
      <c r="M24" s="12"/>
      <c r="O24" s="39"/>
      <c r="P24" s="20">
        <f t="shared" si="2"/>
        <v>44804</v>
      </c>
      <c r="Q24" s="27">
        <f>'LC (Gross)'!X288</f>
        <v>-1.813922</v>
      </c>
      <c r="R24" s="46">
        <f t="shared" ref="R24" si="10">R23*Q24/100+R23</f>
        <v>935556.67227396416</v>
      </c>
      <c r="S24" s="12"/>
      <c r="U24">
        <v>16981.41</v>
      </c>
      <c r="V24" s="314">
        <f>(U24-U23)/U23</f>
        <v>-4.1258049545566972E-2</v>
      </c>
    </row>
    <row r="25" spans="1:22" x14ac:dyDescent="0.25">
      <c r="A25" s="21">
        <v>44834</v>
      </c>
      <c r="B25" s="24">
        <f t="shared" si="7"/>
        <v>9</v>
      </c>
      <c r="C25" s="96" t="s">
        <v>379</v>
      </c>
      <c r="D25" s="27">
        <v>-8.5597584378603351</v>
      </c>
      <c r="E25" s="46">
        <f t="shared" ref="E25" si="11">E24*D25/100+E24</f>
        <v>764195.32766921353</v>
      </c>
      <c r="F25" s="12"/>
      <c r="G25" s="5">
        <f>(E25/E22-1)*100</f>
        <v>-9.592664834940102</v>
      </c>
      <c r="I25" s="39"/>
      <c r="J25" s="20">
        <f t="shared" si="1"/>
        <v>44834</v>
      </c>
      <c r="K25" s="27">
        <f>'LC (Gross)'!K289</f>
        <v>-9.2175670000000007</v>
      </c>
      <c r="L25" s="46">
        <f t="shared" ref="L25" si="12">L24*K25/100+L24</f>
        <v>761185.54911946959</v>
      </c>
      <c r="M25" s="12"/>
      <c r="N25" s="5">
        <f>(L25/L22-1)*100</f>
        <v>-4.890521449027629</v>
      </c>
      <c r="O25" s="39"/>
      <c r="P25" s="20">
        <f t="shared" si="2"/>
        <v>44834</v>
      </c>
      <c r="Q25" s="27">
        <f>'LC (Gross)'!X289</f>
        <v>-8.3408359999999995</v>
      </c>
      <c r="R25" s="46">
        <f t="shared" ref="R25" si="13">R24*Q25/100+R24</f>
        <v>857523.42455253541</v>
      </c>
      <c r="S25" s="12"/>
      <c r="T25" s="5">
        <f>(R25/R22-1)*100</f>
        <v>-6.1946669471181774</v>
      </c>
      <c r="U25">
        <v>15500.79</v>
      </c>
      <c r="V25" s="314">
        <f>(U25-U24)/U24</f>
        <v>-8.7190639646531065E-2</v>
      </c>
    </row>
    <row r="26" spans="1:22" x14ac:dyDescent="0.25">
      <c r="A26" s="21">
        <v>44865</v>
      </c>
      <c r="B26" s="24">
        <f t="shared" si="7"/>
        <v>10</v>
      </c>
      <c r="C26" s="96" t="s">
        <v>379</v>
      </c>
      <c r="D26" s="27">
        <v>9.1662445296131594</v>
      </c>
      <c r="E26" s="46">
        <f t="shared" ref="E26" si="14">E25*D26/100+E25</f>
        <v>834243.3400872522</v>
      </c>
      <c r="F26" s="12"/>
      <c r="G26" s="5"/>
      <c r="I26" s="39"/>
      <c r="J26" s="20">
        <f t="shared" si="1"/>
        <v>44865</v>
      </c>
      <c r="K26" s="27">
        <f>'LC (Gross)'!K290</f>
        <v>8.0963370000000001</v>
      </c>
      <c r="L26" s="46">
        <f t="shared" ref="L26" si="15">L25*K26/100+L25</f>
        <v>822813.69637148234</v>
      </c>
      <c r="M26" s="12"/>
      <c r="N26" s="5"/>
      <c r="O26" s="39"/>
      <c r="P26" s="20">
        <f t="shared" si="2"/>
        <v>44865</v>
      </c>
      <c r="Q26" s="27">
        <f>'LC (Gross)'!X290</f>
        <v>6.9835320000000003</v>
      </c>
      <c r="R26" s="46">
        <f t="shared" ref="R26" si="16">R25*Q26/100+R25</f>
        <v>917408.84731365752</v>
      </c>
      <c r="S26" s="12"/>
      <c r="T26" s="5"/>
      <c r="U26">
        <v>16916.14</v>
      </c>
      <c r="V26" s="314">
        <f t="shared" ref="V26:V33" si="17">(U26-U25)/U25</f>
        <v>9.1308249450511775E-2</v>
      </c>
    </row>
    <row r="27" spans="1:22" x14ac:dyDescent="0.25">
      <c r="A27" s="21">
        <v>44895</v>
      </c>
      <c r="B27" s="24">
        <f t="shared" si="7"/>
        <v>11</v>
      </c>
      <c r="C27" s="96" t="s">
        <v>379</v>
      </c>
      <c r="D27" s="27">
        <v>5.7397609425185099</v>
      </c>
      <c r="E27" s="46">
        <f t="shared" ref="E27" si="18">E26*D27/100+E26</f>
        <v>882126.91348714218</v>
      </c>
      <c r="F27" s="12"/>
      <c r="I27" s="39"/>
      <c r="J27" s="20">
        <f t="shared" si="1"/>
        <v>44895</v>
      </c>
      <c r="K27" s="27">
        <f>'LC (Gross)'!K291</f>
        <v>5.5884159999999996</v>
      </c>
      <c r="L27" s="46">
        <f t="shared" ref="L27" si="19">L26*K27/100+L26</f>
        <v>868795.94862969767</v>
      </c>
      <c r="M27" s="12"/>
      <c r="O27" s="39"/>
      <c r="P27" s="20">
        <f t="shared" si="2"/>
        <v>44895</v>
      </c>
      <c r="Q27" s="27">
        <f>'LC (Gross)'!X291</f>
        <v>5.8284180000000001</v>
      </c>
      <c r="R27" s="46">
        <f t="shared" ref="R27" si="20">R26*Q27/100+R26</f>
        <v>970879.26970407926</v>
      </c>
      <c r="S27" s="12"/>
      <c r="U27">
        <v>17897.36</v>
      </c>
      <c r="V27" s="314">
        <f t="shared" si="17"/>
        <v>5.8004958578020828E-2</v>
      </c>
    </row>
    <row r="28" spans="1:22" x14ac:dyDescent="0.25">
      <c r="A28" s="21">
        <v>44926</v>
      </c>
      <c r="B28" s="24">
        <f t="shared" si="7"/>
        <v>12</v>
      </c>
      <c r="C28" s="96" t="s">
        <v>379</v>
      </c>
      <c r="D28" s="27">
        <v>-2.5497279827270742</v>
      </c>
      <c r="E28" s="46">
        <f t="shared" ref="E28:E33" si="21">E27*D28/100+E27</f>
        <v>859635.07673079392</v>
      </c>
      <c r="F28" s="12">
        <f>((E28-$E$16)/$E$16)*100</f>
        <v>-14.036492326920607</v>
      </c>
      <c r="G28" s="5">
        <f>(E28/E25-1)*100</f>
        <v>12.488920777973146</v>
      </c>
      <c r="I28" s="39"/>
      <c r="J28" s="20">
        <f t="shared" si="1"/>
        <v>44926</v>
      </c>
      <c r="K28" s="27">
        <f>'LC (Gross)'!K292</f>
        <v>-5.7714730000000003</v>
      </c>
      <c r="L28" s="46">
        <f t="shared" ref="L28:L33" si="22">L27*K28/100+L27</f>
        <v>818653.62502944074</v>
      </c>
      <c r="M28" s="12">
        <f>((L28-$L$16)/$L$16)*100</f>
        <v>-18.134637497055927</v>
      </c>
      <c r="N28" s="5">
        <f>(L28/L25-1)*100</f>
        <v>7.5498117346617377</v>
      </c>
      <c r="O28" s="39"/>
      <c r="P28" s="20">
        <f t="shared" si="2"/>
        <v>44926</v>
      </c>
      <c r="Q28" s="27">
        <f>'LC (Gross)'!X292</f>
        <v>-1.723247</v>
      </c>
      <c r="R28" s="46">
        <f t="shared" ref="R28:R33" si="23">R27*Q28/100+R27</f>
        <v>954148.6218152818</v>
      </c>
      <c r="S28" s="12">
        <f>((R28-$R$16)/$R$16)*100</f>
        <v>-4.5851378184718197</v>
      </c>
      <c r="T28" s="5">
        <f>(R28/R25-1)*100</f>
        <v>11.267936769560126</v>
      </c>
      <c r="U28">
        <v>17433.560000000001</v>
      </c>
      <c r="V28" s="314">
        <f t="shared" si="17"/>
        <v>-2.5914436542596186E-2</v>
      </c>
    </row>
    <row r="29" spans="1:22" x14ac:dyDescent="0.25">
      <c r="A29" s="21">
        <v>44957</v>
      </c>
      <c r="B29" s="24">
        <f t="shared" ref="B29:B33" si="24">IF(A29&gt;A28,1+B28,"-")</f>
        <v>13</v>
      </c>
      <c r="C29" s="96" t="s">
        <v>379</v>
      </c>
      <c r="D29" s="27">
        <v>4.8387332574358695</v>
      </c>
      <c r="E29" s="46">
        <f t="shared" si="21"/>
        <v>901230.52508115117</v>
      </c>
      <c r="I29" s="39"/>
      <c r="J29" s="20">
        <f t="shared" si="1"/>
        <v>44957</v>
      </c>
      <c r="K29" s="27">
        <f>'LC (Gross)'!K293</f>
        <v>6.2828720000000002</v>
      </c>
      <c r="L29" s="46">
        <f t="shared" si="22"/>
        <v>870088.5844134005</v>
      </c>
      <c r="O29" s="39"/>
      <c r="P29" s="20">
        <f t="shared" si="2"/>
        <v>44957</v>
      </c>
      <c r="Q29" s="27">
        <f>'LC (Gross)'!X293</f>
        <v>3.4753329999999999E-2</v>
      </c>
      <c r="R29" s="46">
        <f t="shared" si="23"/>
        <v>954480.22023451177</v>
      </c>
      <c r="U29">
        <v>18270.400000000001</v>
      </c>
      <c r="V29" s="314">
        <f t="shared" si="17"/>
        <v>4.8001670341571087E-2</v>
      </c>
    </row>
    <row r="30" spans="1:22" x14ac:dyDescent="0.25">
      <c r="A30" s="21">
        <v>44985</v>
      </c>
      <c r="B30" s="24">
        <f t="shared" si="24"/>
        <v>14</v>
      </c>
      <c r="C30" s="96" t="s">
        <v>379</v>
      </c>
      <c r="D30" s="27">
        <v>-4.3800338999999999</v>
      </c>
      <c r="E30" s="46">
        <f t="shared" si="21"/>
        <v>861756.3225654487</v>
      </c>
      <c r="I30" s="39"/>
      <c r="J30" s="20">
        <f t="shared" si="1"/>
        <v>44985</v>
      </c>
      <c r="K30" s="27">
        <f>'LC (Gross)'!K294</f>
        <v>-2.449071</v>
      </c>
      <c r="L30" s="46">
        <f t="shared" si="22"/>
        <v>848779.49721822143</v>
      </c>
      <c r="O30" s="39"/>
      <c r="P30" s="20">
        <f t="shared" si="2"/>
        <v>44985</v>
      </c>
      <c r="Q30" s="27">
        <f>'LC (Gross)'!X294</f>
        <v>-3.28382</v>
      </c>
      <c r="R30" s="46">
        <f t="shared" si="23"/>
        <v>923136.80786640686</v>
      </c>
      <c r="U30">
        <v>17486.759999999998</v>
      </c>
      <c r="V30" s="314">
        <f t="shared" si="17"/>
        <v>-4.2891233908398448E-2</v>
      </c>
    </row>
    <row r="31" spans="1:22" x14ac:dyDescent="0.25">
      <c r="A31" s="21">
        <v>45016</v>
      </c>
      <c r="B31" s="24">
        <f t="shared" si="24"/>
        <v>15</v>
      </c>
      <c r="C31" s="96" t="s">
        <v>379</v>
      </c>
      <c r="D31" s="27">
        <v>-3.1752767</v>
      </c>
      <c r="E31" s="46">
        <f t="shared" si="21"/>
        <v>834393.17484425113</v>
      </c>
      <c r="G31" s="5">
        <f>(E31/E28-1)*100</f>
        <v>-2.9363508504722913</v>
      </c>
      <c r="I31" s="39"/>
      <c r="J31" s="20">
        <f t="shared" si="1"/>
        <v>45016</v>
      </c>
      <c r="K31" s="27">
        <f>'LC (Gross)'!K295</f>
        <v>3.669584</v>
      </c>
      <c r="L31" s="46">
        <f t="shared" si="22"/>
        <v>879926.17384342174</v>
      </c>
      <c r="N31" s="5">
        <f>(L31/L28-1)*100</f>
        <v>7.4845510898186696</v>
      </c>
      <c r="O31" s="39"/>
      <c r="P31" s="20">
        <f t="shared" si="2"/>
        <v>45016</v>
      </c>
      <c r="Q31" s="27">
        <f>'LC (Gross)'!X295</f>
        <v>1.5591390000000001</v>
      </c>
      <c r="R31" s="46">
        <f t="shared" si="23"/>
        <v>937529.79386120709</v>
      </c>
      <c r="T31" s="5">
        <f>(R31/R28-1)*100</f>
        <v>-1.7417441658572175</v>
      </c>
      <c r="U31">
        <v>16909.95</v>
      </c>
      <c r="V31" s="314">
        <f t="shared" si="17"/>
        <v>-3.2985527336110161E-2</v>
      </c>
    </row>
    <row r="32" spans="1:22" x14ac:dyDescent="0.25">
      <c r="A32" s="21">
        <v>45046</v>
      </c>
      <c r="B32" s="24">
        <f t="shared" si="24"/>
        <v>16</v>
      </c>
      <c r="C32" s="96" t="s">
        <v>379</v>
      </c>
      <c r="D32" s="27">
        <v>-2.6934615776221724E-2</v>
      </c>
      <c r="E32" s="46">
        <f t="shared" si="21"/>
        <v>834168.43424854381</v>
      </c>
      <c r="I32" s="39"/>
      <c r="J32" s="20">
        <f t="shared" si="1"/>
        <v>45046</v>
      </c>
      <c r="K32" s="27">
        <f>'LC (Gross)'!K296</f>
        <v>1.560872</v>
      </c>
      <c r="L32" s="46">
        <f t="shared" si="22"/>
        <v>893660.695111615</v>
      </c>
      <c r="O32" s="39"/>
      <c r="P32" s="20">
        <f t="shared" si="2"/>
        <v>45046</v>
      </c>
      <c r="Q32" s="27">
        <f>'LC (Gross)'!X296</f>
        <v>2.6588349999999998</v>
      </c>
      <c r="R32" s="46">
        <f t="shared" si="23"/>
        <v>962457.16415581666</v>
      </c>
      <c r="U32">
        <v>16905.21</v>
      </c>
      <c r="V32" s="314">
        <f t="shared" si="17"/>
        <v>-2.8030833917318504E-4</v>
      </c>
    </row>
    <row r="33" spans="1:22" x14ac:dyDescent="0.25">
      <c r="A33" s="21">
        <v>45077</v>
      </c>
      <c r="B33" s="24">
        <f t="shared" si="24"/>
        <v>17</v>
      </c>
      <c r="C33" s="96" t="s">
        <v>379</v>
      </c>
      <c r="D33" s="27">
        <v>-2.81456475716368</v>
      </c>
      <c r="E33" s="46">
        <f t="shared" si="21"/>
        <v>810690.22348280018</v>
      </c>
      <c r="F33" s="12"/>
      <c r="I33" s="39"/>
      <c r="J33" s="20">
        <f t="shared" si="1"/>
        <v>45077</v>
      </c>
      <c r="K33" s="27">
        <f>'LC (Gross)'!K297</f>
        <v>0.43486429999999998</v>
      </c>
      <c r="L33" s="46">
        <f t="shared" si="22"/>
        <v>897546.90643778723</v>
      </c>
      <c r="M33" s="12"/>
      <c r="O33" s="39"/>
      <c r="P33" s="20">
        <f t="shared" si="2"/>
        <v>45077</v>
      </c>
      <c r="Q33" s="27">
        <f>'LC (Gross)'!X297</f>
        <v>-5.2391259999999997</v>
      </c>
      <c r="R33" s="46">
        <f t="shared" si="23"/>
        <v>912032.82062966656</v>
      </c>
      <c r="S33" s="12"/>
      <c r="U33">
        <v>16444.93</v>
      </c>
      <c r="V33" s="314">
        <f t="shared" si="17"/>
        <v>-2.7227109275779413E-2</v>
      </c>
    </row>
    <row r="34" spans="1:22" x14ac:dyDescent="0.25">
      <c r="A34" s="21">
        <v>45107</v>
      </c>
      <c r="B34" s="24">
        <f t="shared" ref="B34:B40" si="25">IF(A34&gt;A33,1+B33,"-")</f>
        <v>18</v>
      </c>
      <c r="C34" s="96" t="s">
        <v>379</v>
      </c>
      <c r="D34" s="27">
        <v>7.0218316000000005</v>
      </c>
      <c r="E34" s="46">
        <f t="shared" ref="E34" si="26">E33*D34/100+E33</f>
        <v>867615.52577342605</v>
      </c>
      <c r="F34" s="12"/>
      <c r="G34" s="5">
        <f>(E34/E31-1)*100</f>
        <v>3.9816182503381814</v>
      </c>
      <c r="I34" s="39"/>
      <c r="J34" s="20">
        <f t="shared" si="1"/>
        <v>45107</v>
      </c>
      <c r="K34" s="27">
        <f>'LC (Gross)'!K298</f>
        <v>6.60738</v>
      </c>
      <c r="L34" s="46">
        <f t="shared" ref="L34" si="27">L33*K34/100+L33</f>
        <v>956851.24122437625</v>
      </c>
      <c r="M34" s="12"/>
      <c r="N34" s="5">
        <f>(L34/L31-1)*100</f>
        <v>8.7422183437224188</v>
      </c>
      <c r="O34" s="39"/>
      <c r="P34" s="20">
        <f t="shared" si="2"/>
        <v>45107</v>
      </c>
      <c r="Q34" s="27">
        <f>'LC (Gross)'!X298</f>
        <v>4.1423719999999999</v>
      </c>
      <c r="R34" s="46">
        <f t="shared" ref="R34" si="28">R33*Q34/100+R33</f>
        <v>949812.6128222401</v>
      </c>
      <c r="S34" s="12"/>
      <c r="T34" s="5">
        <f>(R34/R31-1)*100</f>
        <v>1.3101257198927296</v>
      </c>
    </row>
    <row r="35" spans="1:22" x14ac:dyDescent="0.25">
      <c r="A35" s="21">
        <v>45138</v>
      </c>
      <c r="B35" s="24">
        <f t="shared" si="25"/>
        <v>19</v>
      </c>
      <c r="C35" s="96" t="s">
        <v>379</v>
      </c>
      <c r="D35" s="27">
        <v>5.7497520277271397</v>
      </c>
      <c r="E35" s="46">
        <f t="shared" ref="E35" si="29">E34*D35/100+E34</f>
        <v>917501.26705945912</v>
      </c>
      <c r="F35" s="12"/>
      <c r="G35" s="5"/>
      <c r="I35" s="39"/>
      <c r="J35" s="20">
        <f t="shared" si="1"/>
        <v>45138</v>
      </c>
      <c r="K35" s="27">
        <f>'LC (Gross)'!K299</f>
        <v>3.2124999999999999</v>
      </c>
      <c r="L35" s="46">
        <f t="shared" ref="L35" si="30">L34*K35/100+L34</f>
        <v>987590.08734870935</v>
      </c>
      <c r="M35" s="12"/>
      <c r="N35" s="5"/>
      <c r="O35" s="39"/>
      <c r="P35" s="20">
        <f t="shared" si="2"/>
        <v>45138</v>
      </c>
      <c r="Q35" s="27">
        <f>'LC (Gross)'!X299</f>
        <v>0.94963560000000002</v>
      </c>
      <c r="R35" s="46">
        <f t="shared" ref="R35" si="31">R34*Q35/100+R34</f>
        <v>958832.3715268902</v>
      </c>
      <c r="S35" s="12"/>
      <c r="T35" s="5"/>
      <c r="V35" s="1"/>
    </row>
    <row r="36" spans="1:22" x14ac:dyDescent="0.25">
      <c r="A36" s="21">
        <v>45169</v>
      </c>
      <c r="B36" s="24">
        <f t="shared" si="25"/>
        <v>20</v>
      </c>
      <c r="C36" s="96" t="s">
        <v>379</v>
      </c>
      <c r="D36" s="27">
        <v>-2.1411534692489598</v>
      </c>
      <c r="E36" s="46">
        <f t="shared" ref="E36" si="32">E35*D36/100+E35</f>
        <v>897856.15684941236</v>
      </c>
      <c r="F36" s="12"/>
      <c r="G36" s="5"/>
      <c r="I36" s="39"/>
      <c r="J36" s="20">
        <f t="shared" si="1"/>
        <v>45169</v>
      </c>
      <c r="K36" s="27">
        <f>'LC (Gross)'!K300</f>
        <v>-1.592168</v>
      </c>
      <c r="L36" s="46">
        <f t="shared" ref="L36" si="33">L35*K36/100+L35</f>
        <v>971865.99400677113</v>
      </c>
      <c r="M36" s="12"/>
      <c r="N36" s="5"/>
      <c r="O36" s="39"/>
      <c r="P36" s="20">
        <f t="shared" si="2"/>
        <v>45169</v>
      </c>
      <c r="Q36" s="27">
        <f>'LC (Gross)'!X300</f>
        <v>-2.981535</v>
      </c>
      <c r="R36" s="46">
        <f t="shared" ref="R36" si="34">R35*Q36/100+R35</f>
        <v>930244.44877848588</v>
      </c>
      <c r="S36" s="12"/>
      <c r="V36" s="1"/>
    </row>
    <row r="37" spans="1:22" x14ac:dyDescent="0.25">
      <c r="A37" s="21">
        <v>45199</v>
      </c>
      <c r="B37" s="24">
        <f t="shared" si="25"/>
        <v>21</v>
      </c>
      <c r="C37" s="96" t="s">
        <v>379</v>
      </c>
      <c r="D37" s="27">
        <v>-3.5855421086410146</v>
      </c>
      <c r="E37" s="46">
        <f t="shared" ref="E37" si="35">E36*D37/100+E36</f>
        <v>865663.14627055079</v>
      </c>
      <c r="F37" s="12"/>
      <c r="G37" s="5">
        <f>(E37/E34-1)*100</f>
        <v>-0.2250281887400396</v>
      </c>
      <c r="I37" s="39"/>
      <c r="J37" s="20">
        <f t="shared" si="1"/>
        <v>45199</v>
      </c>
      <c r="K37" s="27">
        <f>'LC (Gross)'!K301</f>
        <v>-4.7678450000000003</v>
      </c>
      <c r="L37" s="46">
        <f t="shared" ref="L37" si="36">L36*K37/100+L36</f>
        <v>925528.92980481894</v>
      </c>
      <c r="M37" s="12"/>
      <c r="N37" s="5">
        <f>(L37/L34-1)*100</f>
        <v>-3.2734776389564568</v>
      </c>
      <c r="O37" s="39"/>
      <c r="P37" s="20">
        <f t="shared" si="2"/>
        <v>45199</v>
      </c>
      <c r="Q37" s="27">
        <f>'LC (Gross)'!X301</f>
        <v>-3.7838289999999999</v>
      </c>
      <c r="R37" s="46">
        <f t="shared" ref="R37" si="37">R36*Q37/100+R36</f>
        <v>895045.58955471544</v>
      </c>
      <c r="S37" s="12"/>
      <c r="T37" s="5">
        <f>(R37/R34-1)*100</f>
        <v>-5.7660871763738575</v>
      </c>
      <c r="V37" s="1"/>
    </row>
    <row r="38" spans="1:22" x14ac:dyDescent="0.25">
      <c r="A38" s="21">
        <v>45230</v>
      </c>
      <c r="B38" s="24">
        <f t="shared" si="25"/>
        <v>22</v>
      </c>
      <c r="C38" s="96" t="s">
        <v>379</v>
      </c>
      <c r="D38" s="27">
        <v>-4.244815</v>
      </c>
      <c r="E38" s="46">
        <f t="shared" ref="E38:E40" si="38">E37*D38/100+E37</f>
        <v>828917.34718818648</v>
      </c>
      <c r="F38" s="12"/>
      <c r="G38" s="5"/>
      <c r="I38" s="39"/>
      <c r="J38" s="20">
        <f t="shared" si="1"/>
        <v>45230</v>
      </c>
      <c r="K38" s="27">
        <f>'LC (Gross)'!K302</f>
        <v>-2.102582</v>
      </c>
      <c r="L38" s="46">
        <f t="shared" ref="L38:L40" si="39">L37*K38/100+L37</f>
        <v>906068.92512195022</v>
      </c>
      <c r="M38" s="12"/>
      <c r="N38" s="5"/>
      <c r="O38" s="39"/>
      <c r="P38" s="20">
        <f t="shared" si="2"/>
        <v>45230</v>
      </c>
      <c r="Q38" s="27">
        <f>'LC (Gross)'!X302</f>
        <v>-0.41168169999999998</v>
      </c>
      <c r="R38" s="46">
        <f t="shared" ref="R38:R40" si="40">R37*Q38/100+R37</f>
        <v>891360.85065586155</v>
      </c>
      <c r="S38" s="12"/>
      <c r="T38" s="5"/>
      <c r="V38" s="1"/>
    </row>
    <row r="39" spans="1:22" x14ac:dyDescent="0.25">
      <c r="A39" s="21">
        <v>45260</v>
      </c>
      <c r="B39" s="24">
        <f t="shared" si="25"/>
        <v>23</v>
      </c>
      <c r="C39" s="96" t="s">
        <v>379</v>
      </c>
      <c r="D39" s="27">
        <v>8.1952189321077107</v>
      </c>
      <c r="E39" s="46">
        <f t="shared" si="38"/>
        <v>896848.93855647778</v>
      </c>
      <c r="F39" s="12"/>
      <c r="G39" s="5"/>
      <c r="I39" s="39"/>
      <c r="J39" s="20">
        <f t="shared" si="1"/>
        <v>45260</v>
      </c>
      <c r="K39" s="27">
        <f>'LC (Gross)'!K303</f>
        <v>9.1325979999999998</v>
      </c>
      <c r="L39" s="46">
        <f t="shared" si="39"/>
        <v>988816.55765625893</v>
      </c>
      <c r="M39" s="12"/>
      <c r="N39" s="5"/>
      <c r="O39" s="39"/>
      <c r="P39" s="20">
        <f t="shared" si="2"/>
        <v>45260</v>
      </c>
      <c r="Q39" s="27">
        <f>'LC (Gross)'!X303</f>
        <v>5.3373739999999996</v>
      </c>
      <c r="R39" s="46">
        <f t="shared" si="40"/>
        <v>938936.11294494639</v>
      </c>
      <c r="S39" s="12"/>
      <c r="T39" s="5"/>
      <c r="V39" s="1"/>
    </row>
    <row r="40" spans="1:22" x14ac:dyDescent="0.25">
      <c r="A40" s="21">
        <v>45291</v>
      </c>
      <c r="B40" s="24">
        <f t="shared" si="25"/>
        <v>24</v>
      </c>
      <c r="C40" s="96" t="s">
        <v>379</v>
      </c>
      <c r="D40" s="27">
        <v>9.0263483739764272</v>
      </c>
      <c r="E40" s="46">
        <f t="shared" si="38"/>
        <v>977801.64813889528</v>
      </c>
      <c r="F40" s="12">
        <f t="shared" ref="F40" si="41">((E40-E$28)/E$28)*100</f>
        <v>13.746131888602164</v>
      </c>
      <c r="G40" s="5">
        <f t="shared" ref="G40" si="42">(E40/E37-1)*100</f>
        <v>12.954057516651773</v>
      </c>
      <c r="I40" s="39"/>
      <c r="J40" s="20">
        <f t="shared" si="1"/>
        <v>45291</v>
      </c>
      <c r="K40" s="27">
        <f>'LC (Gross)'!K304</f>
        <v>4.5311300000000001</v>
      </c>
      <c r="L40" s="46">
        <f t="shared" si="39"/>
        <v>1033621.1213451889</v>
      </c>
      <c r="M40" s="12">
        <f t="shared" ref="M40" si="43">((L40-L$28)/L$28)*100</f>
        <v>26.258662973368917</v>
      </c>
      <c r="N40" s="5">
        <f t="shared" ref="N40" si="44">(L40/L37-1)*100</f>
        <v>11.67896411008622</v>
      </c>
      <c r="O40" s="39"/>
      <c r="P40" s="20">
        <f t="shared" si="2"/>
        <v>45291</v>
      </c>
      <c r="Q40" s="27">
        <f>'LC (Gross)'!X304</f>
        <v>2.3474210000000002</v>
      </c>
      <c r="R40" s="46">
        <f t="shared" si="40"/>
        <v>960976.89643679978</v>
      </c>
      <c r="S40" s="12">
        <f t="shared" ref="S40" si="45">((R40-R$28)/R$28)*100</f>
        <v>0.71564056850253444</v>
      </c>
      <c r="T40" s="5">
        <f t="shared" ref="T40" si="46">(R40/R37-1)*100</f>
        <v>7.366251244798061</v>
      </c>
      <c r="V40" s="1"/>
    </row>
    <row r="41" spans="1:22" x14ac:dyDescent="0.25">
      <c r="A41" s="21">
        <v>45322</v>
      </c>
      <c r="B41" s="24">
        <f t="shared" ref="B41:B44" si="47">IF(A41&gt;A40,1+B40,"-")</f>
        <v>25</v>
      </c>
      <c r="C41" s="96" t="s">
        <v>379</v>
      </c>
      <c r="D41" s="27">
        <v>1.1140902326906901</v>
      </c>
      <c r="E41" s="46">
        <f t="shared" ref="E41:E43" si="48">E40*D41/100+E40</f>
        <v>988695.2407958993</v>
      </c>
      <c r="I41" s="39"/>
      <c r="J41" s="20">
        <f t="shared" si="1"/>
        <v>45322</v>
      </c>
      <c r="K41" s="27">
        <f>'LC (Gross)'!K305</f>
        <v>1.6793610000000001</v>
      </c>
      <c r="L41" s="46">
        <f t="shared" ref="L41" si="49">L40*K41/100+L40</f>
        <v>1050979.3513448227</v>
      </c>
      <c r="O41" s="39"/>
      <c r="P41" s="20">
        <f t="shared" si="2"/>
        <v>45322</v>
      </c>
      <c r="Q41" s="27">
        <f>'LC (Gross)'!X305</f>
        <v>0.99222290000000002</v>
      </c>
      <c r="R41" s="46">
        <f t="shared" ref="R41" si="50">R40*Q41/100+R40</f>
        <v>970511.92926695501</v>
      </c>
      <c r="V41" s="1"/>
    </row>
    <row r="42" spans="1:22" x14ac:dyDescent="0.25">
      <c r="A42" s="21">
        <v>45351</v>
      </c>
      <c r="B42" s="24">
        <f t="shared" si="47"/>
        <v>26</v>
      </c>
      <c r="C42" s="96" t="s">
        <v>379</v>
      </c>
      <c r="D42" s="27">
        <v>1.30632236163712</v>
      </c>
      <c r="E42" s="46">
        <f t="shared" si="48"/>
        <v>1001610.7878148581</v>
      </c>
      <c r="I42" s="39"/>
      <c r="J42" s="20">
        <f t="shared" si="1"/>
        <v>45351</v>
      </c>
      <c r="K42" s="27">
        <f>'LC (Gross)'!K306</f>
        <v>5.3395099999999998</v>
      </c>
      <c r="L42" s="46">
        <f t="shared" ref="L42:L43" si="51">L41*K42/100+L41</f>
        <v>1107096.4989078145</v>
      </c>
      <c r="O42" s="39"/>
      <c r="P42" s="20">
        <f t="shared" si="2"/>
        <v>45351</v>
      </c>
      <c r="Q42" s="27">
        <f>'LC (Gross)'!X306</f>
        <v>1.656612</v>
      </c>
      <c r="R42" s="46">
        <f t="shared" ref="R42:R43" si="52">R41*Q42/100+R41</f>
        <v>986589.54634862288</v>
      </c>
      <c r="V42" s="1"/>
    </row>
    <row r="43" spans="1:22" x14ac:dyDescent="0.25">
      <c r="A43" s="21">
        <v>45382</v>
      </c>
      <c r="B43" s="24">
        <f t="shared" si="47"/>
        <v>27</v>
      </c>
      <c r="C43" s="96" t="s">
        <v>379</v>
      </c>
      <c r="D43" s="27">
        <v>5.4361821360318503</v>
      </c>
      <c r="E43" s="46">
        <f t="shared" si="48"/>
        <v>1056060.1745346172</v>
      </c>
      <c r="F43" s="12">
        <f>((E43-E$40)/E$40)*100</f>
        <v>8.0035175380074062</v>
      </c>
      <c r="G43" s="5">
        <f t="shared" ref="G43" si="53">(E43/E40-1)*100</f>
        <v>8.0035175380074097</v>
      </c>
      <c r="I43" s="39"/>
      <c r="J43" s="20">
        <f t="shared" si="1"/>
        <v>45382</v>
      </c>
      <c r="K43" s="27">
        <f>'LC (Gross)'!K307</f>
        <v>3.2173630000000002</v>
      </c>
      <c r="L43" s="46">
        <f t="shared" si="51"/>
        <v>1142715.8120379699</v>
      </c>
      <c r="M43" s="12">
        <f>((L43-L$40)/L$40)*100</f>
        <v>10.554611205196887</v>
      </c>
      <c r="N43" s="5">
        <f t="shared" ref="N43" si="54">(L43/L40-1)*100</f>
        <v>10.554611205196895</v>
      </c>
      <c r="O43" s="39"/>
      <c r="P43" s="20">
        <f t="shared" si="2"/>
        <v>45382</v>
      </c>
      <c r="Q43" s="27">
        <f>'LC (Gross)'!X307</f>
        <v>3.0912850000000001</v>
      </c>
      <c r="R43" s="46">
        <f t="shared" si="52"/>
        <v>1017087.841006466</v>
      </c>
      <c r="S43" s="12">
        <f>((R43-R$40)/R$40)*100</f>
        <v>5.8389483428498226</v>
      </c>
      <c r="T43" s="5">
        <f t="shared" ref="T43" si="55">(R43/R40-1)*100</f>
        <v>5.8389483428498146</v>
      </c>
      <c r="V43" s="1"/>
    </row>
    <row r="44" spans="1:22" x14ac:dyDescent="0.25">
      <c r="A44" s="21">
        <v>45412</v>
      </c>
      <c r="B44" s="24">
        <f t="shared" si="47"/>
        <v>28</v>
      </c>
      <c r="V44" s="1"/>
    </row>
    <row r="45" spans="1:22" x14ac:dyDescent="0.25">
      <c r="A45" s="21">
        <v>45443</v>
      </c>
      <c r="B45" s="24">
        <f t="shared" ref="B45:B46" si="56">IF(A45&gt;A44,1+B44,"-")</f>
        <v>29</v>
      </c>
      <c r="V45" s="1"/>
    </row>
    <row r="46" spans="1:22" x14ac:dyDescent="0.25">
      <c r="A46" s="21">
        <v>45473</v>
      </c>
      <c r="B46" s="24">
        <f t="shared" si="56"/>
        <v>30</v>
      </c>
      <c r="V46" s="1"/>
    </row>
    <row r="47" spans="1:22" x14ac:dyDescent="0.25">
      <c r="V47" s="1"/>
    </row>
    <row r="48" spans="1:22" x14ac:dyDescent="0.25">
      <c r="V48" s="1"/>
    </row>
    <row r="49" spans="22:22" x14ac:dyDescent="0.25">
      <c r="V49" s="1"/>
    </row>
    <row r="50" spans="22:22" x14ac:dyDescent="0.25">
      <c r="V50" s="1"/>
    </row>
    <row r="51" spans="22:22" x14ac:dyDescent="0.25">
      <c r="V51" s="1"/>
    </row>
    <row r="52" spans="22:22" x14ac:dyDescent="0.25">
      <c r="V52" s="1"/>
    </row>
    <row r="53" spans="22:22" x14ac:dyDescent="0.25">
      <c r="V53" s="1"/>
    </row>
    <row r="54" spans="22:22" x14ac:dyDescent="0.25">
      <c r="V54" s="1"/>
    </row>
    <row r="55" spans="22:22" x14ac:dyDescent="0.25">
      <c r="V55" s="1"/>
    </row>
    <row r="56" spans="22:22" x14ac:dyDescent="0.25">
      <c r="V56" s="1"/>
    </row>
    <row r="57" spans="22:22" x14ac:dyDescent="0.25">
      <c r="V57" s="1"/>
    </row>
    <row r="58" spans="22:22" x14ac:dyDescent="0.25">
      <c r="V58" s="1"/>
    </row>
    <row r="59" spans="22:22" x14ac:dyDescent="0.25">
      <c r="V59" s="1"/>
    </row>
    <row r="60" spans="22:22" x14ac:dyDescent="0.25">
      <c r="V60" s="1"/>
    </row>
    <row r="61" spans="22:22" x14ac:dyDescent="0.25">
      <c r="V61" s="1"/>
    </row>
    <row r="62" spans="22:22" x14ac:dyDescent="0.25">
      <c r="V62" s="1"/>
    </row>
    <row r="63" spans="22:22" x14ac:dyDescent="0.25">
      <c r="V63" s="1"/>
    </row>
    <row r="64" spans="22:22" x14ac:dyDescent="0.25">
      <c r="V64" s="1"/>
    </row>
    <row r="65" spans="22:22" x14ac:dyDescent="0.25">
      <c r="V65" s="1"/>
    </row>
    <row r="66" spans="22:22" x14ac:dyDescent="0.25">
      <c r="V66" s="1"/>
    </row>
    <row r="67" spans="22:22" x14ac:dyDescent="0.25">
      <c r="V67" s="1"/>
    </row>
    <row r="68" spans="22:22" x14ac:dyDescent="0.25">
      <c r="V68" s="1"/>
    </row>
    <row r="69" spans="22:22" x14ac:dyDescent="0.25">
      <c r="V69" s="1"/>
    </row>
    <row r="70" spans="22:22" x14ac:dyDescent="0.25">
      <c r="V70" s="1"/>
    </row>
    <row r="71" spans="22:22" x14ac:dyDescent="0.25">
      <c r="V71" s="1"/>
    </row>
    <row r="72" spans="22:22" x14ac:dyDescent="0.25">
      <c r="V72" s="1"/>
    </row>
    <row r="73" spans="22:22" x14ac:dyDescent="0.25">
      <c r="V73" s="1"/>
    </row>
    <row r="74" spans="22:22" x14ac:dyDescent="0.25">
      <c r="V74" s="1"/>
    </row>
    <row r="75" spans="22:22" x14ac:dyDescent="0.25">
      <c r="V75" s="1"/>
    </row>
    <row r="76" spans="22:22" x14ac:dyDescent="0.25">
      <c r="V76" s="1"/>
    </row>
    <row r="77" spans="22:22" x14ac:dyDescent="0.25">
      <c r="V77" s="1"/>
    </row>
    <row r="78" spans="22:22" x14ac:dyDescent="0.25">
      <c r="V78" s="1"/>
    </row>
    <row r="79" spans="22:22" x14ac:dyDescent="0.25">
      <c r="V79" s="1"/>
    </row>
    <row r="80" spans="22:22" x14ac:dyDescent="0.25">
      <c r="V80" s="1"/>
    </row>
    <row r="81" spans="22:22" x14ac:dyDescent="0.25">
      <c r="V81" s="1"/>
    </row>
    <row r="82" spans="22:22" x14ac:dyDescent="0.25">
      <c r="V82" s="1"/>
    </row>
    <row r="83" spans="22:22" x14ac:dyDescent="0.25">
      <c r="V83" s="1"/>
    </row>
    <row r="84" spans="22:22" x14ac:dyDescent="0.25">
      <c r="V84" s="1"/>
    </row>
    <row r="85" spans="22:22" x14ac:dyDescent="0.25">
      <c r="V85" s="1"/>
    </row>
    <row r="86" spans="22:22" x14ac:dyDescent="0.25">
      <c r="V86" s="1"/>
    </row>
    <row r="87" spans="22:22" x14ac:dyDescent="0.25">
      <c r="V87" s="1"/>
    </row>
    <row r="88" spans="22:22" x14ac:dyDescent="0.25">
      <c r="V88" s="1"/>
    </row>
    <row r="89" spans="22:22" x14ac:dyDescent="0.25">
      <c r="V89" s="1"/>
    </row>
    <row r="90" spans="22:22" x14ac:dyDescent="0.25">
      <c r="V90" s="1"/>
    </row>
    <row r="91" spans="22:22" x14ac:dyDescent="0.25">
      <c r="V91" s="1"/>
    </row>
    <row r="92" spans="22:22" x14ac:dyDescent="0.25">
      <c r="V92" s="1"/>
    </row>
    <row r="93" spans="22:22" x14ac:dyDescent="0.25">
      <c r="V93" s="1"/>
    </row>
    <row r="94" spans="22:22" x14ac:dyDescent="0.25">
      <c r="V94" s="1"/>
    </row>
    <row r="95" spans="22:22" x14ac:dyDescent="0.25">
      <c r="V95" s="1"/>
    </row>
    <row r="96" spans="22:22" x14ac:dyDescent="0.25">
      <c r="V96" s="1"/>
    </row>
    <row r="97" spans="22:22" x14ac:dyDescent="0.25">
      <c r="V97" s="1"/>
    </row>
    <row r="98" spans="22:22" x14ac:dyDescent="0.25">
      <c r="V98" s="1"/>
    </row>
    <row r="99" spans="22:22" x14ac:dyDescent="0.25">
      <c r="V99" s="1"/>
    </row>
    <row r="100" spans="22:22" x14ac:dyDescent="0.25">
      <c r="V100" s="1"/>
    </row>
    <row r="101" spans="22:22" x14ac:dyDescent="0.25">
      <c r="V101" s="1"/>
    </row>
    <row r="102" spans="22:22" x14ac:dyDescent="0.25">
      <c r="V102" s="1"/>
    </row>
    <row r="103" spans="22:22" x14ac:dyDescent="0.25">
      <c r="V103" s="1"/>
    </row>
    <row r="104" spans="22:22" x14ac:dyDescent="0.25">
      <c r="V104" s="1"/>
    </row>
    <row r="105" spans="22:22" x14ac:dyDescent="0.25">
      <c r="V105" s="1"/>
    </row>
    <row r="106" spans="22:22" x14ac:dyDescent="0.25">
      <c r="V106" s="1"/>
    </row>
    <row r="107" spans="22:22" x14ac:dyDescent="0.25">
      <c r="V107" s="1"/>
    </row>
    <row r="108" spans="22:22" x14ac:dyDescent="0.25">
      <c r="V108" s="1"/>
    </row>
    <row r="109" spans="22:22" x14ac:dyDescent="0.25">
      <c r="V109" s="1"/>
    </row>
    <row r="110" spans="22:22" x14ac:dyDescent="0.25">
      <c r="V110" s="1"/>
    </row>
    <row r="111" spans="22:22" x14ac:dyDescent="0.25">
      <c r="V111" s="1"/>
    </row>
    <row r="112" spans="22:22" x14ac:dyDescent="0.25">
      <c r="V112" s="1"/>
    </row>
    <row r="113" spans="22:22" x14ac:dyDescent="0.25">
      <c r="V113" s="1"/>
    </row>
    <row r="114" spans="22:22" x14ac:dyDescent="0.25">
      <c r="V114" s="1"/>
    </row>
    <row r="115" spans="22:22" x14ac:dyDescent="0.25">
      <c r="V115" s="1"/>
    </row>
    <row r="116" spans="22:22" x14ac:dyDescent="0.25">
      <c r="V116" s="1"/>
    </row>
    <row r="117" spans="22:22" x14ac:dyDescent="0.25">
      <c r="V117" s="1"/>
    </row>
    <row r="118" spans="22:22" x14ac:dyDescent="0.25">
      <c r="V118" s="1"/>
    </row>
    <row r="119" spans="22:22" x14ac:dyDescent="0.25">
      <c r="V119" s="1"/>
    </row>
    <row r="120" spans="22:22" x14ac:dyDescent="0.25">
      <c r="V120" s="1"/>
    </row>
    <row r="121" spans="22:22" x14ac:dyDescent="0.25">
      <c r="V121" s="1"/>
    </row>
    <row r="122" spans="22:22" x14ac:dyDescent="0.25">
      <c r="V122" s="1"/>
    </row>
    <row r="123" spans="22:22" x14ac:dyDescent="0.25">
      <c r="V123" s="1"/>
    </row>
    <row r="124" spans="22:22" x14ac:dyDescent="0.25">
      <c r="V124" s="1"/>
    </row>
    <row r="125" spans="22:22" x14ac:dyDescent="0.25">
      <c r="V125" s="1"/>
    </row>
    <row r="126" spans="22:22" x14ac:dyDescent="0.25">
      <c r="V126" s="1"/>
    </row>
    <row r="127" spans="22:22" x14ac:dyDescent="0.25">
      <c r="V127" s="1"/>
    </row>
    <row r="128" spans="22:22" x14ac:dyDescent="0.25">
      <c r="V128" s="1"/>
    </row>
    <row r="129" spans="22:22" x14ac:dyDescent="0.25">
      <c r="V129" s="1"/>
    </row>
    <row r="130" spans="22:22" x14ac:dyDescent="0.25">
      <c r="V130" s="1"/>
    </row>
    <row r="131" spans="22:22" x14ac:dyDescent="0.25">
      <c r="V131" s="1"/>
    </row>
    <row r="132" spans="22:22" x14ac:dyDescent="0.25">
      <c r="V132" s="1"/>
    </row>
    <row r="133" spans="22:22" x14ac:dyDescent="0.25">
      <c r="V133" s="1"/>
    </row>
    <row r="134" spans="22:22" x14ac:dyDescent="0.25">
      <c r="V134" s="1"/>
    </row>
    <row r="135" spans="22:22" x14ac:dyDescent="0.25">
      <c r="V135" s="1"/>
    </row>
    <row r="136" spans="22:22" x14ac:dyDescent="0.25">
      <c r="V136" s="1"/>
    </row>
    <row r="137" spans="22:22" x14ac:dyDescent="0.25">
      <c r="V137" s="1"/>
    </row>
    <row r="138" spans="22:22" x14ac:dyDescent="0.25">
      <c r="V138" s="1"/>
    </row>
    <row r="139" spans="22:22" x14ac:dyDescent="0.25">
      <c r="V139" s="1"/>
    </row>
  </sheetData>
  <phoneticPr fontId="71" type="noConversion"/>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dimension ref="A1:X506"/>
  <sheetViews>
    <sheetView workbookViewId="0">
      <pane xSplit="2" ySplit="15" topLeftCell="C201" activePane="bottomRight" state="frozen"/>
      <selection pane="topRight" activeCell="L16" sqref="L16:L53"/>
      <selection pane="bottomLeft" activeCell="L16" sqref="L16:L53"/>
      <selection pane="bottomRight" activeCell="B6" sqref="B6"/>
    </sheetView>
  </sheetViews>
  <sheetFormatPr defaultColWidth="11" defaultRowHeight="15.75" x14ac:dyDescent="0.25"/>
  <cols>
    <col min="1" max="1" width="13.125" customWidth="1"/>
    <col min="2" max="2" width="5.5" style="23" bestFit="1" customWidth="1"/>
    <col min="3" max="3" width="25.625" style="23" customWidth="1"/>
    <col min="4" max="4" width="11.625" style="23" bestFit="1" customWidth="1"/>
    <col min="5" max="5" width="11.625" style="2" bestFit="1" customWidth="1"/>
    <col min="6" max="6" width="7" bestFit="1" customWidth="1"/>
    <col min="7" max="7" width="9.125" bestFit="1" customWidth="1"/>
    <col min="8" max="8" width="10.125" bestFit="1" customWidth="1"/>
    <col min="9" max="9" width="1.625" customWidth="1"/>
    <col min="10" max="10" width="12.5" customWidth="1"/>
    <col min="11" max="11" width="10.125" bestFit="1" customWidth="1"/>
    <col min="12" max="12" width="13.625" bestFit="1" customWidth="1"/>
    <col min="13" max="13" width="7.125" bestFit="1" customWidth="1"/>
    <col min="14" max="14" width="9.125" bestFit="1" customWidth="1"/>
    <col min="15" max="15" width="1.625" customWidth="1"/>
    <col min="16" max="16" width="12.125" customWidth="1"/>
    <col min="17" max="17" width="10.125" bestFit="1" customWidth="1"/>
    <col min="18" max="18" width="13.625" bestFit="1" customWidth="1"/>
    <col min="19" max="19" width="7.125" bestFit="1" customWidth="1"/>
    <col min="20" max="20" width="9.125" bestFit="1" customWidth="1"/>
    <col min="21" max="21" width="2" customWidth="1"/>
  </cols>
  <sheetData>
    <row r="1" spans="1:21" x14ac:dyDescent="0.25">
      <c r="C1" s="7" t="s">
        <v>137</v>
      </c>
      <c r="D1" s="13"/>
      <c r="E1" s="14"/>
      <c r="F1" s="7"/>
      <c r="I1" s="39"/>
      <c r="J1" s="7" t="s">
        <v>138</v>
      </c>
      <c r="K1" s="13"/>
      <c r="L1" s="13"/>
      <c r="M1" s="14"/>
      <c r="N1" s="15"/>
      <c r="O1" s="39"/>
      <c r="P1" s="7" t="s">
        <v>139</v>
      </c>
      <c r="Q1" s="13"/>
      <c r="R1" s="13"/>
      <c r="S1" s="14"/>
      <c r="T1" s="15"/>
      <c r="U1" s="39"/>
    </row>
    <row r="2" spans="1:21" ht="16.5" thickBot="1" x14ac:dyDescent="0.3">
      <c r="C2" s="7"/>
      <c r="D2" s="16"/>
      <c r="E2" s="16"/>
      <c r="F2" s="16"/>
      <c r="G2" s="16"/>
      <c r="H2" s="16"/>
      <c r="I2" s="39"/>
      <c r="K2" s="16"/>
      <c r="L2" s="36"/>
      <c r="M2" s="16"/>
      <c r="N2" s="16"/>
      <c r="O2" s="39"/>
      <c r="Q2" s="16"/>
      <c r="R2" s="36"/>
      <c r="S2" s="16"/>
      <c r="T2" s="16"/>
      <c r="U2" s="39"/>
    </row>
    <row r="3" spans="1:21" ht="16.5" thickBot="1" x14ac:dyDescent="0.3">
      <c r="C3" s="7"/>
      <c r="D3" s="26"/>
      <c r="E3" s="16"/>
      <c r="F3" s="16"/>
      <c r="G3" s="16"/>
      <c r="H3" s="16"/>
      <c r="I3" s="39"/>
      <c r="K3" s="16"/>
      <c r="L3" s="16"/>
      <c r="M3" s="16"/>
      <c r="N3" s="16"/>
      <c r="O3" s="39"/>
      <c r="P3" s="43" t="s">
        <v>40</v>
      </c>
      <c r="Q3" s="42">
        <f ca="1">F12</f>
        <v>0.79722003541061459</v>
      </c>
      <c r="R3" s="16"/>
      <c r="S3" s="16"/>
      <c r="T3" s="16"/>
      <c r="U3" s="39"/>
    </row>
    <row r="4" spans="1:21" x14ac:dyDescent="0.25">
      <c r="C4" s="7"/>
      <c r="D4" s="16" t="s">
        <v>41</v>
      </c>
      <c r="E4" s="23" t="s">
        <v>42</v>
      </c>
      <c r="F4" s="17" t="s">
        <v>43</v>
      </c>
      <c r="G4" s="35" t="s">
        <v>44</v>
      </c>
      <c r="H4" s="17" t="s">
        <v>45</v>
      </c>
      <c r="I4" s="39"/>
      <c r="K4" s="23" t="s">
        <v>41</v>
      </c>
      <c r="L4" s="17" t="s">
        <v>43</v>
      </c>
      <c r="M4" s="17" t="s">
        <v>45</v>
      </c>
      <c r="N4" s="35"/>
      <c r="O4" s="39"/>
      <c r="Q4" s="23" t="s">
        <v>41</v>
      </c>
      <c r="R4" s="23" t="s">
        <v>42</v>
      </c>
      <c r="S4" s="17" t="s">
        <v>43</v>
      </c>
      <c r="T4" s="17" t="s">
        <v>45</v>
      </c>
      <c r="U4" s="40"/>
    </row>
    <row r="5" spans="1:21" x14ac:dyDescent="0.25">
      <c r="B5" s="23" t="e">
        <f ca="1">MAX(B16:B545)-VLOOKUP(DATE(YEAR(TODAY())-1,12,31),A:B,2,0)</f>
        <v>#N/A</v>
      </c>
      <c r="C5" s="7" t="s">
        <v>7</v>
      </c>
      <c r="D5" s="16" t="str">
        <f t="array" aca="1" ref="D5" ca="1">IFERROR((GEOMEAN(1+OFFSET(D$16,MAX($B$16:$B$506)-$B$5+1,0,$B$5,1)/100)^$B$5-1)*100,"N/A")</f>
        <v>N/A</v>
      </c>
      <c r="E5" s="36" t="str">
        <f t="shared" ref="E5:E13" ca="1" si="0">IFERROR(D5-$K5,"N/A")</f>
        <v>N/A</v>
      </c>
      <c r="F5" s="16" t="str">
        <f ca="1">IFERROR(SLOPE(OFFSET(D$16,MAX($B$16:$B$506)-$B$5+1,0,$B$5,1),OFFSET($K$16,MAX($B$16:$B$506)-$B$5+1,0,$B$5,1)),"N/A")</f>
        <v>N/A</v>
      </c>
      <c r="G5" s="16" t="str">
        <f t="array" aca="1" ref="G5" ca="1">IFERROR(INTERCEPT(OFFSET(D$16,MAX($B$16:$B$506)-$B$5+1,0,$B$5,1),OFFSET($K$16,MAX($B$16:$B$506)-$B$5+1,0,$B$5,1))*12,"N/A")</f>
        <v>N/A</v>
      </c>
      <c r="H5" s="16" t="str">
        <f ca="1">IFERROR(STDEVP(OFFSET(D$16,MAX($B$16:$B$506)-$B$5+1,0,$B$5,1))*SQRT(12),"N/A")</f>
        <v>N/A</v>
      </c>
      <c r="I5" s="39"/>
      <c r="J5" s="7" t="s">
        <v>7</v>
      </c>
      <c r="K5" s="16" t="str">
        <f t="array" aca="1" ref="K5" ca="1">IFERROR((GEOMEAN(1+OFFSET(K$16,MAX($B$16:$B$506)-$B$5+1,0,$B$5,1)/100)^$B$5-1)*100,"N/A")</f>
        <v>N/A</v>
      </c>
      <c r="L5" s="16" t="str">
        <f ca="1">IFERROR(SLOPE(OFFSET(K$16,MAX($B$16:$B$506)-$B$5+1,0,$B$5,1),OFFSET($K$16,MAX($B$16:$B$506)-$B$5+1,0,$B$5,1)),"N/A")</f>
        <v>N/A</v>
      </c>
      <c r="M5" s="16" t="str">
        <f ca="1">IFERROR(STDEVP(OFFSET(K$16,MAX($B$16:$B$506)-$B$5+1,0,$B$5,1))*SQRT(12),"N/A")</f>
        <v>N/A</v>
      </c>
      <c r="N5" s="16"/>
      <c r="O5" s="39"/>
      <c r="P5" s="7" t="s">
        <v>7</v>
      </c>
      <c r="Q5" s="16" t="str">
        <f t="array" aca="1" ref="Q5" ca="1">IFERROR((GEOMEAN(1+OFFSET(Q$16,MAX($B$16:$B$506)-$B$5+1,0,$B$5,1)/100)^$B$5-1)*100,"N/A")</f>
        <v>N/A</v>
      </c>
      <c r="R5" s="36" t="str">
        <f t="shared" ref="R5:R13" ca="1" si="1">IFERROR(Q5-$K5,"N/A")</f>
        <v>N/A</v>
      </c>
      <c r="S5" s="16" t="str">
        <f ca="1">IFERROR(SLOPE(OFFSET(Q$16,MAX($B$16:$B$506)-$B$5+1,0,$B$5,1),OFFSET($K$16,MAX($B$16:$B$506)-$B$5+1,0,$B$5,1)),"N/A")</f>
        <v>N/A</v>
      </c>
      <c r="T5" s="16" t="str">
        <f ca="1">IFERROR(STDEVP(OFFSET(Q$16,MAX($B$16:$B$506)-$B$5+1,0,$B$5,1))*SQRT(12),"N/A")</f>
        <v>N/A</v>
      </c>
      <c r="U5" s="40"/>
    </row>
    <row r="6" spans="1:21" x14ac:dyDescent="0.25">
      <c r="C6" s="7" t="s">
        <v>46</v>
      </c>
      <c r="D6" s="16">
        <f t="array" aca="1" ref="D6" ca="1">IFERROR((GEOMEAN(1+OFFSET(D$16,MAX($B$16:$B$506)-11,0,12,1)/100)^12-1)*100,"N/A")</f>
        <v>0</v>
      </c>
      <c r="E6" s="36">
        <f t="shared" ca="1" si="0"/>
        <v>-8.8385128278023473</v>
      </c>
      <c r="F6" s="16" t="str">
        <f ca="1">IFERROR(SLOPE(OFFSET(D$16,MAX($B$16:$B$506)-11,0,12,1),OFFSET($K$16,MAX($B$16:$B$506)-11,0,12,1)),"N/A")</f>
        <v>N/A</v>
      </c>
      <c r="G6" s="16" t="str">
        <f ca="1">IFERROR(INTERCEPT(OFFSET(D$16,MAX($B$16:$B$506)-11,0,12,1),OFFSET($K$16,MAX($B$16:$B$506)-11,0,12,1))*12,"N/A")</f>
        <v>N/A</v>
      </c>
      <c r="H6" s="16" t="str">
        <f ca="1">IFERROR(STDEVP(OFFSET(D$16,MAX($B$16:$B$506)-11,0,12,1))*SQRT(12),"N/A")</f>
        <v>N/A</v>
      </c>
      <c r="I6" s="39"/>
      <c r="J6" s="7" t="s">
        <v>46</v>
      </c>
      <c r="K6" s="16">
        <f t="array" aca="1" ref="K6" ca="1">IFERROR((GEOMEAN(1+OFFSET(K$16,MAX($B$16:$B$506)-11,0,12,1)/100)^12-1)*100,"N/A")</f>
        <v>8.8385128278023473</v>
      </c>
      <c r="L6" s="16">
        <f ca="1">IFERROR(SLOPE(OFFSET(K$16,MAX($B$16:$B$506)-11,0,12,1),OFFSET(K$16,MAX($B$16:$B$506)-11,0,12,1)),"N/A")</f>
        <v>1</v>
      </c>
      <c r="M6" s="16">
        <f ca="1">IFERROR(STDEVP(OFFSET(K$16,MAX($B$16:$B$506)-11,0,12,1))*SQRT(12),"N/A")</f>
        <v>5.8370167150659018</v>
      </c>
      <c r="N6" s="16"/>
      <c r="O6" s="39"/>
      <c r="P6" s="7" t="s">
        <v>46</v>
      </c>
      <c r="Q6" s="16">
        <f t="array" aca="1" ref="Q6" ca="1">IFERROR((GEOMEAN(1+OFFSET(Q$16,MAX($B$16:$B$506)-11,0,12,1)/100)^12-1)*100,"N/A")</f>
        <v>0</v>
      </c>
      <c r="R6" s="36">
        <f t="shared" ca="1" si="1"/>
        <v>-8.8385128278023473</v>
      </c>
      <c r="S6" s="16" t="str">
        <f ca="1">IFERROR(SLOPE(OFFSET(Q$16,MAX($B$16:$B$506)-11,0,12,1),OFFSET($K$16,MAX($B$16:$B$506)-11,0,12,1)),"N/A")</f>
        <v>N/A</v>
      </c>
      <c r="T6" s="16" t="str">
        <f ca="1">IFERROR(STDEVP(OFFSET(Q$16,MAX($B$16:$B$506)-11,0,12,1))*SQRT(12),"N/A")</f>
        <v>N/A</v>
      </c>
      <c r="U6" s="41"/>
    </row>
    <row r="7" spans="1:21" x14ac:dyDescent="0.25">
      <c r="C7" s="7" t="s">
        <v>47</v>
      </c>
      <c r="D7" s="16">
        <f t="array" aca="1" ref="D7" ca="1">IFERROR((GEOMEAN(1+OFFSET(D$16,MAX($B$16:$B$506)-23,0,24,1)/100)^12-1)*100,"N/A")</f>
        <v>-3.013686666914972</v>
      </c>
      <c r="E7" s="36">
        <f t="shared" ca="1" si="0"/>
        <v>-14.614912455203786</v>
      </c>
      <c r="F7" s="16">
        <f ca="1">IFERROR(SLOPE(OFFSET(D$16,MAX($B$16:$B$506)-23,0,24,1),OFFSET($K$16,MAX($B$16:$B$506)-23,0,24,1)),"N/A")</f>
        <v>0.74667296823481499</v>
      </c>
      <c r="G7" s="16">
        <f ca="1">IFERROR(INTERCEPT(OFFSET(D$16,MAX($B$16:$B$506)-23,0,24,1),OFFSET($K$16,MAX($B$16:$B$506)-23,0,24,1))*12,"N/A")</f>
        <v>-6.9344933196910716</v>
      </c>
      <c r="H7" s="16">
        <f ca="1">IFERROR(STDEVP(OFFSET(D$16,MAX($B$16:$B$506)-23,0,24,1))*SQRT(12),"N/A")</f>
        <v>18.897807412501585</v>
      </c>
      <c r="I7" s="39"/>
      <c r="J7" s="7" t="s">
        <v>47</v>
      </c>
      <c r="K7" s="16">
        <f t="array" aca="1" ref="K7" ca="1">IFERROR((GEOMEAN(1+OFFSET(K$16,MAX($B$16:$B$506)-23,0,24,1)/100)^12-1)*100,"N/A")</f>
        <v>11.601225788288815</v>
      </c>
      <c r="L7" s="16">
        <f ca="1">IFERROR(SLOPE(OFFSET(K$16,MAX($B$16:$B$506)-23,0,24,1),OFFSET($K$16,MAX($B$16:$B$506)-23,0,24,1)),"N/A")</f>
        <v>1</v>
      </c>
      <c r="M7" s="16">
        <f ca="1">IFERROR(STDEVP(OFFSET(K$16,MAX($B$16:$B$506)-23,0,24,1))*SQRT(12),"N/A")</f>
        <v>19.298751264672337</v>
      </c>
      <c r="N7" s="16"/>
      <c r="O7" s="39"/>
      <c r="P7" s="7" t="s">
        <v>47</v>
      </c>
      <c r="Q7" s="16">
        <f t="array" aca="1" ref="Q7" ca="1">IFERROR((GEOMEAN(1+OFFSET(Q$16,MAX($B$16:$B$506)-23,0,24,1)/100)^12-1)*100,"N/A")</f>
        <v>5.7918120956132801</v>
      </c>
      <c r="R7" s="36">
        <f t="shared" ca="1" si="1"/>
        <v>-5.8094136926755349</v>
      </c>
      <c r="S7" s="16">
        <f ca="1">IFERROR(SLOPE(OFFSET(Q$16,MAX($B$16:$B$506)-23,0,24,1),OFFSET($K$16,MAX($B$16:$B$506)-23,0,24,1)),"N/A")</f>
        <v>0.79722003541061481</v>
      </c>
      <c r="T7" s="16">
        <f ca="1">IFERROR(STDEVP(OFFSET(Q$16,MAX($B$16:$B$506)-23,0,24,1))*SQRT(12),"N/A")</f>
        <v>19.488289176056686</v>
      </c>
      <c r="U7" s="41"/>
    </row>
    <row r="8" spans="1:21" x14ac:dyDescent="0.25">
      <c r="C8" s="7" t="s">
        <v>48</v>
      </c>
      <c r="D8" s="16">
        <f t="array" aca="1" ref="D8" ca="1">IFERROR((GEOMEAN(1+OFFSET(D$16,MAX($B$16:$B$506)-35,0,36,1)/100)^12-1)*100,"N/A")</f>
        <v>0.32472838746990806</v>
      </c>
      <c r="E8" s="36">
        <f t="shared" ca="1" si="0"/>
        <v>-10.905350845112196</v>
      </c>
      <c r="F8" s="16">
        <f ca="1">IFERROR(SLOPE(OFFSET(D$16,MAX($B$16:$B$506)-35,0,36,1),OFFSET($K$16,MAX($B$16:$B$506)-35,0,36,1)),"N/A")</f>
        <v>0.69916549866289535</v>
      </c>
      <c r="G8" s="16">
        <f ca="1">IFERROR(INTERCEPT(OFFSET(D$16,MAX($B$16:$B$506)-35,0,36,1),OFFSET($K$16,MAX($B$16:$B$506)-35,0,36,1))*12,"N/A")</f>
        <v>-2.8585766735163509</v>
      </c>
      <c r="H8" s="16">
        <f ca="1">IFERROR(STDEVP(OFFSET(D$16,MAX($B$16:$B$506)-35,0,36,1))*SQRT(12),"N/A")</f>
        <v>13.070509745224172</v>
      </c>
      <c r="I8" s="39"/>
      <c r="J8" s="7" t="s">
        <v>48</v>
      </c>
      <c r="K8" s="16">
        <f t="array" aca="1" ref="K8" ca="1">IFERROR((GEOMEAN(1+OFFSET(K$16,MAX($B$16:$B$506)-35,0,36,1)/100)^12-1)*100,"N/A")</f>
        <v>11.230079232582103</v>
      </c>
      <c r="L8" s="16">
        <f ca="1">IFERROR(SLOPE(OFFSET(K$16,MAX($B$16:$B$506)-35,0,36,1),OFFSET(K$16,MAX($B$16:$B$506)-35,0,36,1)),"N/A")</f>
        <v>1</v>
      </c>
      <c r="M8" s="16">
        <f ca="1">IFERROR(STDEVP(OFFSET(K$16,MAX($B$16:$B$506)-35,0,36,1))*SQRT(12),"N/A")</f>
        <v>16.718475868472336</v>
      </c>
      <c r="N8" s="16"/>
      <c r="O8" s="39"/>
      <c r="P8" s="7" t="s">
        <v>48</v>
      </c>
      <c r="Q8" s="16">
        <f t="array" aca="1" ref="Q8" ca="1">IFERROR((GEOMEAN(1+OFFSET(Q$16,MAX($B$16:$B$506)-35,0,36,1)/100)^12-1)*100,"N/A")</f>
        <v>6.6519504257842366</v>
      </c>
      <c r="R8" s="36">
        <f t="shared" ca="1" si="1"/>
        <v>-4.5781288067978663</v>
      </c>
      <c r="S8" s="16">
        <f ca="1">IFERROR(SLOPE(OFFSET(Q$16,MAX($B$16:$B$506)-35,0,36,1),OFFSET($K$16,MAX($B$16:$B$506)-35,0,36,1)),"N/A")</f>
        <v>0.79722003541061459</v>
      </c>
      <c r="T8" s="16">
        <f ca="1">IFERROR(STDEVP(OFFSET(Q$16,MAX($B$16:$B$506)-35,0,36,1))*SQRT(12),"N/A")</f>
        <v>15.15368142032489</v>
      </c>
      <c r="U8" s="41"/>
    </row>
    <row r="9" spans="1:21" x14ac:dyDescent="0.25">
      <c r="C9" s="7" t="s">
        <v>49</v>
      </c>
      <c r="D9" s="16">
        <f t="array" aca="1" ref="D9" ca="1">IFERROR((GEOMEAN(1+OFFSET(D$16,MAX($B$16:$B$506)-47,0,48,1)/100)^12-1)*100,"N/A")</f>
        <v>-0.92239876860104042</v>
      </c>
      <c r="E9" s="36">
        <f t="shared" ca="1" si="0"/>
        <v>-5.7893005445355588</v>
      </c>
      <c r="F9" s="16">
        <f ca="1">IFERROR(SLOPE(OFFSET(D$16,MAX($B$16:$B$506)-47,0,48,1),OFFSET($K$16,MAX($B$16:$B$506)-47,0,48,1)),"N/A")</f>
        <v>0.72586580606541951</v>
      </c>
      <c r="G9" s="16">
        <f ca="1">IFERROR(INTERCEPT(OFFSET(D$16,MAX($B$16:$B$506)-47,0,48,1),OFFSET($K$16,MAX($B$16:$B$506)-47,0,48,1))*12,"N/A")</f>
        <v>-0.13245766904188602</v>
      </c>
      <c r="H9" s="16">
        <f ca="1">IFERROR(STDEVP(OFFSET(D$16,MAX($B$16:$B$506)-47,0,48,1))*SQRT(12),"N/A")</f>
        <v>12.572811253355393</v>
      </c>
      <c r="I9" s="39"/>
      <c r="J9" s="7" t="s">
        <v>49</v>
      </c>
      <c r="K9" s="16">
        <f t="array" aca="1" ref="K9" ca="1">IFERROR((GEOMEAN(1+OFFSET(K$16,MAX($B$16:$B$506)-47,0,48,1)/100)^12-1)*100,"N/A")</f>
        <v>4.8669017759345179</v>
      </c>
      <c r="L9" s="16">
        <f ca="1">IFERROR(SLOPE(OFFSET(K$16,MAX($B$16:$B$506)-47,0,48,1),OFFSET($K$16,MAX($B$16:$B$506)-47,0,48,1)),"N/A")</f>
        <v>1</v>
      </c>
      <c r="M9" s="16">
        <f ca="1">IFERROR(STDEVP(OFFSET(K$16,MAX($B$16:$B$506)-47,0,48,1))*SQRT(12),"N/A")</f>
        <v>16.210379814745735</v>
      </c>
      <c r="N9" s="16"/>
      <c r="O9" s="39"/>
      <c r="P9" s="7" t="s">
        <v>49</v>
      </c>
      <c r="Q9" s="16">
        <f t="array" aca="1" ref="Q9" ca="1">IFERROR((GEOMEAN(1+OFFSET(Q$16,MAX($B$16:$B$506)-47,0,48,1)/100)^12-1)*100,"N/A")</f>
        <v>2.3209866745074859</v>
      </c>
      <c r="R9" s="36">
        <f t="shared" ca="1" si="1"/>
        <v>-2.545915101427032</v>
      </c>
      <c r="S9" s="16">
        <f ca="1">IFERROR(SLOPE(OFFSET(Q$16,MAX($B$16:$B$506)-47,0,48,1),OFFSET($K$16,MAX($B$16:$B$506)-47,0,48,1)),"N/A")</f>
        <v>0.79722003541061426</v>
      </c>
      <c r="T9" s="16">
        <f ca="1">IFERROR(STDEVP(OFFSET(Q$16,MAX($B$16:$B$506)-47,0,48,1))*SQRT(12),"N/A")</f>
        <v>14.096780099022467</v>
      </c>
      <c r="U9" s="41"/>
    </row>
    <row r="10" spans="1:21" x14ac:dyDescent="0.25">
      <c r="C10" s="7" t="s">
        <v>50</v>
      </c>
      <c r="D10" s="16">
        <f t="array" aca="1" ref="D10" ca="1">IFERROR((GEOMEAN(1+OFFSET(D$16,MAX($B$16:$B$506)-59,0,60,1)/100)^12-1)*100,"N/A")</f>
        <v>3.1715373705755834</v>
      </c>
      <c r="E10" s="36">
        <f t="shared" ca="1" si="0"/>
        <v>-6.3559424018298163</v>
      </c>
      <c r="F10" s="16">
        <f ca="1">IFERROR(SLOPE(OFFSET(D$16,MAX($B$16:$B$506)-59,0,60,1),OFFSET($K$16,MAX($B$16:$B$506)-59,0,60,1)),"N/A")</f>
        <v>0.72703382287571405</v>
      </c>
      <c r="G10" s="16">
        <f ca="1">IFERROR(INTERCEPT(OFFSET(D$16,MAX($B$16:$B$506)-59,0,60,1),OFFSET($K$16,MAX($B$16:$B$506)-59,0,60,1))*12,"N/A")</f>
        <v>-8.4781787965330979E-2</v>
      </c>
      <c r="H10" s="16">
        <f ca="1">IFERROR(STDEVP(OFFSET(D$16,MAX($B$16:$B$506)-59,0,60,1))*SQRT(12),"N/A")</f>
        <v>11.343077876065182</v>
      </c>
      <c r="I10" s="39"/>
      <c r="J10" s="7" t="s">
        <v>50</v>
      </c>
      <c r="K10" s="16">
        <f t="array" aca="1" ref="K10" ca="1">IFERROR((GEOMEAN(1+OFFSET(K$16,MAX($B$16:$B$506)-59,0,60,1)/100)^12-1)*100,"N/A")</f>
        <v>9.5274797724053997</v>
      </c>
      <c r="L10" s="16">
        <f ca="1">IFERROR(SLOPE(OFFSET(K$16,MAX($B$16:$B$506)-59,0,60,1),OFFSET(K$16,MAX($B$16:$B$506)-59,0,60,1)),"N/A")</f>
        <v>1</v>
      </c>
      <c r="M10" s="16">
        <f ca="1">IFERROR(STDEVP(OFFSET(K$16,MAX($B$16:$B$506)-59,0,60,1))*SQRT(12),"N/A")</f>
        <v>14.742943818831405</v>
      </c>
      <c r="N10" s="16"/>
      <c r="O10" s="39"/>
      <c r="P10" s="7" t="s">
        <v>50</v>
      </c>
      <c r="Q10" s="16">
        <f t="array" aca="1" ref="Q10" ca="1">IFERROR((GEOMEAN(1+OFFSET(Q$16,MAX($B$16:$B$506)-59,0,60,1)/100)^12-1)*100,"N/A")</f>
        <v>6.2610290882727071</v>
      </c>
      <c r="R10" s="36">
        <f t="shared" ca="1" si="1"/>
        <v>-3.2664506841326926</v>
      </c>
      <c r="S10" s="16">
        <f ca="1">IFERROR(SLOPE(OFFSET(Q$16,MAX($B$16:$B$506)-59,0,60,1),OFFSET($K$16,MAX($B$16:$B$506)-59,0,60,1)),"N/A")</f>
        <v>0.79722003541061437</v>
      </c>
      <c r="T10" s="16">
        <f ca="1">IFERROR(STDEVP(OFFSET(Q$16,MAX($B$16:$B$506)-59,0,60,1))*SQRT(12),"N/A")</f>
        <v>12.550420836533146</v>
      </c>
      <c r="U10" s="41"/>
    </row>
    <row r="11" spans="1:21" x14ac:dyDescent="0.25">
      <c r="C11" s="7" t="s">
        <v>51</v>
      </c>
      <c r="D11" s="16">
        <f t="array" aca="1" ref="D11" ca="1">IFERROR((GEOMEAN(1+OFFSET(D$16,MAX($B$16:$B$506)-119,0,120,1)/100)^12-1)*100,"N/A")</f>
        <v>5.073942492360084</v>
      </c>
      <c r="E11" s="36">
        <f t="shared" ca="1" si="0"/>
        <v>-2.1217761417627212</v>
      </c>
      <c r="F11" s="16">
        <f ca="1">IF(D11="N/A","N/A",IFERROR(SLOPE(OFFSET(D$16,MAX($B$16:$B$506)-119,0,120,1),OFFSET($K$16,MAX($B$16:$B$506)-119,0,120,1)),"N/A"))</f>
        <v>0.77152283688201329</v>
      </c>
      <c r="G11" s="16">
        <f ca="1">IF(D11="N/A","N/A",IFERROR(INTERCEPT(OFFSET(D$16,MAX($B$16:$B$506)-119,0,120,1),OFFSET($K$16,MAX($B$16:$B$506)-119,0,120,1))*12,"N/A"))</f>
        <v>1.6156698515128758</v>
      </c>
      <c r="H11" s="16">
        <f ca="1">IFERROR(STDEVP(OFFSET(D$16,MAX($B$16:$B$506)-119,0,120,1))*SQRT(12),"N/A")</f>
        <v>11.409537716566215</v>
      </c>
      <c r="I11" s="39"/>
      <c r="J11" s="7" t="s">
        <v>51</v>
      </c>
      <c r="K11" s="16">
        <f t="array" aca="1" ref="K11" ca="1">IFERROR((GEOMEAN(1+OFFSET(K$16,MAX($B$16:$B$506)-119,0,120,1)/100)^12-1)*100,"N/A")</f>
        <v>7.1957186341228052</v>
      </c>
      <c r="L11" s="16">
        <f ca="1">IF(D11="N/A","N/A",IFERROR(SLOPE(OFFSET(K$16,MAX($B$16:$B$506)-119,0,120,1),OFFSET(K$16,MAX($B$16:$B$506)-119,0,120,1)),"N/A"))</f>
        <v>1</v>
      </c>
      <c r="M11" s="16">
        <f ca="1">IFERROR(STDEVP(OFFSET(K$16,MAX($B$16:$B$506)-119,0,120,1))*SQRT(12),"N/A")</f>
        <v>13.889186762721771</v>
      </c>
      <c r="N11" s="16"/>
      <c r="O11" s="39"/>
      <c r="P11" s="7" t="s">
        <v>51</v>
      </c>
      <c r="Q11" s="16">
        <f t="array" aca="1" ref="Q11" ca="1">IFERROR((GEOMEAN(1+OFFSET(Q$16,MAX($B$16:$B$506)-119,0,120,1)/100)^12-1)*100,"N/A")</f>
        <v>5.1462409063409043</v>
      </c>
      <c r="R11" s="36">
        <f t="shared" ca="1" si="1"/>
        <v>-2.049477727781901</v>
      </c>
      <c r="S11" s="16">
        <f ca="1">IF(D11="N/A","N/A",IFERROR(SLOPE(OFFSET(Q$16,MAX($B$16:$B$506)-119,0,120,1),OFFSET($K$16,MAX($B$16:$B$506)-119,0,120,1)),"N/A"))</f>
        <v>0.79722003541061426</v>
      </c>
      <c r="T11" s="16">
        <f ca="1">IFERROR(STDEVP(OFFSET(Q$16,MAX($B$16:$B$506)-119,0,120,1))*SQRT(12),"N/A")</f>
        <v>11.401230602813152</v>
      </c>
      <c r="U11" s="41"/>
    </row>
    <row r="12" spans="1:21" x14ac:dyDescent="0.25">
      <c r="C12" s="7" t="s">
        <v>52</v>
      </c>
      <c r="D12" s="16">
        <f t="array" aca="1" ref="D12" ca="1">IFERROR((GEOMEAN(1+OFFSET(D$16,1,0,MAX($B$16:$B$506),1)/100)^12-1)*100,"N/A")</f>
        <v>8.0409339190870011</v>
      </c>
      <c r="E12" s="36">
        <f t="shared" ca="1" si="0"/>
        <v>1.7749412896675532</v>
      </c>
      <c r="F12" s="16">
        <f ca="1">IFERROR(SLOPE(OFFSET(D$16,1,0,MAX($B$16:$B$506),1),OFFSET($K$16,1,0,MAX($B$16:$B$506),1)),"N/A")</f>
        <v>0.79722003541061459</v>
      </c>
      <c r="G12" s="16">
        <f ca="1">IFERROR(INTERCEPT(OFFSET(D$16,1,0,MAX($B$16:$B$506),1),OFFSET($K$16,1,0,MAX($B$16:$B$506),1))*12,"N/A")</f>
        <v>4.2247026562557659</v>
      </c>
      <c r="H12" s="16">
        <f ca="1">IFERROR(STDEVP(OFFSET(D$16,1,0,MAX($B$16:$B$506),1))*SQRT(12),"N/A")</f>
        <v>14.464225217541092</v>
      </c>
      <c r="I12" s="39"/>
      <c r="J12" s="7" t="s">
        <v>52</v>
      </c>
      <c r="K12" s="16">
        <f t="array" aca="1" ref="K12" ca="1">IFERROR((GEOMEAN(1+OFFSET(K$16,1,0,MAX($B$16:$B$506),1)/100)^12-1)*100,"N/A")</f>
        <v>6.2659926294194479</v>
      </c>
      <c r="L12" s="16">
        <f ca="1">IFERROR(SLOPE(OFFSET(K$16,1,0,MAX($B$16:$B$506),1),OFFSET(K$16,1,0,MAX($B$16:$B$506),1)),"N/A")</f>
        <v>1</v>
      </c>
      <c r="M12" s="16">
        <f ca="1">IFERROR(STDEVP(OFFSET(K$16,1,0,MAX($B$16:$B$506),1))*SQRT(12),"N/A")</f>
        <v>17.158914277874572</v>
      </c>
      <c r="N12" s="16"/>
      <c r="O12" s="39"/>
      <c r="P12" s="7" t="s">
        <v>52</v>
      </c>
      <c r="Q12" s="16">
        <f t="array" aca="1" ref="Q12" ca="1">IFERROR((GEOMEAN(1+OFFSET(Q$16,1,0,MAX($B$16:$B$506),1)/100)^12-1)*100,"N/A")</f>
        <v>4.8058890617473482</v>
      </c>
      <c r="R12" s="36">
        <f t="shared" ca="1" si="1"/>
        <v>-1.4601035676720997</v>
      </c>
      <c r="S12" s="16">
        <f ca="1">IFERROR(SLOPE(OFFSET(Q$16,1,0,MAX($B$16:$B$506),1),OFFSET($K$16,1,0,MAX($B$16:$B$506),1)),"N/A")</f>
        <v>0.79722003541061492</v>
      </c>
      <c r="T12" s="16">
        <f ca="1">IFERROR(STDEVP(OFFSET(Q$16,1,0,MAX($B$16:$B$506),1))*SQRT(12),"N/A")</f>
        <v>13.925641263310029</v>
      </c>
      <c r="U12" s="41"/>
    </row>
    <row r="13" spans="1:21" x14ac:dyDescent="0.25">
      <c r="C13" s="7" t="s">
        <v>140</v>
      </c>
      <c r="D13" s="16" cm="1">
        <f t="array" aca="1" ref="D13" ca="1">IFERROR((GEOMEAN(1+OFFSET(D$138,1,0,MAX($B$16:$B$506)-122,1)/100)^(MIN(COUNTA(OFFSET(D$138,1,0,MAX($B$16:$B$506)-122,1)),12))-1)*100,"N/A")</f>
        <v>2.3495971396246151</v>
      </c>
      <c r="E13" s="36">
        <f t="shared" ca="1" si="0"/>
        <v>-4.1506412064833409</v>
      </c>
      <c r="F13" s="16">
        <f ca="1">IFERROR(SLOPE(OFFSET(D$138,1,0,MAX($B$16:$B$506)-122,1),OFFSET($K$138,1,0,MAX($B$16:$B$506)-122,1)),"N/A")</f>
        <v>0.72065515045253836</v>
      </c>
      <c r="G13" s="16">
        <f ca="1">IFERROR(INTERCEPT(OFFSET(D$138,1,0,MAX($B$16:$B$506)-122,1),OFFSET($K$138,1,0,MAX($B$16:$B$506)-122,1))*12,"N/A")</f>
        <v>0.27564915667583079</v>
      </c>
      <c r="H13" s="16">
        <f ca="1">IFERROR(STDEVP(OFFSET(D$138,1,0,MAX($B$16:$B$506)-122,1))*SQRT(12),"N/A")</f>
        <v>11.210240322222274</v>
      </c>
      <c r="I13" s="39"/>
      <c r="J13" s="7" t="s">
        <v>140</v>
      </c>
      <c r="K13" s="16">
        <f t="array" aca="1" ref="K13" ca="1">IFERROR((GEOMEAN(1+OFFSET(K$138,1,0,MAX($B$16:$B$506)-122,1)/100)^(MIN(COUNTA(OFFSET(K$138,1,0,MAX($B$16:$B$506)-122,1)),12))-1)*100,"N/A")</f>
        <v>6.500238346107956</v>
      </c>
      <c r="L13" s="16">
        <f ca="1">IFERROR(SLOPE(OFFSET(K$138,1,0,MAX($B$16:$B$506)-122,1),OFFSET($K$138,1,0,MAX($B$16:$B$506)-122,1)),"N/A")</f>
        <v>1</v>
      </c>
      <c r="M13" s="16">
        <f ca="1">IFERROR(STDEVP(OFFSET(K$138,1,0,MAX($B$16:$B$506)-122,1))*SQRT(12),"N/A")</f>
        <v>14.522018840643844</v>
      </c>
      <c r="N13" s="16"/>
      <c r="O13" s="39"/>
      <c r="P13" s="7" t="s">
        <v>140</v>
      </c>
      <c r="Q13" s="16">
        <f t="array" aca="1" ref="Q13" ca="1">IFERROR((GEOMEAN(1+OFFSET(Q$138,1,0,MAX($B$16:$B$506)-122,1)/100)^(MIN(COUNTA(OFFSET(Q$138,1,0,MAX($B$16:$B$506)-122,1)),12))-1)*100,"N/A")</f>
        <v>4.2975551659553135</v>
      </c>
      <c r="R13" s="36">
        <f t="shared" ca="1" si="1"/>
        <v>-2.2026831801526425</v>
      </c>
      <c r="S13" s="16">
        <f ca="1">IFERROR(SLOPE(OFFSET(Q$138,1,0,MAX($B$16:$B$506)-122,1),OFFSET($K$138,1,0,MAX($B$16:$B$506)-122,1)),"N/A")</f>
        <v>0.79722003541061492</v>
      </c>
      <c r="T13" s="16">
        <f ca="1">IFERROR(STDEVP(OFFSET(Q$138,1,0,MAX($B$16:$B$506)-122,1))*SQRT(12),"N/A")</f>
        <v>12.104230725863058</v>
      </c>
      <c r="U13" s="41"/>
    </row>
    <row r="14" spans="1:21" x14ac:dyDescent="0.25">
      <c r="A14" s="7"/>
      <c r="C14" s="17"/>
      <c r="D14" s="25"/>
      <c r="E14" s="18"/>
      <c r="F14" s="8"/>
      <c r="I14" s="39"/>
      <c r="J14" s="7"/>
      <c r="K14" s="16"/>
      <c r="L14" s="16"/>
      <c r="M14" s="18"/>
      <c r="N14" s="10"/>
      <c r="O14" s="39"/>
      <c r="P14" s="7"/>
      <c r="Q14" s="16"/>
      <c r="R14" s="16"/>
      <c r="S14" s="18"/>
      <c r="T14" s="10"/>
      <c r="U14" s="39"/>
    </row>
    <row r="15" spans="1:21" x14ac:dyDescent="0.25">
      <c r="A15" s="7" t="s">
        <v>69</v>
      </c>
      <c r="B15" s="23" t="s">
        <v>70</v>
      </c>
      <c r="C15" s="13" t="s">
        <v>71</v>
      </c>
      <c r="D15" s="19" t="s">
        <v>72</v>
      </c>
      <c r="E15" s="13" t="s">
        <v>97</v>
      </c>
      <c r="F15" s="9" t="s">
        <v>74</v>
      </c>
      <c r="G15" s="9" t="s">
        <v>75</v>
      </c>
      <c r="H15" s="33"/>
      <c r="I15" s="44"/>
      <c r="J15" s="7" t="s">
        <v>69</v>
      </c>
      <c r="K15" s="33" t="s">
        <v>89</v>
      </c>
      <c r="L15" s="13" t="s">
        <v>97</v>
      </c>
      <c r="M15" s="9" t="s">
        <v>74</v>
      </c>
      <c r="N15" s="9" t="s">
        <v>75</v>
      </c>
      <c r="O15" s="44"/>
      <c r="P15" s="13" t="s">
        <v>69</v>
      </c>
      <c r="Q15" s="33" t="s">
        <v>89</v>
      </c>
      <c r="R15" s="13" t="s">
        <v>97</v>
      </c>
      <c r="S15" s="13" t="s">
        <v>74</v>
      </c>
      <c r="T15" s="13" t="s">
        <v>75</v>
      </c>
      <c r="U15" s="44"/>
    </row>
    <row r="16" spans="1:21" x14ac:dyDescent="0.25">
      <c r="A16" s="20">
        <v>38352</v>
      </c>
      <c r="B16" s="23">
        <v>0</v>
      </c>
      <c r="C16" s="17"/>
      <c r="D16" s="11"/>
      <c r="E16" s="48">
        <v>1000000</v>
      </c>
      <c r="F16" s="8"/>
      <c r="I16" s="39"/>
      <c r="J16" s="20">
        <f t="shared" ref="J16:J47" si="2">A16</f>
        <v>38352</v>
      </c>
      <c r="K16" s="27"/>
      <c r="L16" s="48">
        <v>1000000</v>
      </c>
      <c r="M16" s="8"/>
      <c r="O16" s="39"/>
      <c r="P16" s="20">
        <f>$A16</f>
        <v>38352</v>
      </c>
      <c r="Q16" s="16"/>
      <c r="R16" s="48">
        <v>1000000</v>
      </c>
      <c r="S16" s="8"/>
      <c r="U16" s="39"/>
    </row>
    <row r="17" spans="1:21" x14ac:dyDescent="0.25">
      <c r="A17" s="20">
        <v>38383</v>
      </c>
      <c r="B17" s="24">
        <f>IF(A17&gt;A16,1+B16,"-")</f>
        <v>1</v>
      </c>
      <c r="C17" s="17" t="s">
        <v>77</v>
      </c>
      <c r="D17" s="27">
        <v>-1.6169226758269599</v>
      </c>
      <c r="E17" s="46">
        <f t="shared" ref="E17:E48" si="3">E16*D17/100+E16</f>
        <v>983830.77324173041</v>
      </c>
      <c r="F17" s="10"/>
      <c r="I17" s="39"/>
      <c r="J17" s="20">
        <f t="shared" si="2"/>
        <v>38383</v>
      </c>
      <c r="K17" s="27">
        <v>-1.7403035413153567</v>
      </c>
      <c r="L17" s="46">
        <f t="shared" ref="L17:L80" si="4">L16*K17/100+L16</f>
        <v>982596.96458684641</v>
      </c>
      <c r="M17" s="10"/>
      <c r="O17" s="39"/>
      <c r="P17" s="20">
        <f t="shared" ref="P17:P80" si="5">$A17</f>
        <v>38383</v>
      </c>
      <c r="Q17" s="45">
        <f t="shared" ref="Q17:Q48" ca="1" si="6">K17*$Q$3</f>
        <v>-1.3874048508326466</v>
      </c>
      <c r="R17" s="46">
        <f t="shared" ref="R17:R48" ca="1" si="7">R16*Q17/100+R16</f>
        <v>986125.95149167348</v>
      </c>
      <c r="S17" s="10"/>
      <c r="U17" s="39"/>
    </row>
    <row r="18" spans="1:21" x14ac:dyDescent="0.25">
      <c r="A18" s="20">
        <v>38411</v>
      </c>
      <c r="B18" s="24">
        <f t="shared" ref="B18:B81" si="8">IF(A18&gt;A17,1+B17,"-")</f>
        <v>2</v>
      </c>
      <c r="C18" s="17" t="s">
        <v>77</v>
      </c>
      <c r="D18" s="27">
        <v>7.2436882121572204</v>
      </c>
      <c r="E18" s="46">
        <f t="shared" si="3"/>
        <v>1055096.4069906168</v>
      </c>
      <c r="F18" s="8"/>
      <c r="I18" s="39"/>
      <c r="J18" s="20">
        <f t="shared" si="2"/>
        <v>38411</v>
      </c>
      <c r="K18" s="27">
        <v>4.9259088546519108</v>
      </c>
      <c r="L18" s="46">
        <f t="shared" si="4"/>
        <v>1030998.7954709708</v>
      </c>
      <c r="M18" s="8"/>
      <c r="O18" s="39"/>
      <c r="P18" s="20">
        <f t="shared" si="5"/>
        <v>38411</v>
      </c>
      <c r="Q18" s="45">
        <f t="shared" ca="1" si="6"/>
        <v>3.9270332315350562</v>
      </c>
      <c r="R18" s="46">
        <f t="shared" ca="1" si="7"/>
        <v>1024851.4453115427</v>
      </c>
      <c r="S18" s="8"/>
      <c r="U18" s="39"/>
    </row>
    <row r="19" spans="1:21" x14ac:dyDescent="0.25">
      <c r="A19" s="20">
        <v>38442</v>
      </c>
      <c r="B19" s="24">
        <f t="shared" si="8"/>
        <v>3</v>
      </c>
      <c r="C19" s="17" t="s">
        <v>77</v>
      </c>
      <c r="D19" s="27">
        <v>-1.7388591730622003</v>
      </c>
      <c r="E19" s="46">
        <f t="shared" si="3"/>
        <v>1036749.7663330107</v>
      </c>
      <c r="F19" s="8"/>
      <c r="G19" s="5">
        <f>(E19/E16-1)*100</f>
        <v>3.6749766333010747</v>
      </c>
      <c r="H19" s="5"/>
      <c r="I19" s="39"/>
      <c r="J19" s="20">
        <f t="shared" si="2"/>
        <v>38442</v>
      </c>
      <c r="K19" s="27">
        <v>-2.6978210500047166</v>
      </c>
      <c r="L19" s="46">
        <f t="shared" si="4"/>
        <v>1003184.2929414599</v>
      </c>
      <c r="M19" s="8"/>
      <c r="N19" s="5">
        <f>(L19/L16-1)*100</f>
        <v>0.3184292941459832</v>
      </c>
      <c r="O19" s="39"/>
      <c r="P19" s="20">
        <f t="shared" si="5"/>
        <v>38442</v>
      </c>
      <c r="Q19" s="45">
        <f t="shared" ca="1" si="6"/>
        <v>-2.1507569930162616</v>
      </c>
      <c r="R19" s="46">
        <f t="shared" ca="1" si="7"/>
        <v>1002809.3811834765</v>
      </c>
      <c r="S19" s="8"/>
      <c r="T19" s="5">
        <f ca="1">(R19/R16-1)*100</f>
        <v>0.28093811834766225</v>
      </c>
      <c r="U19" s="39"/>
    </row>
    <row r="20" spans="1:21" x14ac:dyDescent="0.25">
      <c r="A20" s="20">
        <v>38472</v>
      </c>
      <c r="B20" s="24">
        <f t="shared" si="8"/>
        <v>4</v>
      </c>
      <c r="C20" s="17" t="s">
        <v>77</v>
      </c>
      <c r="D20" s="27">
        <v>-1.6642496742219799</v>
      </c>
      <c r="E20" s="46">
        <f t="shared" si="3"/>
        <v>1019495.6617243164</v>
      </c>
      <c r="F20" s="8"/>
      <c r="I20" s="39"/>
      <c r="J20" s="20">
        <f t="shared" si="2"/>
        <v>38472</v>
      </c>
      <c r="K20" s="27">
        <v>-2.4654809138234466</v>
      </c>
      <c r="L20" s="46">
        <f t="shared" si="4"/>
        <v>978450.97566851357</v>
      </c>
      <c r="M20" s="8"/>
      <c r="O20" s="39"/>
      <c r="P20" s="20">
        <f t="shared" si="5"/>
        <v>38472</v>
      </c>
      <c r="Q20" s="45">
        <f t="shared" ca="1" si="6"/>
        <v>-1.9655307814225225</v>
      </c>
      <c r="R20" s="46">
        <f t="shared" ca="1" si="7"/>
        <v>983098.8541173226</v>
      </c>
      <c r="S20" s="8"/>
      <c r="U20" s="39"/>
    </row>
    <row r="21" spans="1:21" x14ac:dyDescent="0.25">
      <c r="A21" s="20">
        <v>38503</v>
      </c>
      <c r="B21" s="24">
        <f t="shared" si="8"/>
        <v>5</v>
      </c>
      <c r="C21" s="17" t="s">
        <v>77</v>
      </c>
      <c r="D21" s="27">
        <v>2.3765964179438299</v>
      </c>
      <c r="E21" s="46">
        <f t="shared" si="3"/>
        <v>1043724.9591019492</v>
      </c>
      <c r="F21" s="8"/>
      <c r="I21" s="39"/>
      <c r="J21" s="20">
        <f t="shared" si="2"/>
        <v>38503</v>
      </c>
      <c r="K21" s="27">
        <v>0.62902094028141975</v>
      </c>
      <c r="L21" s="46">
        <f t="shared" si="4"/>
        <v>984605.63719585643</v>
      </c>
      <c r="M21" s="8"/>
      <c r="O21" s="39"/>
      <c r="P21" s="20">
        <f t="shared" si="5"/>
        <v>38503</v>
      </c>
      <c r="Q21" s="45">
        <f t="shared" ca="1" si="6"/>
        <v>0.50146809628517153</v>
      </c>
      <c r="R21" s="46">
        <f t="shared" ca="1" si="7"/>
        <v>988028.78122566605</v>
      </c>
      <c r="S21" s="8"/>
      <c r="U21" s="39"/>
    </row>
    <row r="22" spans="1:21" x14ac:dyDescent="0.25">
      <c r="A22" s="20">
        <v>38533</v>
      </c>
      <c r="B22" s="24">
        <f t="shared" si="8"/>
        <v>6</v>
      </c>
      <c r="C22" s="17" t="s">
        <v>77</v>
      </c>
      <c r="D22" s="27">
        <v>2.8697889180928402</v>
      </c>
      <c r="E22" s="46">
        <f t="shared" si="3"/>
        <v>1073677.6623136259</v>
      </c>
      <c r="F22" s="8"/>
      <c r="G22" s="5">
        <f>(E22/E19-1)*100</f>
        <v>3.5618909383726471</v>
      </c>
      <c r="H22" s="5"/>
      <c r="I22" s="39"/>
      <c r="J22" s="20">
        <f t="shared" si="2"/>
        <v>38533</v>
      </c>
      <c r="K22" s="27">
        <v>1.895085461616046</v>
      </c>
      <c r="L22" s="46">
        <f t="shared" si="4"/>
        <v>1003264.7554806072</v>
      </c>
      <c r="M22" s="8"/>
      <c r="N22" s="5">
        <f>(L22/L19-1)*100</f>
        <v>8.0207136129883949E-3</v>
      </c>
      <c r="O22" s="39"/>
      <c r="P22" s="20">
        <f t="shared" si="5"/>
        <v>38533</v>
      </c>
      <c r="Q22" s="45">
        <f t="shared" ca="1" si="6"/>
        <v>1.5108000988156851</v>
      </c>
      <c r="R22" s="46">
        <f t="shared" ca="1" si="7"/>
        <v>1002955.9210287508</v>
      </c>
      <c r="S22" s="8"/>
      <c r="T22" s="5">
        <f ca="1">(R22/R19-1)*100</f>
        <v>1.4612931233393134E-2</v>
      </c>
      <c r="U22" s="39"/>
    </row>
    <row r="23" spans="1:21" x14ac:dyDescent="0.25">
      <c r="A23" s="20">
        <v>38564</v>
      </c>
      <c r="B23" s="24">
        <f t="shared" si="8"/>
        <v>7</v>
      </c>
      <c r="C23" s="17" t="s">
        <v>77</v>
      </c>
      <c r="D23" s="27">
        <v>5.1564676624046504</v>
      </c>
      <c r="E23" s="46">
        <f t="shared" si="3"/>
        <v>1129041.5037692902</v>
      </c>
      <c r="F23" s="8"/>
      <c r="I23" s="39"/>
      <c r="J23" s="20">
        <f t="shared" si="2"/>
        <v>38564</v>
      </c>
      <c r="K23" s="27">
        <v>3.6899527248068984</v>
      </c>
      <c r="L23" s="46">
        <f t="shared" si="4"/>
        <v>1040284.7506624911</v>
      </c>
      <c r="M23" s="8"/>
      <c r="O23" s="39"/>
      <c r="P23" s="20">
        <f t="shared" si="5"/>
        <v>38564</v>
      </c>
      <c r="Q23" s="45">
        <f t="shared" ca="1" si="6"/>
        <v>2.9417042419340493</v>
      </c>
      <c r="R23" s="46">
        <f t="shared" ca="1" si="7"/>
        <v>1032459.9179023823</v>
      </c>
      <c r="S23" s="8"/>
      <c r="U23" s="39"/>
    </row>
    <row r="24" spans="1:21" x14ac:dyDescent="0.25">
      <c r="A24" s="20">
        <v>38595</v>
      </c>
      <c r="B24" s="24">
        <f t="shared" si="8"/>
        <v>8</v>
      </c>
      <c r="C24" s="17" t="s">
        <v>77</v>
      </c>
      <c r="D24" s="27">
        <v>3.4857128571950802</v>
      </c>
      <c r="E24" s="46">
        <f t="shared" si="3"/>
        <v>1168396.6486292449</v>
      </c>
      <c r="F24" s="8"/>
      <c r="I24" s="39"/>
      <c r="J24" s="20">
        <f t="shared" si="2"/>
        <v>38595</v>
      </c>
      <c r="K24" s="27">
        <v>2.5786538996837116</v>
      </c>
      <c r="L24" s="46">
        <f t="shared" si="4"/>
        <v>1067110.0939532644</v>
      </c>
      <c r="M24" s="8"/>
      <c r="O24" s="39"/>
      <c r="P24" s="20">
        <f t="shared" si="5"/>
        <v>38595</v>
      </c>
      <c r="Q24" s="45">
        <f t="shared" ca="1" si="6"/>
        <v>2.0557545532175681</v>
      </c>
      <c r="R24" s="46">
        <f t="shared" ca="1" si="7"/>
        <v>1053684.7596748068</v>
      </c>
      <c r="S24" s="8"/>
      <c r="U24" s="39"/>
    </row>
    <row r="25" spans="1:21" x14ac:dyDescent="0.25">
      <c r="A25" s="20">
        <v>38625</v>
      </c>
      <c r="B25" s="24">
        <f t="shared" si="8"/>
        <v>9</v>
      </c>
      <c r="C25" s="17" t="s">
        <v>77</v>
      </c>
      <c r="D25" s="27">
        <v>5.41468616866032</v>
      </c>
      <c r="E25" s="46">
        <f t="shared" si="3"/>
        <v>1231661.6603576634</v>
      </c>
      <c r="F25" s="8"/>
      <c r="G25" s="5">
        <f>(E25/E22-1)*100</f>
        <v>14.714285636119495</v>
      </c>
      <c r="H25" s="5"/>
      <c r="I25" s="39"/>
      <c r="J25" s="20">
        <f t="shared" si="2"/>
        <v>38625</v>
      </c>
      <c r="K25" s="27">
        <v>5.1680816259080462</v>
      </c>
      <c r="L25" s="46">
        <f t="shared" si="4"/>
        <v>1122259.2146470731</v>
      </c>
      <c r="M25" s="8"/>
      <c r="N25" s="5">
        <f>(L25/L22-1)*100</f>
        <v>11.860723554418339</v>
      </c>
      <c r="O25" s="39"/>
      <c r="P25" s="20">
        <f t="shared" si="5"/>
        <v>38625</v>
      </c>
      <c r="Q25" s="45">
        <f t="shared" ca="1" si="6"/>
        <v>4.1200982168113596</v>
      </c>
      <c r="R25" s="46">
        <f t="shared" ca="1" si="7"/>
        <v>1097097.6066689817</v>
      </c>
      <c r="S25" s="8"/>
      <c r="T25" s="5">
        <f ca="1">(R25/R22-1)*100</f>
        <v>9.3864230387780125</v>
      </c>
      <c r="U25" s="39"/>
    </row>
    <row r="26" spans="1:21" x14ac:dyDescent="0.25">
      <c r="A26" s="20">
        <v>38656</v>
      </c>
      <c r="B26" s="24">
        <f t="shared" si="8"/>
        <v>10</v>
      </c>
      <c r="C26" s="17" t="s">
        <v>77</v>
      </c>
      <c r="D26" s="27">
        <v>-4.45252965680905</v>
      </c>
      <c r="E26" s="46">
        <f t="shared" si="3"/>
        <v>1176821.5596586918</v>
      </c>
      <c r="F26" s="8"/>
      <c r="I26" s="39"/>
      <c r="J26" s="20">
        <f t="shared" si="2"/>
        <v>38656</v>
      </c>
      <c r="K26" s="27">
        <v>-3.6410877497425109</v>
      </c>
      <c r="L26" s="46">
        <f t="shared" si="4"/>
        <v>1081396.7718622021</v>
      </c>
      <c r="M26" s="8"/>
      <c r="O26" s="39"/>
      <c r="P26" s="20">
        <f t="shared" si="5"/>
        <v>38656</v>
      </c>
      <c r="Q26" s="45">
        <f t="shared" ca="1" si="6"/>
        <v>-2.9027481047828796</v>
      </c>
      <c r="R26" s="46">
        <f t="shared" ca="1" si="7"/>
        <v>1065251.6266837795</v>
      </c>
      <c r="S26" s="8"/>
      <c r="U26" s="39"/>
    </row>
    <row r="27" spans="1:21" x14ac:dyDescent="0.25">
      <c r="A27" s="20">
        <v>38686</v>
      </c>
      <c r="B27" s="24">
        <f t="shared" si="8"/>
        <v>11</v>
      </c>
      <c r="C27" s="17" t="s">
        <v>77</v>
      </c>
      <c r="D27" s="27">
        <v>2.8729580648947599</v>
      </c>
      <c r="E27" s="46">
        <f t="shared" si="3"/>
        <v>1210631.1495663265</v>
      </c>
      <c r="F27" s="8"/>
      <c r="I27" s="39"/>
      <c r="J27" s="20">
        <f t="shared" si="2"/>
        <v>38686</v>
      </c>
      <c r="K27" s="27">
        <v>3.3689042116983301</v>
      </c>
      <c r="L27" s="46">
        <f t="shared" si="4"/>
        <v>1117827.9932546376</v>
      </c>
      <c r="M27" s="8"/>
      <c r="O27" s="39"/>
      <c r="P27" s="20">
        <f t="shared" si="5"/>
        <v>38686</v>
      </c>
      <c r="Q27" s="45">
        <f t="shared" ca="1" si="6"/>
        <v>2.6857579349451113</v>
      </c>
      <c r="R27" s="46">
        <f t="shared" ca="1" si="7"/>
        <v>1093861.706774571</v>
      </c>
      <c r="S27" s="8"/>
      <c r="U27" s="39"/>
    </row>
    <row r="28" spans="1:21" x14ac:dyDescent="0.25">
      <c r="A28" s="20">
        <v>38717</v>
      </c>
      <c r="B28" s="24">
        <f t="shared" si="8"/>
        <v>12</v>
      </c>
      <c r="C28" s="17" t="s">
        <v>77</v>
      </c>
      <c r="D28" s="27">
        <v>4.0792726757277196</v>
      </c>
      <c r="E28" s="46">
        <f t="shared" si="3"/>
        <v>1260016.095254434</v>
      </c>
      <c r="F28" s="11">
        <f>(E28-E16)/E16*100</f>
        <v>26.001609525443403</v>
      </c>
      <c r="G28" s="5">
        <f>(E28/E25-1)*100</f>
        <v>2.3021285641493971</v>
      </c>
      <c r="H28" s="5"/>
      <c r="I28" s="39"/>
      <c r="J28" s="20">
        <f t="shared" si="2"/>
        <v>38717</v>
      </c>
      <c r="K28" s="27">
        <v>4.8485551185921656</v>
      </c>
      <c r="L28" s="46">
        <f t="shared" si="4"/>
        <v>1172026.4996386415</v>
      </c>
      <c r="M28" s="11">
        <f>(L28-L16)/L16*100</f>
        <v>17.202649963864147</v>
      </c>
      <c r="N28" s="5">
        <f>(L28/L25-1)*100</f>
        <v>4.4345623846999693</v>
      </c>
      <c r="O28" s="39"/>
      <c r="P28" s="20">
        <f t="shared" si="5"/>
        <v>38717</v>
      </c>
      <c r="Q28" s="45">
        <f t="shared" ca="1" si="6"/>
        <v>3.8653652833343628</v>
      </c>
      <c r="R28" s="46">
        <f t="shared" ca="1" si="7"/>
        <v>1136143.4574359239</v>
      </c>
      <c r="S28" s="11">
        <f ca="1">(R28-R16)/R16*100</f>
        <v>13.614345743592384</v>
      </c>
      <c r="T28" s="5">
        <f ca="1">(R28/R25-1)*100</f>
        <v>3.5590133940309521</v>
      </c>
      <c r="U28" s="39"/>
    </row>
    <row r="29" spans="1:21" x14ac:dyDescent="0.25">
      <c r="A29" s="20">
        <v>38748</v>
      </c>
      <c r="B29" s="24">
        <f t="shared" si="8"/>
        <v>13</v>
      </c>
      <c r="C29" s="17" t="s">
        <v>77</v>
      </c>
      <c r="D29" s="27">
        <v>7.5992352995085399</v>
      </c>
      <c r="E29" s="46">
        <f t="shared" si="3"/>
        <v>1355767.6831444982</v>
      </c>
      <c r="F29" s="10"/>
      <c r="I29" s="39"/>
      <c r="J29" s="20">
        <f t="shared" si="2"/>
        <v>38748</v>
      </c>
      <c r="K29" s="27">
        <v>6.9430689965760051</v>
      </c>
      <c r="L29" s="46">
        <f t="shared" si="4"/>
        <v>1253401.108166707</v>
      </c>
      <c r="M29" s="10"/>
      <c r="O29" s="39"/>
      <c r="P29" s="20">
        <f t="shared" si="5"/>
        <v>38748</v>
      </c>
      <c r="Q29" s="45">
        <f t="shared" ca="1" si="6"/>
        <v>5.5351537113086628</v>
      </c>
      <c r="R29" s="46">
        <f t="shared" ca="1" si="7"/>
        <v>1199030.744185979</v>
      </c>
      <c r="S29" s="10"/>
      <c r="U29" s="39"/>
    </row>
    <row r="30" spans="1:21" x14ac:dyDescent="0.25">
      <c r="A30" s="20">
        <v>38776</v>
      </c>
      <c r="B30" s="24">
        <f t="shared" si="8"/>
        <v>14</v>
      </c>
      <c r="C30" s="17" t="s">
        <v>77</v>
      </c>
      <c r="D30" s="27">
        <v>-0.69009411978507906</v>
      </c>
      <c r="E30" s="46">
        <f t="shared" si="3"/>
        <v>1346411.6100851716</v>
      </c>
      <c r="F30" s="8"/>
      <c r="I30" s="39"/>
      <c r="J30" s="20">
        <f t="shared" si="2"/>
        <v>38776</v>
      </c>
      <c r="K30" s="27">
        <v>-0.28641895200876882</v>
      </c>
      <c r="L30" s="46">
        <f t="shared" si="4"/>
        <v>1249811.1298482297</v>
      </c>
      <c r="M30" s="8"/>
      <c r="O30" s="39"/>
      <c r="P30" s="20">
        <f t="shared" si="5"/>
        <v>38776</v>
      </c>
      <c r="Q30" s="45">
        <f t="shared" ca="1" si="6"/>
        <v>-0.22833892706270181</v>
      </c>
      <c r="R30" s="46">
        <f t="shared" ca="1" si="7"/>
        <v>1196292.8902495529</v>
      </c>
      <c r="S30" s="8"/>
      <c r="U30" s="39"/>
    </row>
    <row r="31" spans="1:21" x14ac:dyDescent="0.25">
      <c r="A31" s="20">
        <v>38807</v>
      </c>
      <c r="B31" s="24">
        <f t="shared" si="8"/>
        <v>15</v>
      </c>
      <c r="C31" s="17" t="s">
        <v>77</v>
      </c>
      <c r="D31" s="27">
        <v>1.4303341993923799</v>
      </c>
      <c r="E31" s="46">
        <f t="shared" si="3"/>
        <v>1365669.7958088093</v>
      </c>
      <c r="F31" s="8"/>
      <c r="G31" s="5">
        <f>(E31/E28-1)*100</f>
        <v>8.385107218256671</v>
      </c>
      <c r="H31" s="5"/>
      <c r="I31" s="39"/>
      <c r="J31" s="20">
        <f t="shared" si="2"/>
        <v>38807</v>
      </c>
      <c r="K31" s="27">
        <v>2.9260022135842738</v>
      </c>
      <c r="L31" s="46">
        <f t="shared" si="4"/>
        <v>1286380.6311732116</v>
      </c>
      <c r="M31" s="8"/>
      <c r="N31" s="5">
        <f>(L31/L28-1)*100</f>
        <v>9.7569578477814112</v>
      </c>
      <c r="O31" s="39"/>
      <c r="P31" s="20">
        <f t="shared" si="5"/>
        <v>38807</v>
      </c>
      <c r="Q31" s="45">
        <f t="shared" ca="1" si="6"/>
        <v>2.3326675883251915</v>
      </c>
      <c r="R31" s="46">
        <f t="shared" ca="1" si="7"/>
        <v>1224198.4267618428</v>
      </c>
      <c r="S31" s="8"/>
      <c r="T31" s="5">
        <f ca="1">(R31/R28-1)*100</f>
        <v>7.7503389866490524</v>
      </c>
      <c r="U31" s="39"/>
    </row>
    <row r="32" spans="1:21" x14ac:dyDescent="0.25">
      <c r="A32" s="20">
        <v>38837</v>
      </c>
      <c r="B32" s="24">
        <f t="shared" si="8"/>
        <v>16</v>
      </c>
      <c r="C32" s="17" t="s">
        <v>77</v>
      </c>
      <c r="D32" s="27">
        <v>5.44772095032131</v>
      </c>
      <c r="E32" s="46">
        <f t="shared" si="3"/>
        <v>1440067.6753872961</v>
      </c>
      <c r="F32" s="8"/>
      <c r="I32" s="39"/>
      <c r="J32" s="20">
        <f t="shared" si="2"/>
        <v>38837</v>
      </c>
      <c r="K32" s="27">
        <v>5.1469296594644929</v>
      </c>
      <c r="L32" s="46">
        <f t="shared" si="4"/>
        <v>1352589.7374126723</v>
      </c>
      <c r="M32" s="8"/>
      <c r="O32" s="39"/>
      <c r="P32" s="20">
        <f t="shared" si="5"/>
        <v>38837</v>
      </c>
      <c r="Q32" s="45">
        <f t="shared" ca="1" si="6"/>
        <v>4.1032354453742252</v>
      </c>
      <c r="R32" s="46">
        <f t="shared" ca="1" si="7"/>
        <v>1274430.1705304484</v>
      </c>
      <c r="S32" s="8"/>
      <c r="U32" s="39"/>
    </row>
    <row r="33" spans="1:21" x14ac:dyDescent="0.25">
      <c r="A33" s="20">
        <v>38868</v>
      </c>
      <c r="B33" s="24">
        <f t="shared" si="8"/>
        <v>17</v>
      </c>
      <c r="C33" s="17" t="s">
        <v>77</v>
      </c>
      <c r="D33" s="27">
        <v>-4.3008183318748596</v>
      </c>
      <c r="E33" s="46">
        <f t="shared" si="3"/>
        <v>1378132.980812835</v>
      </c>
      <c r="F33" s="8"/>
      <c r="I33" s="39"/>
      <c r="J33" s="20">
        <f t="shared" si="2"/>
        <v>38868</v>
      </c>
      <c r="K33" s="27">
        <v>-4.6096605279093765</v>
      </c>
      <c r="L33" s="46">
        <f t="shared" si="4"/>
        <v>1290239.9421826073</v>
      </c>
      <c r="M33" s="8"/>
      <c r="O33" s="39"/>
      <c r="P33" s="20">
        <f t="shared" si="5"/>
        <v>38868</v>
      </c>
      <c r="Q33" s="45">
        <f t="shared" ca="1" si="6"/>
        <v>-3.6749137292908256</v>
      </c>
      <c r="R33" s="46">
        <f t="shared" ca="1" si="7"/>
        <v>1227595.9612234004</v>
      </c>
      <c r="S33" s="8"/>
      <c r="U33" s="39"/>
    </row>
    <row r="34" spans="1:21" x14ac:dyDescent="0.25">
      <c r="A34" s="20">
        <v>38898</v>
      </c>
      <c r="B34" s="24">
        <f t="shared" si="8"/>
        <v>18</v>
      </c>
      <c r="C34" s="17" t="s">
        <v>77</v>
      </c>
      <c r="D34" s="27">
        <v>0.36026543351257401</v>
      </c>
      <c r="E34" s="46">
        <f t="shared" si="3"/>
        <v>1383097.9175705402</v>
      </c>
      <c r="F34" s="8"/>
      <c r="G34" s="5">
        <f>(E34/E31-1)*100</f>
        <v>1.2761592747541961</v>
      </c>
      <c r="H34" s="5"/>
      <c r="I34" s="39"/>
      <c r="J34" s="20">
        <f t="shared" si="2"/>
        <v>38898</v>
      </c>
      <c r="K34" s="27">
        <v>-9.2908865290740508E-2</v>
      </c>
      <c r="L34" s="46">
        <f t="shared" si="4"/>
        <v>1289041.1948927974</v>
      </c>
      <c r="M34" s="8"/>
      <c r="N34" s="5">
        <f>(L34/L31-1)*100</f>
        <v>0.20682554254252139</v>
      </c>
      <c r="O34" s="39"/>
      <c r="P34" s="20">
        <f t="shared" si="5"/>
        <v>38898</v>
      </c>
      <c r="Q34" s="45">
        <f t="shared" ca="1" si="6"/>
        <v>-7.4068808877044173E-2</v>
      </c>
      <c r="R34" s="46">
        <f t="shared" ca="1" si="7"/>
        <v>1226686.6955170995</v>
      </c>
      <c r="S34" s="8"/>
      <c r="T34" s="5">
        <f ca="1">(R34/R31-1)*100</f>
        <v>0.20325698031147255</v>
      </c>
      <c r="U34" s="39"/>
    </row>
    <row r="35" spans="1:21" x14ac:dyDescent="0.25">
      <c r="A35" s="20">
        <v>38929</v>
      </c>
      <c r="B35" s="24">
        <f t="shared" si="8"/>
        <v>19</v>
      </c>
      <c r="C35" s="17" t="s">
        <v>77</v>
      </c>
      <c r="D35" s="27">
        <v>3.1125452308005102</v>
      </c>
      <c r="E35" s="46">
        <f t="shared" si="3"/>
        <v>1426147.4658411832</v>
      </c>
      <c r="F35" s="8"/>
      <c r="I35" s="39"/>
      <c r="J35" s="20">
        <f t="shared" si="2"/>
        <v>38929</v>
      </c>
      <c r="K35" s="27">
        <v>1.0151734036529079</v>
      </c>
      <c r="L35" s="46">
        <f t="shared" si="4"/>
        <v>1302127.1982654787</v>
      </c>
      <c r="M35" s="8"/>
      <c r="O35" s="39"/>
      <c r="P35" s="20">
        <f t="shared" si="5"/>
        <v>38929</v>
      </c>
      <c r="Q35" s="45">
        <f t="shared" ca="1" si="6"/>
        <v>0.80931657680808533</v>
      </c>
      <c r="R35" s="46">
        <f t="shared" ca="1" si="7"/>
        <v>1236614.4742894187</v>
      </c>
      <c r="S35" s="8"/>
      <c r="U35" s="39"/>
    </row>
    <row r="36" spans="1:21" x14ac:dyDescent="0.25">
      <c r="A36" s="20">
        <v>38960</v>
      </c>
      <c r="B36" s="24">
        <f t="shared" si="8"/>
        <v>20</v>
      </c>
      <c r="C36" s="17" t="s">
        <v>77</v>
      </c>
      <c r="D36" s="27">
        <v>3.3968962508844598</v>
      </c>
      <c r="E36" s="46">
        <f t="shared" si="3"/>
        <v>1474592.2156404261</v>
      </c>
      <c r="F36" s="8"/>
      <c r="I36" s="39"/>
      <c r="J36" s="20">
        <f t="shared" si="2"/>
        <v>38960</v>
      </c>
      <c r="K36" s="27">
        <v>2.8469620527165826</v>
      </c>
      <c r="L36" s="46">
        <f t="shared" si="4"/>
        <v>1339198.2654781984</v>
      </c>
      <c r="M36" s="8"/>
      <c r="O36" s="39"/>
      <c r="P36" s="20">
        <f t="shared" si="5"/>
        <v>38960</v>
      </c>
      <c r="Q36" s="45">
        <f t="shared" ca="1" si="6"/>
        <v>2.2696551884793901</v>
      </c>
      <c r="R36" s="46">
        <f t="shared" ca="1" si="7"/>
        <v>1264681.3588666157</v>
      </c>
      <c r="S36" s="8"/>
      <c r="U36" s="39"/>
    </row>
    <row r="37" spans="1:21" x14ac:dyDescent="0.25">
      <c r="A37" s="20">
        <v>38990</v>
      </c>
      <c r="B37" s="24">
        <f t="shared" si="8"/>
        <v>21</v>
      </c>
      <c r="C37" s="17" t="s">
        <v>77</v>
      </c>
      <c r="D37" s="27">
        <v>0.98432198184927933</v>
      </c>
      <c r="E37" s="46">
        <f t="shared" si="3"/>
        <v>1489106.9509616131</v>
      </c>
      <c r="F37" s="8"/>
      <c r="G37" s="5">
        <f>(E37/E34-1)*100</f>
        <v>7.664607982150784</v>
      </c>
      <c r="H37" s="5"/>
      <c r="I37" s="39"/>
      <c r="J37" s="20">
        <f t="shared" si="2"/>
        <v>38990</v>
      </c>
      <c r="K37" s="27">
        <v>7.7531762838419185E-2</v>
      </c>
      <c r="L37" s="46">
        <f t="shared" si="4"/>
        <v>1340236.5695013253</v>
      </c>
      <c r="M37" s="8"/>
      <c r="N37" s="5">
        <f>(L37/L34-1)*100</f>
        <v>3.9715856104028946</v>
      </c>
      <c r="O37" s="39"/>
      <c r="P37" s="20">
        <f t="shared" si="5"/>
        <v>38990</v>
      </c>
      <c r="Q37" s="45">
        <f t="shared" ca="1" si="6"/>
        <v>6.1809874715491916E-2</v>
      </c>
      <c r="R37" s="46">
        <f t="shared" ca="1" si="7"/>
        <v>1265463.0568300814</v>
      </c>
      <c r="S37" s="8"/>
      <c r="T37" s="5">
        <f ca="1">(R37/R34-1)*100</f>
        <v>3.1610647979381623</v>
      </c>
      <c r="U37" s="39"/>
    </row>
    <row r="38" spans="1:21" x14ac:dyDescent="0.25">
      <c r="A38" s="20">
        <v>39021</v>
      </c>
      <c r="B38" s="24">
        <f t="shared" si="8"/>
        <v>22</v>
      </c>
      <c r="C38" s="17" t="s">
        <v>77</v>
      </c>
      <c r="D38" s="27">
        <v>5.07803804618145</v>
      </c>
      <c r="E38" s="46">
        <f t="shared" si="3"/>
        <v>1564724.3684797764</v>
      </c>
      <c r="F38" s="8"/>
      <c r="I38" s="39"/>
      <c r="J38" s="20">
        <f t="shared" si="2"/>
        <v>39021</v>
      </c>
      <c r="K38" s="27">
        <v>4.0795769146563918</v>
      </c>
      <c r="L38" s="46">
        <f t="shared" si="4"/>
        <v>1394912.5511924841</v>
      </c>
      <c r="M38" s="8"/>
      <c r="O38" s="39"/>
      <c r="P38" s="20">
        <f t="shared" si="5"/>
        <v>39021</v>
      </c>
      <c r="Q38" s="45">
        <f t="shared" ca="1" si="6"/>
        <v>3.2523204523626945</v>
      </c>
      <c r="R38" s="46">
        <f t="shared" ca="1" si="7"/>
        <v>1306619.9706444603</v>
      </c>
      <c r="S38" s="8"/>
      <c r="U38" s="39"/>
    </row>
    <row r="39" spans="1:21" x14ac:dyDescent="0.25">
      <c r="A39" s="20">
        <v>39051</v>
      </c>
      <c r="B39" s="24">
        <f t="shared" si="8"/>
        <v>23</v>
      </c>
      <c r="C39" s="17" t="s">
        <v>77</v>
      </c>
      <c r="D39" s="27">
        <v>3.7736372172033001</v>
      </c>
      <c r="E39" s="46">
        <f t="shared" si="3"/>
        <v>1623771.3895953787</v>
      </c>
      <c r="F39" s="8"/>
      <c r="I39" s="39"/>
      <c r="J39" s="20">
        <f t="shared" si="2"/>
        <v>39051</v>
      </c>
      <c r="K39" s="27">
        <v>3.6337435724201304</v>
      </c>
      <c r="L39" s="46">
        <f t="shared" si="4"/>
        <v>1445600.0963623226</v>
      </c>
      <c r="M39" s="8"/>
      <c r="O39" s="39"/>
      <c r="P39" s="20">
        <f t="shared" si="5"/>
        <v>39051</v>
      </c>
      <c r="Q39" s="45">
        <f t="shared" ca="1" si="6"/>
        <v>2.8968931794778694</v>
      </c>
      <c r="R39" s="46">
        <f t="shared" ca="1" si="7"/>
        <v>1344471.3554557555</v>
      </c>
      <c r="S39" s="8"/>
      <c r="U39" s="39"/>
    </row>
    <row r="40" spans="1:21" x14ac:dyDescent="0.25">
      <c r="A40" s="20">
        <v>39082</v>
      </c>
      <c r="B40" s="24">
        <f t="shared" si="8"/>
        <v>24</v>
      </c>
      <c r="C40" s="17" t="s">
        <v>77</v>
      </c>
      <c r="D40" s="27">
        <v>3.5538790914893004</v>
      </c>
      <c r="E40" s="46">
        <f t="shared" si="3"/>
        <v>1681478.261503794</v>
      </c>
      <c r="F40" s="11">
        <f>(E40-E28)/E28*100</f>
        <v>33.448950996475517</v>
      </c>
      <c r="G40" s="5">
        <f>(E40/E37-1)*100</f>
        <v>12.918569107340083</v>
      </c>
      <c r="H40" s="5"/>
      <c r="I40" s="39"/>
      <c r="J40" s="20">
        <f t="shared" si="2"/>
        <v>39082</v>
      </c>
      <c r="K40" s="27">
        <v>3.154206035776582</v>
      </c>
      <c r="L40" s="46">
        <f t="shared" si="4"/>
        <v>1491197.3018549751</v>
      </c>
      <c r="M40" s="11">
        <f>(L40-L28)/L28*100</f>
        <v>27.232387861088476</v>
      </c>
      <c r="N40" s="5">
        <f>(L40/L37-1)*100</f>
        <v>11.263737745181746</v>
      </c>
      <c r="O40" s="39"/>
      <c r="P40" s="20">
        <f t="shared" si="5"/>
        <v>39082</v>
      </c>
      <c r="Q40" s="45">
        <f t="shared" ca="1" si="6"/>
        <v>2.5145962475341808</v>
      </c>
      <c r="R40" s="46">
        <f t="shared" ca="1" si="7"/>
        <v>1378279.3817092178</v>
      </c>
      <c r="S40" s="11">
        <f ca="1">(R40-R28)/R28*100</f>
        <v>21.312090712536616</v>
      </c>
      <c r="T40" s="5">
        <f ca="1">(R40/R37-1)*100</f>
        <v>8.9150231822440862</v>
      </c>
      <c r="U40" s="39"/>
    </row>
    <row r="41" spans="1:21" x14ac:dyDescent="0.25">
      <c r="A41" s="20">
        <v>39113</v>
      </c>
      <c r="B41" s="24">
        <f t="shared" si="8"/>
        <v>25</v>
      </c>
      <c r="C41" s="17" t="s">
        <v>77</v>
      </c>
      <c r="D41" s="27">
        <v>1.0304567845385</v>
      </c>
      <c r="E41" s="46">
        <f t="shared" si="3"/>
        <v>1698805.1683299998</v>
      </c>
      <c r="F41" s="10"/>
      <c r="I41" s="39"/>
      <c r="J41" s="20">
        <f t="shared" si="2"/>
        <v>39113</v>
      </c>
      <c r="K41" s="27">
        <v>0.3557373553302442</v>
      </c>
      <c r="L41" s="46">
        <f t="shared" si="4"/>
        <v>1496502.0476993499</v>
      </c>
      <c r="M41" s="10"/>
      <c r="O41" s="39"/>
      <c r="P41" s="20">
        <f t="shared" si="5"/>
        <v>39113</v>
      </c>
      <c r="Q41" s="45">
        <f t="shared" ca="1" si="6"/>
        <v>0.28360094701325567</v>
      </c>
      <c r="R41" s="46">
        <f t="shared" ca="1" si="7"/>
        <v>1382188.1950882336</v>
      </c>
      <c r="S41" s="10"/>
      <c r="U41" s="39"/>
    </row>
    <row r="42" spans="1:21" x14ac:dyDescent="0.25">
      <c r="A42" s="20">
        <v>39141</v>
      </c>
      <c r="B42" s="24">
        <f t="shared" si="8"/>
        <v>26</v>
      </c>
      <c r="C42" s="17" t="s">
        <v>77</v>
      </c>
      <c r="D42" s="27">
        <v>-0.25045740719023002</v>
      </c>
      <c r="E42" s="46">
        <f t="shared" si="3"/>
        <v>1694550.3849521868</v>
      </c>
      <c r="F42" s="8"/>
      <c r="I42" s="39"/>
      <c r="J42" s="20">
        <f t="shared" si="2"/>
        <v>39141</v>
      </c>
      <c r="K42" s="27">
        <v>0.6148442203612976</v>
      </c>
      <c r="L42" s="46">
        <f t="shared" si="4"/>
        <v>1505703.204047218</v>
      </c>
      <c r="M42" s="8"/>
      <c r="O42" s="39"/>
      <c r="P42" s="20">
        <f t="shared" si="5"/>
        <v>39141</v>
      </c>
      <c r="Q42" s="45">
        <f t="shared" ca="1" si="6"/>
        <v>0.49016613112844537</v>
      </c>
      <c r="R42" s="46">
        <f t="shared" ca="1" si="7"/>
        <v>1388963.2134890116</v>
      </c>
      <c r="S42" s="8"/>
      <c r="U42" s="39"/>
    </row>
    <row r="43" spans="1:21" x14ac:dyDescent="0.25">
      <c r="A43" s="20">
        <v>39172</v>
      </c>
      <c r="B43" s="24">
        <f t="shared" si="8"/>
        <v>27</v>
      </c>
      <c r="C43" s="17" t="s">
        <v>77</v>
      </c>
      <c r="D43" s="27">
        <v>3.95367925181149</v>
      </c>
      <c r="E43" s="46">
        <f t="shared" si="3"/>
        <v>1761547.4719335332</v>
      </c>
      <c r="F43" s="8"/>
      <c r="G43" s="5">
        <f>(E43/E40-1)*100</f>
        <v>4.76183440861917</v>
      </c>
      <c r="H43" s="5"/>
      <c r="I43" s="39"/>
      <c r="J43" s="20">
        <f t="shared" si="2"/>
        <v>39172</v>
      </c>
      <c r="K43" s="27">
        <v>2.8263533143237338</v>
      </c>
      <c r="L43" s="46">
        <f t="shared" si="4"/>
        <v>1548259.6964586852</v>
      </c>
      <c r="M43" s="8"/>
      <c r="N43" s="5">
        <f>(L43/L40-1)*100</f>
        <v>3.8266160039806429</v>
      </c>
      <c r="O43" s="39"/>
      <c r="P43" s="20">
        <f t="shared" si="5"/>
        <v>39172</v>
      </c>
      <c r="Q43" s="45">
        <f t="shared" ca="1" si="6"/>
        <v>2.253225489328075</v>
      </c>
      <c r="R43" s="46">
        <f t="shared" ca="1" si="7"/>
        <v>1420259.6866527363</v>
      </c>
      <c r="S43" s="8"/>
      <c r="T43" s="5">
        <f ca="1">(R43/R40-1)*100</f>
        <v>3.0458487227356112</v>
      </c>
      <c r="U43" s="39"/>
    </row>
    <row r="44" spans="1:21" x14ac:dyDescent="0.25">
      <c r="A44" s="20">
        <v>39202</v>
      </c>
      <c r="B44" s="24">
        <f t="shared" si="8"/>
        <v>28</v>
      </c>
      <c r="C44" s="17" t="s">
        <v>77</v>
      </c>
      <c r="D44" s="27">
        <v>4.6718762124481303</v>
      </c>
      <c r="E44" s="46">
        <f t="shared" si="3"/>
        <v>1843844.7892457773</v>
      </c>
      <c r="F44" s="8"/>
      <c r="I44" s="39"/>
      <c r="J44" s="20">
        <f t="shared" si="2"/>
        <v>39202</v>
      </c>
      <c r="K44" s="27">
        <v>4.6311507422170752</v>
      </c>
      <c r="L44" s="46">
        <f t="shared" si="4"/>
        <v>1619961.9368826794</v>
      </c>
      <c r="M44" s="8"/>
      <c r="O44" s="39"/>
      <c r="P44" s="20">
        <f t="shared" si="5"/>
        <v>39202</v>
      </c>
      <c r="Q44" s="45">
        <f t="shared" ca="1" si="6"/>
        <v>3.6920461587021909</v>
      </c>
      <c r="R44" s="46">
        <f t="shared" ca="1" si="7"/>
        <v>1472696.3298573943</v>
      </c>
      <c r="S44" s="8"/>
      <c r="U44" s="39"/>
    </row>
    <row r="45" spans="1:21" x14ac:dyDescent="0.25">
      <c r="A45" s="20">
        <v>39233</v>
      </c>
      <c r="B45" s="24">
        <f t="shared" si="8"/>
        <v>29</v>
      </c>
      <c r="C45" s="17" t="s">
        <v>77</v>
      </c>
      <c r="D45" s="27">
        <v>4.6899787029709401</v>
      </c>
      <c r="E45" s="46">
        <f t="shared" si="3"/>
        <v>1930320.7171772437</v>
      </c>
      <c r="F45" s="8"/>
      <c r="I45" s="39"/>
      <c r="J45" s="20">
        <f t="shared" si="2"/>
        <v>39233</v>
      </c>
      <c r="K45" s="27">
        <v>2.7391336288315773</v>
      </c>
      <c r="L45" s="46">
        <f t="shared" si="4"/>
        <v>1664334.8590701041</v>
      </c>
      <c r="M45" s="8"/>
      <c r="O45" s="39"/>
      <c r="P45" s="20">
        <f t="shared" si="5"/>
        <v>39233</v>
      </c>
      <c r="Q45" s="45">
        <f t="shared" ca="1" si="6"/>
        <v>2.1836922085715154</v>
      </c>
      <c r="R45" s="46">
        <f t="shared" ca="1" si="7"/>
        <v>1504855.4848684089</v>
      </c>
      <c r="S45" s="8"/>
      <c r="U45" s="39"/>
    </row>
    <row r="46" spans="1:21" x14ac:dyDescent="0.25">
      <c r="A46" s="20">
        <v>39263</v>
      </c>
      <c r="B46" s="24">
        <f t="shared" si="8"/>
        <v>30</v>
      </c>
      <c r="C46" s="17" t="s">
        <v>77</v>
      </c>
      <c r="D46" s="27">
        <v>1.03663715505549</v>
      </c>
      <c r="E46" s="46">
        <f t="shared" si="3"/>
        <v>1950331.1389432366</v>
      </c>
      <c r="F46" s="8"/>
      <c r="G46" s="5">
        <f>(E46/E43-1)*100</f>
        <v>10.71692191198732</v>
      </c>
      <c r="H46" s="5"/>
      <c r="I46" s="39"/>
      <c r="J46" s="20">
        <f t="shared" si="2"/>
        <v>39263</v>
      </c>
      <c r="K46" s="27">
        <v>0.8540592711691728</v>
      </c>
      <c r="L46" s="46">
        <f t="shared" si="4"/>
        <v>1678549.2652372927</v>
      </c>
      <c r="M46" s="8"/>
      <c r="N46" s="5">
        <f>(L46/L43-1)*100</f>
        <v>8.4152270498687898</v>
      </c>
      <c r="O46" s="39"/>
      <c r="P46" s="20">
        <f t="shared" si="5"/>
        <v>39263</v>
      </c>
      <c r="Q46" s="45">
        <f t="shared" ca="1" si="6"/>
        <v>0.68087316240425166</v>
      </c>
      <c r="R46" s="46">
        <f t="shared" ca="1" si="7"/>
        <v>1515101.6419978463</v>
      </c>
      <c r="S46" s="8"/>
      <c r="T46" s="5">
        <f ca="1">(R46/R43-1)*100</f>
        <v>6.6777897194725933</v>
      </c>
      <c r="U46" s="39"/>
    </row>
    <row r="47" spans="1:21" x14ac:dyDescent="0.25">
      <c r="A47" s="20">
        <v>39294</v>
      </c>
      <c r="B47" s="24">
        <f t="shared" si="8"/>
        <v>31</v>
      </c>
      <c r="C47" s="17" t="s">
        <v>77</v>
      </c>
      <c r="D47" s="27">
        <v>-2.1960722206183898</v>
      </c>
      <c r="E47" s="46">
        <f t="shared" si="3"/>
        <v>1907500.4585908339</v>
      </c>
      <c r="F47" s="8"/>
      <c r="I47" s="39"/>
      <c r="J47" s="20">
        <f t="shared" si="2"/>
        <v>39294</v>
      </c>
      <c r="K47" s="27">
        <v>-0.29281000875760937</v>
      </c>
      <c r="L47" s="46">
        <f t="shared" si="4"/>
        <v>1673634.3049867507</v>
      </c>
      <c r="M47" s="8"/>
      <c r="O47" s="39"/>
      <c r="P47" s="20">
        <f t="shared" si="5"/>
        <v>39294</v>
      </c>
      <c r="Q47" s="45">
        <f t="shared" ca="1" si="6"/>
        <v>-0.2334340055503237</v>
      </c>
      <c r="R47" s="46">
        <f t="shared" ca="1" si="7"/>
        <v>1511564.879546772</v>
      </c>
      <c r="S47" s="8"/>
      <c r="U47" s="39"/>
    </row>
    <row r="48" spans="1:21" x14ac:dyDescent="0.25">
      <c r="A48" s="20">
        <v>39325</v>
      </c>
      <c r="B48" s="24">
        <f t="shared" si="8"/>
        <v>32</v>
      </c>
      <c r="C48" s="17" t="s">
        <v>77</v>
      </c>
      <c r="D48" s="27">
        <v>0.33529837487824604</v>
      </c>
      <c r="E48" s="46">
        <f t="shared" si="3"/>
        <v>1913896.276629284</v>
      </c>
      <c r="F48" s="8"/>
      <c r="I48" s="39"/>
      <c r="J48" s="20">
        <f t="shared" ref="J48:J79" si="9">A48</f>
        <v>39325</v>
      </c>
      <c r="K48" s="27">
        <v>-1.5210321888239051</v>
      </c>
      <c r="L48" s="46">
        <f t="shared" si="4"/>
        <v>1648177.7884847031</v>
      </c>
      <c r="M48" s="8"/>
      <c r="O48" s="39"/>
      <c r="P48" s="20">
        <f t="shared" si="5"/>
        <v>39325</v>
      </c>
      <c r="Q48" s="45">
        <f t="shared" ca="1" si="6"/>
        <v>-1.2125973354348782</v>
      </c>
      <c r="R48" s="46">
        <f t="shared" ca="1" si="7"/>
        <v>1493235.6840940183</v>
      </c>
      <c r="S48" s="8"/>
      <c r="U48" s="39"/>
    </row>
    <row r="49" spans="1:21" x14ac:dyDescent="0.25">
      <c r="A49" s="20">
        <v>39355</v>
      </c>
      <c r="B49" s="24">
        <f t="shared" si="8"/>
        <v>33</v>
      </c>
      <c r="C49" s="17" t="s">
        <v>77</v>
      </c>
      <c r="D49" s="27">
        <v>5.0436646431459602</v>
      </c>
      <c r="E49" s="46">
        <f t="shared" ref="E49:E80" si="10">E48*D49/100+E48</f>
        <v>2010426.7864401222</v>
      </c>
      <c r="F49" s="8"/>
      <c r="G49" s="5">
        <f>(E49/E46-1)*100</f>
        <v>3.0813048254691555</v>
      </c>
      <c r="H49" s="5"/>
      <c r="I49" s="39"/>
      <c r="J49" s="20">
        <f t="shared" si="9"/>
        <v>39355</v>
      </c>
      <c r="K49" s="27">
        <v>6.6324679686844625</v>
      </c>
      <c r="L49" s="46">
        <f t="shared" si="4"/>
        <v>1757492.652372923</v>
      </c>
      <c r="M49" s="8"/>
      <c r="N49" s="5">
        <f>(L49/L46-1)*100</f>
        <v>4.7030723953443321</v>
      </c>
      <c r="O49" s="39"/>
      <c r="P49" s="20">
        <f t="shared" si="5"/>
        <v>39355</v>
      </c>
      <c r="Q49" s="45">
        <f t="shared" ref="Q49:Q80" ca="1" si="11">K49*$Q$3</f>
        <v>5.2875363488543945</v>
      </c>
      <c r="R49" s="46">
        <f t="shared" ref="R49:R80" ca="1" si="12">R48*Q49/100+R48</f>
        <v>1572191.0636645542</v>
      </c>
      <c r="S49" s="8"/>
      <c r="T49" s="5">
        <f ca="1">(R49/R46-1)*100</f>
        <v>3.7680258594023019</v>
      </c>
      <c r="U49" s="39"/>
    </row>
    <row r="50" spans="1:21" x14ac:dyDescent="0.25">
      <c r="A50" s="20">
        <v>39386</v>
      </c>
      <c r="B50" s="24">
        <f t="shared" si="8"/>
        <v>34</v>
      </c>
      <c r="C50" s="17" t="s">
        <v>77</v>
      </c>
      <c r="D50" s="27">
        <v>7.5053009712313701</v>
      </c>
      <c r="E50" s="46">
        <f t="shared" si="10"/>
        <v>2161315.3675687085</v>
      </c>
      <c r="F50" s="8"/>
      <c r="I50" s="39"/>
      <c r="J50" s="20">
        <f t="shared" si="9"/>
        <v>39386</v>
      </c>
      <c r="K50" s="27">
        <v>5.5839937538311943</v>
      </c>
      <c r="L50" s="46">
        <f t="shared" si="4"/>
        <v>1855630.9323054692</v>
      </c>
      <c r="M50" s="8"/>
      <c r="O50" s="39"/>
      <c r="P50" s="20">
        <f t="shared" si="5"/>
        <v>39386</v>
      </c>
      <c r="Q50" s="45">
        <f t="shared" ca="1" si="11"/>
        <v>4.4516716981619551</v>
      </c>
      <c r="R50" s="46">
        <f t="shared" ca="1" si="12"/>
        <v>1642179.8482867405</v>
      </c>
      <c r="S50" s="8"/>
      <c r="U50" s="39"/>
    </row>
    <row r="51" spans="1:21" x14ac:dyDescent="0.25">
      <c r="A51" s="20">
        <v>39416</v>
      </c>
      <c r="B51" s="24">
        <f t="shared" si="8"/>
        <v>35</v>
      </c>
      <c r="C51" s="17" t="s">
        <v>77</v>
      </c>
      <c r="D51" s="27">
        <v>-1.7779504443362599</v>
      </c>
      <c r="E51" s="46">
        <f t="shared" si="10"/>
        <v>2122888.2513875128</v>
      </c>
      <c r="F51" s="8"/>
      <c r="I51" s="39"/>
      <c r="J51" s="20">
        <f t="shared" si="9"/>
        <v>39416</v>
      </c>
      <c r="K51" s="27">
        <v>-4.470340622356443</v>
      </c>
      <c r="L51" s="46">
        <f t="shared" si="4"/>
        <v>1772677.9089376063</v>
      </c>
      <c r="M51" s="8"/>
      <c r="O51" s="39"/>
      <c r="P51" s="20">
        <f t="shared" si="5"/>
        <v>39416</v>
      </c>
      <c r="Q51" s="45">
        <f t="shared" ca="1" si="11"/>
        <v>-3.5638451092525125</v>
      </c>
      <c r="R51" s="46">
        <f t="shared" ca="1" si="12"/>
        <v>1583655.1020784432</v>
      </c>
      <c r="S51" s="8"/>
      <c r="U51" s="39"/>
    </row>
    <row r="52" spans="1:21" x14ac:dyDescent="0.25">
      <c r="A52" s="20">
        <v>39447</v>
      </c>
      <c r="B52" s="24">
        <f t="shared" si="8"/>
        <v>36</v>
      </c>
      <c r="C52" s="17" t="s">
        <v>77</v>
      </c>
      <c r="D52" s="27">
        <v>-3.1955880417511302E-2</v>
      </c>
      <c r="E52" s="46">
        <f t="shared" si="10"/>
        <v>2122209.863756502</v>
      </c>
      <c r="F52" s="11">
        <f>(E52-E40)/E40*100</f>
        <v>26.210960459194354</v>
      </c>
      <c r="G52" s="5">
        <f>(E52/E49-1)*100</f>
        <v>5.560166531322186</v>
      </c>
      <c r="H52" s="5"/>
      <c r="I52" s="39"/>
      <c r="J52" s="20">
        <f t="shared" si="9"/>
        <v>39447</v>
      </c>
      <c r="K52" s="27">
        <v>-1.4049820164367692</v>
      </c>
      <c r="L52" s="46">
        <f t="shared" si="4"/>
        <v>1747772.1031076855</v>
      </c>
      <c r="M52" s="11">
        <f>(L52-L40)/L40*100</f>
        <v>17.205959327685488</v>
      </c>
      <c r="N52" s="5">
        <f>(L52/L49-1)*100</f>
        <v>-0.55309188645045193</v>
      </c>
      <c r="O52" s="39"/>
      <c r="P52" s="20">
        <f t="shared" si="5"/>
        <v>39447</v>
      </c>
      <c r="Q52" s="45">
        <f t="shared" ca="1" si="11"/>
        <v>-1.1200798128949978</v>
      </c>
      <c r="R52" s="46">
        <f t="shared" ca="1" si="12"/>
        <v>1565916.9009741808</v>
      </c>
      <c r="S52" s="11">
        <f ca="1">(R52-R40)/R40*100</f>
        <v>13.613895829470499</v>
      </c>
      <c r="T52" s="5">
        <f ca="1">(R52/R49-1)*100</f>
        <v>-0.39907126019080863</v>
      </c>
      <c r="U52" s="39"/>
    </row>
    <row r="53" spans="1:21" x14ac:dyDescent="0.25">
      <c r="A53" s="20">
        <v>39478</v>
      </c>
      <c r="B53" s="24">
        <f t="shared" si="8"/>
        <v>37</v>
      </c>
      <c r="C53" s="17" t="s">
        <v>77</v>
      </c>
      <c r="D53" s="27">
        <v>-5.7307394782047103</v>
      </c>
      <c r="E53" s="46">
        <f t="shared" si="10"/>
        <v>2000591.5452838538</v>
      </c>
      <c r="F53" s="10"/>
      <c r="I53" s="39"/>
      <c r="J53" s="20">
        <f t="shared" si="9"/>
        <v>39478</v>
      </c>
      <c r="K53" s="27">
        <v>-9.6917960877198883</v>
      </c>
      <c r="L53" s="46">
        <f t="shared" si="4"/>
        <v>1578381.5947964352</v>
      </c>
      <c r="M53" s="10"/>
      <c r="O53" s="39"/>
      <c r="P53" s="20">
        <f t="shared" si="5"/>
        <v>39478</v>
      </c>
      <c r="Q53" s="45">
        <f t="shared" ca="1" si="11"/>
        <v>-7.7264940202445054</v>
      </c>
      <c r="R53" s="46">
        <f t="shared" ca="1" si="12"/>
        <v>1444926.4252584127</v>
      </c>
      <c r="S53" s="10"/>
      <c r="U53" s="39"/>
    </row>
    <row r="54" spans="1:21" x14ac:dyDescent="0.25">
      <c r="A54" s="20">
        <v>39507</v>
      </c>
      <c r="B54" s="24">
        <f t="shared" si="8"/>
        <v>38</v>
      </c>
      <c r="C54" s="17" t="s">
        <v>77</v>
      </c>
      <c r="D54" s="27">
        <v>-9.2201213344544897E-2</v>
      </c>
      <c r="E54" s="46">
        <f t="shared" si="10"/>
        <v>1998746.9756050336</v>
      </c>
      <c r="F54" s="8"/>
      <c r="I54" s="39"/>
      <c r="J54" s="20">
        <f t="shared" si="9"/>
        <v>39507</v>
      </c>
      <c r="K54" s="27">
        <v>2.8906286487719011</v>
      </c>
      <c r="L54" s="46">
        <f t="shared" si="4"/>
        <v>1624006.7453625638</v>
      </c>
      <c r="M54" s="8"/>
      <c r="O54" s="39"/>
      <c r="P54" s="20">
        <f t="shared" si="5"/>
        <v>39507</v>
      </c>
      <c r="Q54" s="45">
        <f t="shared" ca="1" si="11"/>
        <v>2.3044670737328721</v>
      </c>
      <c r="R54" s="46">
        <f t="shared" ca="1" si="12"/>
        <v>1478224.2789681582</v>
      </c>
      <c r="S54" s="8"/>
      <c r="U54" s="39"/>
    </row>
    <row r="55" spans="1:21" x14ac:dyDescent="0.25">
      <c r="A55" s="20">
        <v>39538</v>
      </c>
      <c r="B55" s="24">
        <f t="shared" si="8"/>
        <v>39</v>
      </c>
      <c r="C55" s="17" t="s">
        <v>77</v>
      </c>
      <c r="D55" s="27">
        <v>-0.78282858656283405</v>
      </c>
      <c r="E55" s="46">
        <f t="shared" si="10"/>
        <v>1983100.2129069373</v>
      </c>
      <c r="F55" s="8"/>
      <c r="G55" s="5">
        <f>(E55/E52-1)*100</f>
        <v>-6.5549431856530944</v>
      </c>
      <c r="H55" s="5"/>
      <c r="I55" s="39"/>
      <c r="J55" s="20">
        <f t="shared" si="9"/>
        <v>39538</v>
      </c>
      <c r="K55" s="27">
        <v>-2.1393652099046161</v>
      </c>
      <c r="L55" s="46">
        <f t="shared" si="4"/>
        <v>1589263.3100457729</v>
      </c>
      <c r="M55" s="8"/>
      <c r="N55" s="5">
        <f>(L55/L52-1)*100</f>
        <v>-9.0691911594235073</v>
      </c>
      <c r="O55" s="39"/>
      <c r="P55" s="20">
        <f t="shared" si="5"/>
        <v>39538</v>
      </c>
      <c r="Q55" s="45">
        <f t="shared" ca="1" si="11"/>
        <v>-1.7055448083963949</v>
      </c>
      <c r="R55" s="46">
        <f t="shared" ca="1" si="12"/>
        <v>1453012.5015217618</v>
      </c>
      <c r="S55" s="8"/>
      <c r="T55" s="5">
        <f ca="1">(R55/R52-1)*100</f>
        <v>-7.2101143669998979</v>
      </c>
      <c r="U55" s="39"/>
    </row>
    <row r="56" spans="1:21" x14ac:dyDescent="0.25">
      <c r="A56" s="20">
        <v>39568</v>
      </c>
      <c r="B56" s="24">
        <f t="shared" si="8"/>
        <v>40</v>
      </c>
      <c r="C56" s="17" t="s">
        <v>77</v>
      </c>
      <c r="D56" s="27">
        <v>5.7408636706870499</v>
      </c>
      <c r="E56" s="46">
        <f t="shared" si="10"/>
        <v>2096947.2925830293</v>
      </c>
      <c r="F56" s="8"/>
      <c r="I56" s="39"/>
      <c r="J56" s="20">
        <f t="shared" si="9"/>
        <v>39568</v>
      </c>
      <c r="K56" s="27">
        <v>6.1488560310151463</v>
      </c>
      <c r="L56" s="46">
        <f t="shared" si="4"/>
        <v>1686984.8229342334</v>
      </c>
      <c r="M56" s="8"/>
      <c r="O56" s="39"/>
      <c r="P56" s="20">
        <f t="shared" si="5"/>
        <v>39568</v>
      </c>
      <c r="Q56" s="45">
        <f t="shared" ca="1" si="11"/>
        <v>4.9019912227806657</v>
      </c>
      <c r="R56" s="46">
        <f t="shared" ca="1" si="12"/>
        <v>1524239.0468122642</v>
      </c>
      <c r="S56" s="8"/>
      <c r="U56" s="39"/>
    </row>
    <row r="57" spans="1:21" x14ac:dyDescent="0.25">
      <c r="A57" s="20">
        <v>39599</v>
      </c>
      <c r="B57" s="24">
        <f t="shared" si="8"/>
        <v>41</v>
      </c>
      <c r="C57" s="17" t="s">
        <v>77</v>
      </c>
      <c r="D57" s="27">
        <v>4.1734183455779803</v>
      </c>
      <c r="E57" s="46">
        <f t="shared" si="10"/>
        <v>2184461.6755887903</v>
      </c>
      <c r="F57" s="8"/>
      <c r="I57" s="39"/>
      <c r="J57" s="20">
        <f t="shared" si="9"/>
        <v>39599</v>
      </c>
      <c r="K57" s="27">
        <v>1.751588036227306</v>
      </c>
      <c r="L57" s="46">
        <f t="shared" si="4"/>
        <v>1716533.8472657199</v>
      </c>
      <c r="M57" s="8"/>
      <c r="O57" s="39"/>
      <c r="P57" s="20">
        <f t="shared" si="5"/>
        <v>39599</v>
      </c>
      <c r="Q57" s="45">
        <f t="shared" ca="1" si="11"/>
        <v>1.3964010762659418</v>
      </c>
      <c r="R57" s="46">
        <f t="shared" ca="1" si="12"/>
        <v>1545523.5372668165</v>
      </c>
      <c r="S57" s="8"/>
      <c r="U57" s="39"/>
    </row>
    <row r="58" spans="1:21" x14ac:dyDescent="0.25">
      <c r="A58" s="20">
        <v>39629</v>
      </c>
      <c r="B58" s="24">
        <f t="shared" si="8"/>
        <v>42</v>
      </c>
      <c r="C58" s="17" t="s">
        <v>77</v>
      </c>
      <c r="D58" s="27">
        <v>-7.5063929149126389</v>
      </c>
      <c r="E58" s="46">
        <f t="shared" si="10"/>
        <v>2020487.3991434115</v>
      </c>
      <c r="F58" s="8"/>
      <c r="G58" s="5">
        <f>(E58/E55-1)*100</f>
        <v>1.8852898100227611</v>
      </c>
      <c r="H58" s="5"/>
      <c r="I58" s="39"/>
      <c r="J58" s="20">
        <f t="shared" si="9"/>
        <v>39629</v>
      </c>
      <c r="K58" s="27">
        <v>-8.1967549020873633</v>
      </c>
      <c r="L58" s="46">
        <f t="shared" si="4"/>
        <v>1575833.7749939782</v>
      </c>
      <c r="M58" s="8"/>
      <c r="N58" s="5">
        <f>(L58/L55-1)*100</f>
        <v>-0.84501636493501397</v>
      </c>
      <c r="O58" s="39"/>
      <c r="P58" s="20">
        <f t="shared" si="5"/>
        <v>39629</v>
      </c>
      <c r="Q58" s="45">
        <f t="shared" ca="1" si="11"/>
        <v>-6.5346172332942167</v>
      </c>
      <c r="R58" s="46">
        <f t="shared" ca="1" si="12"/>
        <v>1444529.4898559607</v>
      </c>
      <c r="S58" s="8"/>
      <c r="T58" s="5">
        <f ca="1">(R58/R55-1)*100</f>
        <v>-0.58382234543176148</v>
      </c>
      <c r="U58" s="39"/>
    </row>
    <row r="59" spans="1:21" x14ac:dyDescent="0.25">
      <c r="A59" s="20">
        <v>39660</v>
      </c>
      <c r="B59" s="24">
        <f t="shared" si="8"/>
        <v>43</v>
      </c>
      <c r="C59" s="17" t="s">
        <v>77</v>
      </c>
      <c r="D59" s="27">
        <v>-1.84107994968234</v>
      </c>
      <c r="E59" s="46">
        <f t="shared" si="10"/>
        <v>1983288.6107519241</v>
      </c>
      <c r="F59" s="8"/>
      <c r="I59" s="39"/>
      <c r="J59" s="20">
        <f t="shared" si="9"/>
        <v>39660</v>
      </c>
      <c r="K59" s="27">
        <v>-3.5787152556851978</v>
      </c>
      <c r="L59" s="46">
        <f t="shared" si="4"/>
        <v>1519439.1712840288</v>
      </c>
      <c r="M59" s="8"/>
      <c r="O59" s="39"/>
      <c r="P59" s="20">
        <f t="shared" si="5"/>
        <v>39660</v>
      </c>
      <c r="Q59" s="45">
        <f t="shared" ca="1" si="11"/>
        <v>-2.85302350286186</v>
      </c>
      <c r="R59" s="46">
        <f t="shared" ca="1" si="12"/>
        <v>1403316.7240045997</v>
      </c>
      <c r="S59" s="8"/>
      <c r="U59" s="39"/>
    </row>
    <row r="60" spans="1:21" x14ac:dyDescent="0.25">
      <c r="A60" s="20">
        <v>39691</v>
      </c>
      <c r="B60" s="24">
        <f t="shared" si="8"/>
        <v>44</v>
      </c>
      <c r="C60" s="17" t="s">
        <v>77</v>
      </c>
      <c r="D60" s="27">
        <v>-2.4453533213075902</v>
      </c>
      <c r="E60" s="46">
        <f t="shared" si="10"/>
        <v>1934790.1968377868</v>
      </c>
      <c r="F60" s="8"/>
      <c r="I60" s="39"/>
      <c r="J60" s="20">
        <f t="shared" si="9"/>
        <v>39691</v>
      </c>
      <c r="K60" s="27">
        <v>-4.6374361205430201</v>
      </c>
      <c r="L60" s="46">
        <f t="shared" si="4"/>
        <v>1448976.1503252238</v>
      </c>
      <c r="M60" s="8"/>
      <c r="O60" s="39"/>
      <c r="P60" s="20">
        <f t="shared" si="5"/>
        <v>39691</v>
      </c>
      <c r="Q60" s="45">
        <f t="shared" ca="1" si="11"/>
        <v>-3.6970569882337698</v>
      </c>
      <c r="R60" s="46">
        <f t="shared" ca="1" si="12"/>
        <v>1351435.3049927345</v>
      </c>
      <c r="S60" s="8"/>
      <c r="U60" s="39"/>
    </row>
    <row r="61" spans="1:21" x14ac:dyDescent="0.25">
      <c r="A61" s="20">
        <v>39721</v>
      </c>
      <c r="B61" s="24">
        <f t="shared" si="8"/>
        <v>45</v>
      </c>
      <c r="C61" s="17" t="s">
        <v>77</v>
      </c>
      <c r="D61" s="27">
        <v>-9.4917113040080707</v>
      </c>
      <c r="E61" s="46">
        <f t="shared" si="10"/>
        <v>1751145.4970156946</v>
      </c>
      <c r="F61" s="8"/>
      <c r="G61" s="5">
        <f>(E61/E58-1)*100</f>
        <v>-13.330541048754119</v>
      </c>
      <c r="H61" s="5"/>
      <c r="I61" s="39"/>
      <c r="J61" s="20">
        <f t="shared" si="9"/>
        <v>39721</v>
      </c>
      <c r="K61" s="27">
        <v>-14.985286049179511</v>
      </c>
      <c r="L61" s="46">
        <f t="shared" si="4"/>
        <v>1231842.9294145997</v>
      </c>
      <c r="M61" s="8"/>
      <c r="N61" s="5">
        <f>(L61/L58-1)*100</f>
        <v>-21.829132681249519</v>
      </c>
      <c r="O61" s="39"/>
      <c r="P61" s="20">
        <f t="shared" si="5"/>
        <v>39721</v>
      </c>
      <c r="Q61" s="45">
        <f t="shared" ca="1" si="11"/>
        <v>-11.946570274765078</v>
      </c>
      <c r="R61" s="46">
        <f t="shared" ca="1" si="12"/>
        <v>1189985.1365637917</v>
      </c>
      <c r="S61" s="8"/>
      <c r="T61" s="5">
        <f ca="1">(R61/R58-1)*100</f>
        <v>-17.621263884169693</v>
      </c>
      <c r="U61" s="39"/>
    </row>
    <row r="62" spans="1:21" x14ac:dyDescent="0.25">
      <c r="A62" s="20">
        <v>39752</v>
      </c>
      <c r="B62" s="24">
        <f t="shared" si="8"/>
        <v>46</v>
      </c>
      <c r="C62" s="17" t="s">
        <v>77</v>
      </c>
      <c r="D62" s="27">
        <v>-17.100751769751099</v>
      </c>
      <c r="E62" s="46">
        <f t="shared" si="10"/>
        <v>1451686.4524438665</v>
      </c>
      <c r="F62" s="8"/>
      <c r="I62" s="39"/>
      <c r="J62" s="20">
        <f t="shared" si="9"/>
        <v>39752</v>
      </c>
      <c r="K62" s="27">
        <v>-22.007752210866403</v>
      </c>
      <c r="L62" s="46">
        <f t="shared" si="4"/>
        <v>960741.98988195672</v>
      </c>
      <c r="M62" s="8"/>
      <c r="O62" s="39"/>
      <c r="P62" s="20">
        <f t="shared" si="5"/>
        <v>39752</v>
      </c>
      <c r="Q62" s="45">
        <f t="shared" ca="1" si="11"/>
        <v>-17.545020996854944</v>
      </c>
      <c r="R62" s="46">
        <f t="shared" ca="1" si="12"/>
        <v>981201.99449422141</v>
      </c>
      <c r="S62" s="8"/>
      <c r="U62" s="39"/>
    </row>
    <row r="63" spans="1:21" x14ac:dyDescent="0.25">
      <c r="A63" s="20">
        <v>39782</v>
      </c>
      <c r="B63" s="24">
        <f t="shared" si="8"/>
        <v>47</v>
      </c>
      <c r="C63" s="17" t="s">
        <v>77</v>
      </c>
      <c r="D63" s="27">
        <v>-6.8618056956972806</v>
      </c>
      <c r="E63" s="46">
        <f t="shared" si="10"/>
        <v>1352074.5487664074</v>
      </c>
      <c r="F63" s="8"/>
      <c r="I63" s="39"/>
      <c r="J63" s="20">
        <f t="shared" si="9"/>
        <v>39782</v>
      </c>
      <c r="K63" s="27">
        <v>-5.726221401991948</v>
      </c>
      <c r="L63" s="46">
        <f t="shared" si="4"/>
        <v>905727.77643941285</v>
      </c>
      <c r="M63" s="8"/>
      <c r="O63" s="39"/>
      <c r="P63" s="20">
        <f t="shared" si="5"/>
        <v>39782</v>
      </c>
      <c r="Q63" s="45">
        <f t="shared" ca="1" si="11"/>
        <v>-4.56505842886504</v>
      </c>
      <c r="R63" s="46">
        <f t="shared" ca="1" si="12"/>
        <v>936409.55014037108</v>
      </c>
      <c r="S63" s="8"/>
      <c r="U63" s="39"/>
    </row>
    <row r="64" spans="1:21" x14ac:dyDescent="0.25">
      <c r="A64" s="20">
        <v>39813</v>
      </c>
      <c r="B64" s="24">
        <f t="shared" si="8"/>
        <v>48</v>
      </c>
      <c r="C64" s="17" t="s">
        <v>77</v>
      </c>
      <c r="D64" s="27">
        <v>5.27269399320258</v>
      </c>
      <c r="E64" s="46">
        <f t="shared" si="10"/>
        <v>1423365.3022828347</v>
      </c>
      <c r="F64" s="11">
        <f>(E64-E52)/E52*100</f>
        <v>-32.930040209908825</v>
      </c>
      <c r="G64" s="5">
        <f>(E64/E61-1)*100</f>
        <v>-18.718044576619342</v>
      </c>
      <c r="H64" s="5"/>
      <c r="I64" s="39"/>
      <c r="J64" s="20">
        <f t="shared" si="9"/>
        <v>39813</v>
      </c>
      <c r="K64" s="27">
        <v>5.7535808936727495</v>
      </c>
      <c r="L64" s="46">
        <f t="shared" si="4"/>
        <v>957839.55673331791</v>
      </c>
      <c r="M64" s="11">
        <f>(L64-L52)/L52*100</f>
        <v>-45.196541641201463</v>
      </c>
      <c r="N64" s="5">
        <f>(L64/L61-1)*100</f>
        <v>-22.24336935647262</v>
      </c>
      <c r="O64" s="39"/>
      <c r="P64" s="20">
        <f t="shared" si="5"/>
        <v>39813</v>
      </c>
      <c r="Q64" s="45">
        <f t="shared" ca="1" si="11"/>
        <v>4.5868699637916253</v>
      </c>
      <c r="R64" s="46">
        <f t="shared" ca="1" si="12"/>
        <v>979361.43853383604</v>
      </c>
      <c r="S64" s="11">
        <f ca="1">(R64-R52)/R52*100</f>
        <v>-37.457636613758979</v>
      </c>
      <c r="T64" s="5">
        <f ca="1">(R64/R61-1)*100</f>
        <v>-17.699691496832802</v>
      </c>
      <c r="U64" s="39"/>
    </row>
    <row r="65" spans="1:21" x14ac:dyDescent="0.25">
      <c r="A65" s="20">
        <v>39844</v>
      </c>
      <c r="B65" s="24">
        <f t="shared" si="8"/>
        <v>49</v>
      </c>
      <c r="C65" s="17" t="s">
        <v>77</v>
      </c>
      <c r="D65" s="27">
        <v>-7.6373391581202403</v>
      </c>
      <c r="E65" s="46">
        <f t="shared" si="10"/>
        <v>1314658.0666884913</v>
      </c>
      <c r="F65" s="10"/>
      <c r="I65" s="39"/>
      <c r="J65" s="20">
        <f t="shared" si="9"/>
        <v>39844</v>
      </c>
      <c r="K65" s="27">
        <v>-8.8356817619351382</v>
      </c>
      <c r="L65" s="46">
        <f t="shared" si="4"/>
        <v>873207.90171043179</v>
      </c>
      <c r="M65" s="10"/>
      <c r="O65" s="39"/>
      <c r="P65" s="20">
        <f t="shared" si="5"/>
        <v>39844</v>
      </c>
      <c r="Q65" s="45">
        <f t="shared" ca="1" si="11"/>
        <v>-7.0439825271268521</v>
      </c>
      <c r="R65" s="46">
        <f t="shared" ca="1" si="12"/>
        <v>910375.38992609445</v>
      </c>
      <c r="S65" s="10"/>
      <c r="U65" s="39"/>
    </row>
    <row r="66" spans="1:21" x14ac:dyDescent="0.25">
      <c r="A66" s="20">
        <v>39872</v>
      </c>
      <c r="B66" s="24">
        <f t="shared" si="8"/>
        <v>50</v>
      </c>
      <c r="C66" s="17" t="s">
        <v>77</v>
      </c>
      <c r="D66" s="27">
        <v>-6.7305054656414605</v>
      </c>
      <c r="E66" s="46">
        <f t="shared" si="10"/>
        <v>1226174.933655526</v>
      </c>
      <c r="F66" s="8"/>
      <c r="I66" s="39"/>
      <c r="J66" s="20">
        <f t="shared" si="9"/>
        <v>39872</v>
      </c>
      <c r="K66" s="27">
        <v>-9.2925014746104821</v>
      </c>
      <c r="L66" s="46">
        <f t="shared" si="4"/>
        <v>792065.04456757463</v>
      </c>
      <c r="M66" s="8"/>
      <c r="O66" s="39"/>
      <c r="P66" s="20">
        <f t="shared" si="5"/>
        <v>39872</v>
      </c>
      <c r="Q66" s="45">
        <f t="shared" ca="1" si="11"/>
        <v>-7.4081683546421573</v>
      </c>
      <c r="R66" s="46">
        <f t="shared" ca="1" si="12"/>
        <v>842933.24838113936</v>
      </c>
      <c r="S66" s="8"/>
      <c r="U66" s="39"/>
    </row>
    <row r="67" spans="1:21" x14ac:dyDescent="0.25">
      <c r="A67" s="20">
        <v>39903</v>
      </c>
      <c r="B67" s="24">
        <f t="shared" si="8"/>
        <v>51</v>
      </c>
      <c r="C67" s="17" t="s">
        <v>77</v>
      </c>
      <c r="D67" s="27">
        <v>4.6666150550840602</v>
      </c>
      <c r="E67" s="46">
        <f t="shared" si="10"/>
        <v>1283395.7977111619</v>
      </c>
      <c r="F67" s="8"/>
      <c r="G67" s="5">
        <f>(E67/E64-1)*100</f>
        <v>-9.8337021667723405</v>
      </c>
      <c r="H67" s="5"/>
      <c r="I67" s="39"/>
      <c r="J67" s="20">
        <f t="shared" si="9"/>
        <v>39903</v>
      </c>
      <c r="K67" s="27">
        <v>8.1027123401164651</v>
      </c>
      <c r="L67" s="46">
        <f t="shared" si="4"/>
        <v>856243.79667550046</v>
      </c>
      <c r="M67" s="8"/>
      <c r="N67" s="5">
        <f>(L67/L64-1)*100</f>
        <v>-10.606761784228935</v>
      </c>
      <c r="O67" s="39"/>
      <c r="P67" s="20">
        <f t="shared" si="5"/>
        <v>39903</v>
      </c>
      <c r="Q67" s="45">
        <f t="shared" ca="1" si="11"/>
        <v>6.4596446187096719</v>
      </c>
      <c r="R67" s="46">
        <f t="shared" ca="1" si="12"/>
        <v>897383.7405995063</v>
      </c>
      <c r="S67" s="8"/>
      <c r="T67" s="5">
        <f ca="1">(R67/R64-1)*100</f>
        <v>-8.3705253963291977</v>
      </c>
      <c r="U67" s="39"/>
    </row>
    <row r="68" spans="1:21" x14ac:dyDescent="0.25">
      <c r="A68" s="20">
        <v>39933</v>
      </c>
      <c r="B68" s="24">
        <f t="shared" si="8"/>
        <v>52</v>
      </c>
      <c r="C68" s="17" t="s">
        <v>77</v>
      </c>
      <c r="D68" s="27">
        <v>8.6023088759904507</v>
      </c>
      <c r="E68" s="46">
        <f t="shared" si="10"/>
        <v>1393797.4683317577</v>
      </c>
      <c r="F68" s="8"/>
      <c r="I68" s="39"/>
      <c r="J68" s="20">
        <f t="shared" si="9"/>
        <v>39933</v>
      </c>
      <c r="K68" s="27">
        <v>13.746515456909826</v>
      </c>
      <c r="L68" s="46">
        <f t="shared" si="4"/>
        <v>973947.48253432964</v>
      </c>
      <c r="M68" s="8"/>
      <c r="O68" s="39"/>
      <c r="P68" s="20">
        <f t="shared" si="5"/>
        <v>39933</v>
      </c>
      <c r="Q68" s="45">
        <f t="shared" ca="1" si="11"/>
        <v>10.958997539330213</v>
      </c>
      <c r="R68" s="46">
        <f t="shared" ca="1" si="12"/>
        <v>995728.00265015569</v>
      </c>
      <c r="S68" s="8"/>
      <c r="U68" s="39"/>
    </row>
    <row r="69" spans="1:21" x14ac:dyDescent="0.25">
      <c r="A69" s="20">
        <v>39964</v>
      </c>
      <c r="B69" s="24">
        <f t="shared" si="8"/>
        <v>53</v>
      </c>
      <c r="C69" s="17" t="s">
        <v>77</v>
      </c>
      <c r="D69" s="27">
        <v>13.028532513487001</v>
      </c>
      <c r="E69" s="46">
        <f t="shared" si="10"/>
        <v>1575388.8246655194</v>
      </c>
      <c r="F69" s="8"/>
      <c r="I69" s="39"/>
      <c r="J69" s="20">
        <f t="shared" si="9"/>
        <v>39964</v>
      </c>
      <c r="K69" s="27">
        <v>13.703134615727109</v>
      </c>
      <c r="L69" s="46">
        <f t="shared" si="4"/>
        <v>1107408.8171524941</v>
      </c>
      <c r="M69" s="8"/>
      <c r="O69" s="39"/>
      <c r="P69" s="20">
        <f t="shared" si="5"/>
        <v>39964</v>
      </c>
      <c r="Q69" s="45">
        <f t="shared" ca="1" si="11"/>
        <v>10.924413463586385</v>
      </c>
      <c r="R69" s="46">
        <f t="shared" ca="1" si="12"/>
        <v>1104505.4466323692</v>
      </c>
      <c r="S69" s="8"/>
      <c r="U69" s="39"/>
    </row>
    <row r="70" spans="1:21" x14ac:dyDescent="0.25">
      <c r="A70" s="20">
        <v>39994</v>
      </c>
      <c r="B70" s="24">
        <f t="shared" si="8"/>
        <v>54</v>
      </c>
      <c r="C70" s="17" t="s">
        <v>77</v>
      </c>
      <c r="D70" s="27">
        <v>0.530229106297608</v>
      </c>
      <c r="E70" s="46">
        <f t="shared" si="10"/>
        <v>1583741.9947512557</v>
      </c>
      <c r="F70" s="8"/>
      <c r="G70" s="5">
        <f>(E70/E67-1)*100</f>
        <v>23.402460688724268</v>
      </c>
      <c r="H70" s="5"/>
      <c r="I70" s="39"/>
      <c r="J70" s="20">
        <f t="shared" si="9"/>
        <v>39994</v>
      </c>
      <c r="K70" s="27">
        <v>-1.0623352405797519</v>
      </c>
      <c r="L70" s="46">
        <f t="shared" si="4"/>
        <v>1095644.4230305958</v>
      </c>
      <c r="M70" s="8"/>
      <c r="N70" s="5">
        <f>(L70/L67-1)*100</f>
        <v>27.95939979765172</v>
      </c>
      <c r="O70" s="39"/>
      <c r="P70" s="20">
        <f t="shared" si="5"/>
        <v>39994</v>
      </c>
      <c r="Q70" s="45">
        <f t="shared" ca="1" si="11"/>
        <v>-0.84691493811293361</v>
      </c>
      <c r="R70" s="46">
        <f t="shared" ca="1" si="12"/>
        <v>1095151.2250125688</v>
      </c>
      <c r="S70" s="8"/>
      <c r="T70" s="5">
        <f ca="1">(R70/R67-1)*100</f>
        <v>22.038229072541693</v>
      </c>
      <c r="U70" s="39"/>
    </row>
    <row r="71" spans="1:21" x14ac:dyDescent="0.25">
      <c r="A71" s="20">
        <v>40025</v>
      </c>
      <c r="B71" s="24">
        <f t="shared" si="8"/>
        <v>55</v>
      </c>
      <c r="C71" s="17" t="s">
        <v>77</v>
      </c>
      <c r="D71" s="27">
        <v>8.7549928451290207</v>
      </c>
      <c r="E71" s="46">
        <f t="shared" si="10"/>
        <v>1722398.4930770318</v>
      </c>
      <c r="F71" s="8"/>
      <c r="I71" s="39"/>
      <c r="J71" s="20">
        <f t="shared" si="9"/>
        <v>40025</v>
      </c>
      <c r="K71" s="27">
        <v>9.795647336643194</v>
      </c>
      <c r="L71" s="46">
        <f t="shared" si="4"/>
        <v>1202969.886774272</v>
      </c>
      <c r="M71" s="8"/>
      <c r="O71" s="39"/>
      <c r="P71" s="20">
        <f t="shared" si="5"/>
        <v>40025</v>
      </c>
      <c r="Q71" s="45">
        <f t="shared" ca="1" si="11"/>
        <v>7.8092863165885795</v>
      </c>
      <c r="R71" s="46">
        <f t="shared" ca="1" si="12"/>
        <v>1180674.7197734276</v>
      </c>
      <c r="S71" s="8"/>
      <c r="U71" s="39"/>
    </row>
    <row r="72" spans="1:21" x14ac:dyDescent="0.25">
      <c r="A72" s="20">
        <v>40056</v>
      </c>
      <c r="B72" s="24">
        <f t="shared" si="8"/>
        <v>56</v>
      </c>
      <c r="C72" s="17" t="s">
        <v>77</v>
      </c>
      <c r="D72" s="27">
        <v>1.1499100768284101</v>
      </c>
      <c r="E72" s="46">
        <f t="shared" si="10"/>
        <v>1742204.5269120652</v>
      </c>
      <c r="F72" s="8"/>
      <c r="I72" s="39"/>
      <c r="J72" s="20">
        <f t="shared" si="9"/>
        <v>40056</v>
      </c>
      <c r="K72" s="27">
        <v>3.735755561999444</v>
      </c>
      <c r="L72" s="46">
        <f t="shared" si="4"/>
        <v>1247909.9012286202</v>
      </c>
      <c r="M72" s="8"/>
      <c r="O72" s="39"/>
      <c r="P72" s="20">
        <f t="shared" si="5"/>
        <v>40056</v>
      </c>
      <c r="Q72" s="45">
        <f t="shared" ca="1" si="11"/>
        <v>2.9782191814225971</v>
      </c>
      <c r="R72" s="46">
        <f t="shared" ca="1" si="12"/>
        <v>1215837.8007479273</v>
      </c>
      <c r="S72" s="8"/>
      <c r="U72" s="39"/>
    </row>
    <row r="73" spans="1:21" x14ac:dyDescent="0.25">
      <c r="A73" s="20">
        <v>40086</v>
      </c>
      <c r="B73" s="24">
        <f t="shared" si="8"/>
        <v>57</v>
      </c>
      <c r="C73" s="17" t="s">
        <v>77</v>
      </c>
      <c r="D73" s="27">
        <v>4.8182364770922499</v>
      </c>
      <c r="E73" s="46">
        <f t="shared" si="10"/>
        <v>1826148.0609332947</v>
      </c>
      <c r="F73" s="8"/>
      <c r="G73" s="5">
        <f>(E73/E70-1)*100</f>
        <v>15.305906327255748</v>
      </c>
      <c r="H73" s="5"/>
      <c r="I73" s="39"/>
      <c r="J73" s="20">
        <f t="shared" si="9"/>
        <v>40086</v>
      </c>
      <c r="K73" s="27">
        <v>5.1628992172698869</v>
      </c>
      <c r="L73" s="46">
        <f t="shared" si="4"/>
        <v>1312338.2317513861</v>
      </c>
      <c r="M73" s="8"/>
      <c r="N73" s="5">
        <f>(L73/L70-1)*100</f>
        <v>19.777749438217064</v>
      </c>
      <c r="O73" s="39"/>
      <c r="P73" s="20">
        <f t="shared" si="5"/>
        <v>40086</v>
      </c>
      <c r="Q73" s="45">
        <f t="shared" ca="1" si="11"/>
        <v>4.1159666968133335</v>
      </c>
      <c r="R73" s="46">
        <f t="shared" ca="1" si="12"/>
        <v>1265881.2797139797</v>
      </c>
      <c r="S73" s="8"/>
      <c r="T73" s="5">
        <f ca="1">(R73/R70-1)*100</f>
        <v>15.589632810706266</v>
      </c>
      <c r="U73" s="39"/>
    </row>
    <row r="74" spans="1:21" x14ac:dyDescent="0.25">
      <c r="A74" s="20">
        <v>40117</v>
      </c>
      <c r="B74" s="24">
        <f t="shared" si="8"/>
        <v>58</v>
      </c>
      <c r="C74" s="17" t="s">
        <v>77</v>
      </c>
      <c r="D74" s="27">
        <v>-1.6394360256784499</v>
      </c>
      <c r="E74" s="46">
        <f t="shared" si="10"/>
        <v>1796209.5317401257</v>
      </c>
      <c r="F74" s="8"/>
      <c r="I74" s="39"/>
      <c r="J74" s="20">
        <f t="shared" si="9"/>
        <v>40117</v>
      </c>
      <c r="K74" s="27">
        <v>-1.2283763829239065</v>
      </c>
      <c r="L74" s="46">
        <f t="shared" si="4"/>
        <v>1296217.7788484709</v>
      </c>
      <c r="M74" s="8"/>
      <c r="O74" s="39"/>
      <c r="P74" s="20">
        <f t="shared" si="5"/>
        <v>40117</v>
      </c>
      <c r="Q74" s="45">
        <f t="shared" ca="1" si="11"/>
        <v>-0.97928626349215941</v>
      </c>
      <c r="R74" s="46">
        <f t="shared" ca="1" si="12"/>
        <v>1253484.6782296218</v>
      </c>
      <c r="S74" s="8"/>
      <c r="U74" s="39"/>
    </row>
    <row r="75" spans="1:21" x14ac:dyDescent="0.25">
      <c r="A75" s="20">
        <v>40147</v>
      </c>
      <c r="B75" s="24">
        <f t="shared" si="8"/>
        <v>59</v>
      </c>
      <c r="C75" s="17" t="s">
        <v>77</v>
      </c>
      <c r="D75" s="27">
        <v>4.6825889867559303</v>
      </c>
      <c r="E75" s="46">
        <f t="shared" si="10"/>
        <v>1880318.6414524491</v>
      </c>
      <c r="F75" s="8"/>
      <c r="I75" s="39"/>
      <c r="J75" s="20">
        <f t="shared" si="9"/>
        <v>40147</v>
      </c>
      <c r="K75" s="27">
        <v>2.9028361149314259</v>
      </c>
      <c r="L75" s="46">
        <f t="shared" si="4"/>
        <v>1333844.8566610462</v>
      </c>
      <c r="M75" s="8"/>
      <c r="O75" s="39"/>
      <c r="P75" s="20">
        <f t="shared" si="5"/>
        <v>40147</v>
      </c>
      <c r="Q75" s="45">
        <f t="shared" ca="1" si="11"/>
        <v>2.3141991103368422</v>
      </c>
      <c r="R75" s="46">
        <f t="shared" ca="1" si="12"/>
        <v>1282492.8095014205</v>
      </c>
      <c r="S75" s="8"/>
      <c r="U75" s="39"/>
    </row>
    <row r="76" spans="1:21" x14ac:dyDescent="0.25">
      <c r="A76" s="20">
        <v>40178</v>
      </c>
      <c r="B76" s="24">
        <f t="shared" si="8"/>
        <v>60</v>
      </c>
      <c r="C76" s="17" t="s">
        <v>77</v>
      </c>
      <c r="D76" s="27">
        <v>2.8970087239330802</v>
      </c>
      <c r="E76" s="46">
        <f t="shared" si="10"/>
        <v>1934791.6365330666</v>
      </c>
      <c r="F76" s="11">
        <f>(E76-E64)/E64*100</f>
        <v>35.93078554254425</v>
      </c>
      <c r="G76" s="5">
        <f>(E76/E73-1)*100</f>
        <v>5.9493300638638891</v>
      </c>
      <c r="H76" s="5"/>
      <c r="I76" s="39"/>
      <c r="J76" s="20">
        <f t="shared" si="9"/>
        <v>40178</v>
      </c>
      <c r="K76" s="27">
        <v>2.1622998163195724</v>
      </c>
      <c r="L76" s="46">
        <f t="shared" si="4"/>
        <v>1362686.581546616</v>
      </c>
      <c r="M76" s="11">
        <f>(L76-L64)/L64*100</f>
        <v>42.266684641216571</v>
      </c>
      <c r="N76" s="5">
        <f>(L76/L73-1)*100</f>
        <v>3.8365376072323487</v>
      </c>
      <c r="O76" s="39"/>
      <c r="P76" s="20">
        <f t="shared" si="5"/>
        <v>40178</v>
      </c>
      <c r="Q76" s="45">
        <f t="shared" ca="1" si="11"/>
        <v>1.7238287361346549</v>
      </c>
      <c r="R76" s="46">
        <f t="shared" ca="1" si="12"/>
        <v>1304600.7890904667</v>
      </c>
      <c r="S76" s="11">
        <f ca="1">(R76-R64)/R64*100</f>
        <v>33.209327808896973</v>
      </c>
      <c r="T76" s="5">
        <f ca="1">(R76/R73-1)*100</f>
        <v>3.0586998952410127</v>
      </c>
      <c r="U76" s="39"/>
    </row>
    <row r="77" spans="1:21" x14ac:dyDescent="0.25">
      <c r="A77" s="20">
        <v>40209</v>
      </c>
      <c r="B77" s="24">
        <f t="shared" si="8"/>
        <v>61</v>
      </c>
      <c r="C77" s="17" t="s">
        <v>77</v>
      </c>
      <c r="D77" s="27">
        <v>-3.9665993843510003</v>
      </c>
      <c r="E77" s="46">
        <f t="shared" si="10"/>
        <v>1858046.2033898714</v>
      </c>
      <c r="F77" s="10"/>
      <c r="I77" s="39"/>
      <c r="J77" s="20">
        <f t="shared" si="9"/>
        <v>40209</v>
      </c>
      <c r="K77" s="27">
        <v>-4.8899038842311331</v>
      </c>
      <c r="L77" s="46">
        <f t="shared" si="4"/>
        <v>1296052.5174656715</v>
      </c>
      <c r="M77" s="10"/>
      <c r="O77" s="39"/>
      <c r="P77" s="20">
        <f t="shared" si="5"/>
        <v>40209</v>
      </c>
      <c r="Q77" s="45">
        <f t="shared" ca="1" si="11"/>
        <v>-3.898329347741246</v>
      </c>
      <c r="R77" s="46">
        <f t="shared" ca="1" si="12"/>
        <v>1253743.1536584892</v>
      </c>
      <c r="S77" s="10"/>
      <c r="U77" s="39"/>
    </row>
    <row r="78" spans="1:21" x14ac:dyDescent="0.25">
      <c r="A78" s="20">
        <v>40237</v>
      </c>
      <c r="B78" s="24">
        <f t="shared" si="8"/>
        <v>62</v>
      </c>
      <c r="C78" s="17" t="s">
        <v>77</v>
      </c>
      <c r="D78" s="27">
        <v>1.2978517495167801</v>
      </c>
      <c r="E78" s="46">
        <f t="shared" si="10"/>
        <v>1882160.888547397</v>
      </c>
      <c r="F78" s="8"/>
      <c r="I78" s="39"/>
      <c r="J78" s="20">
        <f t="shared" si="9"/>
        <v>40237</v>
      </c>
      <c r="K78" s="27">
        <v>1.9740092499630667E-2</v>
      </c>
      <c r="L78" s="46">
        <f t="shared" si="4"/>
        <v>1296308.3594314631</v>
      </c>
      <c r="M78" s="8"/>
      <c r="O78" s="39"/>
      <c r="P78" s="20">
        <f t="shared" si="5"/>
        <v>40237</v>
      </c>
      <c r="Q78" s="45">
        <f t="shared" ca="1" si="11"/>
        <v>1.5737197241564367E-2</v>
      </c>
      <c r="R78" s="46">
        <f t="shared" ca="1" si="12"/>
        <v>1253940.457691483</v>
      </c>
      <c r="S78" s="8"/>
      <c r="U78" s="39"/>
    </row>
    <row r="79" spans="1:21" x14ac:dyDescent="0.25">
      <c r="A79" s="20">
        <v>40268</v>
      </c>
      <c r="B79" s="24">
        <f t="shared" si="8"/>
        <v>63</v>
      </c>
      <c r="C79" s="17" t="s">
        <v>77</v>
      </c>
      <c r="D79" s="27">
        <v>4.7040059560756502</v>
      </c>
      <c r="E79" s="46">
        <f t="shared" si="10"/>
        <v>1970697.8488475929</v>
      </c>
      <c r="F79" s="8"/>
      <c r="G79" s="5">
        <f>(E79/E76-1)*100</f>
        <v>1.8558180445138905</v>
      </c>
      <c r="H79" s="5"/>
      <c r="I79" s="39"/>
      <c r="J79" s="20">
        <f t="shared" si="9"/>
        <v>40268</v>
      </c>
      <c r="K79" s="27">
        <v>6.873362750549326</v>
      </c>
      <c r="L79" s="46">
        <f t="shared" si="4"/>
        <v>1385408.3353408822</v>
      </c>
      <c r="M79" s="8"/>
      <c r="N79" s="5">
        <f>(L79/L76-1)*100</f>
        <v>1.6674233167011554</v>
      </c>
      <c r="O79" s="39"/>
      <c r="P79" s="20">
        <f t="shared" si="5"/>
        <v>40268</v>
      </c>
      <c r="Q79" s="45">
        <f t="shared" ca="1" si="11"/>
        <v>5.4795824953829326</v>
      </c>
      <c r="R79" s="46">
        <f t="shared" ca="1" si="12"/>
        <v>1322651.15951367</v>
      </c>
      <c r="S79" s="8"/>
      <c r="T79" s="5">
        <f ca="1">(R79/R76-1)*100</f>
        <v>1.3835934006898531</v>
      </c>
      <c r="U79" s="39"/>
    </row>
    <row r="80" spans="1:21" x14ac:dyDescent="0.25">
      <c r="A80" s="20">
        <v>40298</v>
      </c>
      <c r="B80" s="24">
        <f t="shared" si="8"/>
        <v>64</v>
      </c>
      <c r="C80" s="17" t="s">
        <v>77</v>
      </c>
      <c r="D80" s="27">
        <v>-0.54247052761214909</v>
      </c>
      <c r="E80" s="46">
        <f t="shared" si="10"/>
        <v>1960007.3938293082</v>
      </c>
      <c r="F80" s="8"/>
      <c r="I80" s="39"/>
      <c r="J80" s="20">
        <f t="shared" ref="J80:J111" si="13">A80</f>
        <v>40298</v>
      </c>
      <c r="K80" s="27">
        <v>-0.82471573668496345</v>
      </c>
      <c r="L80" s="46">
        <f t="shared" si="4"/>
        <v>1373982.6547819807</v>
      </c>
      <c r="M80" s="8"/>
      <c r="O80" s="39"/>
      <c r="P80" s="20">
        <f t="shared" si="5"/>
        <v>40298</v>
      </c>
      <c r="Q80" s="45">
        <f t="shared" ca="1" si="11"/>
        <v>-0.65747990880367768</v>
      </c>
      <c r="R80" s="46">
        <f t="shared" ca="1" si="12"/>
        <v>1313954.9938763087</v>
      </c>
      <c r="S80" s="8"/>
      <c r="U80" s="39"/>
    </row>
    <row r="81" spans="1:21" x14ac:dyDescent="0.25">
      <c r="A81" s="20">
        <v>40329</v>
      </c>
      <c r="B81" s="24">
        <f t="shared" si="8"/>
        <v>65</v>
      </c>
      <c r="C81" s="17" t="s">
        <v>77</v>
      </c>
      <c r="D81" s="27">
        <v>-9.2533696954517204</v>
      </c>
      <c r="E81" s="46">
        <f t="shared" ref="E81:E112" si="14">E80*D81/100+E80</f>
        <v>1778640.6636200938</v>
      </c>
      <c r="F81" s="8"/>
      <c r="I81" s="39"/>
      <c r="J81" s="20">
        <f t="shared" si="13"/>
        <v>40329</v>
      </c>
      <c r="K81" s="27">
        <v>-10.410137668710711</v>
      </c>
      <c r="L81" s="46">
        <f t="shared" ref="L81:L134" si="15">L80*K81/100+L80</f>
        <v>1230949.1688749702</v>
      </c>
      <c r="M81" s="8"/>
      <c r="O81" s="39"/>
      <c r="P81" s="20">
        <f t="shared" ref="P81:P134" si="16">$A81</f>
        <v>40329</v>
      </c>
      <c r="Q81" s="45">
        <f t="shared" ref="Q81:Q112" ca="1" si="17">K81*$Q$3</f>
        <v>-8.2991703208789254</v>
      </c>
      <c r="R81" s="46">
        <f t="shared" ref="R81:R112" ca="1" si="18">R80*Q81/100+R80</f>
        <v>1204907.6309948196</v>
      </c>
      <c r="S81" s="8"/>
      <c r="U81" s="39"/>
    </row>
    <row r="82" spans="1:21" x14ac:dyDescent="0.25">
      <c r="A82" s="20">
        <v>40359</v>
      </c>
      <c r="B82" s="24">
        <f t="shared" ref="B82:B142" si="19">IF(A82&gt;A81,1+B81,"-")</f>
        <v>66</v>
      </c>
      <c r="C82" s="17" t="s">
        <v>77</v>
      </c>
      <c r="D82" s="27">
        <v>-0.378955160765926</v>
      </c>
      <c r="E82" s="46">
        <f t="shared" si="14"/>
        <v>1771900.4130338242</v>
      </c>
      <c r="F82" s="8"/>
      <c r="G82" s="5">
        <f>(E82/E79-1)*100</f>
        <v>-10.087666961732356</v>
      </c>
      <c r="H82" s="5"/>
      <c r="I82" s="39"/>
      <c r="J82" s="20">
        <f t="shared" si="13"/>
        <v>40359</v>
      </c>
      <c r="K82" s="27">
        <v>-1.2252454659498579</v>
      </c>
      <c r="L82" s="46">
        <f t="shared" si="15"/>
        <v>1215867.0199951821</v>
      </c>
      <c r="M82" s="8"/>
      <c r="N82" s="5">
        <f>(L82/L79-1)*100</f>
        <v>-12.237642218601508</v>
      </c>
      <c r="O82" s="39"/>
      <c r="P82" s="20">
        <f t="shared" si="16"/>
        <v>40359</v>
      </c>
      <c r="Q82" s="45">
        <f t="shared" ca="1" si="17"/>
        <v>-0.97679023375124074</v>
      </c>
      <c r="R82" s="46">
        <f t="shared" ca="1" si="18"/>
        <v>1193138.2109295388</v>
      </c>
      <c r="S82" s="8"/>
      <c r="T82" s="5">
        <f ca="1">(R82/R79-1)*100</f>
        <v>-9.7919203905398771</v>
      </c>
      <c r="U82" s="39"/>
    </row>
    <row r="83" spans="1:21" x14ac:dyDescent="0.25">
      <c r="A83" s="20">
        <v>40390</v>
      </c>
      <c r="B83" s="24">
        <f t="shared" si="19"/>
        <v>67</v>
      </c>
      <c r="C83" s="17" t="s">
        <v>77</v>
      </c>
      <c r="D83" s="27">
        <v>8.6708386440741592</v>
      </c>
      <c r="E83" s="46">
        <f t="shared" si="14"/>
        <v>1925539.0387816706</v>
      </c>
      <c r="F83" s="8"/>
      <c r="I83" s="39"/>
      <c r="J83" s="20">
        <f t="shared" si="13"/>
        <v>40390</v>
      </c>
      <c r="K83" s="27">
        <v>9.0498555199617208</v>
      </c>
      <c r="L83" s="46">
        <f t="shared" si="15"/>
        <v>1325901.2286196102</v>
      </c>
      <c r="M83" s="8"/>
      <c r="O83" s="39"/>
      <c r="P83" s="20">
        <f t="shared" si="16"/>
        <v>40390</v>
      </c>
      <c r="Q83" s="45">
        <f t="shared" ca="1" si="17"/>
        <v>7.2147261380848287</v>
      </c>
      <c r="R83" s="46">
        <f t="shared" ca="1" si="18"/>
        <v>1279219.8652969499</v>
      </c>
      <c r="S83" s="8"/>
      <c r="U83" s="39"/>
    </row>
    <row r="84" spans="1:21" x14ac:dyDescent="0.25">
      <c r="A84" s="20">
        <v>40421</v>
      </c>
      <c r="B84" s="24">
        <f t="shared" si="19"/>
        <v>68</v>
      </c>
      <c r="C84" s="17" t="s">
        <v>77</v>
      </c>
      <c r="D84" s="27">
        <v>-0.84275961080962891</v>
      </c>
      <c r="E84" s="46">
        <f t="shared" si="14"/>
        <v>1909311.3734724468</v>
      </c>
      <c r="F84" s="8"/>
      <c r="I84" s="39"/>
      <c r="J84" s="20">
        <f t="shared" si="13"/>
        <v>40421</v>
      </c>
      <c r="K84" s="27">
        <v>-2.7156794485862359</v>
      </c>
      <c r="L84" s="46">
        <f t="shared" si="15"/>
        <v>1289894.001445435</v>
      </c>
      <c r="M84" s="8"/>
      <c r="O84" s="39"/>
      <c r="P84" s="20">
        <f t="shared" si="16"/>
        <v>40421</v>
      </c>
      <c r="Q84" s="45">
        <f t="shared" ca="1" si="17"/>
        <v>-2.1649940661657974</v>
      </c>
      <c r="R84" s="46">
        <f t="shared" ca="1" si="18"/>
        <v>1251524.8311200568</v>
      </c>
      <c r="S84" s="8"/>
      <c r="U84" s="39"/>
    </row>
    <row r="85" spans="1:21" x14ac:dyDescent="0.25">
      <c r="A85" s="20">
        <v>40451</v>
      </c>
      <c r="B85" s="24">
        <f t="shared" si="19"/>
        <v>69</v>
      </c>
      <c r="C85" s="17" t="s">
        <v>77</v>
      </c>
      <c r="D85" s="27">
        <v>8.9183776422056003</v>
      </c>
      <c r="E85" s="46">
        <f t="shared" si="14"/>
        <v>2079590.9721243023</v>
      </c>
      <c r="F85" s="8"/>
      <c r="G85" s="5">
        <f>(E85/E82-1)*100</f>
        <v>17.365002955423115</v>
      </c>
      <c r="H85" s="5"/>
      <c r="I85" s="39"/>
      <c r="J85" s="20">
        <f t="shared" si="13"/>
        <v>40451</v>
      </c>
      <c r="K85" s="27">
        <v>9.9825375629161428</v>
      </c>
      <c r="L85" s="46">
        <f t="shared" si="15"/>
        <v>1418658.1546615276</v>
      </c>
      <c r="M85" s="8"/>
      <c r="N85" s="5">
        <f>(L85/L82-1)*100</f>
        <v>16.678726483357465</v>
      </c>
      <c r="O85" s="39"/>
      <c r="P85" s="20">
        <f t="shared" si="16"/>
        <v>40451</v>
      </c>
      <c r="Q85" s="45">
        <f t="shared" ca="1" si="17"/>
        <v>7.9582789493957975</v>
      </c>
      <c r="R85" s="46">
        <f t="shared" ca="1" si="18"/>
        <v>1351124.6683015455</v>
      </c>
      <c r="S85" s="8"/>
      <c r="T85" s="5">
        <f ca="1">(R85/R82-1)*100</f>
        <v>13.241253689203702</v>
      </c>
      <c r="U85" s="39"/>
    </row>
    <row r="86" spans="1:21" x14ac:dyDescent="0.25">
      <c r="A86" s="20">
        <v>40482</v>
      </c>
      <c r="B86" s="24">
        <f t="shared" si="19"/>
        <v>70</v>
      </c>
      <c r="C86" s="17" t="s">
        <v>77</v>
      </c>
      <c r="D86" s="27">
        <v>3.4386459540036505</v>
      </c>
      <c r="E86" s="46">
        <f t="shared" si="14"/>
        <v>2151100.7429470797</v>
      </c>
      <c r="F86" s="8"/>
      <c r="I86" s="39"/>
      <c r="J86" s="20">
        <f t="shared" si="13"/>
        <v>40482</v>
      </c>
      <c r="K86" s="27">
        <v>3.4158112364892905</v>
      </c>
      <c r="L86" s="46">
        <f t="shared" si="15"/>
        <v>1467116.8393158277</v>
      </c>
      <c r="M86" s="8"/>
      <c r="O86" s="39"/>
      <c r="P86" s="20">
        <f t="shared" si="16"/>
        <v>40482</v>
      </c>
      <c r="Q86" s="45">
        <f t="shared" ca="1" si="17"/>
        <v>2.7231531549099675</v>
      </c>
      <c r="R86" s="46">
        <f t="shared" ca="1" si="18"/>
        <v>1387917.8623331659</v>
      </c>
      <c r="S86" s="8"/>
      <c r="U86" s="39"/>
    </row>
    <row r="87" spans="1:21" x14ac:dyDescent="0.25">
      <c r="A87" s="20">
        <v>40512</v>
      </c>
      <c r="B87" s="24">
        <f t="shared" si="19"/>
        <v>71</v>
      </c>
      <c r="C87" s="17" t="s">
        <v>77</v>
      </c>
      <c r="D87" s="27">
        <v>-3.7643274415851899</v>
      </c>
      <c r="E87" s="46">
        <f t="shared" si="14"/>
        <v>2070126.2673841799</v>
      </c>
      <c r="F87" s="8"/>
      <c r="I87" s="39"/>
      <c r="J87" s="20">
        <f t="shared" si="13"/>
        <v>40512</v>
      </c>
      <c r="K87" s="27">
        <v>-3.8226916838450831</v>
      </c>
      <c r="L87" s="46">
        <f t="shared" si="15"/>
        <v>1411033.4859070107</v>
      </c>
      <c r="M87" s="8"/>
      <c r="O87" s="39"/>
      <c r="P87" s="20">
        <f t="shared" si="16"/>
        <v>40512</v>
      </c>
      <c r="Q87" s="45">
        <f t="shared" ca="1" si="17"/>
        <v>-3.0475263995588389</v>
      </c>
      <c r="R87" s="46">
        <f t="shared" ca="1" si="18"/>
        <v>1345620.6990743701</v>
      </c>
      <c r="S87" s="8"/>
      <c r="U87" s="39"/>
    </row>
    <row r="88" spans="1:21" x14ac:dyDescent="0.25">
      <c r="A88" s="20">
        <v>40543</v>
      </c>
      <c r="B88" s="24">
        <f t="shared" si="19"/>
        <v>72</v>
      </c>
      <c r="C88" s="17" t="s">
        <v>77</v>
      </c>
      <c r="D88" s="27">
        <v>6.2286805755822598</v>
      </c>
      <c r="E88" s="46">
        <f t="shared" si="14"/>
        <v>2199067.8200907642</v>
      </c>
      <c r="F88" s="11">
        <f>(E88-E76)/E76*100</f>
        <v>13.659154741398993</v>
      </c>
      <c r="G88" s="5">
        <f>(E88/E85-1)*100</f>
        <v>5.745209013117436</v>
      </c>
      <c r="H88" s="5"/>
      <c r="I88" s="39"/>
      <c r="J88" s="20">
        <f t="shared" si="13"/>
        <v>40543</v>
      </c>
      <c r="K88" s="27">
        <v>7.8849279519224114</v>
      </c>
      <c r="L88" s="46">
        <f t="shared" si="15"/>
        <v>1522292.4596482778</v>
      </c>
      <c r="M88" s="11">
        <f>(L88-L76)/L76*100</f>
        <v>11.712588959415232</v>
      </c>
      <c r="N88" s="5">
        <f>(L88/L85-1)*100</f>
        <v>7.3050935242025217</v>
      </c>
      <c r="O88" s="39"/>
      <c r="P88" s="20">
        <f t="shared" si="16"/>
        <v>40543</v>
      </c>
      <c r="Q88" s="45">
        <f t="shared" ca="1" si="17"/>
        <v>6.2860225410417296</v>
      </c>
      <c r="R88" s="46">
        <f t="shared" ca="1" si="18"/>
        <v>1430206.7195351082</v>
      </c>
      <c r="S88" s="11">
        <f ca="1">(R88-R76)/R76*100</f>
        <v>9.6279207781416911</v>
      </c>
      <c r="T88" s="5">
        <f ca="1">(R88/R85-1)*100</f>
        <v>5.8530536144361989</v>
      </c>
      <c r="U88" s="39"/>
    </row>
    <row r="89" spans="1:21" x14ac:dyDescent="0.25">
      <c r="A89" s="20">
        <v>40574</v>
      </c>
      <c r="B89" s="24">
        <f t="shared" si="19"/>
        <v>73</v>
      </c>
      <c r="C89" s="17" t="s">
        <v>77</v>
      </c>
      <c r="D89" s="32">
        <v>2.2503758892702401</v>
      </c>
      <c r="E89" s="46">
        <f t="shared" si="14"/>
        <v>2248555.1121027875</v>
      </c>
      <c r="F89" s="10"/>
      <c r="I89" s="39"/>
      <c r="J89" s="20">
        <f t="shared" si="13"/>
        <v>40574</v>
      </c>
      <c r="K89" s="27">
        <v>0.98442230745322401</v>
      </c>
      <c r="L89" s="46">
        <f t="shared" si="15"/>
        <v>1537278.2462057339</v>
      </c>
      <c r="M89" s="10"/>
      <c r="O89" s="39"/>
      <c r="P89" s="20">
        <f t="shared" si="16"/>
        <v>40574</v>
      </c>
      <c r="Q89" s="45">
        <f t="shared" ca="1" si="17"/>
        <v>0.78480118680685818</v>
      </c>
      <c r="R89" s="46">
        <f t="shared" ca="1" si="18"/>
        <v>1441430.9988438112</v>
      </c>
      <c r="S89" s="10"/>
      <c r="U89" s="39"/>
    </row>
    <row r="90" spans="1:21" x14ac:dyDescent="0.25">
      <c r="A90" s="20">
        <v>40602</v>
      </c>
      <c r="B90" s="24">
        <f t="shared" si="19"/>
        <v>74</v>
      </c>
      <c r="C90" s="17" t="s">
        <v>77</v>
      </c>
      <c r="D90" s="27">
        <v>3.6418767023655296</v>
      </c>
      <c r="E90" s="46">
        <f t="shared" si="14"/>
        <v>2330444.7168703079</v>
      </c>
      <c r="F90" s="8"/>
      <c r="I90" s="39"/>
      <c r="J90" s="20">
        <f t="shared" si="13"/>
        <v>40602</v>
      </c>
      <c r="K90" s="27">
        <v>2.6569435855903958</v>
      </c>
      <c r="L90" s="46">
        <f t="shared" si="15"/>
        <v>1578122.8619609736</v>
      </c>
      <c r="M90" s="8"/>
      <c r="O90" s="39"/>
      <c r="P90" s="20">
        <f t="shared" si="16"/>
        <v>40602</v>
      </c>
      <c r="Q90" s="45">
        <f t="shared" ca="1" si="17"/>
        <v>2.1181686593883806</v>
      </c>
      <c r="R90" s="46">
        <f t="shared" ca="1" si="18"/>
        <v>1471962.9385080298</v>
      </c>
      <c r="S90" s="8"/>
      <c r="U90" s="39"/>
    </row>
    <row r="91" spans="1:21" x14ac:dyDescent="0.25">
      <c r="A91" s="20">
        <v>40633</v>
      </c>
      <c r="B91" s="24">
        <f t="shared" si="19"/>
        <v>75</v>
      </c>
      <c r="C91" s="17" t="s">
        <v>77</v>
      </c>
      <c r="D91" s="27">
        <v>0.46161215558038216</v>
      </c>
      <c r="E91" s="46">
        <f t="shared" si="14"/>
        <v>2341202.3329624622</v>
      </c>
      <c r="F91" s="8"/>
      <c r="G91" s="5">
        <f>(E91/E88-1)*100</f>
        <v>6.4633983351105373</v>
      </c>
      <c r="H91" s="5"/>
      <c r="I91" s="39"/>
      <c r="J91" s="20">
        <f t="shared" si="13"/>
        <v>40633</v>
      </c>
      <c r="K91" s="27">
        <v>-0.17506290846230785</v>
      </c>
      <c r="L91" s="46">
        <f t="shared" si="15"/>
        <v>1575360.154179716</v>
      </c>
      <c r="M91" s="8"/>
      <c r="N91" s="5">
        <f>(L91/L88-1)*100</f>
        <v>3.4860380602357743</v>
      </c>
      <c r="O91" s="39"/>
      <c r="P91" s="20">
        <f t="shared" si="16"/>
        <v>40633</v>
      </c>
      <c r="Q91" s="45">
        <f t="shared" ca="1" si="17"/>
        <v>-0.13956365808340623</v>
      </c>
      <c r="R91" s="46">
        <f t="shared" ca="1" si="18"/>
        <v>1469908.613185416</v>
      </c>
      <c r="S91" s="8"/>
      <c r="T91" s="5">
        <f ca="1">(R91/R88-1)*100</f>
        <v>2.7759549097359226</v>
      </c>
      <c r="U91" s="39"/>
    </row>
    <row r="92" spans="1:21" x14ac:dyDescent="0.25">
      <c r="A92" s="20">
        <v>40663</v>
      </c>
      <c r="B92" s="24">
        <f t="shared" si="19"/>
        <v>76</v>
      </c>
      <c r="C92" s="17" t="s">
        <v>77</v>
      </c>
      <c r="D92" s="27">
        <v>4.8979727471972998</v>
      </c>
      <c r="E92" s="46">
        <f t="shared" si="14"/>
        <v>2455873.785187711</v>
      </c>
      <c r="F92" s="8"/>
      <c r="I92" s="39"/>
      <c r="J92" s="20">
        <f t="shared" si="13"/>
        <v>40663</v>
      </c>
      <c r="K92" s="27">
        <v>4.9246710667164093</v>
      </c>
      <c r="L92" s="46">
        <f t="shared" si="15"/>
        <v>1652941.4598891835</v>
      </c>
      <c r="M92" s="8"/>
      <c r="O92" s="39"/>
      <c r="P92" s="20">
        <f t="shared" si="16"/>
        <v>40663</v>
      </c>
      <c r="Q92" s="45">
        <f t="shared" ca="1" si="17"/>
        <v>3.926046442193285</v>
      </c>
      <c r="R92" s="46">
        <f t="shared" ca="1" si="18"/>
        <v>1527617.9079968748</v>
      </c>
      <c r="S92" s="8"/>
      <c r="U92" s="39"/>
    </row>
    <row r="93" spans="1:21" x14ac:dyDescent="0.25">
      <c r="A93" s="20">
        <v>40694</v>
      </c>
      <c r="B93" s="24">
        <f t="shared" si="19"/>
        <v>77</v>
      </c>
      <c r="C93" s="17" t="s">
        <v>77</v>
      </c>
      <c r="D93" s="27">
        <v>-0.55551928034738307</v>
      </c>
      <c r="E93" s="46">
        <f t="shared" si="14"/>
        <v>2442230.9328099964</v>
      </c>
      <c r="F93" s="8"/>
      <c r="I93" s="39"/>
      <c r="J93" s="20">
        <f t="shared" si="13"/>
        <v>40694</v>
      </c>
      <c r="K93" s="27">
        <v>-2.7863572236407945</v>
      </c>
      <c r="L93" s="46">
        <f t="shared" si="15"/>
        <v>1606884.6061190076</v>
      </c>
      <c r="M93" s="8"/>
      <c r="O93" s="39"/>
      <c r="P93" s="20">
        <f t="shared" si="16"/>
        <v>40694</v>
      </c>
      <c r="Q93" s="45">
        <f t="shared" ca="1" si="17"/>
        <v>-2.2213398044975361</v>
      </c>
      <c r="R93" s="46">
        <f t="shared" ca="1" si="18"/>
        <v>1493684.3233459077</v>
      </c>
      <c r="S93" s="8"/>
      <c r="U93" s="39"/>
    </row>
    <row r="94" spans="1:21" x14ac:dyDescent="0.25">
      <c r="A94" s="20">
        <v>40724</v>
      </c>
      <c r="B94" s="24">
        <f t="shared" si="19"/>
        <v>78</v>
      </c>
      <c r="C94" s="17" t="s">
        <v>77</v>
      </c>
      <c r="D94" s="27">
        <v>-0.68249751741130704</v>
      </c>
      <c r="E94" s="46">
        <f t="shared" si="14"/>
        <v>2425562.767324117</v>
      </c>
      <c r="F94" s="8"/>
      <c r="G94" s="5">
        <f>(E94/E91-1)*100</f>
        <v>3.6032953313739569</v>
      </c>
      <c r="H94" s="5"/>
      <c r="I94" s="39"/>
      <c r="J94" s="20">
        <f t="shared" si="13"/>
        <v>40724</v>
      </c>
      <c r="K94" s="27">
        <v>-1.4030210288241125</v>
      </c>
      <c r="L94" s="46">
        <f t="shared" si="15"/>
        <v>1584339.6771862204</v>
      </c>
      <c r="M94" s="8"/>
      <c r="N94" s="5">
        <f>(L94/L91-1)*100</f>
        <v>0.56999810377837967</v>
      </c>
      <c r="O94" s="39"/>
      <c r="P94" s="20">
        <f t="shared" si="16"/>
        <v>40724</v>
      </c>
      <c r="Q94" s="45">
        <f t="shared" ca="1" si="17"/>
        <v>-1.1185164742809959</v>
      </c>
      <c r="R94" s="46">
        <f t="shared" ca="1" si="18"/>
        <v>1476977.2181155311</v>
      </c>
      <c r="S94" s="8"/>
      <c r="T94" s="5">
        <f ca="1">(R94/R91-1)*100</f>
        <v>0.48088737399782921</v>
      </c>
      <c r="U94" s="39"/>
    </row>
    <row r="95" spans="1:21" x14ac:dyDescent="0.25">
      <c r="A95" s="20">
        <v>40755</v>
      </c>
      <c r="B95" s="24">
        <f t="shared" si="19"/>
        <v>79</v>
      </c>
      <c r="C95" s="17" t="s">
        <v>77</v>
      </c>
      <c r="D95" s="27">
        <v>-1.3739782686039499</v>
      </c>
      <c r="E95" s="46">
        <f t="shared" si="14"/>
        <v>2392236.062009735</v>
      </c>
      <c r="F95" s="8"/>
      <c r="I95" s="39"/>
      <c r="J95" s="20">
        <f t="shared" si="13"/>
        <v>40755</v>
      </c>
      <c r="K95" s="27">
        <v>-1.3369230334121345</v>
      </c>
      <c r="L95" s="46">
        <f t="shared" si="15"/>
        <v>1563158.2751144303</v>
      </c>
      <c r="M95" s="8"/>
      <c r="O95" s="39"/>
      <c r="P95" s="20">
        <f t="shared" si="16"/>
        <v>40755</v>
      </c>
      <c r="Q95" s="45">
        <f t="shared" ca="1" si="17"/>
        <v>-1.0658218280380882</v>
      </c>
      <c r="R95" s="46">
        <f t="shared" ca="1" si="18"/>
        <v>1461235.2725297061</v>
      </c>
      <c r="S95" s="8"/>
      <c r="U95" s="39"/>
    </row>
    <row r="96" spans="1:21" x14ac:dyDescent="0.25">
      <c r="A96" s="20">
        <v>40786</v>
      </c>
      <c r="B96" s="24">
        <f t="shared" si="19"/>
        <v>80</v>
      </c>
      <c r="C96" s="17" t="s">
        <v>77</v>
      </c>
      <c r="D96" s="27">
        <v>-6.01835062154922</v>
      </c>
      <c r="E96" s="46">
        <f t="shared" si="14"/>
        <v>2248262.9081028476</v>
      </c>
      <c r="F96" s="8"/>
      <c r="I96" s="39"/>
      <c r="J96" s="20">
        <f t="shared" si="13"/>
        <v>40786</v>
      </c>
      <c r="K96" s="27">
        <v>-8.5320720579101756</v>
      </c>
      <c r="L96" s="46">
        <f t="shared" si="15"/>
        <v>1429788.4847024814</v>
      </c>
      <c r="M96" s="8"/>
      <c r="O96" s="39"/>
      <c r="P96" s="20">
        <f t="shared" si="16"/>
        <v>40786</v>
      </c>
      <c r="Q96" s="45">
        <f t="shared" ca="1" si="17"/>
        <v>-6.8019387881330653</v>
      </c>
      <c r="R96" s="46">
        <f t="shared" ca="1" si="18"/>
        <v>1361842.9437416261</v>
      </c>
      <c r="S96" s="8"/>
      <c r="U96" s="39"/>
    </row>
    <row r="97" spans="1:21" x14ac:dyDescent="0.25">
      <c r="A97" s="20">
        <v>40816</v>
      </c>
      <c r="B97" s="24">
        <f t="shared" si="19"/>
        <v>81</v>
      </c>
      <c r="C97" s="17" t="s">
        <v>77</v>
      </c>
      <c r="D97" s="27">
        <v>-8.1333117899968794</v>
      </c>
      <c r="E97" s="46">
        <f t="shared" si="14"/>
        <v>2065404.675927992</v>
      </c>
      <c r="F97" s="8"/>
      <c r="G97" s="5">
        <f>(E97/E94-1)*100</f>
        <v>-14.848434196302074</v>
      </c>
      <c r="H97" s="49"/>
      <c r="I97" s="39"/>
      <c r="J97" s="20">
        <f t="shared" si="13"/>
        <v>40816</v>
      </c>
      <c r="K97" s="27">
        <v>-11.072994811165934</v>
      </c>
      <c r="L97" s="46">
        <f t="shared" si="15"/>
        <v>1271468.0799807278</v>
      </c>
      <c r="M97" s="8"/>
      <c r="N97" s="5">
        <f>(L97/L94-1)*100</f>
        <v>-19.747760010728953</v>
      </c>
      <c r="O97" s="39"/>
      <c r="P97" s="20">
        <f t="shared" si="16"/>
        <v>40816</v>
      </c>
      <c r="Q97" s="45">
        <f t="shared" ca="1" si="17"/>
        <v>-8.8276133154592582</v>
      </c>
      <c r="R97" s="46">
        <f t="shared" ca="1" si="18"/>
        <v>1241624.7147042479</v>
      </c>
      <c r="S97" s="8"/>
      <c r="T97" s="5">
        <f ca="1">(R97/R94-1)*100</f>
        <v>-15.934741614469072</v>
      </c>
      <c r="U97" s="39"/>
    </row>
    <row r="98" spans="1:21" x14ac:dyDescent="0.25">
      <c r="A98" s="20">
        <v>40847</v>
      </c>
      <c r="B98" s="24">
        <f t="shared" si="19"/>
        <v>82</v>
      </c>
      <c r="C98" s="17" t="s">
        <v>77</v>
      </c>
      <c r="D98" s="27">
        <v>10.4951884421996</v>
      </c>
      <c r="E98" s="46">
        <f t="shared" si="14"/>
        <v>2282172.7887606369</v>
      </c>
      <c r="F98" s="8"/>
      <c r="H98" s="49"/>
      <c r="I98" s="39"/>
      <c r="J98" s="20">
        <f t="shared" si="13"/>
        <v>40847</v>
      </c>
      <c r="K98" s="27">
        <v>10.528387999387634</v>
      </c>
      <c r="L98" s="46">
        <f t="shared" si="15"/>
        <v>1405333.1727294631</v>
      </c>
      <c r="M98" s="8"/>
      <c r="O98" s="39"/>
      <c r="P98" s="20">
        <f t="shared" si="16"/>
        <v>40847</v>
      </c>
      <c r="Q98" s="45">
        <f t="shared" ca="1" si="17"/>
        <v>8.3934418536884987</v>
      </c>
      <c r="R98" s="46">
        <f t="shared" ca="1" si="18"/>
        <v>1345839.7631739746</v>
      </c>
      <c r="S98" s="8"/>
      <c r="U98" s="39"/>
    </row>
    <row r="99" spans="1:21" x14ac:dyDescent="0.25">
      <c r="A99" s="20">
        <v>40877</v>
      </c>
      <c r="B99" s="24">
        <f t="shared" si="19"/>
        <v>83</v>
      </c>
      <c r="C99" s="17" t="s">
        <v>77</v>
      </c>
      <c r="D99" s="27">
        <v>-2.88985585575585</v>
      </c>
      <c r="E99" s="46">
        <f t="shared" si="14"/>
        <v>2216221.2847861713</v>
      </c>
      <c r="F99" s="8"/>
      <c r="H99" s="49"/>
      <c r="I99" s="39"/>
      <c r="J99" s="20">
        <f t="shared" si="13"/>
        <v>40877</v>
      </c>
      <c r="K99" s="27">
        <v>-5.0571711369669536</v>
      </c>
      <c r="L99" s="46">
        <f t="shared" si="15"/>
        <v>1334263.0691399667</v>
      </c>
      <c r="M99" s="8"/>
      <c r="O99" s="39"/>
      <c r="P99" s="20">
        <f t="shared" si="16"/>
        <v>40877</v>
      </c>
      <c r="Q99" s="45">
        <f t="shared" ca="1" si="17"/>
        <v>-4.0316781528903327</v>
      </c>
      <c r="R99" s="46">
        <f t="shared" ca="1" si="18"/>
        <v>1291579.8354691784</v>
      </c>
      <c r="S99" s="8"/>
      <c r="U99" s="39"/>
    </row>
    <row r="100" spans="1:21" x14ac:dyDescent="0.25">
      <c r="A100" s="20">
        <v>40908</v>
      </c>
      <c r="B100" s="24">
        <f t="shared" si="19"/>
        <v>84</v>
      </c>
      <c r="C100" s="17" t="s">
        <v>77</v>
      </c>
      <c r="D100" s="27">
        <v>-0.12267908751786301</v>
      </c>
      <c r="E100" s="46">
        <f t="shared" si="14"/>
        <v>2213502.444736619</v>
      </c>
      <c r="F100" s="11">
        <f>(E100-E88)/E88*100</f>
        <v>0.65639742958264191</v>
      </c>
      <c r="G100" s="5">
        <f>(E100/E97-1)*100</f>
        <v>7.1703996090783706</v>
      </c>
      <c r="H100" s="49"/>
      <c r="I100" s="39"/>
      <c r="J100" s="20">
        <f t="shared" si="13"/>
        <v>40908</v>
      </c>
      <c r="K100" s="27">
        <v>-1.065698707562275</v>
      </c>
      <c r="L100" s="46">
        <f t="shared" si="15"/>
        <v>1320043.8448566613</v>
      </c>
      <c r="M100" s="11">
        <f>(L100-L88)/L88*100</f>
        <v>-13.285792326551077</v>
      </c>
      <c r="N100" s="5">
        <f>(L100/L97-1)*100</f>
        <v>3.8204470596438167</v>
      </c>
      <c r="O100" s="39"/>
      <c r="P100" s="20">
        <f t="shared" si="16"/>
        <v>40908</v>
      </c>
      <c r="Q100" s="45">
        <f t="shared" ca="1" si="17"/>
        <v>-0.84959636137984307</v>
      </c>
      <c r="R100" s="46">
        <f t="shared" ca="1" si="18"/>
        <v>1280606.6201827165</v>
      </c>
      <c r="S100" s="11">
        <f ca="1">(R100-R88)/R88*100</f>
        <v>-10.460033316094298</v>
      </c>
      <c r="T100" s="5">
        <f ca="1">(R100/R97-1)*100</f>
        <v>3.1395883971070848</v>
      </c>
      <c r="U100" s="39"/>
    </row>
    <row r="101" spans="1:21" x14ac:dyDescent="0.25">
      <c r="A101" s="20">
        <v>40939</v>
      </c>
      <c r="B101" s="24">
        <f t="shared" si="19"/>
        <v>85</v>
      </c>
      <c r="C101" s="17" t="s">
        <v>77</v>
      </c>
      <c r="D101" s="27">
        <v>3.22154312734459</v>
      </c>
      <c r="E101" s="46">
        <f t="shared" si="14"/>
        <v>2284811.380618636</v>
      </c>
      <c r="F101" s="10"/>
      <c r="H101" s="49"/>
      <c r="I101" s="39"/>
      <c r="J101" s="20">
        <f t="shared" si="13"/>
        <v>40939</v>
      </c>
      <c r="K101" s="27">
        <v>6.7922960882211516</v>
      </c>
      <c r="L101" s="46">
        <f t="shared" si="15"/>
        <v>1409705.1312936645</v>
      </c>
      <c r="M101" s="10"/>
      <c r="O101" s="39"/>
      <c r="P101" s="20">
        <f t="shared" si="16"/>
        <v>40939</v>
      </c>
      <c r="Q101" s="45">
        <f t="shared" ca="1" si="17"/>
        <v>5.4149545279710454</v>
      </c>
      <c r="R101" s="46">
        <f t="shared" ca="1" si="18"/>
        <v>1349950.8863477975</v>
      </c>
      <c r="S101" s="10"/>
      <c r="U101" s="39"/>
    </row>
    <row r="102" spans="1:21" x14ac:dyDescent="0.25">
      <c r="A102" s="20">
        <v>40968</v>
      </c>
      <c r="B102" s="24">
        <f t="shared" si="19"/>
        <v>86</v>
      </c>
      <c r="C102" s="17" t="s">
        <v>77</v>
      </c>
      <c r="D102" s="27">
        <v>4.6739332211877205</v>
      </c>
      <c r="E102" s="46">
        <f t="shared" si="14"/>
        <v>2391601.9387788484</v>
      </c>
      <c r="F102" s="8"/>
      <c r="H102" s="49"/>
      <c r="I102" s="39"/>
      <c r="J102" s="20">
        <f t="shared" si="13"/>
        <v>40968</v>
      </c>
      <c r="K102" s="27">
        <v>5.6492094756964111</v>
      </c>
      <c r="L102" s="46">
        <f t="shared" si="15"/>
        <v>1489342.3271500848</v>
      </c>
      <c r="M102" s="8"/>
      <c r="O102" s="39"/>
      <c r="P102" s="20">
        <f t="shared" si="16"/>
        <v>40968</v>
      </c>
      <c r="Q102" s="45">
        <f t="shared" ca="1" si="17"/>
        <v>4.5036629782566724</v>
      </c>
      <c r="R102" s="46">
        <f t="shared" ca="1" si="18"/>
        <v>1410748.1246408911</v>
      </c>
      <c r="S102" s="8"/>
      <c r="U102" s="39"/>
    </row>
    <row r="103" spans="1:21" x14ac:dyDescent="0.25">
      <c r="A103" s="20">
        <v>40999</v>
      </c>
      <c r="B103" s="24">
        <f t="shared" si="19"/>
        <v>87</v>
      </c>
      <c r="C103" s="17" t="s">
        <v>77</v>
      </c>
      <c r="D103" s="27">
        <v>0.58801968181021502</v>
      </c>
      <c r="E103" s="46">
        <f t="shared" si="14"/>
        <v>2405665.0288894228</v>
      </c>
      <c r="F103" s="8"/>
      <c r="G103" s="49">
        <f>(E103/E100-1)*100</f>
        <v>8.681381157257718</v>
      </c>
      <c r="H103" s="49"/>
      <c r="I103" s="39"/>
      <c r="J103" s="20">
        <f t="shared" si="13"/>
        <v>40999</v>
      </c>
      <c r="K103" s="27">
        <v>-1.3153118762394413</v>
      </c>
      <c r="L103" s="46">
        <f t="shared" si="15"/>
        <v>1469752.8306432189</v>
      </c>
      <c r="M103" s="8"/>
      <c r="N103" s="5">
        <f>(L103/L100-1)*100</f>
        <v>11.341213124842376</v>
      </c>
      <c r="O103" s="39"/>
      <c r="P103" s="20">
        <f t="shared" si="16"/>
        <v>40999</v>
      </c>
      <c r="Q103" s="45">
        <f t="shared" ca="1" si="17"/>
        <v>-1.0485929805516094</v>
      </c>
      <c r="R103" s="46">
        <f t="shared" ca="1" si="18"/>
        <v>1395955.1188326431</v>
      </c>
      <c r="S103" s="8"/>
      <c r="T103" s="5">
        <f ca="1">(R103/R100-1)*100</f>
        <v>9.007332683745517</v>
      </c>
      <c r="U103" s="39"/>
    </row>
    <row r="104" spans="1:21" x14ac:dyDescent="0.25">
      <c r="A104" s="20">
        <v>41029</v>
      </c>
      <c r="B104" s="24">
        <f t="shared" si="19"/>
        <v>88</v>
      </c>
      <c r="C104" s="17" t="s">
        <v>77</v>
      </c>
      <c r="D104" s="27">
        <v>-1.34608767343036</v>
      </c>
      <c r="E104" s="46">
        <f t="shared" si="14"/>
        <v>2373282.6684715175</v>
      </c>
      <c r="F104" s="8"/>
      <c r="H104" s="49"/>
      <c r="I104" s="39"/>
      <c r="J104" s="20">
        <f t="shared" si="13"/>
        <v>41029</v>
      </c>
      <c r="K104" s="27">
        <v>-1.5337626439449346</v>
      </c>
      <c r="L104" s="46">
        <f t="shared" si="15"/>
        <v>1447210.31076849</v>
      </c>
      <c r="M104" s="8"/>
      <c r="O104" s="39"/>
      <c r="P104" s="20">
        <f t="shared" si="16"/>
        <v>41029</v>
      </c>
      <c r="Q104" s="45">
        <f t="shared" ca="1" si="17"/>
        <v>-1.2227463093172586</v>
      </c>
      <c r="R104" s="46">
        <f t="shared" ca="1" si="18"/>
        <v>1378886.1291373917</v>
      </c>
      <c r="S104" s="8"/>
      <c r="U104" s="39"/>
    </row>
    <row r="105" spans="1:21" x14ac:dyDescent="0.25">
      <c r="A105" s="20">
        <v>41060</v>
      </c>
      <c r="B105" s="24">
        <f t="shared" si="19"/>
        <v>89</v>
      </c>
      <c r="C105" s="17" t="s">
        <v>77</v>
      </c>
      <c r="D105" s="27">
        <v>-9.5804964236631793</v>
      </c>
      <c r="E105" s="46">
        <f t="shared" si="14"/>
        <v>2145910.4072951856</v>
      </c>
      <c r="F105" s="8"/>
      <c r="H105" s="49"/>
      <c r="I105" s="39"/>
      <c r="J105" s="20">
        <f t="shared" si="13"/>
        <v>41060</v>
      </c>
      <c r="K105" s="27">
        <v>-11.248250066168726</v>
      </c>
      <c r="L105" s="46">
        <f t="shared" si="15"/>
        <v>1284424.4760298727</v>
      </c>
      <c r="M105" s="8"/>
      <c r="O105" s="39"/>
      <c r="P105" s="20">
        <f t="shared" si="16"/>
        <v>41060</v>
      </c>
      <c r="Q105" s="45">
        <f t="shared" ca="1" si="17"/>
        <v>-8.9673303160584794</v>
      </c>
      <c r="R105" s="46">
        <f t="shared" ca="1" si="18"/>
        <v>1255236.8552553291</v>
      </c>
      <c r="S105" s="8"/>
      <c r="U105" s="39"/>
    </row>
    <row r="106" spans="1:21" x14ac:dyDescent="0.25">
      <c r="A106" s="20">
        <v>41090</v>
      </c>
      <c r="B106" s="24">
        <f t="shared" si="19"/>
        <v>90</v>
      </c>
      <c r="C106" s="17" t="s">
        <v>77</v>
      </c>
      <c r="D106" s="27">
        <v>6.1797716711395703</v>
      </c>
      <c r="E106" s="46">
        <f t="shared" si="14"/>
        <v>2278522.7707332494</v>
      </c>
      <c r="F106" s="8"/>
      <c r="G106" s="49">
        <f>(E106/E103-1)*100</f>
        <v>-5.2851189433829386</v>
      </c>
      <c r="H106" s="49"/>
      <c r="I106" s="39"/>
      <c r="J106" s="20">
        <f t="shared" si="13"/>
        <v>41090</v>
      </c>
      <c r="K106" s="27">
        <v>5.9466813813220174</v>
      </c>
      <c r="L106" s="46">
        <f t="shared" si="15"/>
        <v>1360805.107203084</v>
      </c>
      <c r="M106" s="8"/>
      <c r="N106" s="5">
        <f>(L106/L103-1)*100</f>
        <v>-7.4126561397711566</v>
      </c>
      <c r="O106" s="39"/>
      <c r="P106" s="20">
        <f t="shared" si="16"/>
        <v>41090</v>
      </c>
      <c r="Q106" s="45">
        <f t="shared" ca="1" si="17"/>
        <v>4.7408135413931811</v>
      </c>
      <c r="R106" s="46">
        <f t="shared" ca="1" si="18"/>
        <v>1314745.2940658317</v>
      </c>
      <c r="S106" s="8"/>
      <c r="T106" s="5">
        <f ca="1">(R106/R103-1)*100</f>
        <v>-5.8175097230004464</v>
      </c>
      <c r="U106" s="39"/>
    </row>
    <row r="107" spans="1:21" x14ac:dyDescent="0.25">
      <c r="A107" s="20">
        <v>41121</v>
      </c>
      <c r="B107" s="24">
        <f t="shared" si="19"/>
        <v>91</v>
      </c>
      <c r="C107" s="17" t="s">
        <v>77</v>
      </c>
      <c r="D107" s="27">
        <v>0.21916065454219399</v>
      </c>
      <c r="E107" s="46">
        <f t="shared" si="14"/>
        <v>2283516.3961514812</v>
      </c>
      <c r="F107" s="8"/>
      <c r="H107" s="49"/>
      <c r="I107" s="39"/>
      <c r="J107" s="20">
        <f t="shared" si="13"/>
        <v>41121</v>
      </c>
      <c r="K107" s="27">
        <v>1.4394103282488655</v>
      </c>
      <c r="L107" s="46">
        <f t="shared" si="15"/>
        <v>1380392.6764635034</v>
      </c>
      <c r="M107" s="8"/>
      <c r="O107" s="39"/>
      <c r="P107" s="20">
        <f t="shared" si="16"/>
        <v>41121</v>
      </c>
      <c r="Q107" s="45">
        <f t="shared" ca="1" si="17"/>
        <v>1.147526752856965</v>
      </c>
      <c r="R107" s="46">
        <f t="shared" ca="1" si="18"/>
        <v>1329832.3480471652</v>
      </c>
      <c r="S107" s="8"/>
      <c r="U107" s="39"/>
    </row>
    <row r="108" spans="1:21" x14ac:dyDescent="0.25">
      <c r="A108" s="20">
        <v>41152</v>
      </c>
      <c r="B108" s="24">
        <f t="shared" si="19"/>
        <v>92</v>
      </c>
      <c r="C108" s="17" t="s">
        <v>77</v>
      </c>
      <c r="D108" s="27">
        <v>2.83919868146145</v>
      </c>
      <c r="E108" s="46">
        <f t="shared" si="14"/>
        <v>2348349.9635619703</v>
      </c>
      <c r="F108" s="8"/>
      <c r="H108" s="49"/>
      <c r="I108" s="39"/>
      <c r="J108" s="20">
        <f t="shared" si="13"/>
        <v>41152</v>
      </c>
      <c r="K108" s="27">
        <v>2.1341324011650991</v>
      </c>
      <c r="L108" s="46">
        <f t="shared" si="15"/>
        <v>1409852.0838352211</v>
      </c>
      <c r="M108" s="8"/>
      <c r="O108" s="39"/>
      <c r="P108" s="20">
        <f t="shared" si="16"/>
        <v>41152</v>
      </c>
      <c r="Q108" s="45">
        <f t="shared" ca="1" si="17"/>
        <v>1.7013731084277801</v>
      </c>
      <c r="R108" s="46">
        <f t="shared" ca="1" si="18"/>
        <v>1352457.7580040134</v>
      </c>
      <c r="S108" s="8"/>
      <c r="U108" s="39"/>
    </row>
    <row r="109" spans="1:21" x14ac:dyDescent="0.25">
      <c r="A109" s="20">
        <v>41182</v>
      </c>
      <c r="B109" s="24">
        <f t="shared" si="19"/>
        <v>93</v>
      </c>
      <c r="C109" s="17" t="s">
        <v>77</v>
      </c>
      <c r="D109" s="27">
        <v>1.95354899111599</v>
      </c>
      <c r="E109" s="46">
        <f t="shared" si="14"/>
        <v>2394226.1305830078</v>
      </c>
      <c r="F109" s="8"/>
      <c r="G109" s="49">
        <f>(E109/E106-1)*100</f>
        <v>5.0779988392446018</v>
      </c>
      <c r="H109" s="49"/>
      <c r="I109" s="39"/>
      <c r="J109" s="20">
        <f t="shared" si="13"/>
        <v>41182</v>
      </c>
      <c r="K109" s="27">
        <v>3.7797131245582936</v>
      </c>
      <c r="L109" s="46">
        <f t="shared" si="15"/>
        <v>1463140.4480847996</v>
      </c>
      <c r="M109" s="8"/>
      <c r="N109" s="5">
        <f>(L109/L106-1)*100</f>
        <v>7.5202055268626555</v>
      </c>
      <c r="O109" s="39"/>
      <c r="P109" s="20">
        <f t="shared" si="16"/>
        <v>41182</v>
      </c>
      <c r="Q109" s="45">
        <f t="shared" ca="1" si="17"/>
        <v>3.0132630310023276</v>
      </c>
      <c r="R109" s="46">
        <f t="shared" ca="1" si="18"/>
        <v>1393210.8676358713</v>
      </c>
      <c r="S109" s="8"/>
      <c r="T109" s="5">
        <f ca="1">(R109/R106-1)*100</f>
        <v>5.96811975096605</v>
      </c>
      <c r="U109" s="39"/>
    </row>
    <row r="110" spans="1:21" x14ac:dyDescent="0.25">
      <c r="A110" s="20">
        <v>41213</v>
      </c>
      <c r="B110" s="24">
        <f t="shared" si="19"/>
        <v>94</v>
      </c>
      <c r="C110" s="17" t="s">
        <v>77</v>
      </c>
      <c r="D110" s="27">
        <v>-0.59950283717753505</v>
      </c>
      <c r="E110" s="46">
        <f t="shared" si="14"/>
        <v>2379872.6770017166</v>
      </c>
      <c r="F110" s="8"/>
      <c r="H110" s="49"/>
      <c r="I110" s="39"/>
      <c r="J110" s="20">
        <f t="shared" si="13"/>
        <v>41213</v>
      </c>
      <c r="K110" s="27">
        <v>0.39841962520433194</v>
      </c>
      <c r="L110" s="46">
        <f t="shared" si="15"/>
        <v>1468969.886774272</v>
      </c>
      <c r="M110" s="8"/>
      <c r="O110" s="39"/>
      <c r="P110" s="20">
        <f t="shared" si="16"/>
        <v>41213</v>
      </c>
      <c r="Q110" s="45">
        <f t="shared" ca="1" si="17"/>
        <v>0.31762810771368133</v>
      </c>
      <c r="R110" s="46">
        <f t="shared" ca="1" si="18"/>
        <v>1397636.0969512044</v>
      </c>
      <c r="S110" s="8"/>
      <c r="U110" s="39"/>
    </row>
    <row r="111" spans="1:21" x14ac:dyDescent="0.25">
      <c r="A111" s="20">
        <v>41243</v>
      </c>
      <c r="B111" s="24">
        <f t="shared" si="19"/>
        <v>95</v>
      </c>
      <c r="C111" s="17" t="s">
        <v>77</v>
      </c>
      <c r="D111" s="27">
        <v>1.2838788377936801</v>
      </c>
      <c r="E111" s="46">
        <f t="shared" si="14"/>
        <v>2410427.3586681755</v>
      </c>
      <c r="F111" s="8"/>
      <c r="H111" s="49"/>
      <c r="I111" s="39"/>
      <c r="J111" s="20">
        <f t="shared" si="13"/>
        <v>41243</v>
      </c>
      <c r="K111" s="27">
        <v>1.9388641017407509</v>
      </c>
      <c r="L111" s="46">
        <f t="shared" si="15"/>
        <v>1497451.2165743201</v>
      </c>
      <c r="M111" s="8"/>
      <c r="O111" s="39"/>
      <c r="P111" s="20">
        <f t="shared" si="16"/>
        <v>41243</v>
      </c>
      <c r="Q111" s="45">
        <f t="shared" ca="1" si="17"/>
        <v>1.5457013078461308</v>
      </c>
      <c r="R111" s="46">
        <f t="shared" ca="1" si="18"/>
        <v>1419239.3763807088</v>
      </c>
      <c r="S111" s="8"/>
      <c r="U111" s="39"/>
    </row>
    <row r="112" spans="1:21" x14ac:dyDescent="0.25">
      <c r="A112" s="20">
        <v>41274</v>
      </c>
      <c r="B112" s="24">
        <f t="shared" si="19"/>
        <v>96</v>
      </c>
      <c r="C112" s="17" t="s">
        <v>77</v>
      </c>
      <c r="D112" s="27">
        <v>2.9901941308608597</v>
      </c>
      <c r="E112" s="46">
        <f t="shared" si="14"/>
        <v>2482503.8160757357</v>
      </c>
      <c r="F112" s="37">
        <f>(E112-E100)/E100*100</f>
        <v>12.152747876053272</v>
      </c>
      <c r="G112" s="49">
        <f>(E112/E109-1)*100</f>
        <v>3.6871072604671484</v>
      </c>
      <c r="H112" s="49"/>
      <c r="I112" s="39"/>
      <c r="J112" s="20">
        <f t="shared" ref="J112:J143" si="20">A112</f>
        <v>41274</v>
      </c>
      <c r="K112" s="27">
        <v>3.5173554357198968</v>
      </c>
      <c r="L112" s="46">
        <f t="shared" si="15"/>
        <v>1550121.8983377507</v>
      </c>
      <c r="M112" s="11">
        <f>(L112-L100)/L100*100</f>
        <v>17.429576629409059</v>
      </c>
      <c r="N112" s="5">
        <f>(L112/L109-1)*100</f>
        <v>5.9448462631736199</v>
      </c>
      <c r="O112" s="39"/>
      <c r="P112" s="20">
        <f t="shared" si="16"/>
        <v>41274</v>
      </c>
      <c r="Q112" s="45">
        <f t="shared" ca="1" si="17"/>
        <v>2.804106225016334</v>
      </c>
      <c r="R112" s="46">
        <f t="shared" ca="1" si="18"/>
        <v>1459036.3560816832</v>
      </c>
      <c r="S112" s="11">
        <f ca="1">(R112-R100)/R100*100</f>
        <v>13.933219857438218</v>
      </c>
      <c r="T112" s="5">
        <f ca="1">(R112/R109-1)*100</f>
        <v>4.7247326284147295</v>
      </c>
      <c r="U112" s="39"/>
    </row>
    <row r="113" spans="1:21" x14ac:dyDescent="0.25">
      <c r="A113" s="20">
        <v>41305</v>
      </c>
      <c r="B113" s="24">
        <f t="shared" si="19"/>
        <v>97</v>
      </c>
      <c r="C113" s="17" t="s">
        <v>77</v>
      </c>
      <c r="D113" s="27">
        <v>4.8065923664687897</v>
      </c>
      <c r="E113" s="46">
        <f t="shared" ref="E113:E144" si="21">E112*D113/100+E112</f>
        <v>2601827.6549965283</v>
      </c>
      <c r="F113" s="10"/>
      <c r="H113" s="49"/>
      <c r="I113" s="39"/>
      <c r="J113" s="20">
        <f t="shared" si="20"/>
        <v>41305</v>
      </c>
      <c r="K113" s="27">
        <v>4.0676310844135966</v>
      </c>
      <c r="L113" s="46">
        <f t="shared" si="15"/>
        <v>1613175.1385208392</v>
      </c>
      <c r="M113" s="10"/>
      <c r="O113" s="39"/>
      <c r="P113" s="20">
        <f t="shared" si="16"/>
        <v>41305</v>
      </c>
      <c r="Q113" s="45">
        <f t="shared" ref="Q113:Q144" ca="1" si="22">K113*$Q$3</f>
        <v>3.242796997153524</v>
      </c>
      <c r="R113" s="46">
        <f t="shared" ref="R113:R144" ca="1" si="23">R112*Q113/100+R112</f>
        <v>1506349.9432240783</v>
      </c>
      <c r="S113" s="10"/>
      <c r="U113" s="39"/>
    </row>
    <row r="114" spans="1:21" x14ac:dyDescent="0.25">
      <c r="A114" s="20">
        <v>41333</v>
      </c>
      <c r="B114" s="24">
        <f t="shared" si="19"/>
        <v>98</v>
      </c>
      <c r="C114" s="17" t="s">
        <v>77</v>
      </c>
      <c r="D114" s="27">
        <v>-2.2138081304325601</v>
      </c>
      <c r="E114" s="46">
        <f t="shared" si="21"/>
        <v>2544228.1828303724</v>
      </c>
      <c r="H114" s="49"/>
      <c r="I114" s="39"/>
      <c r="J114" s="20">
        <f t="shared" si="20"/>
        <v>41333</v>
      </c>
      <c r="K114" s="27">
        <v>-1.0317653506643218</v>
      </c>
      <c r="L114" s="46">
        <f t="shared" si="15"/>
        <v>1596530.9563960501</v>
      </c>
      <c r="M114" s="8"/>
      <c r="O114" s="39"/>
      <c r="P114" s="20">
        <f t="shared" si="16"/>
        <v>41333</v>
      </c>
      <c r="Q114" s="45">
        <f t="shared" ca="1" si="22"/>
        <v>-0.82254400939205585</v>
      </c>
      <c r="R114" s="46">
        <f t="shared" ca="1" si="23"/>
        <v>1493959.5520056081</v>
      </c>
      <c r="S114" s="8"/>
      <c r="U114" s="39"/>
    </row>
    <row r="115" spans="1:21" x14ac:dyDescent="0.25">
      <c r="A115" s="20">
        <v>41364</v>
      </c>
      <c r="B115" s="24">
        <f t="shared" si="19"/>
        <v>99</v>
      </c>
      <c r="C115" s="17" t="s">
        <v>77</v>
      </c>
      <c r="D115" s="27">
        <v>2.18206516786144</v>
      </c>
      <c r="E115" s="46">
        <f t="shared" si="21"/>
        <v>2599744.8997988282</v>
      </c>
      <c r="F115" s="54"/>
      <c r="G115" s="49">
        <f>(E115/E112-1)*100</f>
        <v>4.7226950050946348</v>
      </c>
      <c r="H115" s="49"/>
      <c r="I115" s="39"/>
      <c r="J115" s="20">
        <f t="shared" si="20"/>
        <v>41364</v>
      </c>
      <c r="K115" s="27">
        <v>0.27743239980684581</v>
      </c>
      <c r="L115" s="46">
        <f t="shared" si="15"/>
        <v>1600960.2505420388</v>
      </c>
      <c r="M115" s="8"/>
      <c r="N115" s="5">
        <f>(L115/L112-1)*100</f>
        <v>3.2796357666325271</v>
      </c>
      <c r="O115" s="39"/>
      <c r="P115" s="20">
        <f t="shared" si="16"/>
        <v>41364</v>
      </c>
      <c r="Q115" s="45">
        <f t="shared" ca="1" si="22"/>
        <v>0.22117466759806539</v>
      </c>
      <c r="R115" s="46">
        <f t="shared" ca="1" si="23"/>
        <v>1497263.8120788061</v>
      </c>
      <c r="S115" s="8"/>
      <c r="T115" s="5">
        <f ca="1">(R115/R112-1)*100</f>
        <v>2.6200482145479098</v>
      </c>
      <c r="U115" s="39"/>
    </row>
    <row r="116" spans="1:21" x14ac:dyDescent="0.25">
      <c r="A116" s="20">
        <v>41394</v>
      </c>
      <c r="B116" s="24">
        <f t="shared" si="19"/>
        <v>100</v>
      </c>
      <c r="C116" s="17" t="s">
        <v>77</v>
      </c>
      <c r="D116" s="27">
        <v>3.24876085599786</v>
      </c>
      <c r="E116" s="46">
        <f t="shared" si="21"/>
        <v>2684204.3944592932</v>
      </c>
      <c r="F116" s="54"/>
      <c r="H116" s="49"/>
      <c r="I116" s="39"/>
      <c r="J116" s="20">
        <f t="shared" si="20"/>
        <v>41394</v>
      </c>
      <c r="K116" s="27">
        <v>3.7184681681946525</v>
      </c>
      <c r="L116" s="46">
        <f t="shared" si="15"/>
        <v>1660491.4478438939</v>
      </c>
      <c r="M116" s="8"/>
      <c r="O116" s="39"/>
      <c r="P116" s="20">
        <f t="shared" si="16"/>
        <v>41394</v>
      </c>
      <c r="Q116" s="45">
        <f t="shared" ca="1" si="22"/>
        <v>2.9644373247213842</v>
      </c>
      <c r="R116" s="46">
        <f t="shared" ca="1" si="23"/>
        <v>1541649.2593736164</v>
      </c>
      <c r="S116" s="8"/>
      <c r="U116" s="39"/>
    </row>
    <row r="117" spans="1:21" x14ac:dyDescent="0.25">
      <c r="A117" s="20">
        <v>41425</v>
      </c>
      <c r="B117" s="24">
        <f t="shared" si="19"/>
        <v>101</v>
      </c>
      <c r="C117" s="17" t="s">
        <v>77</v>
      </c>
      <c r="D117" s="27">
        <v>-1.9018955611571904</v>
      </c>
      <c r="E117" s="46">
        <f t="shared" si="21"/>
        <v>2633153.6302286857</v>
      </c>
      <c r="F117" s="54"/>
      <c r="H117" s="49"/>
      <c r="I117" s="39"/>
      <c r="J117" s="20">
        <f t="shared" si="20"/>
        <v>41425</v>
      </c>
      <c r="K117" s="27">
        <v>-2.0649092518171397</v>
      </c>
      <c r="L117" s="46">
        <f t="shared" si="15"/>
        <v>1626203.8063117329</v>
      </c>
      <c r="M117" s="8"/>
      <c r="O117" s="39"/>
      <c r="P117" s="20">
        <f t="shared" si="16"/>
        <v>41425</v>
      </c>
      <c r="Q117" s="45">
        <f t="shared" ca="1" si="22"/>
        <v>-1.6461870268533658</v>
      </c>
      <c r="R117" s="46">
        <f t="shared" ca="1" si="23"/>
        <v>1516270.8292662269</v>
      </c>
      <c r="S117" s="8"/>
      <c r="U117" s="39"/>
    </row>
    <row r="118" spans="1:21" x14ac:dyDescent="0.25">
      <c r="A118" s="20">
        <v>41455</v>
      </c>
      <c r="B118" s="24">
        <f t="shared" si="19"/>
        <v>102</v>
      </c>
      <c r="C118" s="17" t="s">
        <v>77</v>
      </c>
      <c r="D118" s="27">
        <v>-3.7108280144026602</v>
      </c>
      <c r="E118" s="46">
        <f t="shared" si="21"/>
        <v>2535441.8276558989</v>
      </c>
      <c r="F118" s="54"/>
      <c r="G118" s="49">
        <f>(E118/E115-1)*100</f>
        <v>-2.4734377649093586</v>
      </c>
      <c r="H118" s="49"/>
      <c r="I118" s="39"/>
      <c r="J118" s="20">
        <f t="shared" si="20"/>
        <v>41455</v>
      </c>
      <c r="K118" s="27">
        <v>-4.4542730385821674</v>
      </c>
      <c r="L118" s="46">
        <f t="shared" si="15"/>
        <v>1553768.2486147922</v>
      </c>
      <c r="M118" s="8"/>
      <c r="N118" s="5">
        <f>(L118/L115-1)*100</f>
        <v>-2.94773102025917</v>
      </c>
      <c r="O118" s="39"/>
      <c r="P118" s="20">
        <f t="shared" si="16"/>
        <v>41455</v>
      </c>
      <c r="Q118" s="45">
        <f t="shared" ca="1" si="22"/>
        <v>-3.5510357095470213</v>
      </c>
      <c r="R118" s="46">
        <f t="shared" ca="1" si="23"/>
        <v>1462427.5106655385</v>
      </c>
      <c r="S118" s="8"/>
      <c r="T118" s="5">
        <f ca="1">(R118/R115-1)*100</f>
        <v>-2.326664221243735</v>
      </c>
      <c r="U118" s="39"/>
    </row>
    <row r="119" spans="1:21" x14ac:dyDescent="0.25">
      <c r="A119" s="20">
        <v>41486</v>
      </c>
      <c r="B119" s="24">
        <f t="shared" si="19"/>
        <v>103</v>
      </c>
      <c r="C119" s="17" t="s">
        <v>77</v>
      </c>
      <c r="D119" s="27">
        <v>3.92557244093905</v>
      </c>
      <c r="E119" s="46">
        <f t="shared" si="21"/>
        <v>2634972.4332984001</v>
      </c>
      <c r="H119" s="49"/>
      <c r="I119" s="39"/>
      <c r="J119" s="20">
        <f t="shared" si="20"/>
        <v>41486</v>
      </c>
      <c r="K119" s="27">
        <v>4.4260098001578907</v>
      </c>
      <c r="L119" s="46">
        <f t="shared" si="15"/>
        <v>1622538.1835702246</v>
      </c>
      <c r="M119" s="8"/>
      <c r="O119" s="39"/>
      <c r="P119" s="20">
        <f t="shared" si="16"/>
        <v>41486</v>
      </c>
      <c r="Q119" s="45">
        <f t="shared" ca="1" si="22"/>
        <v>3.5285036896096007</v>
      </c>
      <c r="R119" s="46">
        <f t="shared" ca="1" si="23"/>
        <v>1514029.3193372379</v>
      </c>
      <c r="S119" s="8"/>
      <c r="U119" s="39"/>
    </row>
    <row r="120" spans="1:21" x14ac:dyDescent="0.25">
      <c r="A120" s="20">
        <v>41517</v>
      </c>
      <c r="B120" s="24">
        <f t="shared" si="19"/>
        <v>104</v>
      </c>
      <c r="C120" s="17" t="s">
        <v>77</v>
      </c>
      <c r="D120" s="27">
        <v>-1.61658828511686</v>
      </c>
      <c r="E120" s="46">
        <f t="shared" si="21"/>
        <v>2592375.7776256395</v>
      </c>
      <c r="H120" s="49"/>
      <c r="I120" s="39"/>
      <c r="J120" s="20">
        <f t="shared" si="20"/>
        <v>41517</v>
      </c>
      <c r="K120" s="27">
        <v>-1.3476451028008833</v>
      </c>
      <c r="L120" s="46">
        <f t="shared" si="15"/>
        <v>1600672.1271982661</v>
      </c>
      <c r="M120" s="8"/>
      <c r="O120" s="39"/>
      <c r="P120" s="20">
        <f t="shared" si="16"/>
        <v>41517</v>
      </c>
      <c r="Q120" s="45">
        <f t="shared" ca="1" si="22"/>
        <v>-1.0743696765758615</v>
      </c>
      <c r="R120" s="46">
        <f t="shared" ca="1" si="23"/>
        <v>1497763.0474358106</v>
      </c>
      <c r="S120" s="8"/>
      <c r="U120" s="39"/>
    </row>
    <row r="121" spans="1:21" x14ac:dyDescent="0.25">
      <c r="A121" s="20">
        <v>41547</v>
      </c>
      <c r="B121" s="24">
        <f t="shared" si="19"/>
        <v>105</v>
      </c>
      <c r="C121" s="17" t="s">
        <v>77</v>
      </c>
      <c r="D121" s="27">
        <v>5.6236800525064403</v>
      </c>
      <c r="E121" s="46">
        <f t="shared" si="21"/>
        <v>2738162.6971179815</v>
      </c>
      <c r="F121" s="54"/>
      <c r="G121" s="49">
        <f>(E121/E118-1)*100</f>
        <v>7.9954849387928961</v>
      </c>
      <c r="H121" s="49"/>
      <c r="I121" s="39"/>
      <c r="J121" s="20">
        <f t="shared" si="20"/>
        <v>41547</v>
      </c>
      <c r="K121" s="27">
        <v>7.0022078776230767</v>
      </c>
      <c r="L121" s="46">
        <f t="shared" si="15"/>
        <v>1712754.5169838599</v>
      </c>
      <c r="M121" s="8"/>
      <c r="N121" s="5">
        <f>(L121/L118-1)*100</f>
        <v>10.232302565765927</v>
      </c>
      <c r="O121" s="39"/>
      <c r="P121" s="20">
        <f t="shared" si="16"/>
        <v>41547</v>
      </c>
      <c r="Q121" s="45">
        <f t="shared" ca="1" si="22"/>
        <v>5.5823004121511532</v>
      </c>
      <c r="R121" s="46">
        <f t="shared" ca="1" si="23"/>
        <v>1581372.6802058674</v>
      </c>
      <c r="S121" s="8"/>
      <c r="T121" s="5">
        <f ca="1">(R121/R118-1)*100</f>
        <v>8.1334061806727078</v>
      </c>
      <c r="U121" s="39"/>
    </row>
    <row r="122" spans="1:21" x14ac:dyDescent="0.25">
      <c r="A122" s="20">
        <v>41578</v>
      </c>
      <c r="B122" s="24">
        <f t="shared" si="19"/>
        <v>106</v>
      </c>
      <c r="C122" s="17" t="s">
        <v>77</v>
      </c>
      <c r="D122" s="27">
        <v>3.2610363029683205</v>
      </c>
      <c r="E122" s="46">
        <f t="shared" si="21"/>
        <v>2827455.1767053353</v>
      </c>
      <c r="F122" s="54"/>
      <c r="H122" s="49"/>
      <c r="I122" s="39"/>
      <c r="J122" s="20">
        <f t="shared" si="20"/>
        <v>41578</v>
      </c>
      <c r="K122" s="27">
        <v>3.6919148131748929</v>
      </c>
      <c r="L122" s="46">
        <f t="shared" si="15"/>
        <v>1775987.9547097092</v>
      </c>
      <c r="M122" s="8"/>
      <c r="O122" s="39"/>
      <c r="P122" s="20">
        <f t="shared" si="16"/>
        <v>41578</v>
      </c>
      <c r="Q122" s="45">
        <f t="shared" ca="1" si="22"/>
        <v>2.9432684580922608</v>
      </c>
      <c r="R122" s="46">
        <f t="shared" ca="1" si="23"/>
        <v>1627916.7235072549</v>
      </c>
      <c r="S122" s="8"/>
      <c r="U122" s="39"/>
    </row>
    <row r="123" spans="1:21" x14ac:dyDescent="0.25">
      <c r="A123" s="20">
        <v>41608</v>
      </c>
      <c r="B123" s="24">
        <f t="shared" si="19"/>
        <v>107</v>
      </c>
      <c r="C123" s="17" t="s">
        <v>77</v>
      </c>
      <c r="D123" s="27">
        <v>0.31580065484353403</v>
      </c>
      <c r="E123" s="46">
        <f t="shared" si="21"/>
        <v>2836384.298668778</v>
      </c>
      <c r="F123" s="54"/>
      <c r="H123" s="49"/>
      <c r="I123" s="39"/>
      <c r="J123" s="20">
        <f t="shared" si="20"/>
        <v>41608</v>
      </c>
      <c r="K123" s="27">
        <v>0.19815179501816207</v>
      </c>
      <c r="L123" s="46">
        <f t="shared" si="15"/>
        <v>1779507.1067212727</v>
      </c>
      <c r="M123" s="8"/>
      <c r="O123" s="39"/>
      <c r="P123" s="20">
        <f t="shared" si="16"/>
        <v>41608</v>
      </c>
      <c r="Q123" s="45">
        <f t="shared" ca="1" si="22"/>
        <v>0.15797058104105602</v>
      </c>
      <c r="R123" s="46">
        <f t="shared" ca="1" si="23"/>
        <v>1630488.3530142438</v>
      </c>
      <c r="S123" s="8"/>
      <c r="U123" s="39"/>
    </row>
    <row r="124" spans="1:21" x14ac:dyDescent="0.25">
      <c r="A124" s="20">
        <v>41639</v>
      </c>
      <c r="B124" s="24">
        <f t="shared" si="19"/>
        <v>108</v>
      </c>
      <c r="C124" s="17" t="s">
        <v>77</v>
      </c>
      <c r="D124" s="27">
        <v>2.983033422324</v>
      </c>
      <c r="E124" s="46">
        <f t="shared" si="21"/>
        <v>2920994.5902836178</v>
      </c>
      <c r="F124" s="37">
        <f>(E124-E112)/E112*100</f>
        <v>17.663246733736532</v>
      </c>
      <c r="G124" s="49">
        <f>(E124/E121-1)*100</f>
        <v>6.6771741999872347</v>
      </c>
      <c r="H124" s="49"/>
      <c r="I124" s="39"/>
      <c r="J124" s="20">
        <f t="shared" si="20"/>
        <v>41639</v>
      </c>
      <c r="K124" s="27">
        <v>0.93494635112080826</v>
      </c>
      <c r="L124" s="46">
        <f t="shared" si="15"/>
        <v>1796144.5434834987</v>
      </c>
      <c r="M124" s="11">
        <f>(L124-L112)/L112*100</f>
        <v>15.871180544547277</v>
      </c>
      <c r="N124" s="5">
        <f>(L124/L121-1)*100</f>
        <v>4.8687669874891037</v>
      </c>
      <c r="O124" s="39"/>
      <c r="P124" s="20">
        <f t="shared" si="16"/>
        <v>41639</v>
      </c>
      <c r="Q124" s="45">
        <f t="shared" ca="1" si="22"/>
        <v>0.74535796314755565</v>
      </c>
      <c r="R124" s="46">
        <f t="shared" ca="1" si="23"/>
        <v>1642641.3277916289</v>
      </c>
      <c r="S124" s="11">
        <f ca="1">(R124-R112)/R112*100</f>
        <v>12.583988804982644</v>
      </c>
      <c r="T124" s="5">
        <f ca="1">(R124/R121-1)*100</f>
        <v>3.8743964881058579</v>
      </c>
      <c r="U124" s="39"/>
    </row>
    <row r="125" spans="1:21" x14ac:dyDescent="0.25">
      <c r="A125" s="20">
        <v>41670</v>
      </c>
      <c r="B125" s="24">
        <f t="shared" si="19"/>
        <v>109</v>
      </c>
      <c r="C125" s="17" t="s">
        <v>77</v>
      </c>
      <c r="D125" s="27">
        <v>-4.0810775985063996</v>
      </c>
      <c r="E125" s="46">
        <f t="shared" si="21"/>
        <v>2801786.5344059695</v>
      </c>
      <c r="H125" s="49"/>
      <c r="I125" s="39"/>
      <c r="J125" s="20">
        <f t="shared" si="20"/>
        <v>41670</v>
      </c>
      <c r="K125" s="27">
        <v>-4.5266528215096082</v>
      </c>
      <c r="L125" s="46">
        <f t="shared" si="15"/>
        <v>1714839.3158275122</v>
      </c>
      <c r="M125" s="10"/>
      <c r="O125" s="39"/>
      <c r="P125" s="20">
        <f t="shared" si="16"/>
        <v>41670</v>
      </c>
      <c r="Q125" s="45">
        <f t="shared" ca="1" si="22"/>
        <v>-3.6087383226554484</v>
      </c>
      <c r="R125" s="46">
        <f t="shared" ca="1" si="23"/>
        <v>1583362.7006918362</v>
      </c>
      <c r="S125" s="10"/>
      <c r="U125" s="39"/>
    </row>
    <row r="126" spans="1:21" x14ac:dyDescent="0.25">
      <c r="A126" s="20">
        <v>41698</v>
      </c>
      <c r="B126" s="24">
        <f t="shared" si="19"/>
        <v>110</v>
      </c>
      <c r="C126" s="17" t="s">
        <v>77</v>
      </c>
      <c r="D126" s="27">
        <v>5.8365117587173296</v>
      </c>
      <c r="E126" s="46">
        <f t="shared" si="21"/>
        <v>2965313.1349407327</v>
      </c>
      <c r="H126" s="49"/>
      <c r="I126" s="39"/>
      <c r="J126" s="20">
        <f t="shared" si="20"/>
        <v>41698</v>
      </c>
      <c r="K126" s="27">
        <v>5.0482292255817329</v>
      </c>
      <c r="L126" s="46">
        <f t="shared" si="15"/>
        <v>1801408.3353408824</v>
      </c>
      <c r="M126" s="8"/>
      <c r="O126" s="39"/>
      <c r="P126" s="20">
        <f t="shared" si="16"/>
        <v>41698</v>
      </c>
      <c r="Q126" s="45">
        <f t="shared" ca="1" si="22"/>
        <v>4.024549481979169</v>
      </c>
      <c r="R126" s="46">
        <f t="shared" ca="1" si="23"/>
        <v>1647085.9160603809</v>
      </c>
      <c r="S126" s="8"/>
      <c r="T126" s="140"/>
      <c r="U126" s="39"/>
    </row>
    <row r="127" spans="1:21" x14ac:dyDescent="0.25">
      <c r="A127" s="20">
        <v>41729</v>
      </c>
      <c r="B127" s="24">
        <f t="shared" si="19"/>
        <v>111</v>
      </c>
      <c r="C127" s="17" t="s">
        <v>77</v>
      </c>
      <c r="D127" s="27">
        <v>1.59595235043275</v>
      </c>
      <c r="E127" s="46">
        <f t="shared" si="21"/>
        <v>3012638.1196155106</v>
      </c>
      <c r="F127" s="54"/>
      <c r="G127" s="49">
        <f>(E127/E124-1)*100</f>
        <v>3.1374083894826654</v>
      </c>
      <c r="H127" s="49"/>
      <c r="I127" s="39"/>
      <c r="J127" s="20">
        <f t="shared" si="20"/>
        <v>41729</v>
      </c>
      <c r="K127" s="27">
        <v>0.34783673899513284</v>
      </c>
      <c r="L127" s="46">
        <f t="shared" si="15"/>
        <v>1807674.2953505185</v>
      </c>
      <c r="M127" s="8"/>
      <c r="N127" s="5">
        <f>(L127/L124-1)*100</f>
        <v>0.64191670480253649</v>
      </c>
      <c r="O127" s="39"/>
      <c r="P127" s="20">
        <f t="shared" si="16"/>
        <v>41729</v>
      </c>
      <c r="Q127" s="45">
        <f t="shared" ca="1" si="22"/>
        <v>0.2773024173788125</v>
      </c>
      <c r="R127" s="46">
        <f t="shared" ca="1" si="23"/>
        <v>1651653.3251219222</v>
      </c>
      <c r="S127" s="8"/>
      <c r="T127" s="131">
        <f ca="1">(R127/R124-1)*100</f>
        <v>0.54862843018865792</v>
      </c>
      <c r="U127" s="39"/>
    </row>
    <row r="128" spans="1:21" x14ac:dyDescent="0.25">
      <c r="A128" s="20">
        <v>41759</v>
      </c>
      <c r="B128" s="24">
        <f t="shared" si="19"/>
        <v>112</v>
      </c>
      <c r="C128" s="17" t="s">
        <v>77</v>
      </c>
      <c r="D128" s="27">
        <v>2.1938704206376798</v>
      </c>
      <c r="E128" s="46">
        <f t="shared" si="21"/>
        <v>3078731.4962026104</v>
      </c>
      <c r="H128" s="49"/>
      <c r="I128" s="39"/>
      <c r="J128" s="20">
        <f t="shared" si="20"/>
        <v>41759</v>
      </c>
      <c r="K128" s="27">
        <v>1.3725042832453977</v>
      </c>
      <c r="L128" s="46">
        <f t="shared" si="15"/>
        <v>1832484.7024813304</v>
      </c>
      <c r="M128" s="8"/>
      <c r="O128" s="39"/>
      <c r="P128" s="20">
        <f t="shared" si="16"/>
        <v>41759</v>
      </c>
      <c r="Q128" s="45">
        <f t="shared" ca="1" si="22"/>
        <v>1.0941879132901162</v>
      </c>
      <c r="R128" s="46">
        <f t="shared" ca="1" si="23"/>
        <v>1669725.5161748605</v>
      </c>
      <c r="S128" s="8"/>
      <c r="T128" s="140"/>
      <c r="U128" s="39"/>
    </row>
    <row r="129" spans="1:21" x14ac:dyDescent="0.25">
      <c r="A129" s="20">
        <v>41790</v>
      </c>
      <c r="B129" s="24">
        <f t="shared" si="19"/>
        <v>113</v>
      </c>
      <c r="C129" s="17" t="s">
        <v>77</v>
      </c>
      <c r="D129" s="27">
        <v>1.3355859571354101</v>
      </c>
      <c r="E129" s="46">
        <f t="shared" si="21"/>
        <v>3119850.6017237976</v>
      </c>
      <c r="H129" s="49"/>
      <c r="I129" s="39"/>
      <c r="J129" s="20">
        <f t="shared" si="20"/>
        <v>41790</v>
      </c>
      <c r="K129" s="27">
        <v>2.0304092054262086</v>
      </c>
      <c r="L129" s="46">
        <f t="shared" si="15"/>
        <v>1869691.6405685383</v>
      </c>
      <c r="M129" s="8"/>
      <c r="O129" s="39"/>
      <c r="P129" s="20">
        <f t="shared" si="16"/>
        <v>41790</v>
      </c>
      <c r="Q129" s="45">
        <f t="shared" ca="1" si="22"/>
        <v>1.6186828986479198</v>
      </c>
      <c r="R129" s="46">
        <f t="shared" ca="1" si="23"/>
        <v>1696753.0775595438</v>
      </c>
      <c r="S129" s="8"/>
      <c r="T129" s="140"/>
      <c r="U129" s="39"/>
    </row>
    <row r="130" spans="1:21" x14ac:dyDescent="0.25">
      <c r="A130" s="20">
        <v>41820</v>
      </c>
      <c r="B130" s="24">
        <f t="shared" si="19"/>
        <v>114</v>
      </c>
      <c r="C130" s="17" t="s">
        <v>77</v>
      </c>
      <c r="D130" s="27">
        <v>3.7044547606903699</v>
      </c>
      <c r="E130" s="46">
        <f t="shared" si="21"/>
        <v>3235424.0558657818</v>
      </c>
      <c r="F130" s="54"/>
      <c r="G130" s="49">
        <f>(E130/E127-1)*100</f>
        <v>7.3950447217571602</v>
      </c>
      <c r="H130" s="49"/>
      <c r="I130" s="39"/>
      <c r="J130" s="20">
        <f t="shared" si="20"/>
        <v>41820</v>
      </c>
      <c r="K130" s="27">
        <v>1.7121306414434068</v>
      </c>
      <c r="L130" s="46">
        <f t="shared" si="15"/>
        <v>1901703.2040472182</v>
      </c>
      <c r="M130" s="8"/>
      <c r="N130" s="5">
        <f>(L130/L127-1)*100</f>
        <v>5.2016510351753809</v>
      </c>
      <c r="O130" s="39"/>
      <c r="P130" s="20">
        <f t="shared" si="16"/>
        <v>41820</v>
      </c>
      <c r="Q130" s="45">
        <f t="shared" ca="1" si="22"/>
        <v>1.3649448505991111</v>
      </c>
      <c r="R130" s="46">
        <f t="shared" ca="1" si="23"/>
        <v>1719912.8213190746</v>
      </c>
      <c r="S130" s="8"/>
      <c r="T130" s="131">
        <f ca="1">(R130/R127-1)*100</f>
        <v>4.1327980369072703</v>
      </c>
      <c r="U130" s="39"/>
    </row>
    <row r="131" spans="1:21" x14ac:dyDescent="0.25">
      <c r="A131" s="20">
        <v>41851</v>
      </c>
      <c r="B131" s="24">
        <f t="shared" si="19"/>
        <v>115</v>
      </c>
      <c r="C131" s="17" t="s">
        <v>77</v>
      </c>
      <c r="D131" s="27">
        <v>-1.3532682178456401</v>
      </c>
      <c r="E131" s="46">
        <f t="shared" si="21"/>
        <v>3191640.0904052178</v>
      </c>
      <c r="H131" s="49"/>
      <c r="I131" s="39"/>
      <c r="J131" s="20">
        <f t="shared" si="20"/>
        <v>41851</v>
      </c>
      <c r="K131" s="27">
        <v>-0.95310724515041867</v>
      </c>
      <c r="L131" s="46">
        <f t="shared" si="15"/>
        <v>1883577.9330281864</v>
      </c>
      <c r="M131" s="8"/>
      <c r="N131" s="140"/>
      <c r="O131" s="39"/>
      <c r="P131" s="20">
        <f t="shared" si="16"/>
        <v>41851</v>
      </c>
      <c r="Q131" s="45">
        <f t="shared" ca="1" si="22"/>
        <v>-0.75983619172893013</v>
      </c>
      <c r="R131" s="46">
        <f t="shared" ca="1" si="23"/>
        <v>1706844.3012365061</v>
      </c>
      <c r="S131" s="8"/>
      <c r="T131" s="140"/>
      <c r="U131" s="39"/>
    </row>
    <row r="132" spans="1:21" x14ac:dyDescent="0.25">
      <c r="A132" s="20">
        <v>41882</v>
      </c>
      <c r="B132" s="24">
        <f t="shared" si="19"/>
        <v>116</v>
      </c>
      <c r="C132" s="17" t="s">
        <v>77</v>
      </c>
      <c r="D132" s="27">
        <v>3.4634823931173098</v>
      </c>
      <c r="E132" s="46">
        <f t="shared" si="21"/>
        <v>3302181.9829880758</v>
      </c>
      <c r="F132" s="54"/>
      <c r="H132" s="49"/>
      <c r="I132" s="39"/>
      <c r="J132" s="20">
        <f t="shared" si="20"/>
        <v>41882</v>
      </c>
      <c r="K132" s="27">
        <v>0.59022358101033001</v>
      </c>
      <c r="L132" s="46">
        <f t="shared" si="15"/>
        <v>1894695.2541556258</v>
      </c>
      <c r="M132" s="8"/>
      <c r="N132" s="140"/>
      <c r="O132" s="39"/>
      <c r="P132" s="20">
        <f t="shared" si="16"/>
        <v>41882</v>
      </c>
      <c r="Q132" s="45">
        <f t="shared" ca="1" si="22"/>
        <v>0.47053806415323507</v>
      </c>
      <c r="R132" s="46">
        <f t="shared" ca="1" si="23"/>
        <v>1714875.6533696542</v>
      </c>
      <c r="S132" s="8"/>
      <c r="T132" s="140"/>
      <c r="U132" s="39"/>
    </row>
    <row r="133" spans="1:21" x14ac:dyDescent="0.25">
      <c r="A133" s="20">
        <v>41912</v>
      </c>
      <c r="B133" s="24">
        <f t="shared" si="19"/>
        <v>117</v>
      </c>
      <c r="C133" s="17" t="s">
        <v>77</v>
      </c>
      <c r="D133" s="27">
        <v>-3.10858485850772</v>
      </c>
      <c r="E133" s="46">
        <f t="shared" si="21"/>
        <v>3199530.8538645385</v>
      </c>
      <c r="F133" s="49"/>
      <c r="G133" s="131">
        <f>(E133/E130-1)*100</f>
        <v>-1.1093816878863016</v>
      </c>
      <c r="H133" s="49"/>
      <c r="I133" s="39"/>
      <c r="J133" s="20">
        <f t="shared" si="20"/>
        <v>41912</v>
      </c>
      <c r="K133" s="27">
        <v>-4.7938175789077544</v>
      </c>
      <c r="L133" s="46">
        <f t="shared" si="15"/>
        <v>1803867.0199951825</v>
      </c>
      <c r="M133" s="8"/>
      <c r="N133" s="131">
        <f>(L133/L130-1)*100</f>
        <v>-5.144661051410127</v>
      </c>
      <c r="O133" s="39"/>
      <c r="P133" s="20">
        <f t="shared" si="16"/>
        <v>41912</v>
      </c>
      <c r="Q133" s="45">
        <f t="shared" ca="1" si="22"/>
        <v>-3.8217274200088664</v>
      </c>
      <c r="R133" s="46">
        <f t="shared" ca="1" si="23"/>
        <v>1649337.78030577</v>
      </c>
      <c r="S133" s="8"/>
      <c r="T133" s="131">
        <f ca="1">(R133/R130-1)*100</f>
        <v>-4.1034080412969747</v>
      </c>
      <c r="U133" s="39"/>
    </row>
    <row r="134" spans="1:21" x14ac:dyDescent="0.25">
      <c r="A134" s="20">
        <v>41943</v>
      </c>
      <c r="B134" s="24">
        <f t="shared" si="19"/>
        <v>118</v>
      </c>
      <c r="C134" s="17" t="s">
        <v>77</v>
      </c>
      <c r="D134" s="55">
        <v>-1.6850651803983201</v>
      </c>
      <c r="E134" s="46">
        <f t="shared" si="21"/>
        <v>3145616.6735099661</v>
      </c>
      <c r="F134" s="49"/>
      <c r="G134" s="131"/>
      <c r="H134" s="49"/>
      <c r="I134" s="39"/>
      <c r="J134" s="20">
        <f t="shared" si="20"/>
        <v>41943</v>
      </c>
      <c r="K134" s="27">
        <v>-0.9690362469771151</v>
      </c>
      <c r="L134" s="46">
        <f t="shared" si="15"/>
        <v>1786386.8947241632</v>
      </c>
      <c r="M134" s="49"/>
      <c r="N134" s="140"/>
      <c r="O134" s="39"/>
      <c r="P134" s="20">
        <f t="shared" si="16"/>
        <v>41943</v>
      </c>
      <c r="Q134" s="45">
        <f t="shared" ca="1" si="22"/>
        <v>-0.77253511112926476</v>
      </c>
      <c r="R134" s="46">
        <f t="shared" ca="1" si="23"/>
        <v>1636596.066851788</v>
      </c>
      <c r="S134" s="49"/>
      <c r="T134" s="140"/>
      <c r="U134" s="39"/>
    </row>
    <row r="135" spans="1:21" x14ac:dyDescent="0.25">
      <c r="A135" s="20">
        <v>41973</v>
      </c>
      <c r="B135" s="24">
        <f t="shared" si="19"/>
        <v>119</v>
      </c>
      <c r="C135" s="17" t="s">
        <v>77</v>
      </c>
      <c r="D135" s="27">
        <v>0.95329182194385798</v>
      </c>
      <c r="E135" s="46">
        <f t="shared" si="21"/>
        <v>3175603.580008239</v>
      </c>
      <c r="F135" s="49"/>
      <c r="G135" s="140"/>
      <c r="H135" s="49"/>
      <c r="I135" s="39"/>
      <c r="J135" s="20">
        <f t="shared" si="20"/>
        <v>41973</v>
      </c>
      <c r="K135" s="27">
        <v>0.76242446015613374</v>
      </c>
      <c r="L135" s="46">
        <f t="shared" ref="L135:L140" si="24">L134*K135/100+L134</f>
        <v>1800006.7453625638</v>
      </c>
      <c r="M135" s="49"/>
      <c r="N135" s="140"/>
      <c r="O135" s="39"/>
      <c r="P135" s="20">
        <f t="shared" ref="P135:P210" si="25">$A135</f>
        <v>41973</v>
      </c>
      <c r="Q135" s="45">
        <f t="shared" ca="1" si="22"/>
        <v>0.60782005512359161</v>
      </c>
      <c r="R135" s="46">
        <f t="shared" ca="1" si="23"/>
        <v>1646543.625967477</v>
      </c>
      <c r="S135" s="49"/>
      <c r="T135" s="140"/>
      <c r="U135" s="39"/>
    </row>
    <row r="136" spans="1:21" x14ac:dyDescent="0.25">
      <c r="A136" s="20">
        <v>42004</v>
      </c>
      <c r="B136" s="24">
        <f t="shared" si="19"/>
        <v>120</v>
      </c>
      <c r="C136" s="17" t="s">
        <v>77</v>
      </c>
      <c r="D136" s="27">
        <v>-3.8588773650509398</v>
      </c>
      <c r="E136" s="46">
        <f t="shared" si="21"/>
        <v>3053060.9322555535</v>
      </c>
      <c r="F136" s="49">
        <f>(E136-E$124)/E$124*100</f>
        <v>4.5212799233261345</v>
      </c>
      <c r="G136" s="131">
        <f>(E136/E133-1)*100</f>
        <v>-4.5778562013887747</v>
      </c>
      <c r="H136" s="49"/>
      <c r="I136" s="39"/>
      <c r="J136" s="20">
        <f t="shared" si="20"/>
        <v>42004</v>
      </c>
      <c r="K136" s="27">
        <v>-3.5495463760675476</v>
      </c>
      <c r="L136" s="46">
        <f t="shared" si="24"/>
        <v>1736114.6711635755</v>
      </c>
      <c r="M136" s="49">
        <f>(L136-L$124)/L$124*100</f>
        <v>-3.3421515288240355</v>
      </c>
      <c r="N136" s="131">
        <f>(L136/L133-1)*100</f>
        <v>-3.7559503045733411</v>
      </c>
      <c r="O136" s="39"/>
      <c r="P136" s="20">
        <f t="shared" si="25"/>
        <v>42004</v>
      </c>
      <c r="Q136" s="45">
        <f t="shared" ca="1" si="22"/>
        <v>-2.8297694876201889</v>
      </c>
      <c r="R136" s="46">
        <f t="shared" ca="1" si="23"/>
        <v>1599950.2368394942</v>
      </c>
      <c r="S136" s="6">
        <f ca="1">(R136-R$124)/R$124*100</f>
        <v>-2.5989295550921452</v>
      </c>
      <c r="T136" s="131">
        <f ca="1">(R136/R133-1)*100</f>
        <v>-2.994386235251334</v>
      </c>
      <c r="U136" s="39"/>
    </row>
    <row r="137" spans="1:21" x14ac:dyDescent="0.25">
      <c r="A137" s="20">
        <v>42035</v>
      </c>
      <c r="B137" s="24">
        <f t="shared" si="19"/>
        <v>121</v>
      </c>
      <c r="C137" s="17" t="s">
        <v>77</v>
      </c>
      <c r="D137" s="27">
        <v>-0.64164097012603405</v>
      </c>
      <c r="E137" s="46">
        <f t="shared" si="21"/>
        <v>3033471.2424712903</v>
      </c>
      <c r="G137" s="140"/>
      <c r="H137" s="49"/>
      <c r="I137" s="39"/>
      <c r="J137" s="20">
        <f t="shared" si="20"/>
        <v>42035</v>
      </c>
      <c r="K137" s="27">
        <v>-0.12691123096401805</v>
      </c>
      <c r="L137" s="46">
        <f t="shared" si="24"/>
        <v>1733911.3466634548</v>
      </c>
      <c r="M137" s="18"/>
      <c r="N137" s="109"/>
      <c r="O137" s="39"/>
      <c r="P137" s="20">
        <f t="shared" si="25"/>
        <v>42035</v>
      </c>
      <c r="Q137" s="45">
        <f t="shared" ca="1" si="22"/>
        <v>-0.10117617604313915</v>
      </c>
      <c r="R137" s="46">
        <f t="shared" ca="1" si="23"/>
        <v>1598331.468371267</v>
      </c>
      <c r="S137" s="18"/>
      <c r="T137" s="109"/>
      <c r="U137" s="39"/>
    </row>
    <row r="138" spans="1:21" x14ac:dyDescent="0.25">
      <c r="A138" s="20">
        <v>42063</v>
      </c>
      <c r="B138" s="24">
        <f t="shared" si="19"/>
        <v>122</v>
      </c>
      <c r="C138" s="17" t="s">
        <v>77</v>
      </c>
      <c r="D138" s="27">
        <v>5.22</v>
      </c>
      <c r="E138" s="46">
        <f t="shared" si="21"/>
        <v>3191818.4413282918</v>
      </c>
      <c r="G138" s="141"/>
      <c r="H138" s="49"/>
      <c r="I138" s="39"/>
      <c r="J138" s="20">
        <f t="shared" si="20"/>
        <v>42063</v>
      </c>
      <c r="K138" s="27">
        <v>5.366110795104845</v>
      </c>
      <c r="L138" s="46">
        <f t="shared" si="24"/>
        <v>1826954.9506143103</v>
      </c>
      <c r="M138" s="18"/>
      <c r="N138" s="109"/>
      <c r="O138" s="39"/>
      <c r="P138" s="20">
        <f t="shared" si="25"/>
        <v>42063</v>
      </c>
      <c r="Q138" s="45">
        <f t="shared" ca="1" si="22"/>
        <v>4.2779710380907661</v>
      </c>
      <c r="R138" s="46">
        <f t="shared" ca="1" si="23"/>
        <v>1666707.6256808806</v>
      </c>
      <c r="S138" s="18"/>
      <c r="T138" s="109"/>
      <c r="U138" s="39"/>
    </row>
    <row r="139" spans="1:21" x14ac:dyDescent="0.25">
      <c r="A139" s="21">
        <v>42094</v>
      </c>
      <c r="B139" s="60">
        <f>IF(A139&gt;A138,1+B138,"-")</f>
        <v>123</v>
      </c>
      <c r="C139" s="3" t="s">
        <v>101</v>
      </c>
      <c r="D139" s="29">
        <v>-1.99</v>
      </c>
      <c r="E139" s="47">
        <f t="shared" si="21"/>
        <v>3128301.2543458589</v>
      </c>
      <c r="F139" s="3"/>
      <c r="G139" s="131">
        <f>(E139/E136-1)*100</f>
        <v>2.4644225503458683</v>
      </c>
      <c r="H139" s="49"/>
      <c r="I139" s="39"/>
      <c r="J139" s="20">
        <f t="shared" si="20"/>
        <v>42094</v>
      </c>
      <c r="K139" s="27">
        <v>-1.5147243624146067</v>
      </c>
      <c r="L139" s="46">
        <f t="shared" si="24"/>
        <v>1799281.6188870156</v>
      </c>
      <c r="M139" s="18"/>
      <c r="N139" s="131">
        <f>(L139/L136-1)*100</f>
        <v>3.6384087279847988</v>
      </c>
      <c r="O139" s="39"/>
      <c r="P139" s="20">
        <f t="shared" si="25"/>
        <v>42094</v>
      </c>
      <c r="Q139" s="45">
        <f t="shared" ca="1" si="22"/>
        <v>-1.2075686098414933</v>
      </c>
      <c r="R139" s="46">
        <f t="shared" ca="1" si="23"/>
        <v>1646580.9875753238</v>
      </c>
      <c r="S139" s="18"/>
      <c r="T139" s="131">
        <f ca="1">(R139/R136-1)*100</f>
        <v>2.9145125680873019</v>
      </c>
      <c r="U139" s="39"/>
    </row>
    <row r="140" spans="1:21" x14ac:dyDescent="0.25">
      <c r="A140" s="21">
        <v>42124</v>
      </c>
      <c r="B140" s="60">
        <f>IF(A140&gt;A139,1+B139,"-")</f>
        <v>124</v>
      </c>
      <c r="C140" s="3" t="s">
        <v>101</v>
      </c>
      <c r="D140" s="29">
        <v>4.93</v>
      </c>
      <c r="E140" s="47">
        <f t="shared" si="21"/>
        <v>3282526.5061851097</v>
      </c>
      <c r="F140" s="3"/>
      <c r="G140" s="140"/>
      <c r="H140" s="49"/>
      <c r="I140" s="39"/>
      <c r="J140" s="20">
        <f t="shared" si="20"/>
        <v>42124</v>
      </c>
      <c r="K140" s="27">
        <v>5.0836959743830956</v>
      </c>
      <c r="L140" s="46">
        <f t="shared" si="24"/>
        <v>1890751.6261141899</v>
      </c>
      <c r="M140" s="18"/>
      <c r="N140" s="109"/>
      <c r="O140" s="39"/>
      <c r="P140" s="20">
        <f t="shared" si="25"/>
        <v>42124</v>
      </c>
      <c r="Q140" s="45">
        <f t="shared" ca="1" si="22"/>
        <v>4.0528242847144904</v>
      </c>
      <c r="R140" s="46">
        <f t="shared" ca="1" si="23"/>
        <v>1713314.0217072682</v>
      </c>
      <c r="S140" s="18"/>
      <c r="T140" s="109"/>
      <c r="U140" s="39"/>
    </row>
    <row r="141" spans="1:21" x14ac:dyDescent="0.25">
      <c r="A141" s="21">
        <v>42155</v>
      </c>
      <c r="B141" s="60">
        <f>IF(A141&gt;A140,1+B140,"-")</f>
        <v>125</v>
      </c>
      <c r="C141" s="3" t="s">
        <v>101</v>
      </c>
      <c r="D141" s="29">
        <v>-1.24</v>
      </c>
      <c r="E141" s="47">
        <f t="shared" si="21"/>
        <v>3241823.1775084143</v>
      </c>
      <c r="F141" s="62"/>
      <c r="G141" s="140"/>
      <c r="H141" s="49"/>
      <c r="I141" s="39"/>
      <c r="J141" s="20">
        <f t="shared" si="20"/>
        <v>42155</v>
      </c>
      <c r="K141" s="27">
        <v>-1.4856577872742764</v>
      </c>
      <c r="L141" s="46">
        <f>L140*K141/100+L140</f>
        <v>1862661.5273428094</v>
      </c>
      <c r="M141" s="18"/>
      <c r="N141" s="109"/>
      <c r="O141" s="39"/>
      <c r="P141" s="20">
        <f t="shared" si="25"/>
        <v>42155</v>
      </c>
      <c r="Q141" s="45">
        <f t="shared" ca="1" si="22"/>
        <v>-1.1843961537788539</v>
      </c>
      <c r="R141" s="46">
        <f t="shared" ca="1" si="23"/>
        <v>1693021.5963320136</v>
      </c>
      <c r="S141" s="18"/>
      <c r="T141" s="109"/>
      <c r="U141" s="39"/>
    </row>
    <row r="142" spans="1:21" x14ac:dyDescent="0.25">
      <c r="A142" s="21">
        <v>42185</v>
      </c>
      <c r="B142" s="24">
        <f t="shared" si="19"/>
        <v>126</v>
      </c>
      <c r="C142" s="3" t="s">
        <v>101</v>
      </c>
      <c r="D142" s="29">
        <v>-2.84</v>
      </c>
      <c r="E142" s="47">
        <f t="shared" si="21"/>
        <v>3149755.3992671752</v>
      </c>
      <c r="F142" s="3"/>
      <c r="G142" s="131">
        <f>(E142/E139-1)*100</f>
        <v>0.68580814879999341</v>
      </c>
      <c r="H142" s="49"/>
      <c r="I142" s="39"/>
      <c r="J142" s="20">
        <f t="shared" si="20"/>
        <v>42185</v>
      </c>
      <c r="K142" s="27">
        <v>-2.7422726706008369</v>
      </c>
      <c r="L142" s="46">
        <f>L141*K142/100+L141</f>
        <v>1811582.2693326913</v>
      </c>
      <c r="M142" s="18"/>
      <c r="N142" s="131">
        <f>(L142/L139-1)*100</f>
        <v>0.68364231127335806</v>
      </c>
      <c r="O142" s="39"/>
      <c r="P142" s="20">
        <f t="shared" si="25"/>
        <v>42185</v>
      </c>
      <c r="Q142" s="45">
        <f t="shared" ca="1" si="22"/>
        <v>-2.1861947155619599</v>
      </c>
      <c r="R142" s="46">
        <f t="shared" ca="1" si="23"/>
        <v>1656008.8476596803</v>
      </c>
      <c r="S142" s="18"/>
      <c r="T142" s="131">
        <f ca="1">(R142/R139-1)*100</f>
        <v>0.57257190235382449</v>
      </c>
      <c r="U142" s="39"/>
    </row>
    <row r="143" spans="1:21" x14ac:dyDescent="0.25">
      <c r="A143" s="21">
        <v>42216</v>
      </c>
      <c r="B143" s="60">
        <f>IF(A143&gt;A142,1+B142,"-")</f>
        <v>127</v>
      </c>
      <c r="C143" s="3" t="s">
        <v>101</v>
      </c>
      <c r="D143" s="29">
        <v>2.2000000000000002</v>
      </c>
      <c r="E143" s="47">
        <f t="shared" si="21"/>
        <v>3219050.0180510529</v>
      </c>
      <c r="F143" s="62"/>
      <c r="G143" s="140"/>
      <c r="H143" s="49"/>
      <c r="I143" s="39"/>
      <c r="J143" s="20">
        <f t="shared" si="20"/>
        <v>42216</v>
      </c>
      <c r="K143" s="27">
        <v>-0.25761056229901091</v>
      </c>
      <c r="L143" s="46">
        <f>L142*K143/100+L142</f>
        <v>1806915.4420621542</v>
      </c>
      <c r="M143" s="18"/>
      <c r="N143" s="109"/>
      <c r="O143" s="39"/>
      <c r="P143" s="20">
        <f t="shared" si="25"/>
        <v>42216</v>
      </c>
      <c r="Q143" s="45">
        <f t="shared" ca="1" si="22"/>
        <v>-0.20537230159816583</v>
      </c>
      <c r="R143" s="46">
        <f t="shared" ca="1" si="23"/>
        <v>1652607.8641745723</v>
      </c>
      <c r="S143" s="18"/>
      <c r="T143" s="109"/>
      <c r="U143" s="39"/>
    </row>
    <row r="144" spans="1:21" x14ac:dyDescent="0.25">
      <c r="A144" s="21">
        <v>42247</v>
      </c>
      <c r="B144" s="60">
        <f>IF(A144&gt;A143,1+B143,"-")</f>
        <v>128</v>
      </c>
      <c r="C144" s="3" t="s">
        <v>101</v>
      </c>
      <c r="D144" s="29">
        <v>-5.84</v>
      </c>
      <c r="E144" s="47">
        <f t="shared" si="21"/>
        <v>3031057.4969968712</v>
      </c>
      <c r="F144" s="62"/>
      <c r="G144" s="131"/>
      <c r="H144" s="49"/>
      <c r="I144" s="39"/>
      <c r="J144" s="20">
        <f t="shared" ref="J144:J178" si="26">A144</f>
        <v>42247</v>
      </c>
      <c r="K144" s="27">
        <v>-7.6111398350991246</v>
      </c>
      <c r="L144" s="46">
        <f>L143*K144/100+L143</f>
        <v>1669388.581064804</v>
      </c>
      <c r="M144" s="18"/>
      <c r="N144" s="131"/>
      <c r="O144" s="39"/>
      <c r="P144" s="20">
        <f t="shared" si="25"/>
        <v>42247</v>
      </c>
      <c r="Q144" s="45">
        <f t="shared" ca="1" si="22"/>
        <v>-6.0677531688528639</v>
      </c>
      <c r="R144" s="46">
        <f t="shared" ca="1" si="23"/>
        <v>1552331.698127408</v>
      </c>
      <c r="S144" s="18"/>
      <c r="T144" s="131"/>
      <c r="U144" s="39"/>
    </row>
    <row r="145" spans="1:24" x14ac:dyDescent="0.25">
      <c r="A145" s="21">
        <v>42277</v>
      </c>
      <c r="B145" s="60">
        <f>IF(A145&gt;A144,1+B144,"-")</f>
        <v>129</v>
      </c>
      <c r="C145" s="3" t="s">
        <v>101</v>
      </c>
      <c r="D145" s="29">
        <v>-3.54</v>
      </c>
      <c r="E145" s="47">
        <f>E144*D145/100+E144</f>
        <v>2923758.061603182</v>
      </c>
      <c r="F145" s="62"/>
      <c r="G145" s="128">
        <f>(E145/E142-1)*100</f>
        <v>-7.1750758080000088</v>
      </c>
      <c r="H145" s="49"/>
      <c r="I145" s="39"/>
      <c r="J145" s="20">
        <f t="shared" si="26"/>
        <v>42277</v>
      </c>
      <c r="K145" s="27">
        <v>-4.576837557896301</v>
      </c>
      <c r="L145" s="46">
        <f>L144*K145/100+L144</f>
        <v>1592983.3774993978</v>
      </c>
      <c r="M145" s="125"/>
      <c r="N145" s="128">
        <f>(L145/L142-1)*100</f>
        <v>-12.066738316765257</v>
      </c>
      <c r="O145" s="39"/>
      <c r="P145" s="20">
        <f t="shared" si="25"/>
        <v>42277</v>
      </c>
      <c r="Q145" s="45">
        <f t="shared" ref="Q145:Q176" ca="1" si="27">K145*$Q$3</f>
        <v>-3.6487465999747197</v>
      </c>
      <c r="R145" s="46">
        <f t="shared" ref="R145:R176" ca="1" si="28">R144*Q145/100+R144</f>
        <v>1495691.0480716545</v>
      </c>
      <c r="S145" s="125"/>
      <c r="T145" s="128">
        <f ca="1">(R145/R142-1)*100</f>
        <v>-9.680974821758447</v>
      </c>
      <c r="U145" s="39"/>
    </row>
    <row r="146" spans="1:24" x14ac:dyDescent="0.25">
      <c r="A146" s="21">
        <v>42308</v>
      </c>
      <c r="B146" s="24">
        <f t="shared" ref="B146:B202" si="29">IF(A146&gt;A145,1+B145,"-")</f>
        <v>130</v>
      </c>
      <c r="C146" s="3" t="s">
        <v>101</v>
      </c>
      <c r="D146" s="29">
        <v>6.13</v>
      </c>
      <c r="E146" s="47">
        <f t="shared" ref="E146:E151" si="30">E145*D146/100+E145</f>
        <v>3102984.4307794571</v>
      </c>
      <c r="F146" s="62"/>
      <c r="G146" s="128"/>
      <c r="H146" s="49"/>
      <c r="I146" s="39"/>
      <c r="J146" s="20">
        <f t="shared" si="26"/>
        <v>42308</v>
      </c>
      <c r="K146" s="27">
        <v>7.4598705416459916</v>
      </c>
      <c r="L146" s="46">
        <f t="shared" ref="L146:L151" si="31">L145*K146/100+L145</f>
        <v>1711817.8752107928</v>
      </c>
      <c r="M146" s="125"/>
      <c r="N146" s="128"/>
      <c r="O146" s="39"/>
      <c r="P146" s="20">
        <f t="shared" si="25"/>
        <v>42308</v>
      </c>
      <c r="Q146" s="45">
        <f t="shared" ca="1" si="27"/>
        <v>5.947158257369618</v>
      </c>
      <c r="R146" s="46">
        <f t="shared" ca="1" si="28"/>
        <v>1584642.1617417862</v>
      </c>
      <c r="S146" s="125"/>
      <c r="T146" s="128"/>
      <c r="U146" s="39"/>
    </row>
    <row r="147" spans="1:24" x14ac:dyDescent="0.25">
      <c r="A147" s="21">
        <v>42338</v>
      </c>
      <c r="B147" s="24">
        <f t="shared" si="29"/>
        <v>131</v>
      </c>
      <c r="C147" s="3" t="s">
        <v>101</v>
      </c>
      <c r="D147" s="29">
        <v>-2.09</v>
      </c>
      <c r="E147" s="47">
        <f t="shared" si="30"/>
        <v>3038132.0561761665</v>
      </c>
      <c r="F147" s="62"/>
      <c r="G147" s="128"/>
      <c r="H147" s="49"/>
      <c r="I147" s="39"/>
      <c r="J147" s="20">
        <f t="shared" si="26"/>
        <v>42338</v>
      </c>
      <c r="K147" s="27">
        <v>-2.0302132524674352</v>
      </c>
      <c r="L147" s="46">
        <f t="shared" si="31"/>
        <v>1677064.3218501569</v>
      </c>
      <c r="M147" s="125"/>
      <c r="N147" s="128"/>
      <c r="O147" s="39"/>
      <c r="P147" s="20">
        <f t="shared" si="25"/>
        <v>42338</v>
      </c>
      <c r="Q147" s="45">
        <f t="shared" ca="1" si="27"/>
        <v>-1.6185266810231878</v>
      </c>
      <c r="R147" s="46">
        <f t="shared" ca="1" si="28"/>
        <v>1558994.3055552528</v>
      </c>
      <c r="S147" s="125"/>
      <c r="T147" s="128"/>
      <c r="U147" s="39"/>
      <c r="X147">
        <v>-6.8</v>
      </c>
    </row>
    <row r="148" spans="1:24" x14ac:dyDescent="0.25">
      <c r="A148" s="21">
        <v>42369</v>
      </c>
      <c r="B148" s="24">
        <f t="shared" si="29"/>
        <v>132</v>
      </c>
      <c r="C148" s="3" t="s">
        <v>101</v>
      </c>
      <c r="D148" s="29">
        <v>-2.02</v>
      </c>
      <c r="E148" s="47">
        <f t="shared" si="30"/>
        <v>2976761.7886414081</v>
      </c>
      <c r="F148" s="62">
        <f>(E148-E$136)/E$136*100</f>
        <v>-2.4991032051815898</v>
      </c>
      <c r="G148" s="128">
        <f>(E148/E145-1)*100</f>
        <v>1.8128629634000193</v>
      </c>
      <c r="H148" s="62"/>
      <c r="I148" s="39"/>
      <c r="J148" s="20">
        <f t="shared" si="26"/>
        <v>42369</v>
      </c>
      <c r="K148" s="27">
        <v>-1.8377377040043443</v>
      </c>
      <c r="L148" s="46">
        <f t="shared" si="31"/>
        <v>1646244.2784871117</v>
      </c>
      <c r="M148" s="129">
        <f>(L148-L$136)/L$136*100</f>
        <v>-5.1765240032348236</v>
      </c>
      <c r="N148" s="128">
        <f>(L148/L145-1)*100</f>
        <v>3.343468722901588</v>
      </c>
      <c r="O148" s="39"/>
      <c r="P148" s="20">
        <f t="shared" si="25"/>
        <v>42369</v>
      </c>
      <c r="Q148" s="45">
        <f t="shared" ca="1" si="27"/>
        <v>-1.465081317461765</v>
      </c>
      <c r="R148" s="46">
        <f t="shared" ca="1" si="28"/>
        <v>1536153.77124427</v>
      </c>
      <c r="S148" s="129">
        <f ca="1">(R148-R$136)/R$136*100</f>
        <v>-3.9874031158147942</v>
      </c>
      <c r="T148" s="128">
        <f ca="1">(R148/R145-1)*100</f>
        <v>2.7052861769001568</v>
      </c>
      <c r="U148" s="39"/>
      <c r="X148">
        <v>-1.1399999999999999</v>
      </c>
    </row>
    <row r="149" spans="1:24" x14ac:dyDescent="0.25">
      <c r="A149" s="21">
        <v>42400</v>
      </c>
      <c r="B149" s="24">
        <f t="shared" si="29"/>
        <v>133</v>
      </c>
      <c r="C149" s="3" t="s">
        <v>101</v>
      </c>
      <c r="D149" s="29">
        <v>-1.66</v>
      </c>
      <c r="E149" s="47">
        <f t="shared" si="30"/>
        <v>2927347.5429499606</v>
      </c>
      <c r="F149" s="62"/>
      <c r="G149" s="128"/>
      <c r="H149" s="49"/>
      <c r="I149" s="39"/>
      <c r="J149" s="20">
        <f t="shared" si="26"/>
        <v>42400</v>
      </c>
      <c r="K149" s="27">
        <v>-6.7889357816423681</v>
      </c>
      <c r="L149" s="46">
        <f t="shared" si="31"/>
        <v>1534481.8116116598</v>
      </c>
      <c r="M149" s="125"/>
      <c r="N149" s="128"/>
      <c r="O149" s="39"/>
      <c r="P149" s="20">
        <f t="shared" si="25"/>
        <v>42400</v>
      </c>
      <c r="Q149" s="45">
        <f t="shared" ca="1" si="27"/>
        <v>-5.4122756242413175</v>
      </c>
      <c r="R149" s="46">
        <f t="shared" ca="1" si="28"/>
        <v>1453012.8951323526</v>
      </c>
      <c r="S149" s="125"/>
      <c r="T149" s="128"/>
      <c r="U149" s="39"/>
      <c r="X149">
        <v>8.1300000000000008</v>
      </c>
    </row>
    <row r="150" spans="1:24" x14ac:dyDescent="0.25">
      <c r="A150" s="21">
        <v>42429</v>
      </c>
      <c r="B150" s="24">
        <f t="shared" si="29"/>
        <v>134</v>
      </c>
      <c r="C150" s="3" t="s">
        <v>101</v>
      </c>
      <c r="D150" s="29">
        <v>-1.22</v>
      </c>
      <c r="E150" s="47">
        <f t="shared" si="30"/>
        <v>2891633.902925971</v>
      </c>
      <c r="F150" s="62"/>
      <c r="G150" s="128"/>
      <c r="H150" s="49"/>
      <c r="I150" s="39"/>
      <c r="J150" s="20">
        <f t="shared" si="26"/>
        <v>42429</v>
      </c>
      <c r="K150" s="27">
        <v>-1.1039880784358922</v>
      </c>
      <c r="L150" s="46">
        <f t="shared" si="31"/>
        <v>1517541.3153456999</v>
      </c>
      <c r="M150" s="125"/>
      <c r="N150" s="128"/>
      <c r="O150" s="39"/>
      <c r="P150" s="20">
        <f t="shared" si="25"/>
        <v>42429</v>
      </c>
      <c r="Q150" s="45">
        <f t="shared" ca="1" si="27"/>
        <v>-0.88012141498355834</v>
      </c>
      <c r="R150" s="46">
        <f t="shared" ca="1" si="28"/>
        <v>1440224.6174798203</v>
      </c>
      <c r="S150" s="125"/>
      <c r="T150" s="128"/>
      <c r="U150" s="39"/>
      <c r="X150">
        <v>2.63</v>
      </c>
    </row>
    <row r="151" spans="1:24" x14ac:dyDescent="0.25">
      <c r="A151" s="21">
        <v>42460</v>
      </c>
      <c r="B151" s="24">
        <f t="shared" si="29"/>
        <v>135</v>
      </c>
      <c r="C151" s="3" t="s">
        <v>101</v>
      </c>
      <c r="D151" s="29">
        <v>7</v>
      </c>
      <c r="E151" s="47">
        <f t="shared" si="30"/>
        <v>3094048.276130789</v>
      </c>
      <c r="F151" s="62"/>
      <c r="G151" s="128">
        <f>(E151/E$148-1)*100</f>
        <v>3.940069639999999</v>
      </c>
      <c r="H151" s="49"/>
      <c r="I151" s="39"/>
      <c r="J151" s="20">
        <f t="shared" si="26"/>
        <v>42460</v>
      </c>
      <c r="K151" s="27">
        <v>8.2094335986426437</v>
      </c>
      <c r="L151" s="46">
        <f t="shared" si="31"/>
        <v>1642122.8619609734</v>
      </c>
      <c r="M151" s="125"/>
      <c r="N151" s="128">
        <f>(L151/L$148-1)*100</f>
        <v>-0.25035267122847094</v>
      </c>
      <c r="O151" s="39"/>
      <c r="P151" s="20">
        <f t="shared" si="25"/>
        <v>42460</v>
      </c>
      <c r="Q151" s="45">
        <f t="shared" ca="1" si="27"/>
        <v>6.5447249442109774</v>
      </c>
      <c r="R151" s="46">
        <f t="shared" ca="1" si="28"/>
        <v>1534483.3572726892</v>
      </c>
      <c r="S151" s="125"/>
      <c r="T151" s="128">
        <f ca="1">(R151/R$148-1)*100</f>
        <v>-0.10874002348265632</v>
      </c>
      <c r="U151" s="39"/>
      <c r="X151">
        <v>-1.69</v>
      </c>
    </row>
    <row r="152" spans="1:24" x14ac:dyDescent="0.25">
      <c r="A152" s="21">
        <v>42490</v>
      </c>
      <c r="B152" s="24">
        <f t="shared" si="29"/>
        <v>136</v>
      </c>
      <c r="C152" s="3" t="s">
        <v>101</v>
      </c>
      <c r="D152" s="29">
        <v>0.52</v>
      </c>
      <c r="E152" s="47">
        <f t="shared" ref="E152:E153" si="32">E151*D152/100+E151</f>
        <v>3110137.3271666691</v>
      </c>
      <c r="F152" s="62"/>
      <c r="G152" s="128"/>
      <c r="H152" s="49"/>
      <c r="I152" s="39"/>
      <c r="J152" s="20">
        <f t="shared" si="26"/>
        <v>42490</v>
      </c>
      <c r="K152" s="27">
        <v>2.6994982140268799</v>
      </c>
      <c r="L152" s="46">
        <f t="shared" ref="L152:L153" si="33">L151*K152/100+L151</f>
        <v>1686451.9392917368</v>
      </c>
      <c r="M152" s="125"/>
      <c r="N152" s="128"/>
      <c r="O152" s="39"/>
      <c r="P152" s="20">
        <f t="shared" si="25"/>
        <v>42490</v>
      </c>
      <c r="Q152" s="45">
        <f t="shared" ca="1" si="27"/>
        <v>2.1520940617774</v>
      </c>
      <c r="R152" s="46">
        <f t="shared" ca="1" si="28"/>
        <v>1567506.8824835173</v>
      </c>
      <c r="S152" s="125"/>
      <c r="T152" s="128"/>
      <c r="U152" s="39"/>
      <c r="X152">
        <v>-1.53</v>
      </c>
    </row>
    <row r="153" spans="1:24" x14ac:dyDescent="0.25">
      <c r="A153" s="21">
        <v>42521</v>
      </c>
      <c r="B153" s="24">
        <f t="shared" si="29"/>
        <v>137</v>
      </c>
      <c r="C153" s="3" t="s">
        <v>101</v>
      </c>
      <c r="D153" s="29">
        <v>0.82</v>
      </c>
      <c r="E153" s="47">
        <f t="shared" si="32"/>
        <v>3135640.4532494359</v>
      </c>
      <c r="F153" s="62"/>
      <c r="G153" s="131"/>
      <c r="H153" s="49"/>
      <c r="I153" s="39"/>
      <c r="J153" s="20">
        <f t="shared" si="26"/>
        <v>42521</v>
      </c>
      <c r="K153" s="27">
        <v>-1.597323148100799</v>
      </c>
      <c r="L153" s="46">
        <f t="shared" si="33"/>
        <v>1659513.8520838351</v>
      </c>
      <c r="M153" s="125"/>
      <c r="N153" s="131"/>
      <c r="O153" s="39"/>
      <c r="P153" s="20">
        <f t="shared" si="25"/>
        <v>42521</v>
      </c>
      <c r="Q153" s="45">
        <f t="shared" ca="1" si="27"/>
        <v>-1.2734180166911133</v>
      </c>
      <c r="R153" s="46">
        <f t="shared" ca="1" si="28"/>
        <v>1547545.9674290989</v>
      </c>
      <c r="S153" s="125"/>
      <c r="T153" s="131"/>
      <c r="U153" s="39"/>
      <c r="X153">
        <v>-1.37</v>
      </c>
    </row>
    <row r="154" spans="1:24" x14ac:dyDescent="0.25">
      <c r="A154" s="21">
        <v>42551</v>
      </c>
      <c r="B154" s="24">
        <f t="shared" ref="B154" si="34">IF(A154&gt;A153,1+B153,"-")</f>
        <v>138</v>
      </c>
      <c r="C154" s="3" t="s">
        <v>101</v>
      </c>
      <c r="D154" s="29">
        <v>1.34</v>
      </c>
      <c r="E154" s="47">
        <f t="shared" ref="E154" si="35">E153*D154/100+E153</f>
        <v>3177658.0353229782</v>
      </c>
      <c r="F154" s="62"/>
      <c r="G154" s="128">
        <f>(E154/E151-1)*100</f>
        <v>2.7022771376000065</v>
      </c>
      <c r="H154" s="49"/>
      <c r="I154" s="39"/>
      <c r="J154" s="20">
        <f t="shared" si="26"/>
        <v>42551</v>
      </c>
      <c r="K154" s="27">
        <v>-1.471959204731504</v>
      </c>
      <c r="L154" s="46">
        <f t="shared" ref="L154" si="36">L153*K154/100+L153</f>
        <v>1635086.4851842928</v>
      </c>
      <c r="M154" s="125"/>
      <c r="N154" s="128">
        <f>(L154/L151-1)*100</f>
        <v>-0.42849271145752876</v>
      </c>
      <c r="O154" s="39"/>
      <c r="P154" s="20">
        <f t="shared" si="25"/>
        <v>42551</v>
      </c>
      <c r="Q154" s="45">
        <f t="shared" ca="1" si="27"/>
        <v>-1.1734753693190296</v>
      </c>
      <c r="R154" s="46">
        <f t="shared" ca="1" si="28"/>
        <v>1529385.8966724286</v>
      </c>
      <c r="S154" s="125"/>
      <c r="T154" s="128">
        <f ca="1">(R154/R151-1)*100</f>
        <v>-0.33219393199028779</v>
      </c>
      <c r="U154" s="39"/>
      <c r="X154">
        <v>-1.21</v>
      </c>
    </row>
    <row r="155" spans="1:24" x14ac:dyDescent="0.25">
      <c r="A155" s="21">
        <v>42582</v>
      </c>
      <c r="B155" s="24">
        <f t="shared" ref="B155" si="37">IF(A155&gt;A154,1+B154,"-")</f>
        <v>139</v>
      </c>
      <c r="C155" s="3" t="s">
        <v>101</v>
      </c>
      <c r="D155" s="29">
        <v>1.5</v>
      </c>
      <c r="E155" s="47">
        <f t="shared" ref="E155" si="38">E154*D155/100+E154</f>
        <v>3225322.9058528231</v>
      </c>
      <c r="F155" s="104"/>
      <c r="G155" s="106"/>
      <c r="H155" s="49"/>
      <c r="I155" s="39"/>
      <c r="J155" s="20">
        <f t="shared" si="26"/>
        <v>42582</v>
      </c>
      <c r="K155" s="27">
        <v>5.0075995499793597</v>
      </c>
      <c r="L155" s="46">
        <f t="shared" ref="L155" si="39">L154*K155/100+L154</f>
        <v>1716965.0686581547</v>
      </c>
      <c r="M155" s="104"/>
      <c r="N155" s="106"/>
      <c r="O155" s="39"/>
      <c r="P155" s="20">
        <f t="shared" si="25"/>
        <v>42582</v>
      </c>
      <c r="Q155" s="45">
        <f t="shared" ca="1" si="27"/>
        <v>3.9921586905567228</v>
      </c>
      <c r="R155" s="46">
        <f t="shared" ca="1" si="28"/>
        <v>1590441.4086585857</v>
      </c>
      <c r="S155" s="104"/>
      <c r="T155" s="106"/>
      <c r="U155" s="39"/>
      <c r="X155">
        <v>-1.05</v>
      </c>
    </row>
    <row r="156" spans="1:24" x14ac:dyDescent="0.25">
      <c r="A156" s="21">
        <v>42613</v>
      </c>
      <c r="B156" s="24">
        <f t="shared" ref="B156" si="40">IF(A156&gt;A155,1+B155,"-")</f>
        <v>140</v>
      </c>
      <c r="C156" s="3" t="s">
        <v>101</v>
      </c>
      <c r="D156" s="29">
        <v>-1.32</v>
      </c>
      <c r="E156" s="47">
        <f t="shared" ref="E156" si="41">E155*D156/100+E155</f>
        <v>3182748.6434955657</v>
      </c>
      <c r="F156" s="104"/>
      <c r="G156" s="106"/>
      <c r="H156" s="49"/>
      <c r="I156" s="39"/>
      <c r="J156" s="20">
        <f t="shared" si="26"/>
        <v>42613</v>
      </c>
      <c r="K156" s="27">
        <v>0.66296044883192806</v>
      </c>
      <c r="L156" s="46">
        <f t="shared" ref="L156" si="42">L155*K156/100+L155</f>
        <v>1728347.8679836183</v>
      </c>
      <c r="M156" s="104"/>
      <c r="N156" s="106"/>
      <c r="O156" s="39"/>
      <c r="P156" s="20">
        <f t="shared" si="25"/>
        <v>42613</v>
      </c>
      <c r="Q156" s="45">
        <f t="shared" ca="1" si="27"/>
        <v>0.52852535249362664</v>
      </c>
      <c r="R156" s="46">
        <f t="shared" ca="1" si="28"/>
        <v>1598847.294719903</v>
      </c>
      <c r="S156" s="104"/>
      <c r="T156" s="106"/>
      <c r="U156" s="39"/>
      <c r="X156">
        <v>-0.89</v>
      </c>
    </row>
    <row r="157" spans="1:24" x14ac:dyDescent="0.25">
      <c r="A157" s="21">
        <v>42643</v>
      </c>
      <c r="B157" s="24">
        <f t="shared" ref="B157" si="43">IF(A157&gt;A156,1+B156,"-")</f>
        <v>141</v>
      </c>
      <c r="C157" s="3" t="s">
        <v>101</v>
      </c>
      <c r="D157" s="29">
        <v>-0.16</v>
      </c>
      <c r="E157" s="47">
        <f t="shared" ref="E157:E161" si="44">E156*D157/100+E156</f>
        <v>3177656.2456659731</v>
      </c>
      <c r="F157" s="112"/>
      <c r="G157" s="106">
        <f>(E157/E$154-1)*100</f>
        <v>-5.6319999985898761E-5</v>
      </c>
      <c r="H157" s="49"/>
      <c r="I157" s="39"/>
      <c r="J157" s="20">
        <f t="shared" si="26"/>
        <v>42643</v>
      </c>
      <c r="K157" s="27">
        <v>1.2826767276634126</v>
      </c>
      <c r="L157" s="46">
        <f t="shared" ref="L157:L159" si="45">L156*K157/100+L156</f>
        <v>1750516.9838593109</v>
      </c>
      <c r="M157" s="104"/>
      <c r="N157" s="106">
        <f>(L157/L$154-1)*100</f>
        <v>7.059595912567751</v>
      </c>
      <c r="O157" s="39"/>
      <c r="P157" s="20">
        <f t="shared" si="25"/>
        <v>42643</v>
      </c>
      <c r="Q157" s="45">
        <f t="shared" ca="1" si="27"/>
        <v>1.0225755862481971</v>
      </c>
      <c r="R157" s="46">
        <f t="shared" ca="1" si="28"/>
        <v>1615196.7168170984</v>
      </c>
      <c r="S157" s="104"/>
      <c r="T157" s="106">
        <f ca="1">(R157/R$154-1)*100</f>
        <v>5.6108023705052634</v>
      </c>
      <c r="U157" s="39"/>
      <c r="X157">
        <v>-0.73</v>
      </c>
    </row>
    <row r="158" spans="1:24" x14ac:dyDescent="0.25">
      <c r="A158" s="21">
        <v>42674</v>
      </c>
      <c r="B158" s="24">
        <f t="shared" si="29"/>
        <v>142</v>
      </c>
      <c r="C158" s="3" t="s">
        <v>101</v>
      </c>
      <c r="D158" s="29">
        <v>-2.27</v>
      </c>
      <c r="E158" s="47">
        <f t="shared" si="44"/>
        <v>3105523.4488893556</v>
      </c>
      <c r="G158" s="140"/>
      <c r="H158" s="49"/>
      <c r="I158" s="39"/>
      <c r="J158" s="20">
        <f t="shared" si="26"/>
        <v>42674</v>
      </c>
      <c r="K158" s="27">
        <v>-1.4174014188051396</v>
      </c>
      <c r="L158" s="46">
        <f t="shared" si="45"/>
        <v>1725705.131293664</v>
      </c>
      <c r="M158" s="18"/>
      <c r="N158" s="109"/>
      <c r="O158" s="39"/>
      <c r="P158" s="20">
        <f t="shared" si="25"/>
        <v>42674</v>
      </c>
      <c r="Q158" s="45">
        <f t="shared" ca="1" si="27"/>
        <v>-1.1299808092908887</v>
      </c>
      <c r="R158" s="46">
        <f t="shared" ca="1" si="28"/>
        <v>1596945.3038847686</v>
      </c>
      <c r="S158" s="18"/>
      <c r="T158" s="109"/>
      <c r="U158" s="39"/>
      <c r="X158">
        <v>-0.56999999999999995</v>
      </c>
    </row>
    <row r="159" spans="1:24" x14ac:dyDescent="0.25">
      <c r="A159" s="21">
        <v>42704</v>
      </c>
      <c r="B159" s="24">
        <f t="shared" si="29"/>
        <v>143</v>
      </c>
      <c r="C159" s="3" t="s">
        <v>141</v>
      </c>
      <c r="D159" s="29">
        <v>-2.83</v>
      </c>
      <c r="E159" s="47">
        <f t="shared" si="44"/>
        <v>3017637.1352857868</v>
      </c>
      <c r="F159" s="104"/>
      <c r="G159" s="106"/>
      <c r="H159" s="49"/>
      <c r="I159" s="39"/>
      <c r="J159" s="20">
        <f t="shared" si="26"/>
        <v>42704</v>
      </c>
      <c r="K159" s="27">
        <v>-2.2755947523257709</v>
      </c>
      <c r="L159" s="46">
        <f t="shared" si="45"/>
        <v>1686435.0758853289</v>
      </c>
      <c r="M159" s="104"/>
      <c r="N159" s="106"/>
      <c r="O159" s="39"/>
      <c r="P159" s="20">
        <f t="shared" si="25"/>
        <v>42704</v>
      </c>
      <c r="Q159" s="45">
        <f t="shared" ca="1" si="27"/>
        <v>-1.8141497290293598</v>
      </c>
      <c r="R159" s="46">
        <f t="shared" ca="1" si="28"/>
        <v>1567974.3249815961</v>
      </c>
      <c r="S159" s="104"/>
      <c r="T159" s="106"/>
      <c r="U159" s="39"/>
    </row>
    <row r="160" spans="1:24" x14ac:dyDescent="0.25">
      <c r="A160" s="21">
        <v>42735</v>
      </c>
      <c r="B160" s="24">
        <f t="shared" si="29"/>
        <v>144</v>
      </c>
      <c r="C160" s="3" t="s">
        <v>141</v>
      </c>
      <c r="D160" s="29">
        <v>2.48</v>
      </c>
      <c r="E160" s="47">
        <f t="shared" si="44"/>
        <v>3092474.5362408743</v>
      </c>
      <c r="F160" s="112">
        <f>(E160/E$148-1)*100</f>
        <v>3.8872021281984193</v>
      </c>
      <c r="G160" s="106">
        <f>(E160/E$157-1)*100</f>
        <v>-2.6806458232000008</v>
      </c>
      <c r="H160" s="49"/>
      <c r="I160" s="39"/>
      <c r="J160" s="20">
        <f t="shared" si="26"/>
        <v>42735</v>
      </c>
      <c r="K160" s="27">
        <v>2.6013114694148536</v>
      </c>
      <c r="L160" s="46">
        <f t="shared" ref="L160:L165" si="46">L159*K160/100+L159</f>
        <v>1730304.5049385692</v>
      </c>
      <c r="M160" s="112">
        <f>(L160/L$148-1)*100</f>
        <v>5.1061818437242001</v>
      </c>
      <c r="N160" s="106">
        <f>(L160/L$157-1)*100</f>
        <v>-1.1546576872496161</v>
      </c>
      <c r="O160" s="39"/>
      <c r="P160" s="20">
        <f t="shared" si="25"/>
        <v>42735</v>
      </c>
      <c r="Q160" s="45">
        <f t="shared" ca="1" si="27"/>
        <v>2.0738176217609476</v>
      </c>
      <c r="R160" s="46">
        <f t="shared" ca="1" si="28"/>
        <v>1600491.2528377518</v>
      </c>
      <c r="S160" s="112">
        <f ca="1">(R160/R$148-1)*100</f>
        <v>4.1882188357594607</v>
      </c>
      <c r="T160" s="106">
        <f ca="1">(R160/R$157-1)*100</f>
        <v>-0.91044414752929903</v>
      </c>
      <c r="U160" s="39"/>
    </row>
    <row r="161" spans="1:21" x14ac:dyDescent="0.25">
      <c r="A161" s="21">
        <v>42766</v>
      </c>
      <c r="B161" s="24">
        <f t="shared" si="29"/>
        <v>145</v>
      </c>
      <c r="C161" s="3" t="s">
        <v>141</v>
      </c>
      <c r="D161" s="29">
        <v>3.68</v>
      </c>
      <c r="E161" s="47">
        <f t="shared" si="44"/>
        <v>3206277.5991745386</v>
      </c>
      <c r="H161" s="49"/>
      <c r="I161" s="39"/>
      <c r="J161" s="20">
        <f t="shared" si="26"/>
        <v>42766</v>
      </c>
      <c r="K161" s="27">
        <v>3.5534732086097058</v>
      </c>
      <c r="L161" s="46">
        <f t="shared" si="46"/>
        <v>1791790.4119489279</v>
      </c>
      <c r="M161" s="18"/>
      <c r="N161" s="106"/>
      <c r="O161" s="39"/>
      <c r="P161" s="20">
        <f t="shared" si="25"/>
        <v>42766</v>
      </c>
      <c r="Q161" s="45">
        <f t="shared" ca="1" si="27"/>
        <v>2.8329000371984998</v>
      </c>
      <c r="R161" s="46">
        <f t="shared" ca="1" si="28"/>
        <v>1645831.5701347513</v>
      </c>
      <c r="S161" s="18"/>
      <c r="T161" s="10"/>
      <c r="U161" s="39"/>
    </row>
    <row r="162" spans="1:21" x14ac:dyDescent="0.25">
      <c r="A162" s="21">
        <v>42794</v>
      </c>
      <c r="B162" s="24">
        <f t="shared" si="29"/>
        <v>146</v>
      </c>
      <c r="C162" s="3" t="s">
        <v>141</v>
      </c>
      <c r="D162" s="29">
        <v>1.6</v>
      </c>
      <c r="E162" s="47">
        <f t="shared" ref="E162:E164" si="47">E161*D162/100+E161</f>
        <v>3257578.0407613311</v>
      </c>
      <c r="H162" s="49"/>
      <c r="I162" s="39"/>
      <c r="J162" s="20">
        <f t="shared" si="26"/>
        <v>42794</v>
      </c>
      <c r="K162" s="27">
        <v>1.6191785603172593</v>
      </c>
      <c r="L162" s="46">
        <f t="shared" si="46"/>
        <v>1820802.6981450252</v>
      </c>
      <c r="M162" s="18"/>
      <c r="N162" s="10"/>
      <c r="O162" s="39"/>
      <c r="P162" s="20">
        <f t="shared" si="25"/>
        <v>42794</v>
      </c>
      <c r="Q162" s="45">
        <f t="shared" ca="1" si="27"/>
        <v>1.2908415891922334</v>
      </c>
      <c r="R162" s="46">
        <f t="shared" ca="1" si="28"/>
        <v>1667076.6485301061</v>
      </c>
      <c r="S162" s="18"/>
      <c r="T162" s="10"/>
      <c r="U162" s="39"/>
    </row>
    <row r="163" spans="1:21" x14ac:dyDescent="0.25">
      <c r="A163" s="21">
        <v>42825</v>
      </c>
      <c r="B163" s="24">
        <f t="shared" ref="B163" si="48">IF(A163&gt;A162,1+B162,"-")</f>
        <v>147</v>
      </c>
      <c r="C163" s="3" t="s">
        <v>141</v>
      </c>
      <c r="D163" s="29">
        <v>2.74</v>
      </c>
      <c r="E163" s="47">
        <f t="shared" si="47"/>
        <v>3346835.6790781915</v>
      </c>
      <c r="G163" s="106">
        <f>(E163/E$160-1)*100</f>
        <v>8.2251653119999943</v>
      </c>
      <c r="H163" s="49"/>
      <c r="I163" s="39"/>
      <c r="J163" s="20">
        <f t="shared" si="26"/>
        <v>42825</v>
      </c>
      <c r="K163" s="27">
        <v>2.6457790211152172</v>
      </c>
      <c r="L163" s="46">
        <f t="shared" si="46"/>
        <v>1868977.113948446</v>
      </c>
      <c r="M163" s="18"/>
      <c r="N163" s="106">
        <f>(L163/L$160-1)*100</f>
        <v>8.0143471056153928</v>
      </c>
      <c r="O163" s="39"/>
      <c r="P163" s="20">
        <f t="shared" si="25"/>
        <v>42825</v>
      </c>
      <c r="Q163" s="45">
        <f t="shared" ca="1" si="27"/>
        <v>2.1092680449021346</v>
      </c>
      <c r="R163" s="46">
        <f t="shared" ca="1" si="28"/>
        <v>1702239.7635615771</v>
      </c>
      <c r="S163" s="18"/>
      <c r="T163" s="106">
        <f ca="1">(R163/R$160-1)*100</f>
        <v>6.3573300099841301</v>
      </c>
      <c r="U163" s="39"/>
    </row>
    <row r="164" spans="1:21" x14ac:dyDescent="0.25">
      <c r="A164" s="21">
        <v>42855</v>
      </c>
      <c r="B164" s="24">
        <f t="shared" ref="B164" si="49">IF(A164&gt;A163,1+B163,"-")</f>
        <v>148</v>
      </c>
      <c r="C164" s="3" t="s">
        <v>141</v>
      </c>
      <c r="D164" s="29">
        <v>1.18</v>
      </c>
      <c r="E164" s="47">
        <f t="shared" si="47"/>
        <v>3386328.3400913142</v>
      </c>
      <c r="H164" s="49"/>
      <c r="I164" s="39"/>
      <c r="J164" s="20">
        <f t="shared" si="26"/>
        <v>42855</v>
      </c>
      <c r="K164" s="27">
        <v>2.1992172334445734</v>
      </c>
      <c r="L164" s="46">
        <f t="shared" si="46"/>
        <v>1910079.9807275352</v>
      </c>
      <c r="M164" s="18"/>
      <c r="N164" s="10"/>
      <c r="O164" s="39"/>
      <c r="P164" s="20">
        <f t="shared" si="25"/>
        <v>42855</v>
      </c>
      <c r="Q164" s="45">
        <f t="shared" ca="1" si="27"/>
        <v>1.7532600407223167</v>
      </c>
      <c r="R164" s="46">
        <f t="shared" ca="1" si="28"/>
        <v>1732084.4531333882</v>
      </c>
      <c r="S164" s="18"/>
      <c r="T164" s="10"/>
      <c r="U164" s="39"/>
    </row>
    <row r="165" spans="1:21" x14ac:dyDescent="0.25">
      <c r="A165" s="21">
        <v>42886</v>
      </c>
      <c r="B165" s="24">
        <f t="shared" si="29"/>
        <v>149</v>
      </c>
      <c r="C165" s="3" t="s">
        <v>141</v>
      </c>
      <c r="D165" s="29">
        <v>4.33</v>
      </c>
      <c r="E165" s="47">
        <f t="shared" ref="E165:E166" si="50">E164*D165/100+E164</f>
        <v>3532956.3572172681</v>
      </c>
      <c r="H165" s="49"/>
      <c r="I165" s="39"/>
      <c r="J165" s="20">
        <f t="shared" si="26"/>
        <v>42886</v>
      </c>
      <c r="K165" s="27">
        <v>3.3116981231070484</v>
      </c>
      <c r="L165" s="46">
        <f t="shared" si="46"/>
        <v>1973336.0635991325</v>
      </c>
      <c r="M165" s="18"/>
      <c r="N165" s="10"/>
      <c r="O165" s="39"/>
      <c r="P165" s="20">
        <f t="shared" si="25"/>
        <v>42886</v>
      </c>
      <c r="Q165" s="45">
        <f t="shared" ca="1" si="27"/>
        <v>2.6401520949726671</v>
      </c>
      <c r="R165" s="46">
        <f t="shared" ca="1" si="28"/>
        <v>1777814.1171094852</v>
      </c>
      <c r="S165" s="18"/>
      <c r="T165" s="10"/>
      <c r="U165" s="39"/>
    </row>
    <row r="166" spans="1:21" x14ac:dyDescent="0.25">
      <c r="A166" s="21">
        <v>42916</v>
      </c>
      <c r="B166" s="24">
        <f t="shared" si="29"/>
        <v>150</v>
      </c>
      <c r="C166" s="3" t="s">
        <v>141</v>
      </c>
      <c r="D166" s="29">
        <v>0.3</v>
      </c>
      <c r="E166" s="47">
        <f t="shared" si="50"/>
        <v>3543555.2262889198</v>
      </c>
      <c r="F166" s="112"/>
      <c r="G166" s="106">
        <f>(E166/E$163-1)*100</f>
        <v>5.8777772820000074</v>
      </c>
      <c r="H166" s="49"/>
      <c r="I166" s="39"/>
      <c r="J166" s="20">
        <f t="shared" si="26"/>
        <v>42916</v>
      </c>
      <c r="K166" s="27">
        <v>0.35430195726743774</v>
      </c>
      <c r="L166" s="46">
        <f t="shared" ref="L166" si="51">L165*K166/100+L165</f>
        <v>1980327.6318959284</v>
      </c>
      <c r="M166" s="112"/>
      <c r="N166" s="106">
        <f>(L166/L$163-1)*100</f>
        <v>5.9578320738363999</v>
      </c>
      <c r="O166" s="39"/>
      <c r="P166" s="20">
        <f t="shared" si="25"/>
        <v>42916</v>
      </c>
      <c r="Q166" s="45">
        <f t="shared" ca="1" si="27"/>
        <v>0.28245661891879675</v>
      </c>
      <c r="R166" s="46">
        <f t="shared" ca="1" si="28"/>
        <v>1782835.6707553337</v>
      </c>
      <c r="S166" s="112"/>
      <c r="T166" s="106">
        <f ca="1">(R166/R$163-1)*100</f>
        <v>4.7346977152693759</v>
      </c>
      <c r="U166" s="39"/>
    </row>
    <row r="167" spans="1:21" x14ac:dyDescent="0.25">
      <c r="A167" s="21">
        <v>42947</v>
      </c>
      <c r="B167" s="24">
        <f t="shared" si="29"/>
        <v>151</v>
      </c>
      <c r="C167" s="3" t="s">
        <v>141</v>
      </c>
      <c r="D167" s="29">
        <v>1.77</v>
      </c>
      <c r="E167" s="47">
        <f t="shared" ref="E167" si="52">E166*D167/100+E166</f>
        <v>3606276.1537942337</v>
      </c>
      <c r="F167" s="112"/>
      <c r="H167" s="49"/>
      <c r="I167" s="39"/>
      <c r="J167" s="20">
        <f t="shared" si="26"/>
        <v>42947</v>
      </c>
      <c r="K167" s="27">
        <v>3.7151504682288099</v>
      </c>
      <c r="L167" s="46">
        <f t="shared" ref="L167" si="53">L166*K167/100+L166</f>
        <v>2053899.7831847745</v>
      </c>
      <c r="M167" s="112"/>
      <c r="N167" s="10"/>
      <c r="O167" s="39"/>
      <c r="P167" s="20">
        <f t="shared" si="25"/>
        <v>42947</v>
      </c>
      <c r="Q167" s="45">
        <f t="shared" ca="1" si="27"/>
        <v>2.9617923878371331</v>
      </c>
      <c r="R167" s="46">
        <f t="shared" ca="1" si="28"/>
        <v>1835639.5619394104</v>
      </c>
      <c r="S167" s="112"/>
      <c r="T167" s="10"/>
      <c r="U167" s="39"/>
    </row>
    <row r="168" spans="1:21" x14ac:dyDescent="0.25">
      <c r="A168" s="21">
        <v>42978</v>
      </c>
      <c r="B168" s="24">
        <f t="shared" si="29"/>
        <v>152</v>
      </c>
      <c r="C168" s="3" t="s">
        <v>141</v>
      </c>
      <c r="D168" s="29">
        <v>1.0900000000000001</v>
      </c>
      <c r="E168" s="47">
        <f t="shared" ref="E168" si="54">E167*D168/100+E167</f>
        <v>3645584.5638705906</v>
      </c>
      <c r="F168" s="112"/>
      <c r="H168" s="49"/>
      <c r="I168" s="39"/>
      <c r="J168" s="20">
        <f t="shared" si="26"/>
        <v>42978</v>
      </c>
      <c r="K168" s="27">
        <v>0.55962310828693329</v>
      </c>
      <c r="L168" s="46">
        <f t="shared" ref="L168" si="55">L167*K168/100+L167</f>
        <v>2065393.8809925318</v>
      </c>
      <c r="M168" s="112"/>
      <c r="N168" s="10"/>
      <c r="O168" s="39"/>
      <c r="P168" s="20">
        <f t="shared" si="25"/>
        <v>42978</v>
      </c>
      <c r="Q168" s="45">
        <f t="shared" ca="1" si="27"/>
        <v>0.44614275420510718</v>
      </c>
      <c r="R168" s="46">
        <f t="shared" ca="1" si="28"/>
        <v>1843829.1348383254</v>
      </c>
      <c r="S168" s="112"/>
      <c r="T168" s="10"/>
      <c r="U168" s="39"/>
    </row>
    <row r="169" spans="1:21" x14ac:dyDescent="0.25">
      <c r="A169" s="21">
        <v>43008</v>
      </c>
      <c r="B169" s="24">
        <f t="shared" si="29"/>
        <v>153</v>
      </c>
      <c r="C169" s="3" t="s">
        <v>141</v>
      </c>
      <c r="D169" s="29">
        <v>0.95</v>
      </c>
      <c r="E169" s="47">
        <f t="shared" ref="E169" si="56">E168*D169/100+E168</f>
        <v>3680217.6172273611</v>
      </c>
      <c r="F169" s="112"/>
      <c r="G169" s="106">
        <f>(E169/E$166-1)*100</f>
        <v>3.8566462834999982</v>
      </c>
      <c r="H169" s="49"/>
      <c r="I169" s="39"/>
      <c r="J169" s="20">
        <f t="shared" si="26"/>
        <v>43008</v>
      </c>
      <c r="K169" s="27">
        <v>1.9034810957082589</v>
      </c>
      <c r="L169" s="46">
        <f t="shared" ref="L169:L176" si="57">L168*K169/100+L168</f>
        <v>2104708.2630691398</v>
      </c>
      <c r="M169" s="112"/>
      <c r="N169" s="106">
        <f>(L169/L$166-1)*100</f>
        <v>6.2808107693842485</v>
      </c>
      <c r="O169" s="39"/>
      <c r="P169" s="20">
        <f t="shared" si="25"/>
        <v>43008</v>
      </c>
      <c r="Q169" s="45">
        <f t="shared" ca="1" si="27"/>
        <v>1.5174932665239735</v>
      </c>
      <c r="R169" s="46">
        <f t="shared" ca="1" si="28"/>
        <v>1871809.1178057042</v>
      </c>
      <c r="S169" s="112"/>
      <c r="T169" s="106">
        <f ca="1">(R169/R$166-1)*100</f>
        <v>4.9905579358682672</v>
      </c>
      <c r="U169" s="39"/>
    </row>
    <row r="170" spans="1:21" x14ac:dyDescent="0.25">
      <c r="A170" s="21">
        <v>43039</v>
      </c>
      <c r="B170" s="24">
        <f t="shared" ref="B170" si="58">IF(A170&gt;A169,1+B169,"-")</f>
        <v>154</v>
      </c>
      <c r="C170" s="3" t="s">
        <v>141</v>
      </c>
      <c r="D170" s="29">
        <v>-0.04</v>
      </c>
      <c r="E170" s="47">
        <f t="shared" ref="E170:E173" si="59">E169*D170/100+E169</f>
        <v>3678745.5301804701</v>
      </c>
      <c r="H170" s="49"/>
      <c r="I170" s="39"/>
      <c r="J170" s="20">
        <f t="shared" si="26"/>
        <v>43039</v>
      </c>
      <c r="K170" s="27">
        <v>1.8948465795332912</v>
      </c>
      <c r="L170" s="46">
        <f t="shared" si="57"/>
        <v>2144589.2556010601</v>
      </c>
      <c r="M170" s="18"/>
      <c r="N170" s="10"/>
      <c r="O170" s="39"/>
      <c r="P170" s="20">
        <f t="shared" si="25"/>
        <v>43039</v>
      </c>
      <c r="Q170" s="45">
        <f t="shared" ca="1" si="27"/>
        <v>1.5106096572332124</v>
      </c>
      <c r="R170" s="46">
        <f t="shared" ca="1" si="28"/>
        <v>1900084.8471042491</v>
      </c>
      <c r="S170" s="18"/>
      <c r="T170" s="10"/>
      <c r="U170" s="39"/>
    </row>
    <row r="171" spans="1:21" x14ac:dyDescent="0.25">
      <c r="A171" s="21">
        <v>43069</v>
      </c>
      <c r="B171" s="24">
        <f t="shared" si="29"/>
        <v>155</v>
      </c>
      <c r="C171" s="3" t="s">
        <v>141</v>
      </c>
      <c r="D171" s="29">
        <v>-0.83</v>
      </c>
      <c r="E171" s="47">
        <f t="shared" si="59"/>
        <v>3648211.9422799721</v>
      </c>
      <c r="F171" s="112"/>
      <c r="H171" s="49"/>
      <c r="I171" s="39"/>
      <c r="J171" s="20">
        <f t="shared" si="26"/>
        <v>43069</v>
      </c>
      <c r="K171" s="27">
        <v>0.83581680462896246</v>
      </c>
      <c r="L171" s="46">
        <f t="shared" si="57"/>
        <v>2162514.0929896408</v>
      </c>
      <c r="M171" s="112"/>
      <c r="N171" s="10"/>
      <c r="O171" s="39"/>
      <c r="P171" s="20">
        <f t="shared" si="25"/>
        <v>43069</v>
      </c>
      <c r="Q171" s="45">
        <f t="shared" ca="1" si="27"/>
        <v>0.66632990258308822</v>
      </c>
      <c r="R171" s="46">
        <f t="shared" ca="1" si="28"/>
        <v>1912745.6806149548</v>
      </c>
      <c r="S171" s="112"/>
      <c r="T171" s="10"/>
      <c r="U171" s="39"/>
    </row>
    <row r="172" spans="1:21" x14ac:dyDescent="0.25">
      <c r="A172" s="21">
        <v>43100</v>
      </c>
      <c r="B172" s="24">
        <f t="shared" si="29"/>
        <v>156</v>
      </c>
      <c r="C172" s="3" t="s">
        <v>141</v>
      </c>
      <c r="D172" s="29">
        <v>2.96</v>
      </c>
      <c r="E172" s="47">
        <f t="shared" si="59"/>
        <v>3756199.0157714593</v>
      </c>
      <c r="F172" s="112">
        <f>(E172/E$160-1)*100</f>
        <v>21.462568947694226</v>
      </c>
      <c r="G172" s="106">
        <f>(E172/E$169-1)*100</f>
        <v>2.0645898271999918</v>
      </c>
      <c r="H172" s="49"/>
      <c r="I172" s="39"/>
      <c r="J172" s="20">
        <f t="shared" si="26"/>
        <v>43100</v>
      </c>
      <c r="K172" s="27">
        <v>2.2845631016478882</v>
      </c>
      <c r="L172" s="46">
        <f t="shared" si="57"/>
        <v>2211918.0920260176</v>
      </c>
      <c r="M172" s="112">
        <f>(L172/L$160-1)*100</f>
        <v>27.834036478136959</v>
      </c>
      <c r="N172" s="106">
        <f>(L172/L$169-1)*100</f>
        <v>5.0938094764992226</v>
      </c>
      <c r="O172" s="39"/>
      <c r="P172" s="20">
        <f t="shared" si="25"/>
        <v>43100</v>
      </c>
      <c r="Q172" s="45">
        <f t="shared" ca="1" si="27"/>
        <v>1.8212994767935129</v>
      </c>
      <c r="R172" s="46">
        <f t="shared" ca="1" si="28"/>
        <v>1947582.5076883854</v>
      </c>
      <c r="S172" s="112">
        <f ca="1">(R172/R$160-1)*100</f>
        <v>21.686544942699527</v>
      </c>
      <c r="T172" s="106">
        <f ca="1">(R172/R$169-1)*100</f>
        <v>4.0481365947992121</v>
      </c>
      <c r="U172" s="39"/>
    </row>
    <row r="173" spans="1:21" x14ac:dyDescent="0.25">
      <c r="A173" s="21">
        <v>43131</v>
      </c>
      <c r="B173" s="24">
        <f t="shared" si="29"/>
        <v>157</v>
      </c>
      <c r="C173" s="3" t="s">
        <v>141</v>
      </c>
      <c r="D173" s="29">
        <v>3.55</v>
      </c>
      <c r="E173" s="47">
        <f t="shared" si="59"/>
        <v>3889544.0808313461</v>
      </c>
      <c r="H173" s="49"/>
      <c r="I173" s="39"/>
      <c r="J173" s="20">
        <f t="shared" si="26"/>
        <v>43131</v>
      </c>
      <c r="K173" s="27">
        <v>5.5795707009285129</v>
      </c>
      <c r="L173" s="46">
        <f t="shared" si="57"/>
        <v>2335333.6258172384</v>
      </c>
      <c r="M173" s="18"/>
      <c r="N173" s="10"/>
      <c r="O173" s="39"/>
      <c r="P173" s="20">
        <f t="shared" si="25"/>
        <v>43131</v>
      </c>
      <c r="Q173" s="45">
        <f t="shared" ca="1" si="27"/>
        <v>4.4481455517702564</v>
      </c>
      <c r="R173" s="46">
        <f t="shared" ca="1" si="28"/>
        <v>2034213.812371182</v>
      </c>
      <c r="S173" s="18"/>
      <c r="T173" s="10"/>
      <c r="U173" s="39"/>
    </row>
    <row r="174" spans="1:21" x14ac:dyDescent="0.25">
      <c r="A174" s="21">
        <v>43159</v>
      </c>
      <c r="B174" s="24">
        <f t="shared" ref="B174" si="60">IF(A174&gt;A173,1+B173,"-")</f>
        <v>158</v>
      </c>
      <c r="C174" s="3" t="s">
        <v>141</v>
      </c>
      <c r="D174" s="29">
        <v>-4.57</v>
      </c>
      <c r="E174" s="47">
        <f t="shared" ref="E174:E175" si="61">E173*D174/100+E173</f>
        <v>3711791.9163373536</v>
      </c>
      <c r="H174" s="49"/>
      <c r="I174" s="39"/>
      <c r="J174" s="20">
        <f t="shared" si="26"/>
        <v>43159</v>
      </c>
      <c r="K174" s="27">
        <v>-4.696226947656303</v>
      </c>
      <c r="L174" s="46">
        <f t="shared" si="57"/>
        <v>2225661.0587639301</v>
      </c>
      <c r="M174" s="18"/>
      <c r="N174" s="10"/>
      <c r="O174" s="39"/>
      <c r="P174" s="20">
        <f t="shared" si="25"/>
        <v>43159</v>
      </c>
      <c r="Q174" s="45">
        <f t="shared" ca="1" si="27"/>
        <v>-3.7439262135068403</v>
      </c>
      <c r="R174" s="46">
        <f t="shared" ca="1" si="28"/>
        <v>1958054.3482110405</v>
      </c>
      <c r="S174" s="18"/>
      <c r="T174" s="10"/>
      <c r="U174" s="39"/>
    </row>
    <row r="175" spans="1:21" x14ac:dyDescent="0.25">
      <c r="A175" s="21">
        <v>43190</v>
      </c>
      <c r="B175" s="24">
        <f t="shared" si="29"/>
        <v>159</v>
      </c>
      <c r="C175" s="3" t="s">
        <v>141</v>
      </c>
      <c r="D175" s="29">
        <v>-0.15</v>
      </c>
      <c r="E175" s="47">
        <f t="shared" si="61"/>
        <v>3706224.2284628474</v>
      </c>
      <c r="F175" s="112"/>
      <c r="G175" s="106">
        <f>(E175/E$172-1)*100</f>
        <v>-1.3304616475000031</v>
      </c>
      <c r="H175" s="49"/>
      <c r="I175" s="39"/>
      <c r="J175" s="20">
        <f t="shared" si="26"/>
        <v>43190</v>
      </c>
      <c r="K175" s="27">
        <v>-1.6643973530362937</v>
      </c>
      <c r="L175" s="46">
        <f t="shared" si="57"/>
        <v>2188617.2150143036</v>
      </c>
      <c r="M175" s="112"/>
      <c r="N175" s="106">
        <f>(L175/L$172-1)*100</f>
        <v>-1.0534240438519804</v>
      </c>
      <c r="O175" s="39"/>
      <c r="P175" s="20">
        <f t="shared" si="25"/>
        <v>43190</v>
      </c>
      <c r="Q175" s="45">
        <f t="shared" ca="1" si="27"/>
        <v>-1.3268909167249272</v>
      </c>
      <c r="R175" s="46">
        <f t="shared" ca="1" si="28"/>
        <v>1932073.1029200908</v>
      </c>
      <c r="S175" s="18"/>
      <c r="T175" s="106">
        <f ca="1">(R175/R$172-1)*100</f>
        <v>-0.79634134662170952</v>
      </c>
      <c r="U175" s="39"/>
    </row>
    <row r="176" spans="1:21" x14ac:dyDescent="0.25">
      <c r="A176" s="21">
        <v>43220</v>
      </c>
      <c r="B176" s="24">
        <f t="shared" si="29"/>
        <v>160</v>
      </c>
      <c r="C176" s="3" t="s">
        <v>141</v>
      </c>
      <c r="D176" s="29">
        <v>1.1000000000000001</v>
      </c>
      <c r="E176" s="47">
        <f t="shared" ref="E176" si="62">E175*D176/100+E175</f>
        <v>3746992.6949759386</v>
      </c>
      <c r="F176" s="112"/>
      <c r="H176" s="49"/>
      <c r="I176" s="39"/>
      <c r="J176" s="20">
        <f t="shared" si="26"/>
        <v>43220</v>
      </c>
      <c r="K176" s="27">
        <v>1.6666683142559036</v>
      </c>
      <c r="L176" s="46">
        <f t="shared" si="57"/>
        <v>2225094.2046572971</v>
      </c>
      <c r="M176" s="112"/>
      <c r="N176" s="10"/>
      <c r="O176" s="39"/>
      <c r="P176" s="20">
        <f t="shared" si="25"/>
        <v>43220</v>
      </c>
      <c r="Q176" s="45">
        <f t="shared" ca="1" si="27"/>
        <v>1.3287013725088408</v>
      </c>
      <c r="R176" s="46">
        <f t="shared" ca="1" si="28"/>
        <v>1957744.5847564642</v>
      </c>
      <c r="S176" s="112"/>
      <c r="T176" s="10"/>
      <c r="U176" s="39"/>
    </row>
    <row r="177" spans="1:21" x14ac:dyDescent="0.25">
      <c r="A177" s="21">
        <v>43251</v>
      </c>
      <c r="B177" s="24">
        <f t="shared" si="29"/>
        <v>161</v>
      </c>
      <c r="C177" s="3" t="s">
        <v>141</v>
      </c>
      <c r="D177" s="29">
        <v>-1.7</v>
      </c>
      <c r="E177" s="47">
        <f t="shared" ref="E177" si="63">E176*D177/100+E176</f>
        <v>3683293.8191613476</v>
      </c>
      <c r="F177" s="112"/>
      <c r="H177" s="49"/>
      <c r="I177" s="39"/>
      <c r="J177" s="20">
        <f t="shared" si="26"/>
        <v>43251</v>
      </c>
      <c r="K177" s="27">
        <v>-2.2465770118846993</v>
      </c>
      <c r="L177" s="46">
        <f t="shared" ref="L177" si="64">L176*K177/100+L176</f>
        <v>2175105.7497626878</v>
      </c>
      <c r="M177" s="112"/>
      <c r="N177" s="10"/>
      <c r="O177" s="39"/>
      <c r="P177" s="20">
        <f t="shared" si="25"/>
        <v>43251</v>
      </c>
      <c r="Q177" s="45">
        <f t="shared" ref="Q177:Q209" ca="1" si="65">K177*$Q$3</f>
        <v>-1.7910162049673928</v>
      </c>
      <c r="R177" s="46">
        <f t="shared" ref="R177:R208" ca="1" si="66">R176*Q177/100+R176</f>
        <v>1922681.0619916043</v>
      </c>
      <c r="S177" s="112"/>
      <c r="T177" s="10"/>
      <c r="U177" s="39"/>
    </row>
    <row r="178" spans="1:21" x14ac:dyDescent="0.25">
      <c r="A178" s="21">
        <v>43281</v>
      </c>
      <c r="B178" s="24">
        <f t="shared" si="29"/>
        <v>162</v>
      </c>
      <c r="C178" s="3" t="s">
        <v>141</v>
      </c>
      <c r="D178" s="29">
        <v>-0.48</v>
      </c>
      <c r="E178" s="47">
        <f t="shared" ref="E178" si="67">E177*D178/100+E177</f>
        <v>3665614.0088293729</v>
      </c>
      <c r="F178" s="112"/>
      <c r="G178" s="106">
        <f>(E178/E$175-1)*100</f>
        <v>-1.0957302400000146</v>
      </c>
      <c r="H178" s="49"/>
      <c r="I178" s="39"/>
      <c r="J178" s="20">
        <f t="shared" si="26"/>
        <v>43281</v>
      </c>
      <c r="K178" s="27">
        <v>-1.8324589970430885</v>
      </c>
      <c r="L178" s="46">
        <f t="shared" ref="L178" si="68">L177*K178/100+L177</f>
        <v>2135247.8287559599</v>
      </c>
      <c r="M178" s="112"/>
      <c r="N178" s="106">
        <f>(L178/L$175-1)*100</f>
        <v>-2.4384979653920391</v>
      </c>
      <c r="O178" s="39"/>
      <c r="P178" s="20">
        <f t="shared" si="25"/>
        <v>43281</v>
      </c>
      <c r="Q178" s="45">
        <f t="shared" ca="1" si="65"/>
        <v>-1.4608730265111902</v>
      </c>
      <c r="R178" s="46">
        <f t="shared" ca="1" si="66"/>
        <v>1894593.1329711301</v>
      </c>
      <c r="S178" s="112"/>
      <c r="T178" s="106">
        <f ca="1">(R178/R$175-1)*100</f>
        <v>-1.9398836354749927</v>
      </c>
      <c r="U178" s="39"/>
    </row>
    <row r="179" spans="1:21" x14ac:dyDescent="0.25">
      <c r="A179" s="21">
        <v>43312</v>
      </c>
      <c r="B179" s="24">
        <f t="shared" ref="B179" si="69">IF(A179&gt;A178,1+B178,"-")</f>
        <v>163</v>
      </c>
      <c r="C179" s="3" t="s">
        <v>141</v>
      </c>
      <c r="D179" s="29">
        <v>2.97</v>
      </c>
      <c r="E179" s="47">
        <f t="shared" ref="E179" si="70">E178*D179/100+E178</f>
        <v>3774482.7448916053</v>
      </c>
      <c r="F179" s="112"/>
      <c r="H179" s="49"/>
      <c r="I179" s="39"/>
      <c r="J179" s="20">
        <f t="shared" ref="J179" si="71">A179</f>
        <v>43312</v>
      </c>
      <c r="K179" s="27">
        <v>2.4263231933962301</v>
      </c>
      <c r="L179" s="46">
        <f t="shared" ref="L179" si="72">L178*K179/100+L178</f>
        <v>2187055.842061555</v>
      </c>
      <c r="M179" s="112"/>
      <c r="N179" s="10"/>
      <c r="O179" s="39"/>
      <c r="P179" s="20">
        <f t="shared" si="25"/>
        <v>43312</v>
      </c>
      <c r="Q179" s="45">
        <f t="shared" ca="1" si="65"/>
        <v>1.934313462156938</v>
      </c>
      <c r="R179" s="46">
        <f t="shared" ca="1" si="66"/>
        <v>1931240.5029952915</v>
      </c>
      <c r="S179" s="112"/>
      <c r="T179" s="10"/>
      <c r="U179" s="39"/>
    </row>
    <row r="180" spans="1:21" x14ac:dyDescent="0.25">
      <c r="A180" s="21">
        <v>43343</v>
      </c>
      <c r="B180" s="24">
        <f t="shared" si="29"/>
        <v>164</v>
      </c>
      <c r="C180" s="3" t="s">
        <v>141</v>
      </c>
      <c r="D180" s="29">
        <v>-0.7</v>
      </c>
      <c r="E180" s="47">
        <f t="shared" ref="E180" si="73">E179*D180/100+E179</f>
        <v>3748061.3656773642</v>
      </c>
      <c r="F180" s="112"/>
      <c r="H180" s="49"/>
      <c r="I180" s="39"/>
      <c r="J180" s="20">
        <f t="shared" ref="J180" si="74">A180</f>
        <v>43343</v>
      </c>
      <c r="K180" s="27">
        <v>-2.0613525416709115</v>
      </c>
      <c r="L180" s="46">
        <f t="shared" ref="L180" si="75">L179*K180/100+L179</f>
        <v>2141972.9108734569</v>
      </c>
      <c r="M180" s="112"/>
      <c r="N180" s="10"/>
      <c r="O180" s="39"/>
      <c r="P180" s="20">
        <f t="shared" si="25"/>
        <v>43343</v>
      </c>
      <c r="Q180" s="45">
        <f t="shared" ca="1" si="65"/>
        <v>-1.6433515462646444</v>
      </c>
      <c r="R180" s="46">
        <f t="shared" ca="1" si="66"/>
        <v>1899503.4323272293</v>
      </c>
      <c r="S180" s="112"/>
      <c r="T180" s="10"/>
      <c r="U180" s="39"/>
    </row>
    <row r="181" spans="1:21" x14ac:dyDescent="0.25">
      <c r="A181" s="21">
        <v>43373</v>
      </c>
      <c r="B181" s="24">
        <f t="shared" si="29"/>
        <v>165</v>
      </c>
      <c r="C181" s="3" t="s">
        <v>141</v>
      </c>
      <c r="D181" s="29">
        <v>1.85</v>
      </c>
      <c r="E181" s="47">
        <f t="shared" ref="E181" si="76">E180*D181/100+E180</f>
        <v>3817400.5009423955</v>
      </c>
      <c r="F181" s="112">
        <f>(E181/E$172-1)*100</f>
        <v>1.6293461798473574</v>
      </c>
      <c r="G181" s="106">
        <f>(E181/E$178-1)*100</f>
        <v>4.1408203850000103</v>
      </c>
      <c r="H181" s="16">
        <f>STDEVP(D146:D181)*SQRT(12)</f>
        <v>8.4247635421263141</v>
      </c>
      <c r="I181" s="39"/>
      <c r="J181" s="20">
        <f t="shared" ref="J181" si="77">A181</f>
        <v>43373</v>
      </c>
      <c r="K181" s="27">
        <v>0.50423840845199619</v>
      </c>
      <c r="L181" s="46">
        <f t="shared" ref="L181" si="78">L180*K181/100+L180</f>
        <v>2152773.5609887182</v>
      </c>
      <c r="M181" s="112">
        <f>(L181/L$172-1)*100</f>
        <v>-2.6739024040047354</v>
      </c>
      <c r="N181" s="106">
        <f>(L181/L$178-1)*100</f>
        <v>0.82078211234941634</v>
      </c>
      <c r="O181" s="39"/>
      <c r="P181" s="20">
        <f t="shared" si="25"/>
        <v>43373</v>
      </c>
      <c r="Q181" s="45">
        <f t="shared" ca="1" si="65"/>
        <v>0.40198896184149235</v>
      </c>
      <c r="R181" s="46">
        <f t="shared" ca="1" si="66"/>
        <v>1907139.2264549851</v>
      </c>
      <c r="S181" s="112"/>
      <c r="T181" s="106">
        <f ca="1">(R181/R$178-1)*100</f>
        <v>0.66220515980548456</v>
      </c>
      <c r="U181" s="39"/>
    </row>
    <row r="182" spans="1:21" x14ac:dyDescent="0.25">
      <c r="A182" s="21">
        <v>43404</v>
      </c>
      <c r="B182" s="24">
        <f t="shared" si="29"/>
        <v>166</v>
      </c>
      <c r="C182" s="3" t="s">
        <v>141</v>
      </c>
      <c r="D182" s="29">
        <v>-6.23</v>
      </c>
      <c r="E182" s="47">
        <f t="shared" ref="E182" si="79">E181*D182/100+E181</f>
        <v>3579576.4497336843</v>
      </c>
      <c r="F182" s="112"/>
      <c r="H182" s="49"/>
      <c r="I182" s="39"/>
      <c r="J182" s="20">
        <f t="shared" ref="J182" si="80">A182</f>
        <v>43404</v>
      </c>
      <c r="K182" s="27">
        <v>-8.1229006290783285</v>
      </c>
      <c r="L182" s="46">
        <f t="shared" ref="L182" si="81">L181*K182/100+L181</f>
        <v>1977905.9038605336</v>
      </c>
      <c r="M182" s="112"/>
      <c r="N182" s="54"/>
      <c r="O182" s="39"/>
      <c r="P182" s="20">
        <f t="shared" si="25"/>
        <v>43404</v>
      </c>
      <c r="Q182" s="45">
        <f t="shared" ca="1" si="65"/>
        <v>-6.475739127150729</v>
      </c>
      <c r="R182" s="46">
        <f t="shared" ca="1" si="66"/>
        <v>1783637.8653581999</v>
      </c>
      <c r="S182" s="112"/>
      <c r="T182" s="54"/>
      <c r="U182" s="39"/>
    </row>
    <row r="183" spans="1:21" x14ac:dyDescent="0.25">
      <c r="A183" s="21">
        <v>43434</v>
      </c>
      <c r="B183" s="24">
        <f t="shared" si="29"/>
        <v>167</v>
      </c>
      <c r="C183" s="3" t="s">
        <v>141</v>
      </c>
      <c r="D183" s="29">
        <v>2.2799999999999998</v>
      </c>
      <c r="E183" s="47">
        <f t="shared" ref="E183" si="82">E182*D183/100+E182</f>
        <v>3661190.7927876124</v>
      </c>
      <c r="F183" s="112"/>
      <c r="H183" s="49"/>
      <c r="I183" s="39"/>
      <c r="J183" s="20">
        <f t="shared" ref="J183" si="83">A183</f>
        <v>43434</v>
      </c>
      <c r="K183" s="27">
        <v>0.97212118024815819</v>
      </c>
      <c r="L183" s="46">
        <f t="shared" ref="L183" si="84">L182*K183/100+L182</f>
        <v>1997133.5460773406</v>
      </c>
      <c r="M183" s="112"/>
      <c r="N183" s="54"/>
      <c r="O183" s="39"/>
      <c r="P183" s="20">
        <f t="shared" si="25"/>
        <v>43434</v>
      </c>
      <c r="Q183" s="45">
        <f t="shared" ca="1" si="65"/>
        <v>0.77499448174084518</v>
      </c>
      <c r="R183" s="46">
        <f t="shared" ca="1" si="66"/>
        <v>1797460.9603889661</v>
      </c>
      <c r="S183" s="112"/>
      <c r="T183" s="54"/>
      <c r="U183" s="39"/>
    </row>
    <row r="184" spans="1:21" x14ac:dyDescent="0.25">
      <c r="A184" s="21">
        <v>43465</v>
      </c>
      <c r="B184" s="24">
        <f t="shared" ref="B184" si="85">IF(A184&gt;A183,1+B183,"-")</f>
        <v>168</v>
      </c>
      <c r="C184" s="3" t="s">
        <v>141</v>
      </c>
      <c r="D184" s="29">
        <v>-4.34</v>
      </c>
      <c r="E184" s="47">
        <f t="shared" ref="E184:E187" si="86">E183*D184/100+E183</f>
        <v>3502295.1123806299</v>
      </c>
      <c r="F184" s="112">
        <f>(E184/E$172-1)*100</f>
        <v>-6.7595966647332144</v>
      </c>
      <c r="G184" s="106">
        <f>(E184/E$181-1)*100</f>
        <v>-8.2544492904000002</v>
      </c>
      <c r="H184" s="49"/>
      <c r="I184" s="39"/>
      <c r="J184" s="20">
        <f t="shared" ref="J184" si="87">A184</f>
        <v>43465</v>
      </c>
      <c r="K184" s="27">
        <v>-4.4831909850183882</v>
      </c>
      <c r="L184" s="46">
        <f t="shared" ref="L184:L186" si="88">L183*K184/100+L183</f>
        <v>1907598.2349808232</v>
      </c>
      <c r="M184" s="112">
        <f>(L184/L$172-1)*100</f>
        <v>-13.758188340801125</v>
      </c>
      <c r="N184" s="106">
        <f>(L184/L$181-1)*100</f>
        <v>-11.388811645163999</v>
      </c>
      <c r="O184" s="39"/>
      <c r="P184" s="20">
        <f t="shared" si="25"/>
        <v>43465</v>
      </c>
      <c r="Q184" s="45">
        <f t="shared" ca="1" si="65"/>
        <v>-3.5740896758289074</v>
      </c>
      <c r="R184" s="46">
        <f t="shared" ca="1" si="66"/>
        <v>1733218.0937766489</v>
      </c>
      <c r="S184" s="112">
        <f ca="1">(R184/R$172-1)*100</f>
        <v>-11.0066923000951</v>
      </c>
      <c r="T184" s="106">
        <f ca="1">(R184/R$181-1)*100</f>
        <v>-9.1194775014734049</v>
      </c>
      <c r="U184" s="39"/>
    </row>
    <row r="185" spans="1:21" x14ac:dyDescent="0.25">
      <c r="A185" s="21">
        <v>43496</v>
      </c>
      <c r="B185" s="24">
        <f t="shared" si="29"/>
        <v>169</v>
      </c>
      <c r="C185" s="3" t="s">
        <v>141</v>
      </c>
      <c r="D185" s="29">
        <v>5.98</v>
      </c>
      <c r="E185" s="47">
        <f t="shared" si="86"/>
        <v>3711732.3601009916</v>
      </c>
      <c r="H185" s="49"/>
      <c r="I185" s="39"/>
      <c r="J185" s="20">
        <f t="shared" ref="J185" si="89">A185</f>
        <v>43496</v>
      </c>
      <c r="K185" s="27">
        <v>7.5843325771141252</v>
      </c>
      <c r="L185" s="46">
        <f t="shared" si="88"/>
        <v>2052276.8293569279</v>
      </c>
      <c r="M185" s="18"/>
      <c r="N185" s="10"/>
      <c r="O185" s="39"/>
      <c r="P185" s="20">
        <f t="shared" si="25"/>
        <v>43496</v>
      </c>
      <c r="Q185" s="45">
        <f t="shared" ca="1" si="65"/>
        <v>6.0463818856928011</v>
      </c>
      <c r="R185" s="46">
        <f t="shared" ca="1" si="66"/>
        <v>1838015.0786383103</v>
      </c>
      <c r="S185" s="18"/>
      <c r="T185" s="10"/>
      <c r="U185" s="39"/>
    </row>
    <row r="186" spans="1:21" x14ac:dyDescent="0.25">
      <c r="A186" s="21">
        <v>43524</v>
      </c>
      <c r="B186" s="24">
        <f t="shared" si="29"/>
        <v>170</v>
      </c>
      <c r="C186" s="3" t="s">
        <v>141</v>
      </c>
      <c r="D186" s="29">
        <v>1.05</v>
      </c>
      <c r="E186" s="47">
        <f t="shared" si="86"/>
        <v>3750705.549882052</v>
      </c>
      <c r="F186" s="112"/>
      <c r="H186" s="49"/>
      <c r="I186" s="39"/>
      <c r="J186" s="20">
        <f t="shared" ref="J186" si="90">A186</f>
        <v>43524</v>
      </c>
      <c r="K186" s="27">
        <v>1.9794065184503693</v>
      </c>
      <c r="L186" s="46">
        <f t="shared" si="88"/>
        <v>2092899.7306938656</v>
      </c>
      <c r="M186" s="112"/>
      <c r="N186" s="10"/>
      <c r="O186" s="39"/>
      <c r="P186" s="20">
        <f t="shared" si="25"/>
        <v>43524</v>
      </c>
      <c r="Q186" s="45">
        <f t="shared" ca="1" si="65"/>
        <v>1.5780225347310048</v>
      </c>
      <c r="R186" s="46">
        <f t="shared" ca="1" si="66"/>
        <v>1867019.3707709766</v>
      </c>
      <c r="S186" s="18"/>
      <c r="T186" s="10"/>
      <c r="U186" s="39"/>
    </row>
    <row r="187" spans="1:21" x14ac:dyDescent="0.25">
      <c r="A187" s="21">
        <v>43555</v>
      </c>
      <c r="B187" s="24">
        <f t="shared" si="29"/>
        <v>171</v>
      </c>
      <c r="C187" s="3" t="s">
        <v>141</v>
      </c>
      <c r="D187" s="29">
        <v>0.36</v>
      </c>
      <c r="E187" s="47">
        <f t="shared" si="86"/>
        <v>3764208.0898616272</v>
      </c>
      <c r="F187" s="112"/>
      <c r="G187" s="106">
        <f>(E187/E$184-1)*100</f>
        <v>7.4783240439999954</v>
      </c>
      <c r="H187" s="49"/>
      <c r="I187" s="39"/>
      <c r="J187" s="20">
        <f t="shared" ref="J187" si="91">A187</f>
        <v>43555</v>
      </c>
      <c r="K187" s="27">
        <v>0.70069609318533443</v>
      </c>
      <c r="L187" s="46">
        <f t="shared" ref="L187" si="92">L186*K187/100+L186</f>
        <v>2107564.597341124</v>
      </c>
      <c r="M187" s="112"/>
      <c r="N187" s="106">
        <f>(L187/L$184-1)*100</f>
        <v>10.482624626789461</v>
      </c>
      <c r="O187" s="39"/>
      <c r="P187" s="20">
        <f t="shared" si="25"/>
        <v>43555</v>
      </c>
      <c r="Q187" s="45">
        <f t="shared" ca="1" si="65"/>
        <v>0.55860896422129158</v>
      </c>
      <c r="R187" s="46">
        <f t="shared" ca="1" si="66"/>
        <v>1877448.7083398513</v>
      </c>
      <c r="S187" s="112"/>
      <c r="T187" s="106">
        <f ca="1">(R187/R$184-1)*100</f>
        <v>8.3215502469701654</v>
      </c>
      <c r="U187" s="39"/>
    </row>
    <row r="188" spans="1:21" x14ac:dyDescent="0.25">
      <c r="A188" s="21">
        <v>43585</v>
      </c>
      <c r="B188" s="24">
        <f t="shared" si="29"/>
        <v>172</v>
      </c>
      <c r="C188" s="3" t="s">
        <v>141</v>
      </c>
      <c r="D188" s="29">
        <v>1.22</v>
      </c>
      <c r="E188" s="47">
        <f t="shared" ref="E188" si="93">E187*D188/100+E187</f>
        <v>3810131.4285579389</v>
      </c>
      <c r="F188" s="112"/>
      <c r="H188" s="49"/>
      <c r="I188" s="39"/>
      <c r="J188" s="20">
        <f t="shared" ref="J188" si="94">A188</f>
        <v>43585</v>
      </c>
      <c r="K188" s="27">
        <v>2.7050536834138725</v>
      </c>
      <c r="L188" s="46">
        <f t="shared" ref="L188" si="95">L187*K188/100+L187</f>
        <v>2164575.351111827</v>
      </c>
      <c r="M188" s="112"/>
      <c r="N188" s="10"/>
      <c r="O188" s="39"/>
      <c r="P188" s="20">
        <f t="shared" si="25"/>
        <v>43585</v>
      </c>
      <c r="Q188" s="45">
        <f t="shared" ca="1" si="65"/>
        <v>2.1565229932788208</v>
      </c>
      <c r="R188" s="46">
        <f t="shared" ca="1" si="66"/>
        <v>1917936.3214222165</v>
      </c>
      <c r="S188" s="112"/>
      <c r="T188" s="10"/>
      <c r="U188" s="39"/>
    </row>
    <row r="189" spans="1:21" x14ac:dyDescent="0.25">
      <c r="A189" s="21">
        <v>43616</v>
      </c>
      <c r="B189" s="24">
        <f t="shared" si="29"/>
        <v>173</v>
      </c>
      <c r="C189" s="3" t="s">
        <v>141</v>
      </c>
      <c r="D189" s="29">
        <v>-2.97</v>
      </c>
      <c r="E189" s="47">
        <f t="shared" ref="E189" si="96">E188*D189/100+E188</f>
        <v>3696970.5251297681</v>
      </c>
      <c r="F189" s="112"/>
      <c r="G189" s="106"/>
      <c r="H189" s="49"/>
      <c r="I189" s="39"/>
      <c r="J189" s="20">
        <f t="shared" ref="J189" si="97">A189</f>
        <v>43616</v>
      </c>
      <c r="K189" s="27">
        <v>-5.2771280399660832</v>
      </c>
      <c r="L189" s="46">
        <f t="shared" ref="L189" si="98">L188*K189/100+L188</f>
        <v>2050347.9383121105</v>
      </c>
      <c r="M189" s="112"/>
      <c r="N189" s="106"/>
      <c r="O189" s="39"/>
      <c r="P189" s="20">
        <f t="shared" si="25"/>
        <v>43616</v>
      </c>
      <c r="Q189" s="45">
        <f t="shared" ca="1" si="65"/>
        <v>-4.207032202888108</v>
      </c>
      <c r="R189" s="46">
        <f t="shared" ca="1" si="66"/>
        <v>1837248.1227490962</v>
      </c>
      <c r="S189" s="112"/>
      <c r="T189" s="106"/>
      <c r="U189" s="39"/>
    </row>
    <row r="190" spans="1:21" x14ac:dyDescent="0.25">
      <c r="A190" s="21">
        <v>43646</v>
      </c>
      <c r="B190" s="24">
        <f t="shared" si="29"/>
        <v>174</v>
      </c>
      <c r="C190" s="3" t="s">
        <v>141</v>
      </c>
      <c r="D190" s="29">
        <v>4.26</v>
      </c>
      <c r="E190" s="47">
        <f t="shared" ref="E190" si="99">E189*D190/100+E189</f>
        <v>3854461.4695002963</v>
      </c>
      <c r="F190" s="112"/>
      <c r="G190" s="106">
        <f>(E190/E187-1)*100</f>
        <v>2.3976724316000064</v>
      </c>
      <c r="H190" s="49"/>
      <c r="I190" s="39"/>
      <c r="J190" s="20">
        <f t="shared" ref="J190" si="100">A190</f>
        <v>43646</v>
      </c>
      <c r="K190" s="27">
        <v>6.0777400000000004</v>
      </c>
      <c r="L190" s="46">
        <f t="shared" ref="L190" si="101">L189*K190/100+L189</f>
        <v>2174962.7550980812</v>
      </c>
      <c r="M190" s="112"/>
      <c r="N190" s="106">
        <f>(L190/L$187-1)*100</f>
        <v>3.1979165830544831</v>
      </c>
      <c r="O190" s="39"/>
      <c r="P190" s="20">
        <f t="shared" si="25"/>
        <v>43646</v>
      </c>
      <c r="Q190" s="45">
        <f t="shared" ca="1" si="65"/>
        <v>4.845296098016509</v>
      </c>
      <c r="R190" s="46">
        <f t="shared" ca="1" si="66"/>
        <v>1926268.2343515398</v>
      </c>
      <c r="S190" s="112"/>
      <c r="T190" s="106">
        <f ca="1">(R190/R$187-1)*100</f>
        <v>2.6003121041243915</v>
      </c>
      <c r="U190" s="39"/>
    </row>
    <row r="191" spans="1:21" x14ac:dyDescent="0.25">
      <c r="A191" s="21">
        <v>43677</v>
      </c>
      <c r="B191" s="24">
        <f t="shared" si="29"/>
        <v>175</v>
      </c>
      <c r="C191" s="3" t="s">
        <v>141</v>
      </c>
      <c r="D191" s="29">
        <v>-0.65</v>
      </c>
      <c r="E191" s="47">
        <f t="shared" ref="E191" si="102">E190*D191/100+E190</f>
        <v>3829407.4699485442</v>
      </c>
      <c r="F191" s="112"/>
      <c r="G191" s="106"/>
      <c r="H191" s="49"/>
      <c r="I191" s="39"/>
      <c r="J191" s="20">
        <f t="shared" ref="J191" si="103">A191</f>
        <v>43677</v>
      </c>
      <c r="K191" s="27">
        <v>-1.175859</v>
      </c>
      <c r="L191" s="46">
        <f t="shared" ref="L191" si="104">L190*K191/100+L190</f>
        <v>2149388.2597956127</v>
      </c>
      <c r="M191" s="112"/>
      <c r="N191" s="106"/>
      <c r="O191" s="39"/>
      <c r="P191" s="20">
        <f t="shared" si="25"/>
        <v>43677</v>
      </c>
      <c r="Q191" s="45">
        <f t="shared" ca="1" si="65"/>
        <v>-0.93741835361788983</v>
      </c>
      <c r="R191" s="46">
        <f t="shared" ca="1" si="66"/>
        <v>1908211.0423828172</v>
      </c>
      <c r="S191" s="112"/>
      <c r="T191" s="106"/>
      <c r="U191" s="39"/>
    </row>
    <row r="192" spans="1:21" x14ac:dyDescent="0.25">
      <c r="A192" s="21">
        <v>43708</v>
      </c>
      <c r="B192" s="24">
        <f t="shared" si="29"/>
        <v>176</v>
      </c>
      <c r="C192" s="3" t="s">
        <v>141</v>
      </c>
      <c r="D192" s="29">
        <v>0.11</v>
      </c>
      <c r="E192" s="47">
        <f t="shared" ref="E192:E193" si="105">E191*D192/100+E191</f>
        <v>3833619.8181654876</v>
      </c>
      <c r="F192" s="112"/>
      <c r="H192" s="49"/>
      <c r="I192" s="39"/>
      <c r="J192" s="20">
        <f t="shared" ref="J192" si="106">A192</f>
        <v>43708</v>
      </c>
      <c r="K192" s="27">
        <v>-3.0555106688868889</v>
      </c>
      <c r="L192" s="46">
        <f t="shared" ref="L192" si="107">L191*K192/100+L191</f>
        <v>2083713.4722017555</v>
      </c>
      <c r="M192" s="112"/>
      <c r="N192" s="54"/>
      <c r="O192" s="39"/>
      <c r="P192" s="20">
        <f t="shared" si="25"/>
        <v>43708</v>
      </c>
      <c r="Q192" s="45">
        <f t="shared" ca="1" si="65"/>
        <v>-2.4359143236475163</v>
      </c>
      <c r="R192" s="46">
        <f t="shared" ca="1" si="66"/>
        <v>1861728.6562759907</v>
      </c>
      <c r="S192" s="112"/>
      <c r="T192" s="106"/>
      <c r="U192" s="39"/>
    </row>
    <row r="193" spans="1:21" x14ac:dyDescent="0.25">
      <c r="A193" s="21">
        <v>43738</v>
      </c>
      <c r="B193" s="24">
        <f t="shared" si="29"/>
        <v>177</v>
      </c>
      <c r="C193" s="3" t="s">
        <v>141</v>
      </c>
      <c r="D193" s="29">
        <v>1.3</v>
      </c>
      <c r="E193" s="47">
        <f t="shared" si="105"/>
        <v>3883456.8758016392</v>
      </c>
      <c r="F193" s="112"/>
      <c r="G193" s="106">
        <f>(E193/E190-1)*100</f>
        <v>0.75225570499999339</v>
      </c>
      <c r="H193" s="49"/>
      <c r="I193" s="39"/>
      <c r="J193" s="20">
        <f t="shared" ref="J193" si="108">A193</f>
        <v>43738</v>
      </c>
      <c r="K193" s="27">
        <v>2.6278655259111248</v>
      </c>
      <c r="L193" s="46">
        <f t="shared" ref="L193" si="109">L192*K193/100+L192</f>
        <v>2138470.6601965111</v>
      </c>
      <c r="M193" s="112"/>
      <c r="N193" s="106">
        <f>(L193/L190-1)*100</f>
        <v>-1.6778261979904285</v>
      </c>
      <c r="O193" s="39"/>
      <c r="P193" s="20">
        <f t="shared" si="25"/>
        <v>43738</v>
      </c>
      <c r="Q193" s="45">
        <f t="shared" ca="1" si="65"/>
        <v>2.0949870476212</v>
      </c>
      <c r="R193" s="46">
        <f t="shared" ca="1" si="66"/>
        <v>1900731.6304868248</v>
      </c>
      <c r="S193" s="112"/>
      <c r="T193" s="106">
        <f ca="1">(R193/R190-1)*100</f>
        <v>-1.3257034201839324</v>
      </c>
      <c r="U193" s="39"/>
    </row>
    <row r="194" spans="1:21" x14ac:dyDescent="0.25">
      <c r="A194" s="21">
        <v>43769</v>
      </c>
      <c r="B194" s="24">
        <f t="shared" si="29"/>
        <v>178</v>
      </c>
      <c r="C194" s="3" t="s">
        <v>141</v>
      </c>
      <c r="D194" s="29">
        <v>0.78</v>
      </c>
      <c r="E194" s="47">
        <f t="shared" ref="E194" si="110">E193*D194/100+E193</f>
        <v>3913747.8394328919</v>
      </c>
      <c r="F194" s="112"/>
      <c r="G194" s="106"/>
      <c r="H194" s="49"/>
      <c r="I194" s="39"/>
      <c r="J194" s="20">
        <f t="shared" ref="J194" si="111">A194</f>
        <v>43769</v>
      </c>
      <c r="K194" s="27">
        <v>3.5016893457941296</v>
      </c>
      <c r="L194" s="46">
        <f t="shared" ref="L194" si="112">L193*K194/100+L193</f>
        <v>2213353.2594675459</v>
      </c>
      <c r="M194" s="112"/>
      <c r="N194" s="106"/>
      <c r="O194" s="39"/>
      <c r="P194" s="20">
        <f t="shared" si="25"/>
        <v>43769</v>
      </c>
      <c r="Q194" s="45">
        <f t="shared" ca="1" si="65"/>
        <v>2.7916169042509678</v>
      </c>
      <c r="R194" s="46">
        <f t="shared" ca="1" si="66"/>
        <v>1953792.7759879399</v>
      </c>
      <c r="S194" s="112"/>
      <c r="T194" s="106"/>
      <c r="U194" s="39"/>
    </row>
    <row r="195" spans="1:21" x14ac:dyDescent="0.25">
      <c r="A195" s="21">
        <v>43799</v>
      </c>
      <c r="B195" s="24">
        <f t="shared" ref="B195" si="113">IF(A195&gt;A194,1+B194,"-")</f>
        <v>179</v>
      </c>
      <c r="C195" s="3" t="s">
        <v>141</v>
      </c>
      <c r="D195" s="29">
        <v>0.2</v>
      </c>
      <c r="E195" s="47">
        <f t="shared" ref="E195" si="114">E194*D195/100+E194</f>
        <v>3921575.3351117577</v>
      </c>
      <c r="F195" s="112"/>
      <c r="G195" s="106"/>
      <c r="H195" s="49"/>
      <c r="I195" s="39"/>
      <c r="J195" s="20">
        <f t="shared" ref="J195" si="115">A195</f>
        <v>43799</v>
      </c>
      <c r="K195" s="27">
        <v>0.90678054853354784</v>
      </c>
      <c r="L195" s="46">
        <f t="shared" ref="L195" si="116">L194*K195/100+L194</f>
        <v>2233423.5162947308</v>
      </c>
      <c r="M195" s="112"/>
      <c r="N195" s="106"/>
      <c r="O195" s="39"/>
      <c r="P195" s="20">
        <f t="shared" si="25"/>
        <v>43799</v>
      </c>
      <c r="Q195" s="45">
        <f t="shared" ca="1" si="65"/>
        <v>0.72290362101157157</v>
      </c>
      <c r="R195" s="46">
        <f t="shared" ca="1" si="66"/>
        <v>1967916.8147126192</v>
      </c>
      <c r="S195" s="112"/>
      <c r="T195" s="106"/>
      <c r="U195" s="39"/>
    </row>
    <row r="196" spans="1:21" x14ac:dyDescent="0.25">
      <c r="A196" s="21">
        <v>43830</v>
      </c>
      <c r="B196" s="24">
        <f t="shared" si="29"/>
        <v>180</v>
      </c>
      <c r="C196" s="3" t="s">
        <v>141</v>
      </c>
      <c r="D196" s="29">
        <v>3.08</v>
      </c>
      <c r="E196" s="47">
        <f t="shared" ref="E196" si="117">E195*D196/100+E195</f>
        <v>4042359.8554332</v>
      </c>
      <c r="F196" s="112">
        <f>(E196/E$184-1)*100</f>
        <v>15.420309417771193</v>
      </c>
      <c r="G196" s="106">
        <f>(E196/E193-1)*100</f>
        <v>4.0917920480000092</v>
      </c>
      <c r="H196" s="49"/>
      <c r="I196" s="39"/>
      <c r="J196" s="20">
        <f t="shared" ref="J196" si="118">A196</f>
        <v>43830</v>
      </c>
      <c r="K196" s="27">
        <v>4.3161240000000003</v>
      </c>
      <c r="L196" s="46">
        <f t="shared" ref="L196" si="119">L195*K196/100+L195</f>
        <v>2329820.8447031714</v>
      </c>
      <c r="M196" s="112">
        <f>(L196/L$184-1)*100</f>
        <v>22.133728265196929</v>
      </c>
      <c r="N196" s="106">
        <f>(L196/L193-1)*100</f>
        <v>8.947992042550478</v>
      </c>
      <c r="O196" s="39"/>
      <c r="P196" s="20">
        <f t="shared" si="25"/>
        <v>43830</v>
      </c>
      <c r="Q196" s="45">
        <f t="shared" ca="1" si="65"/>
        <v>3.4409005281166039</v>
      </c>
      <c r="R196" s="46">
        <f t="shared" ca="1" si="66"/>
        <v>2035630.8747829611</v>
      </c>
      <c r="S196" s="112">
        <f ca="1">(R196/R$184-1)*100</f>
        <v>17.448051234415662</v>
      </c>
      <c r="T196" s="106">
        <f ca="1">(R196/R193-1)*100</f>
        <v>7.0972273061813196</v>
      </c>
      <c r="U196" s="39"/>
    </row>
    <row r="197" spans="1:21" x14ac:dyDescent="0.25">
      <c r="A197" s="21">
        <v>43861</v>
      </c>
      <c r="B197" s="24">
        <f t="shared" si="29"/>
        <v>181</v>
      </c>
      <c r="C197" s="3" t="s">
        <v>141</v>
      </c>
      <c r="D197" s="29">
        <v>-1.43</v>
      </c>
      <c r="E197" s="47">
        <f t="shared" ref="E197:E199" si="120">E196*D197/100+E196</f>
        <v>3984554.109500505</v>
      </c>
      <c r="F197" s="112"/>
      <c r="G197" s="106"/>
      <c r="H197" s="49"/>
      <c r="I197" s="39"/>
      <c r="J197" s="20">
        <f t="shared" ref="J197" si="121">A197</f>
        <v>43861</v>
      </c>
      <c r="K197" s="27">
        <v>-2.671008</v>
      </c>
      <c r="L197" s="46">
        <f t="shared" ref="L197" si="122">L196*K197/100+L196</f>
        <v>2267591.1435554819</v>
      </c>
      <c r="M197" s="112"/>
      <c r="N197" s="106"/>
      <c r="O197" s="39"/>
      <c r="P197" s="20">
        <f t="shared" si="25"/>
        <v>43861</v>
      </c>
      <c r="Q197" s="45">
        <f t="shared" ca="1" si="65"/>
        <v>-2.1293810923420349</v>
      </c>
      <c r="R197" s="46">
        <f t="shared" ca="1" si="66"/>
        <v>1992284.535825456</v>
      </c>
      <c r="S197" s="112"/>
      <c r="T197" s="106"/>
      <c r="U197" s="39"/>
    </row>
    <row r="198" spans="1:21" x14ac:dyDescent="0.25">
      <c r="A198" s="21">
        <v>43890</v>
      </c>
      <c r="B198" s="24">
        <f t="shared" si="29"/>
        <v>182</v>
      </c>
      <c r="C198" s="3" t="s">
        <v>141</v>
      </c>
      <c r="D198" s="29">
        <v>-5.92</v>
      </c>
      <c r="E198" s="47">
        <f t="shared" si="120"/>
        <v>3748668.5062180753</v>
      </c>
      <c r="F198" s="112"/>
      <c r="G198" s="106"/>
      <c r="H198" s="49"/>
      <c r="I198" s="39"/>
      <c r="J198" s="20">
        <f t="shared" ref="J198" si="123">A198</f>
        <v>43890</v>
      </c>
      <c r="K198" s="27">
        <v>-7.9049839999999998</v>
      </c>
      <c r="L198" s="46">
        <f t="shared" ref="L198" si="124">L197*K198/100+L197</f>
        <v>2088338.426472004</v>
      </c>
      <c r="M198" s="112"/>
      <c r="O198" s="39"/>
      <c r="P198" s="20">
        <f t="shared" si="25"/>
        <v>43890</v>
      </c>
      <c r="Q198" s="45">
        <f t="shared" ca="1" si="65"/>
        <v>-6.3020116244003415</v>
      </c>
      <c r="R198" s="46">
        <f t="shared" ca="1" si="66"/>
        <v>1866730.5327866054</v>
      </c>
      <c r="S198" s="112"/>
      <c r="U198" s="39"/>
    </row>
    <row r="199" spans="1:21" x14ac:dyDescent="0.25">
      <c r="A199" s="21">
        <v>43921</v>
      </c>
      <c r="B199" s="24">
        <f t="shared" si="29"/>
        <v>183</v>
      </c>
      <c r="C199" s="3" t="s">
        <v>141</v>
      </c>
      <c r="D199" s="29">
        <v>-11.75</v>
      </c>
      <c r="E199" s="47">
        <f t="shared" si="120"/>
        <v>3308199.9567374513</v>
      </c>
      <c r="F199" s="112"/>
      <c r="G199" s="106">
        <f>(E199/E196-1)*100</f>
        <v>-18.161666080000003</v>
      </c>
      <c r="H199" s="49"/>
      <c r="I199" s="39"/>
      <c r="J199" s="20">
        <f t="shared" ref="J199" si="125">A199</f>
        <v>43921</v>
      </c>
      <c r="K199" s="27">
        <v>-14.402520000000001</v>
      </c>
      <c r="L199" s="46">
        <f t="shared" ref="L199" si="126">L198*K199/100+L198</f>
        <v>1787565.0669316882</v>
      </c>
      <c r="M199" s="112"/>
      <c r="N199" s="106">
        <f>(L199/L196-1)*100</f>
        <v>-23.274569759485896</v>
      </c>
      <c r="O199" s="39"/>
      <c r="P199" s="20">
        <f t="shared" si="25"/>
        <v>43921</v>
      </c>
      <c r="Q199" s="45">
        <f t="shared" ca="1" si="65"/>
        <v>-11.481977504402085</v>
      </c>
      <c r="R199" s="46">
        <f t="shared" ca="1" si="66"/>
        <v>1652392.9529442422</v>
      </c>
      <c r="S199" s="112"/>
      <c r="T199" s="106">
        <f ca="1">(R199/R196-1)*100</f>
        <v>-18.826493869109729</v>
      </c>
      <c r="U199" s="39"/>
    </row>
    <row r="200" spans="1:21" x14ac:dyDescent="0.25">
      <c r="A200" s="21">
        <v>43951</v>
      </c>
      <c r="B200" s="24">
        <f t="shared" ref="B200" si="127">IF(A200&gt;A199,1+B199,"-")</f>
        <v>184</v>
      </c>
      <c r="C200" s="3" t="s">
        <v>141</v>
      </c>
      <c r="D200" s="29">
        <v>6.51</v>
      </c>
      <c r="E200" s="47">
        <f t="shared" ref="E200:E205" si="128">E199*D200/100+E199</f>
        <v>3523563.7739210594</v>
      </c>
      <c r="F200" s="112"/>
      <c r="G200" s="106"/>
      <c r="H200" s="49"/>
      <c r="I200" s="39"/>
      <c r="J200" s="20">
        <f t="shared" ref="J200" si="129">A200</f>
        <v>43951</v>
      </c>
      <c r="K200" s="27">
        <v>7.6895309999999997</v>
      </c>
      <c r="L200" s="46">
        <f t="shared" ref="L200" si="130">L199*K200/100+L199</f>
        <v>1925020.4368985712</v>
      </c>
      <c r="M200" s="112"/>
      <c r="O200" s="39"/>
      <c r="P200" s="20">
        <f t="shared" si="25"/>
        <v>43951</v>
      </c>
      <c r="Q200" s="45">
        <f t="shared" ca="1" si="65"/>
        <v>6.1302481761110181</v>
      </c>
      <c r="R200" s="46">
        <f t="shared" ca="1" si="66"/>
        <v>1753688.7418042936</v>
      </c>
      <c r="S200" s="112"/>
      <c r="U200" s="39"/>
    </row>
    <row r="201" spans="1:21" x14ac:dyDescent="0.25">
      <c r="A201" s="21">
        <v>43982</v>
      </c>
      <c r="B201" s="24">
        <f t="shared" si="29"/>
        <v>185</v>
      </c>
      <c r="C201" s="3" t="s">
        <v>141</v>
      </c>
      <c r="D201" s="29">
        <v>0.57999999999999996</v>
      </c>
      <c r="E201" s="47">
        <f t="shared" si="128"/>
        <v>3544000.4438098017</v>
      </c>
      <c r="F201" s="112"/>
      <c r="G201" s="106"/>
      <c r="H201" s="49"/>
      <c r="I201" s="39"/>
      <c r="J201" s="20">
        <f t="shared" ref="J201" si="131">A201</f>
        <v>43982</v>
      </c>
      <c r="K201" s="27">
        <v>3.3195929999999998</v>
      </c>
      <c r="L201" s="46">
        <f t="shared" ref="L201" si="132">L200*K201/100+L200</f>
        <v>1988923.2805704256</v>
      </c>
      <c r="M201" s="112"/>
      <c r="O201" s="39"/>
      <c r="P201" s="20">
        <f t="shared" si="25"/>
        <v>43982</v>
      </c>
      <c r="Q201" s="45">
        <f t="shared" ca="1" si="65"/>
        <v>2.6464460490088282</v>
      </c>
      <c r="R201" s="46">
        <f t="shared" ca="1" si="66"/>
        <v>1800099.1682236861</v>
      </c>
      <c r="S201" s="112"/>
      <c r="U201" s="39"/>
    </row>
    <row r="202" spans="1:21" x14ac:dyDescent="0.25">
      <c r="A202" s="21">
        <v>44012</v>
      </c>
      <c r="B202" s="24">
        <f t="shared" si="29"/>
        <v>186</v>
      </c>
      <c r="C202" s="3" t="s">
        <v>141</v>
      </c>
      <c r="D202" s="29">
        <v>1.54</v>
      </c>
      <c r="E202" s="47">
        <f t="shared" si="128"/>
        <v>3598578.0506444727</v>
      </c>
      <c r="F202" s="112"/>
      <c r="G202" s="106">
        <f>(E202/E199-1)*100</f>
        <v>8.7775254732000096</v>
      </c>
      <c r="H202" s="49"/>
      <c r="I202" s="39"/>
      <c r="J202" s="20">
        <f t="shared" ref="J202" si="133">A202</f>
        <v>44012</v>
      </c>
      <c r="K202" s="27">
        <v>4.568511</v>
      </c>
      <c r="L202" s="46">
        <f t="shared" ref="L202" si="134">L201*K202/100+L201</f>
        <v>2079787.4594248463</v>
      </c>
      <c r="M202" s="112"/>
      <c r="N202" s="106">
        <f>(L202/L199-1)*100</f>
        <v>16.347510806683573</v>
      </c>
      <c r="O202" s="39"/>
      <c r="P202" s="20">
        <f t="shared" si="25"/>
        <v>44012</v>
      </c>
      <c r="Q202" s="45">
        <f t="shared" ca="1" si="65"/>
        <v>3.6421085011937824</v>
      </c>
      <c r="R202" s="46">
        <f t="shared" ca="1" si="66"/>
        <v>1865660.7330594794</v>
      </c>
      <c r="S202" s="112"/>
      <c r="T202" s="106">
        <f ca="1">(R202/R199-1)*100</f>
        <v>12.906601891229052</v>
      </c>
      <c r="U202" s="39"/>
    </row>
    <row r="203" spans="1:21" x14ac:dyDescent="0.25">
      <c r="A203" s="21">
        <v>44043</v>
      </c>
      <c r="B203" s="24">
        <f t="shared" ref="B203:B207" si="135">IF(A203&gt;A202,1+B202,"-")</f>
        <v>187</v>
      </c>
      <c r="C203" s="3" t="s">
        <v>141</v>
      </c>
      <c r="D203" s="29">
        <v>4.45</v>
      </c>
      <c r="E203" s="47">
        <f t="shared" si="128"/>
        <v>3758714.7738981517</v>
      </c>
      <c r="H203" s="49"/>
      <c r="I203" s="39"/>
      <c r="J203" s="20">
        <f t="shared" ref="J203" si="136">A203</f>
        <v>44043</v>
      </c>
      <c r="K203" s="27">
        <v>4.5065</v>
      </c>
      <c r="L203" s="46">
        <f t="shared" ref="L203" si="137">L202*K203/100+L202</f>
        <v>2173513.0812838268</v>
      </c>
      <c r="M203" s="112"/>
      <c r="N203" s="106"/>
      <c r="O203" s="39"/>
      <c r="P203" s="20">
        <f t="shared" si="25"/>
        <v>44043</v>
      </c>
      <c r="Q203" s="45">
        <f t="shared" ca="1" si="65"/>
        <v>3.5926720895779347</v>
      </c>
      <c r="R203" s="46">
        <f t="shared" ca="1" si="66"/>
        <v>1932687.8055023225</v>
      </c>
      <c r="S203" s="112"/>
      <c r="T203" s="106"/>
      <c r="U203" s="39"/>
    </row>
    <row r="204" spans="1:21" x14ac:dyDescent="0.25">
      <c r="A204" s="21">
        <v>44074</v>
      </c>
      <c r="B204" s="24">
        <f t="shared" si="135"/>
        <v>188</v>
      </c>
      <c r="C204" s="3" t="s">
        <v>141</v>
      </c>
      <c r="D204" s="29">
        <v>1.0900000000000001</v>
      </c>
      <c r="E204" s="47">
        <f t="shared" si="128"/>
        <v>3799684.7649336415</v>
      </c>
      <c r="H204" s="49"/>
      <c r="I204" s="39"/>
      <c r="J204" s="20">
        <f t="shared" ref="J204" si="138">A204</f>
        <v>44074</v>
      </c>
      <c r="K204" s="27">
        <v>4.3139849999999997</v>
      </c>
      <c r="L204" s="46">
        <f t="shared" ref="L204" si="139">L203*K204/100+L203</f>
        <v>2267278.1095834491</v>
      </c>
      <c r="M204" s="112"/>
      <c r="N204" s="106"/>
      <c r="O204" s="39"/>
      <c r="P204" s="20">
        <f t="shared" si="25"/>
        <v>44074</v>
      </c>
      <c r="Q204" s="45">
        <f t="shared" ca="1" si="65"/>
        <v>3.43919527446086</v>
      </c>
      <c r="R204" s="46">
        <f t="shared" ca="1" si="66"/>
        <v>1999156.7131792398</v>
      </c>
      <c r="S204" s="112"/>
      <c r="T204" s="106"/>
      <c r="U204" s="39"/>
    </row>
    <row r="205" spans="1:21" x14ac:dyDescent="0.25">
      <c r="A205" s="21">
        <v>44104</v>
      </c>
      <c r="B205" s="24">
        <f t="shared" si="135"/>
        <v>189</v>
      </c>
      <c r="C205" s="3" t="s">
        <v>141</v>
      </c>
      <c r="D205" s="29">
        <v>-1.36</v>
      </c>
      <c r="E205" s="47">
        <f t="shared" si="128"/>
        <v>3748009.0521305441</v>
      </c>
      <c r="F205" s="112">
        <f>(E205/E$196-1)*100</f>
        <v>-7.2816575918402959</v>
      </c>
      <c r="G205" s="106">
        <f>(E205/E202-1)*100</f>
        <v>4.1525013320000026</v>
      </c>
      <c r="H205" s="49"/>
      <c r="I205" s="39"/>
      <c r="J205" s="20">
        <f t="shared" ref="J205" si="140">A205</f>
        <v>44104</v>
      </c>
      <c r="K205" s="27">
        <v>-2.4080300000000001</v>
      </c>
      <c r="L205" s="46">
        <f t="shared" ref="L205" si="141">L204*K205/100+L204</f>
        <v>2212681.3725212468</v>
      </c>
      <c r="M205" s="112"/>
      <c r="N205" s="106">
        <f>(L205/L202-1)*100</f>
        <v>6.3897833643612456</v>
      </c>
      <c r="O205" s="39"/>
      <c r="P205" s="20">
        <f t="shared" si="25"/>
        <v>44104</v>
      </c>
      <c r="Q205" s="45">
        <f t="shared" ca="1" si="65"/>
        <v>-1.9197297618698224</v>
      </c>
      <c r="R205" s="46">
        <f t="shared" ca="1" si="66"/>
        <v>1960778.3067699193</v>
      </c>
      <c r="S205" s="112"/>
      <c r="T205" s="106">
        <f ca="1">(R205/R202-1)*100</f>
        <v>5.0983317612338652</v>
      </c>
      <c r="U205" s="39"/>
    </row>
    <row r="206" spans="1:21" x14ac:dyDescent="0.25">
      <c r="A206" s="21">
        <v>44135</v>
      </c>
      <c r="B206" s="24">
        <f t="shared" si="135"/>
        <v>190</v>
      </c>
      <c r="C206" s="3" t="s">
        <v>141</v>
      </c>
      <c r="D206" s="29"/>
      <c r="H206" s="49"/>
      <c r="I206" s="39"/>
      <c r="J206" s="20">
        <f t="shared" ref="J206" si="142">A206</f>
        <v>44135</v>
      </c>
      <c r="K206" s="27">
        <v>-2.1337640000000002</v>
      </c>
      <c r="L206" s="46">
        <f t="shared" ref="L206" si="143">L205*K206/100+L205</f>
        <v>2165467.9739596825</v>
      </c>
      <c r="M206" s="112"/>
      <c r="O206" s="39"/>
      <c r="P206" s="20">
        <f t="shared" si="25"/>
        <v>44135</v>
      </c>
      <c r="Q206" s="45">
        <f t="shared" ca="1" si="65"/>
        <v>-1.7010794116378949</v>
      </c>
      <c r="R206" s="46">
        <f t="shared" ca="1" si="66"/>
        <v>1927423.9106855942</v>
      </c>
      <c r="S206" s="112"/>
      <c r="U206" s="39"/>
    </row>
    <row r="207" spans="1:21" x14ac:dyDescent="0.25">
      <c r="A207" s="21">
        <v>44165</v>
      </c>
      <c r="B207" s="24">
        <f t="shared" si="135"/>
        <v>191</v>
      </c>
      <c r="C207" s="3" t="s">
        <v>141</v>
      </c>
      <c r="D207" s="29"/>
      <c r="H207" s="49"/>
      <c r="I207" s="39"/>
      <c r="J207" s="20">
        <f t="shared" ref="J207" si="144">A207</f>
        <v>44165</v>
      </c>
      <c r="K207" s="27">
        <v>13.461</v>
      </c>
      <c r="L207" s="46">
        <f t="shared" ref="L207" si="145">L206*K207/100+L206</f>
        <v>2456961.6179343956</v>
      </c>
      <c r="M207" s="112"/>
      <c r="O207" s="39"/>
      <c r="P207" s="20">
        <f t="shared" si="25"/>
        <v>44165</v>
      </c>
      <c r="Q207" s="45">
        <f t="shared" ca="1" si="65"/>
        <v>10.731378896662283</v>
      </c>
      <c r="R207" s="46">
        <f t="shared" ca="1" si="66"/>
        <v>2134263.0734861312</v>
      </c>
      <c r="S207" s="112"/>
      <c r="U207" s="39"/>
    </row>
    <row r="208" spans="1:21" x14ac:dyDescent="0.25">
      <c r="A208" s="21">
        <v>44196</v>
      </c>
      <c r="B208" s="24">
        <f t="shared" ref="B208:B210" si="146">IF(A208&gt;A207,1+B207,"-")</f>
        <v>192</v>
      </c>
      <c r="C208" s="3" t="s">
        <v>141</v>
      </c>
      <c r="D208" s="29"/>
      <c r="I208" s="39"/>
      <c r="J208" s="20">
        <f t="shared" ref="J208" si="147">A208</f>
        <v>44196</v>
      </c>
      <c r="K208" s="27">
        <v>5.3961610000000002</v>
      </c>
      <c r="L208" s="46">
        <f t="shared" ref="L208:L211" si="148">L207*K208/100+L207</f>
        <v>2589543.2225463404</v>
      </c>
      <c r="M208" s="112">
        <f>(L208/L$196-1)*100</f>
        <v>11.147740326628375</v>
      </c>
      <c r="N208" s="106">
        <f>(L208/L205-1)*100</f>
        <v>17.031907743484865</v>
      </c>
      <c r="O208" s="39"/>
      <c r="P208" s="20">
        <f t="shared" si="25"/>
        <v>44196</v>
      </c>
      <c r="Q208" s="45">
        <f t="shared" ca="1" si="65"/>
        <v>4.3019276635013775</v>
      </c>
      <c r="R208" s="46">
        <f t="shared" ca="1" si="66"/>
        <v>2226077.5270563257</v>
      </c>
      <c r="S208" s="112">
        <f ca="1">(R208/R$196-1)*100</f>
        <v>9.3556574835145447</v>
      </c>
      <c r="T208" s="106">
        <f ca="1">(R208/R205-1)*100</f>
        <v>13.530301685326474</v>
      </c>
      <c r="U208" s="39"/>
    </row>
    <row r="209" spans="1:21" x14ac:dyDescent="0.25">
      <c r="A209" s="21">
        <v>44227</v>
      </c>
      <c r="B209" s="24">
        <f t="shared" si="146"/>
        <v>193</v>
      </c>
      <c r="C209" s="3" t="s">
        <v>141</v>
      </c>
      <c r="D209" s="29"/>
      <c r="I209" s="39"/>
      <c r="J209" s="20">
        <f t="shared" ref="J209" si="149">A209</f>
        <v>44227</v>
      </c>
      <c r="K209" s="27">
        <v>0.20673649999999999</v>
      </c>
      <c r="L209" s="46">
        <f t="shared" si="148"/>
        <v>2594896.75357062</v>
      </c>
      <c r="O209" s="39"/>
      <c r="P209" s="20">
        <f t="shared" si="25"/>
        <v>44227</v>
      </c>
      <c r="Q209" s="45">
        <f t="shared" ca="1" si="65"/>
        <v>0.16481447985066652</v>
      </c>
      <c r="R209" s="46">
        <f t="shared" ref="R209:R211" ca="1" si="150">R208*Q209/100+R208</f>
        <v>2229746.4251536164</v>
      </c>
      <c r="U209" s="39"/>
    </row>
    <row r="210" spans="1:21" x14ac:dyDescent="0.25">
      <c r="A210" s="21">
        <v>44255</v>
      </c>
      <c r="B210" s="24">
        <f t="shared" si="146"/>
        <v>194</v>
      </c>
      <c r="D210" s="29"/>
      <c r="I210" s="39"/>
      <c r="J210" s="20">
        <f t="shared" ref="J210:J211" si="151">A210</f>
        <v>44255</v>
      </c>
      <c r="K210" s="27">
        <v>1.998461</v>
      </c>
      <c r="L210" s="46">
        <f t="shared" si="148"/>
        <v>2646754.7531809951</v>
      </c>
      <c r="O210" s="39"/>
      <c r="P210" s="20">
        <f t="shared" si="25"/>
        <v>44255</v>
      </c>
      <c r="Q210" s="27"/>
      <c r="R210" s="46">
        <f t="shared" ca="1" si="150"/>
        <v>2229746.4251536164</v>
      </c>
      <c r="U210" s="39"/>
    </row>
    <row r="211" spans="1:21" x14ac:dyDescent="0.25">
      <c r="A211" s="21">
        <v>44286</v>
      </c>
      <c r="B211" s="24">
        <f t="shared" ref="B211:B212" si="152">IF(A211&gt;A210,1+B210,"-")</f>
        <v>195</v>
      </c>
      <c r="D211" s="29"/>
      <c r="I211" s="39"/>
      <c r="J211" s="20">
        <f t="shared" si="151"/>
        <v>44286</v>
      </c>
      <c r="K211" s="27">
        <v>1.359418</v>
      </c>
      <c r="L211" s="46">
        <f t="shared" si="148"/>
        <v>2682735.2137115933</v>
      </c>
      <c r="M211" s="112"/>
      <c r="N211" s="106">
        <f>(L211/L208-1)*100</f>
        <v>3.5987810650874419</v>
      </c>
      <c r="O211" s="39"/>
      <c r="P211" s="20">
        <f t="shared" ref="P211" si="153">$A211</f>
        <v>44286</v>
      </c>
      <c r="Q211" s="27"/>
      <c r="R211" s="46">
        <f t="shared" ca="1" si="150"/>
        <v>2229746.4251536164</v>
      </c>
      <c r="U211" s="39"/>
    </row>
    <row r="212" spans="1:21" x14ac:dyDescent="0.25">
      <c r="A212" s="21">
        <v>44316</v>
      </c>
      <c r="B212" s="24">
        <f t="shared" si="152"/>
        <v>196</v>
      </c>
      <c r="D212" s="29"/>
      <c r="I212" s="39"/>
      <c r="J212" s="20">
        <f t="shared" ref="J212" si="154">A212</f>
        <v>44316</v>
      </c>
      <c r="K212" s="27">
        <v>2.9969420000000002</v>
      </c>
      <c r="L212" s="46">
        <f t="shared" ref="L212:L213" si="155">L211*K212/100+L211</f>
        <v>2763135.2320801057</v>
      </c>
      <c r="M212" s="112"/>
      <c r="O212" s="39"/>
      <c r="Q212" s="27"/>
      <c r="R212" s="34"/>
    </row>
    <row r="213" spans="1:21" x14ac:dyDescent="0.25">
      <c r="A213" s="21">
        <v>44347</v>
      </c>
      <c r="B213" s="24">
        <f t="shared" ref="B213:B273" si="156">IF(A213&gt;A212,1+B212,"-")</f>
        <v>197</v>
      </c>
      <c r="D213" s="29"/>
      <c r="I213" s="39"/>
      <c r="J213" s="20">
        <f t="shared" ref="J213" si="157">A213</f>
        <v>44347</v>
      </c>
      <c r="K213" s="27">
        <v>3.183128</v>
      </c>
      <c r="L213" s="46">
        <f t="shared" si="155"/>
        <v>2851089.3633303125</v>
      </c>
      <c r="M213" s="112"/>
      <c r="O213" s="39"/>
      <c r="Q213" s="27"/>
      <c r="R213" s="34"/>
    </row>
    <row r="214" spans="1:21" x14ac:dyDescent="0.25">
      <c r="A214" s="21">
        <v>44377</v>
      </c>
      <c r="B214" s="24">
        <f t="shared" si="156"/>
        <v>198</v>
      </c>
      <c r="D214" s="29"/>
      <c r="I214" s="39"/>
      <c r="J214" s="20">
        <f t="shared" ref="J214" si="158">A214</f>
        <v>44377</v>
      </c>
      <c r="K214" s="27">
        <v>-0.60792590000000002</v>
      </c>
      <c r="L214" s="46">
        <f t="shared" ref="L214" si="159">L213*K214/100+L213</f>
        <v>2833756.8526584823</v>
      </c>
      <c r="M214" s="112"/>
      <c r="N214" s="106">
        <f>(L214/L211-1)*100</f>
        <v>5.6293904137467488</v>
      </c>
      <c r="O214" s="39"/>
      <c r="Q214" s="27"/>
      <c r="R214" s="34"/>
    </row>
    <row r="215" spans="1:21" x14ac:dyDescent="0.25">
      <c r="A215" s="21">
        <v>44408</v>
      </c>
      <c r="B215" s="24">
        <f t="shared" si="156"/>
        <v>199</v>
      </c>
      <c r="D215" s="29"/>
      <c r="I215" s="39"/>
      <c r="J215" s="20">
        <f t="shared" ref="J215" si="160">A215</f>
        <v>44408</v>
      </c>
      <c r="K215" s="27">
        <v>-1.6204959999999999</v>
      </c>
      <c r="L215" s="46">
        <f t="shared" ref="L215" si="161">L214*K215/100+L214</f>
        <v>2787835.9362114258</v>
      </c>
      <c r="M215" s="112"/>
      <c r="Q215" s="27"/>
      <c r="R215" s="34"/>
    </row>
    <row r="216" spans="1:21" x14ac:dyDescent="0.25">
      <c r="A216" s="21">
        <v>44439</v>
      </c>
      <c r="B216" s="24">
        <f t="shared" ref="B216:B219" si="162">IF(A216&gt;A215,1+B215,"-")</f>
        <v>200</v>
      </c>
      <c r="D216" s="29"/>
      <c r="I216" s="39"/>
      <c r="J216" s="20">
        <f t="shared" ref="J216" si="163">A216</f>
        <v>44439</v>
      </c>
      <c r="K216" s="27">
        <v>1.9233579999999999</v>
      </c>
      <c r="L216" s="46">
        <f t="shared" ref="L216" si="164">L215*K216/100+L215</f>
        <v>2841456.0017174231</v>
      </c>
      <c r="M216" s="112">
        <f t="shared" ref="M216" si="165">(L216/L$208-1)*100</f>
        <v>9.7280777929388051</v>
      </c>
      <c r="Q216" s="27"/>
      <c r="R216" s="34"/>
    </row>
    <row r="217" spans="1:21" x14ac:dyDescent="0.25">
      <c r="A217" s="21">
        <v>44469</v>
      </c>
      <c r="B217" s="24">
        <f t="shared" si="162"/>
        <v>201</v>
      </c>
      <c r="D217" s="29"/>
      <c r="Q217" s="27"/>
      <c r="R217" s="34"/>
    </row>
    <row r="218" spans="1:21" x14ac:dyDescent="0.25">
      <c r="A218" s="21">
        <v>44500</v>
      </c>
      <c r="B218" s="24">
        <f t="shared" si="162"/>
        <v>202</v>
      </c>
      <c r="D218" s="29"/>
      <c r="K218" s="27"/>
      <c r="Q218" s="27"/>
      <c r="R218" s="34"/>
    </row>
    <row r="219" spans="1:21" x14ac:dyDescent="0.25">
      <c r="A219" s="21">
        <v>44530</v>
      </c>
      <c r="B219" s="24">
        <f t="shared" si="162"/>
        <v>203</v>
      </c>
      <c r="D219" s="29"/>
      <c r="J219" t="s">
        <v>142</v>
      </c>
      <c r="K219" s="29">
        <f>_xll.BDP(J$219&amp;" INDEX","cust trr return holding per","cust trr start dt",TEXT($A213,"YYYYMMDD"),"cust trr end dt",TEXT($A214,"YYYYMMDD"))</f>
        <v>-0.60563900000000004</v>
      </c>
      <c r="Q219" s="27"/>
      <c r="R219" s="34"/>
    </row>
    <row r="220" spans="1:21" x14ac:dyDescent="0.25">
      <c r="A220" s="21">
        <v>44561</v>
      </c>
      <c r="B220" s="24">
        <f t="shared" ref="B220:B221" si="166">IF(A220&gt;A219,1+B219,"-")</f>
        <v>204</v>
      </c>
      <c r="D220" s="29"/>
      <c r="K220" s="27"/>
      <c r="Q220" s="27"/>
      <c r="R220" s="34"/>
    </row>
    <row r="221" spans="1:21" x14ac:dyDescent="0.25">
      <c r="A221" s="21">
        <v>44592</v>
      </c>
      <c r="B221" s="24">
        <f t="shared" si="166"/>
        <v>205</v>
      </c>
      <c r="D221" s="29"/>
      <c r="K221" s="27"/>
      <c r="L221" s="34"/>
      <c r="Q221" s="27"/>
      <c r="R221" s="34"/>
    </row>
    <row r="222" spans="1:21" x14ac:dyDescent="0.25">
      <c r="B222" s="24" t="str">
        <f t="shared" si="156"/>
        <v>-</v>
      </c>
      <c r="D222" s="29"/>
      <c r="K222" s="27"/>
      <c r="L222" s="34"/>
      <c r="Q222" s="27"/>
      <c r="R222" s="34"/>
    </row>
    <row r="223" spans="1:21" x14ac:dyDescent="0.25">
      <c r="B223" s="24" t="str">
        <f t="shared" si="156"/>
        <v>-</v>
      </c>
      <c r="D223" s="29"/>
      <c r="K223" s="27"/>
      <c r="Q223" s="27"/>
    </row>
    <row r="224" spans="1:21" x14ac:dyDescent="0.25">
      <c r="B224" s="24" t="str">
        <f t="shared" si="156"/>
        <v>-</v>
      </c>
      <c r="D224" s="29"/>
      <c r="K224" s="27"/>
      <c r="Q224" s="27"/>
    </row>
    <row r="225" spans="2:17" x14ac:dyDescent="0.25">
      <c r="B225" s="24" t="str">
        <f t="shared" si="156"/>
        <v>-</v>
      </c>
      <c r="D225" s="29"/>
      <c r="K225" s="27"/>
      <c r="Q225" s="27"/>
    </row>
    <row r="226" spans="2:17" x14ac:dyDescent="0.25">
      <c r="B226" s="24" t="str">
        <f t="shared" si="156"/>
        <v>-</v>
      </c>
      <c r="K226" s="27"/>
      <c r="Q226" s="27"/>
    </row>
    <row r="227" spans="2:17" x14ac:dyDescent="0.25">
      <c r="B227" s="24" t="str">
        <f t="shared" si="156"/>
        <v>-</v>
      </c>
      <c r="K227" s="27"/>
      <c r="Q227" s="27"/>
    </row>
    <row r="228" spans="2:17" x14ac:dyDescent="0.25">
      <c r="B228" s="24" t="str">
        <f t="shared" si="156"/>
        <v>-</v>
      </c>
      <c r="K228" s="27"/>
      <c r="Q228" s="27"/>
    </row>
    <row r="229" spans="2:17" x14ac:dyDescent="0.25">
      <c r="B229" s="24" t="str">
        <f t="shared" si="156"/>
        <v>-</v>
      </c>
      <c r="K229" s="27"/>
      <c r="Q229" s="27"/>
    </row>
    <row r="230" spans="2:17" x14ac:dyDescent="0.25">
      <c r="B230" s="24" t="str">
        <f t="shared" si="156"/>
        <v>-</v>
      </c>
      <c r="K230" s="27"/>
      <c r="Q230" s="27"/>
    </row>
    <row r="231" spans="2:17" x14ac:dyDescent="0.25">
      <c r="B231" s="24" t="str">
        <f t="shared" si="156"/>
        <v>-</v>
      </c>
      <c r="K231" s="27"/>
      <c r="Q231" s="27"/>
    </row>
    <row r="232" spans="2:17" x14ac:dyDescent="0.25">
      <c r="B232" s="24" t="str">
        <f t="shared" si="156"/>
        <v>-</v>
      </c>
      <c r="K232" s="27"/>
      <c r="Q232" s="27"/>
    </row>
    <row r="233" spans="2:17" x14ac:dyDescent="0.25">
      <c r="B233" s="24" t="str">
        <f t="shared" si="156"/>
        <v>-</v>
      </c>
      <c r="K233" s="27"/>
      <c r="Q233" s="27"/>
    </row>
    <row r="234" spans="2:17" x14ac:dyDescent="0.25">
      <c r="B234" s="24" t="str">
        <f t="shared" si="156"/>
        <v>-</v>
      </c>
      <c r="K234" s="27"/>
      <c r="Q234" s="27"/>
    </row>
    <row r="235" spans="2:17" x14ac:dyDescent="0.25">
      <c r="B235" s="24" t="str">
        <f t="shared" si="156"/>
        <v>-</v>
      </c>
      <c r="K235" s="27"/>
      <c r="Q235" s="27"/>
    </row>
    <row r="236" spans="2:17" x14ac:dyDescent="0.25">
      <c r="B236" s="24" t="str">
        <f t="shared" si="156"/>
        <v>-</v>
      </c>
      <c r="K236" s="27"/>
      <c r="Q236" s="27"/>
    </row>
    <row r="237" spans="2:17" x14ac:dyDescent="0.25">
      <c r="B237" s="24" t="str">
        <f t="shared" si="156"/>
        <v>-</v>
      </c>
      <c r="K237" s="27"/>
      <c r="Q237" s="27"/>
    </row>
    <row r="238" spans="2:17" x14ac:dyDescent="0.25">
      <c r="B238" s="24" t="str">
        <f t="shared" si="156"/>
        <v>-</v>
      </c>
      <c r="K238" s="27"/>
      <c r="Q238" s="27"/>
    </row>
    <row r="239" spans="2:17" x14ac:dyDescent="0.25">
      <c r="B239" s="24" t="str">
        <f t="shared" si="156"/>
        <v>-</v>
      </c>
      <c r="K239" s="27"/>
      <c r="Q239" s="27"/>
    </row>
    <row r="240" spans="2:17" x14ac:dyDescent="0.25">
      <c r="B240" s="24" t="str">
        <f t="shared" si="156"/>
        <v>-</v>
      </c>
      <c r="K240" s="27"/>
      <c r="Q240" s="27"/>
    </row>
    <row r="241" spans="2:17" x14ac:dyDescent="0.25">
      <c r="B241" s="24" t="str">
        <f t="shared" si="156"/>
        <v>-</v>
      </c>
      <c r="K241" s="27"/>
      <c r="Q241" s="27"/>
    </row>
    <row r="242" spans="2:17" x14ac:dyDescent="0.25">
      <c r="B242" s="24" t="str">
        <f t="shared" si="156"/>
        <v>-</v>
      </c>
      <c r="K242" s="27"/>
      <c r="Q242" s="27"/>
    </row>
    <row r="243" spans="2:17" x14ac:dyDescent="0.25">
      <c r="B243" s="24" t="str">
        <f t="shared" si="156"/>
        <v>-</v>
      </c>
      <c r="K243" s="27"/>
      <c r="Q243" s="27"/>
    </row>
    <row r="244" spans="2:17" x14ac:dyDescent="0.25">
      <c r="B244" s="24" t="str">
        <f t="shared" si="156"/>
        <v>-</v>
      </c>
      <c r="K244" s="27"/>
      <c r="Q244" s="27"/>
    </row>
    <row r="245" spans="2:17" x14ac:dyDescent="0.25">
      <c r="B245" s="24" t="str">
        <f t="shared" si="156"/>
        <v>-</v>
      </c>
      <c r="K245" s="27"/>
      <c r="Q245" s="27"/>
    </row>
    <row r="246" spans="2:17" x14ac:dyDescent="0.25">
      <c r="B246" s="24" t="str">
        <f t="shared" si="156"/>
        <v>-</v>
      </c>
      <c r="K246" s="27"/>
      <c r="Q246" s="27"/>
    </row>
    <row r="247" spans="2:17" x14ac:dyDescent="0.25">
      <c r="B247" s="24" t="str">
        <f t="shared" si="156"/>
        <v>-</v>
      </c>
      <c r="K247" s="27"/>
      <c r="Q247" s="27"/>
    </row>
    <row r="248" spans="2:17" x14ac:dyDescent="0.25">
      <c r="B248" s="24" t="str">
        <f t="shared" si="156"/>
        <v>-</v>
      </c>
      <c r="K248" s="27"/>
      <c r="Q248" s="27"/>
    </row>
    <row r="249" spans="2:17" x14ac:dyDescent="0.25">
      <c r="B249" s="24" t="str">
        <f t="shared" si="156"/>
        <v>-</v>
      </c>
      <c r="K249" s="27"/>
      <c r="Q249" s="27"/>
    </row>
    <row r="250" spans="2:17" x14ac:dyDescent="0.25">
      <c r="B250" s="24" t="str">
        <f t="shared" si="156"/>
        <v>-</v>
      </c>
      <c r="K250" s="27"/>
      <c r="Q250" s="27"/>
    </row>
    <row r="251" spans="2:17" x14ac:dyDescent="0.25">
      <c r="B251" s="24" t="str">
        <f t="shared" si="156"/>
        <v>-</v>
      </c>
      <c r="K251" s="27"/>
      <c r="Q251" s="27"/>
    </row>
    <row r="252" spans="2:17" x14ac:dyDescent="0.25">
      <c r="B252" s="24" t="str">
        <f t="shared" si="156"/>
        <v>-</v>
      </c>
      <c r="K252" s="27"/>
      <c r="Q252" s="27"/>
    </row>
    <row r="253" spans="2:17" x14ac:dyDescent="0.25">
      <c r="B253" s="24" t="str">
        <f t="shared" si="156"/>
        <v>-</v>
      </c>
      <c r="K253" s="27"/>
      <c r="Q253" s="27"/>
    </row>
    <row r="254" spans="2:17" x14ac:dyDescent="0.25">
      <c r="B254" s="24" t="str">
        <f t="shared" si="156"/>
        <v>-</v>
      </c>
      <c r="K254" s="27"/>
      <c r="Q254" s="27"/>
    </row>
    <row r="255" spans="2:17" x14ac:dyDescent="0.25">
      <c r="B255" s="24" t="str">
        <f t="shared" si="156"/>
        <v>-</v>
      </c>
      <c r="K255" s="27"/>
      <c r="Q255" s="27"/>
    </row>
    <row r="256" spans="2:17" x14ac:dyDescent="0.25">
      <c r="B256" s="24" t="str">
        <f t="shared" si="156"/>
        <v>-</v>
      </c>
      <c r="K256" s="27"/>
      <c r="Q256" s="27"/>
    </row>
    <row r="257" spans="2:17" x14ac:dyDescent="0.25">
      <c r="B257" s="24" t="str">
        <f t="shared" si="156"/>
        <v>-</v>
      </c>
      <c r="K257" s="27"/>
      <c r="Q257" s="27"/>
    </row>
    <row r="258" spans="2:17" x14ac:dyDescent="0.25">
      <c r="B258" s="24" t="str">
        <f t="shared" si="156"/>
        <v>-</v>
      </c>
      <c r="K258" s="27"/>
      <c r="Q258" s="27"/>
    </row>
    <row r="259" spans="2:17" x14ac:dyDescent="0.25">
      <c r="B259" s="24" t="str">
        <f t="shared" si="156"/>
        <v>-</v>
      </c>
      <c r="K259" s="27"/>
      <c r="Q259" s="27"/>
    </row>
    <row r="260" spans="2:17" x14ac:dyDescent="0.25">
      <c r="B260" s="24" t="str">
        <f t="shared" si="156"/>
        <v>-</v>
      </c>
      <c r="K260" s="27"/>
      <c r="Q260" s="27"/>
    </row>
    <row r="261" spans="2:17" x14ac:dyDescent="0.25">
      <c r="B261" s="24" t="str">
        <f t="shared" si="156"/>
        <v>-</v>
      </c>
      <c r="K261" s="27"/>
      <c r="Q261" s="27"/>
    </row>
    <row r="262" spans="2:17" x14ac:dyDescent="0.25">
      <c r="B262" s="24" t="str">
        <f t="shared" si="156"/>
        <v>-</v>
      </c>
      <c r="K262" s="27"/>
      <c r="Q262" s="27"/>
    </row>
    <row r="263" spans="2:17" x14ac:dyDescent="0.25">
      <c r="B263" s="24" t="str">
        <f t="shared" si="156"/>
        <v>-</v>
      </c>
      <c r="K263" s="27"/>
      <c r="Q263" s="27"/>
    </row>
    <row r="264" spans="2:17" x14ac:dyDescent="0.25">
      <c r="B264" s="24" t="str">
        <f t="shared" si="156"/>
        <v>-</v>
      </c>
      <c r="K264" s="27"/>
      <c r="Q264" s="27"/>
    </row>
    <row r="265" spans="2:17" x14ac:dyDescent="0.25">
      <c r="B265" s="24" t="str">
        <f t="shared" si="156"/>
        <v>-</v>
      </c>
      <c r="K265" s="27"/>
      <c r="Q265" s="27"/>
    </row>
    <row r="266" spans="2:17" x14ac:dyDescent="0.25">
      <c r="B266" s="24" t="str">
        <f t="shared" si="156"/>
        <v>-</v>
      </c>
      <c r="K266" s="27"/>
      <c r="Q266" s="27"/>
    </row>
    <row r="267" spans="2:17" x14ac:dyDescent="0.25">
      <c r="B267" s="24" t="str">
        <f t="shared" si="156"/>
        <v>-</v>
      </c>
      <c r="K267" s="27"/>
      <c r="Q267" s="27"/>
    </row>
    <row r="268" spans="2:17" x14ac:dyDescent="0.25">
      <c r="B268" s="24" t="str">
        <f t="shared" si="156"/>
        <v>-</v>
      </c>
      <c r="K268" s="27"/>
      <c r="Q268" s="27"/>
    </row>
    <row r="269" spans="2:17" x14ac:dyDescent="0.25">
      <c r="B269" s="24" t="str">
        <f t="shared" si="156"/>
        <v>-</v>
      </c>
      <c r="K269" s="27"/>
      <c r="Q269" s="27"/>
    </row>
    <row r="270" spans="2:17" x14ac:dyDescent="0.25">
      <c r="B270" s="24" t="str">
        <f t="shared" si="156"/>
        <v>-</v>
      </c>
      <c r="K270" s="27"/>
      <c r="Q270" s="27"/>
    </row>
    <row r="271" spans="2:17" x14ac:dyDescent="0.25">
      <c r="B271" s="24" t="str">
        <f t="shared" si="156"/>
        <v>-</v>
      </c>
      <c r="K271" s="27"/>
      <c r="Q271" s="27"/>
    </row>
    <row r="272" spans="2:17" x14ac:dyDescent="0.25">
      <c r="B272" s="24" t="str">
        <f t="shared" si="156"/>
        <v>-</v>
      </c>
      <c r="K272" s="27"/>
      <c r="Q272" s="27"/>
    </row>
    <row r="273" spans="2:17" x14ac:dyDescent="0.25">
      <c r="B273" s="24" t="str">
        <f t="shared" si="156"/>
        <v>-</v>
      </c>
      <c r="K273" s="27"/>
      <c r="Q273" s="27"/>
    </row>
    <row r="274" spans="2:17" x14ac:dyDescent="0.25">
      <c r="B274" s="24" t="str">
        <f t="shared" ref="B274:B337" si="167">IF(A274&gt;A273,1+B273,"-")</f>
        <v>-</v>
      </c>
      <c r="K274" s="27"/>
      <c r="Q274" s="27"/>
    </row>
    <row r="275" spans="2:17" x14ac:dyDescent="0.25">
      <c r="B275" s="24" t="str">
        <f t="shared" si="167"/>
        <v>-</v>
      </c>
      <c r="K275" s="27"/>
      <c r="Q275" s="27"/>
    </row>
    <row r="276" spans="2:17" x14ac:dyDescent="0.25">
      <c r="B276" s="24" t="str">
        <f t="shared" si="167"/>
        <v>-</v>
      </c>
      <c r="K276" s="27"/>
      <c r="Q276" s="27"/>
    </row>
    <row r="277" spans="2:17" x14ac:dyDescent="0.25">
      <c r="B277" s="24" t="str">
        <f t="shared" si="167"/>
        <v>-</v>
      </c>
      <c r="K277" s="27"/>
      <c r="Q277" s="27"/>
    </row>
    <row r="278" spans="2:17" x14ac:dyDescent="0.25">
      <c r="B278" s="24" t="str">
        <f t="shared" si="167"/>
        <v>-</v>
      </c>
      <c r="K278" s="27"/>
      <c r="Q278" s="27"/>
    </row>
    <row r="279" spans="2:17" x14ac:dyDescent="0.25">
      <c r="B279" s="24" t="str">
        <f t="shared" si="167"/>
        <v>-</v>
      </c>
      <c r="K279" s="27"/>
      <c r="Q279" s="27"/>
    </row>
    <row r="280" spans="2:17" x14ac:dyDescent="0.25">
      <c r="B280" s="24" t="str">
        <f t="shared" si="167"/>
        <v>-</v>
      </c>
      <c r="K280" s="27"/>
      <c r="Q280" s="27"/>
    </row>
    <row r="281" spans="2:17" x14ac:dyDescent="0.25">
      <c r="B281" s="24" t="str">
        <f t="shared" si="167"/>
        <v>-</v>
      </c>
      <c r="K281" s="27"/>
      <c r="Q281" s="27"/>
    </row>
    <row r="282" spans="2:17" x14ac:dyDescent="0.25">
      <c r="B282" s="24" t="str">
        <f t="shared" si="167"/>
        <v>-</v>
      </c>
      <c r="K282" s="27"/>
      <c r="Q282" s="27"/>
    </row>
    <row r="283" spans="2:17" x14ac:dyDescent="0.25">
      <c r="B283" s="24" t="str">
        <f t="shared" si="167"/>
        <v>-</v>
      </c>
      <c r="K283" s="27"/>
      <c r="Q283" s="27"/>
    </row>
    <row r="284" spans="2:17" x14ac:dyDescent="0.25">
      <c r="B284" s="24" t="str">
        <f t="shared" si="167"/>
        <v>-</v>
      </c>
      <c r="K284" s="27"/>
      <c r="Q284" s="27"/>
    </row>
    <row r="285" spans="2:17" x14ac:dyDescent="0.25">
      <c r="B285" s="24" t="str">
        <f t="shared" si="167"/>
        <v>-</v>
      </c>
      <c r="K285" s="27"/>
      <c r="Q285" s="27"/>
    </row>
    <row r="286" spans="2:17" x14ac:dyDescent="0.25">
      <c r="B286" s="24" t="str">
        <f t="shared" si="167"/>
        <v>-</v>
      </c>
      <c r="K286" s="27"/>
      <c r="Q286" s="27"/>
    </row>
    <row r="287" spans="2:17" x14ac:dyDescent="0.25">
      <c r="B287" s="24" t="str">
        <f t="shared" si="167"/>
        <v>-</v>
      </c>
      <c r="K287" s="27"/>
      <c r="Q287" s="27"/>
    </row>
    <row r="288" spans="2:17" x14ac:dyDescent="0.25">
      <c r="B288" s="24" t="str">
        <f t="shared" si="167"/>
        <v>-</v>
      </c>
      <c r="K288" s="27"/>
      <c r="Q288" s="27"/>
    </row>
    <row r="289" spans="2:17" x14ac:dyDescent="0.25">
      <c r="B289" s="24" t="str">
        <f t="shared" si="167"/>
        <v>-</v>
      </c>
      <c r="K289" s="27"/>
      <c r="Q289" s="27"/>
    </row>
    <row r="290" spans="2:17" x14ac:dyDescent="0.25">
      <c r="B290" s="24" t="str">
        <f t="shared" si="167"/>
        <v>-</v>
      </c>
      <c r="K290" s="27"/>
      <c r="Q290" s="27"/>
    </row>
    <row r="291" spans="2:17" x14ac:dyDescent="0.25">
      <c r="B291" s="24" t="str">
        <f t="shared" si="167"/>
        <v>-</v>
      </c>
      <c r="K291" s="27"/>
      <c r="Q291" s="27"/>
    </row>
    <row r="292" spans="2:17" x14ac:dyDescent="0.25">
      <c r="B292" s="24" t="str">
        <f t="shared" si="167"/>
        <v>-</v>
      </c>
    </row>
    <row r="293" spans="2:17" x14ac:dyDescent="0.25">
      <c r="B293" s="24" t="str">
        <f t="shared" si="167"/>
        <v>-</v>
      </c>
    </row>
    <row r="294" spans="2:17" x14ac:dyDescent="0.25">
      <c r="B294" s="24" t="str">
        <f t="shared" si="167"/>
        <v>-</v>
      </c>
    </row>
    <row r="295" spans="2:17" x14ac:dyDescent="0.25">
      <c r="B295" s="24" t="str">
        <f t="shared" si="167"/>
        <v>-</v>
      </c>
    </row>
    <row r="296" spans="2:17" x14ac:dyDescent="0.25">
      <c r="B296" s="24" t="str">
        <f t="shared" si="167"/>
        <v>-</v>
      </c>
    </row>
    <row r="297" spans="2:17" x14ac:dyDescent="0.25">
      <c r="B297" s="24" t="str">
        <f t="shared" si="167"/>
        <v>-</v>
      </c>
    </row>
    <row r="298" spans="2:17" x14ac:dyDescent="0.25">
      <c r="B298" s="24" t="str">
        <f t="shared" si="167"/>
        <v>-</v>
      </c>
    </row>
    <row r="299" spans="2:17" x14ac:dyDescent="0.25">
      <c r="B299" s="24" t="str">
        <f t="shared" si="167"/>
        <v>-</v>
      </c>
    </row>
    <row r="300" spans="2:17" x14ac:dyDescent="0.25">
      <c r="B300" s="24" t="str">
        <f t="shared" si="167"/>
        <v>-</v>
      </c>
    </row>
    <row r="301" spans="2:17" x14ac:dyDescent="0.25">
      <c r="B301" s="24" t="str">
        <f t="shared" si="167"/>
        <v>-</v>
      </c>
    </row>
    <row r="302" spans="2:17" x14ac:dyDescent="0.25">
      <c r="B302" s="24" t="str">
        <f t="shared" si="167"/>
        <v>-</v>
      </c>
    </row>
    <row r="303" spans="2:17" x14ac:dyDescent="0.25">
      <c r="B303" s="24" t="str">
        <f t="shared" si="167"/>
        <v>-</v>
      </c>
    </row>
    <row r="304" spans="2:17" x14ac:dyDescent="0.25">
      <c r="B304" s="24" t="str">
        <f t="shared" si="167"/>
        <v>-</v>
      </c>
    </row>
    <row r="305" spans="2:2" x14ac:dyDescent="0.25">
      <c r="B305" s="24" t="str">
        <f t="shared" si="167"/>
        <v>-</v>
      </c>
    </row>
    <row r="306" spans="2:2" x14ac:dyDescent="0.25">
      <c r="B306" s="24" t="str">
        <f t="shared" si="167"/>
        <v>-</v>
      </c>
    </row>
    <row r="307" spans="2:2" x14ac:dyDescent="0.25">
      <c r="B307" s="24" t="str">
        <f t="shared" si="167"/>
        <v>-</v>
      </c>
    </row>
    <row r="308" spans="2:2" x14ac:dyDescent="0.25">
      <c r="B308" s="24" t="str">
        <f t="shared" si="167"/>
        <v>-</v>
      </c>
    </row>
    <row r="309" spans="2:2" x14ac:dyDescent="0.25">
      <c r="B309" s="24" t="str">
        <f t="shared" si="167"/>
        <v>-</v>
      </c>
    </row>
    <row r="310" spans="2:2" x14ac:dyDescent="0.25">
      <c r="B310" s="24" t="str">
        <f t="shared" si="167"/>
        <v>-</v>
      </c>
    </row>
    <row r="311" spans="2:2" x14ac:dyDescent="0.25">
      <c r="B311" s="24" t="str">
        <f t="shared" si="167"/>
        <v>-</v>
      </c>
    </row>
    <row r="312" spans="2:2" x14ac:dyDescent="0.25">
      <c r="B312" s="24" t="str">
        <f t="shared" si="167"/>
        <v>-</v>
      </c>
    </row>
    <row r="313" spans="2:2" x14ac:dyDescent="0.25">
      <c r="B313" s="24" t="str">
        <f t="shared" si="167"/>
        <v>-</v>
      </c>
    </row>
    <row r="314" spans="2:2" x14ac:dyDescent="0.25">
      <c r="B314" s="24" t="str">
        <f t="shared" si="167"/>
        <v>-</v>
      </c>
    </row>
    <row r="315" spans="2:2" x14ac:dyDescent="0.25">
      <c r="B315" s="24" t="str">
        <f t="shared" si="167"/>
        <v>-</v>
      </c>
    </row>
    <row r="316" spans="2:2" x14ac:dyDescent="0.25">
      <c r="B316" s="24" t="str">
        <f t="shared" si="167"/>
        <v>-</v>
      </c>
    </row>
    <row r="317" spans="2:2" x14ac:dyDescent="0.25">
      <c r="B317" s="24" t="str">
        <f t="shared" si="167"/>
        <v>-</v>
      </c>
    </row>
    <row r="318" spans="2:2" x14ac:dyDescent="0.25">
      <c r="B318" s="24" t="str">
        <f t="shared" si="167"/>
        <v>-</v>
      </c>
    </row>
    <row r="319" spans="2:2" x14ac:dyDescent="0.25">
      <c r="B319" s="24" t="str">
        <f t="shared" si="167"/>
        <v>-</v>
      </c>
    </row>
    <row r="320" spans="2:2" x14ac:dyDescent="0.25">
      <c r="B320" s="24" t="str">
        <f t="shared" si="167"/>
        <v>-</v>
      </c>
    </row>
    <row r="321" spans="2:2" x14ac:dyDescent="0.25">
      <c r="B321" s="24" t="str">
        <f t="shared" si="167"/>
        <v>-</v>
      </c>
    </row>
    <row r="322" spans="2:2" x14ac:dyDescent="0.25">
      <c r="B322" s="24" t="str">
        <f t="shared" si="167"/>
        <v>-</v>
      </c>
    </row>
    <row r="323" spans="2:2" x14ac:dyDescent="0.25">
      <c r="B323" s="24" t="str">
        <f t="shared" si="167"/>
        <v>-</v>
      </c>
    </row>
    <row r="324" spans="2:2" x14ac:dyDescent="0.25">
      <c r="B324" s="24" t="str">
        <f t="shared" si="167"/>
        <v>-</v>
      </c>
    </row>
    <row r="325" spans="2:2" x14ac:dyDescent="0.25">
      <c r="B325" s="24" t="str">
        <f t="shared" si="167"/>
        <v>-</v>
      </c>
    </row>
    <row r="326" spans="2:2" x14ac:dyDescent="0.25">
      <c r="B326" s="24" t="str">
        <f t="shared" si="167"/>
        <v>-</v>
      </c>
    </row>
    <row r="327" spans="2:2" x14ac:dyDescent="0.25">
      <c r="B327" s="24" t="str">
        <f t="shared" si="167"/>
        <v>-</v>
      </c>
    </row>
    <row r="328" spans="2:2" x14ac:dyDescent="0.25">
      <c r="B328" s="24" t="str">
        <f t="shared" si="167"/>
        <v>-</v>
      </c>
    </row>
    <row r="329" spans="2:2" x14ac:dyDescent="0.25">
      <c r="B329" s="24" t="str">
        <f t="shared" si="167"/>
        <v>-</v>
      </c>
    </row>
    <row r="330" spans="2:2" x14ac:dyDescent="0.25">
      <c r="B330" s="24" t="str">
        <f t="shared" si="167"/>
        <v>-</v>
      </c>
    </row>
    <row r="331" spans="2:2" x14ac:dyDescent="0.25">
      <c r="B331" s="24" t="str">
        <f t="shared" si="167"/>
        <v>-</v>
      </c>
    </row>
    <row r="332" spans="2:2" x14ac:dyDescent="0.25">
      <c r="B332" s="24" t="str">
        <f t="shared" si="167"/>
        <v>-</v>
      </c>
    </row>
    <row r="333" spans="2:2" x14ac:dyDescent="0.25">
      <c r="B333" s="24" t="str">
        <f t="shared" si="167"/>
        <v>-</v>
      </c>
    </row>
    <row r="334" spans="2:2" x14ac:dyDescent="0.25">
      <c r="B334" s="24" t="str">
        <f t="shared" si="167"/>
        <v>-</v>
      </c>
    </row>
    <row r="335" spans="2:2" x14ac:dyDescent="0.25">
      <c r="B335" s="24" t="str">
        <f t="shared" si="167"/>
        <v>-</v>
      </c>
    </row>
    <row r="336" spans="2:2" x14ac:dyDescent="0.25">
      <c r="B336" s="24" t="str">
        <f t="shared" si="167"/>
        <v>-</v>
      </c>
    </row>
    <row r="337" spans="2:2" x14ac:dyDescent="0.25">
      <c r="B337" s="24" t="str">
        <f t="shared" si="167"/>
        <v>-</v>
      </c>
    </row>
    <row r="338" spans="2:2" x14ac:dyDescent="0.25">
      <c r="B338" s="24" t="str">
        <f t="shared" ref="B338:B401" si="168">IF(A338&gt;A337,1+B337,"-")</f>
        <v>-</v>
      </c>
    </row>
    <row r="339" spans="2:2" x14ac:dyDescent="0.25">
      <c r="B339" s="24" t="str">
        <f t="shared" si="168"/>
        <v>-</v>
      </c>
    </row>
    <row r="340" spans="2:2" x14ac:dyDescent="0.25">
      <c r="B340" s="24" t="str">
        <f t="shared" si="168"/>
        <v>-</v>
      </c>
    </row>
    <row r="341" spans="2:2" x14ac:dyDescent="0.25">
      <c r="B341" s="24" t="str">
        <f t="shared" si="168"/>
        <v>-</v>
      </c>
    </row>
    <row r="342" spans="2:2" x14ac:dyDescent="0.25">
      <c r="B342" s="24" t="str">
        <f t="shared" si="168"/>
        <v>-</v>
      </c>
    </row>
    <row r="343" spans="2:2" x14ac:dyDescent="0.25">
      <c r="B343" s="24" t="str">
        <f t="shared" si="168"/>
        <v>-</v>
      </c>
    </row>
    <row r="344" spans="2:2" x14ac:dyDescent="0.25">
      <c r="B344" s="24" t="str">
        <f t="shared" si="168"/>
        <v>-</v>
      </c>
    </row>
    <row r="345" spans="2:2" x14ac:dyDescent="0.25">
      <c r="B345" s="24" t="str">
        <f t="shared" si="168"/>
        <v>-</v>
      </c>
    </row>
    <row r="346" spans="2:2" x14ac:dyDescent="0.25">
      <c r="B346" s="24" t="str">
        <f t="shared" si="168"/>
        <v>-</v>
      </c>
    </row>
    <row r="347" spans="2:2" x14ac:dyDescent="0.25">
      <c r="B347" s="24" t="str">
        <f t="shared" si="168"/>
        <v>-</v>
      </c>
    </row>
    <row r="348" spans="2:2" x14ac:dyDescent="0.25">
      <c r="B348" s="24" t="str">
        <f t="shared" si="168"/>
        <v>-</v>
      </c>
    </row>
    <row r="349" spans="2:2" x14ac:dyDescent="0.25">
      <c r="B349" s="24" t="str">
        <f t="shared" si="168"/>
        <v>-</v>
      </c>
    </row>
    <row r="350" spans="2:2" x14ac:dyDescent="0.25">
      <c r="B350" s="24" t="str">
        <f t="shared" si="168"/>
        <v>-</v>
      </c>
    </row>
    <row r="351" spans="2:2" x14ac:dyDescent="0.25">
      <c r="B351" s="24" t="str">
        <f t="shared" si="168"/>
        <v>-</v>
      </c>
    </row>
    <row r="352" spans="2:2" x14ac:dyDescent="0.25">
      <c r="B352" s="24" t="str">
        <f t="shared" si="168"/>
        <v>-</v>
      </c>
    </row>
    <row r="353" spans="2:2" x14ac:dyDescent="0.25">
      <c r="B353" s="24" t="str">
        <f t="shared" si="168"/>
        <v>-</v>
      </c>
    </row>
    <row r="354" spans="2:2" x14ac:dyDescent="0.25">
      <c r="B354" s="24" t="str">
        <f t="shared" si="168"/>
        <v>-</v>
      </c>
    </row>
    <row r="355" spans="2:2" x14ac:dyDescent="0.25">
      <c r="B355" s="24" t="str">
        <f t="shared" si="168"/>
        <v>-</v>
      </c>
    </row>
    <row r="356" spans="2:2" x14ac:dyDescent="0.25">
      <c r="B356" s="24" t="str">
        <f t="shared" si="168"/>
        <v>-</v>
      </c>
    </row>
    <row r="357" spans="2:2" x14ac:dyDescent="0.25">
      <c r="B357" s="24" t="str">
        <f t="shared" si="168"/>
        <v>-</v>
      </c>
    </row>
    <row r="358" spans="2:2" x14ac:dyDescent="0.25">
      <c r="B358" s="24" t="str">
        <f t="shared" si="168"/>
        <v>-</v>
      </c>
    </row>
    <row r="359" spans="2:2" x14ac:dyDescent="0.25">
      <c r="B359" s="24" t="str">
        <f t="shared" si="168"/>
        <v>-</v>
      </c>
    </row>
    <row r="360" spans="2:2" x14ac:dyDescent="0.25">
      <c r="B360" s="24" t="str">
        <f t="shared" si="168"/>
        <v>-</v>
      </c>
    </row>
    <row r="361" spans="2:2" x14ac:dyDescent="0.25">
      <c r="B361" s="24" t="str">
        <f t="shared" si="168"/>
        <v>-</v>
      </c>
    </row>
    <row r="362" spans="2:2" x14ac:dyDescent="0.25">
      <c r="B362" s="24" t="str">
        <f t="shared" si="168"/>
        <v>-</v>
      </c>
    </row>
    <row r="363" spans="2:2" x14ac:dyDescent="0.25">
      <c r="B363" s="24" t="str">
        <f t="shared" si="168"/>
        <v>-</v>
      </c>
    </row>
    <row r="364" spans="2:2" x14ac:dyDescent="0.25">
      <c r="B364" s="24" t="str">
        <f t="shared" si="168"/>
        <v>-</v>
      </c>
    </row>
    <row r="365" spans="2:2" x14ac:dyDescent="0.25">
      <c r="B365" s="24" t="str">
        <f t="shared" si="168"/>
        <v>-</v>
      </c>
    </row>
    <row r="366" spans="2:2" x14ac:dyDescent="0.25">
      <c r="B366" s="24" t="str">
        <f t="shared" si="168"/>
        <v>-</v>
      </c>
    </row>
    <row r="367" spans="2:2" x14ac:dyDescent="0.25">
      <c r="B367" s="24" t="str">
        <f t="shared" si="168"/>
        <v>-</v>
      </c>
    </row>
    <row r="368" spans="2:2" x14ac:dyDescent="0.25">
      <c r="B368" s="24" t="str">
        <f t="shared" si="168"/>
        <v>-</v>
      </c>
    </row>
    <row r="369" spans="2:2" x14ac:dyDescent="0.25">
      <c r="B369" s="24" t="str">
        <f t="shared" si="168"/>
        <v>-</v>
      </c>
    </row>
    <row r="370" spans="2:2" x14ac:dyDescent="0.25">
      <c r="B370" s="24" t="str">
        <f t="shared" si="168"/>
        <v>-</v>
      </c>
    </row>
    <row r="371" spans="2:2" x14ac:dyDescent="0.25">
      <c r="B371" s="24" t="str">
        <f t="shared" si="168"/>
        <v>-</v>
      </c>
    </row>
    <row r="372" spans="2:2" x14ac:dyDescent="0.25">
      <c r="B372" s="24" t="str">
        <f t="shared" si="168"/>
        <v>-</v>
      </c>
    </row>
    <row r="373" spans="2:2" x14ac:dyDescent="0.25">
      <c r="B373" s="24" t="str">
        <f t="shared" si="168"/>
        <v>-</v>
      </c>
    </row>
    <row r="374" spans="2:2" x14ac:dyDescent="0.25">
      <c r="B374" s="24" t="str">
        <f t="shared" si="168"/>
        <v>-</v>
      </c>
    </row>
    <row r="375" spans="2:2" x14ac:dyDescent="0.25">
      <c r="B375" s="24" t="str">
        <f t="shared" si="168"/>
        <v>-</v>
      </c>
    </row>
    <row r="376" spans="2:2" x14ac:dyDescent="0.25">
      <c r="B376" s="24" t="str">
        <f t="shared" si="168"/>
        <v>-</v>
      </c>
    </row>
    <row r="377" spans="2:2" x14ac:dyDescent="0.25">
      <c r="B377" s="24" t="str">
        <f t="shared" si="168"/>
        <v>-</v>
      </c>
    </row>
    <row r="378" spans="2:2" x14ac:dyDescent="0.25">
      <c r="B378" s="24" t="str">
        <f t="shared" si="168"/>
        <v>-</v>
      </c>
    </row>
    <row r="379" spans="2:2" x14ac:dyDescent="0.25">
      <c r="B379" s="24" t="str">
        <f t="shared" si="168"/>
        <v>-</v>
      </c>
    </row>
    <row r="380" spans="2:2" x14ac:dyDescent="0.25">
      <c r="B380" s="24" t="str">
        <f t="shared" si="168"/>
        <v>-</v>
      </c>
    </row>
    <row r="381" spans="2:2" x14ac:dyDescent="0.25">
      <c r="B381" s="24" t="str">
        <f t="shared" si="168"/>
        <v>-</v>
      </c>
    </row>
    <row r="382" spans="2:2" x14ac:dyDescent="0.25">
      <c r="B382" s="24" t="str">
        <f t="shared" si="168"/>
        <v>-</v>
      </c>
    </row>
    <row r="383" spans="2:2" x14ac:dyDescent="0.25">
      <c r="B383" s="24" t="str">
        <f t="shared" si="168"/>
        <v>-</v>
      </c>
    </row>
    <row r="384" spans="2:2" x14ac:dyDescent="0.25">
      <c r="B384" s="24" t="str">
        <f t="shared" si="168"/>
        <v>-</v>
      </c>
    </row>
    <row r="385" spans="2:2" x14ac:dyDescent="0.25">
      <c r="B385" s="24" t="str">
        <f t="shared" si="168"/>
        <v>-</v>
      </c>
    </row>
    <row r="386" spans="2:2" x14ac:dyDescent="0.25">
      <c r="B386" s="24" t="str">
        <f t="shared" si="168"/>
        <v>-</v>
      </c>
    </row>
    <row r="387" spans="2:2" x14ac:dyDescent="0.25">
      <c r="B387" s="24" t="str">
        <f t="shared" si="168"/>
        <v>-</v>
      </c>
    </row>
    <row r="388" spans="2:2" x14ac:dyDescent="0.25">
      <c r="B388" s="24" t="str">
        <f t="shared" si="168"/>
        <v>-</v>
      </c>
    </row>
    <row r="389" spans="2:2" x14ac:dyDescent="0.25">
      <c r="B389" s="24" t="str">
        <f t="shared" si="168"/>
        <v>-</v>
      </c>
    </row>
    <row r="390" spans="2:2" x14ac:dyDescent="0.25">
      <c r="B390" s="24" t="str">
        <f t="shared" si="168"/>
        <v>-</v>
      </c>
    </row>
    <row r="391" spans="2:2" x14ac:dyDescent="0.25">
      <c r="B391" s="24" t="str">
        <f t="shared" si="168"/>
        <v>-</v>
      </c>
    </row>
    <row r="392" spans="2:2" x14ac:dyDescent="0.25">
      <c r="B392" s="24" t="str">
        <f t="shared" si="168"/>
        <v>-</v>
      </c>
    </row>
    <row r="393" spans="2:2" x14ac:dyDescent="0.25">
      <c r="B393" s="24" t="str">
        <f t="shared" si="168"/>
        <v>-</v>
      </c>
    </row>
    <row r="394" spans="2:2" x14ac:dyDescent="0.25">
      <c r="B394" s="24" t="str">
        <f t="shared" si="168"/>
        <v>-</v>
      </c>
    </row>
    <row r="395" spans="2:2" x14ac:dyDescent="0.25">
      <c r="B395" s="24" t="str">
        <f t="shared" si="168"/>
        <v>-</v>
      </c>
    </row>
    <row r="396" spans="2:2" x14ac:dyDescent="0.25">
      <c r="B396" s="24" t="str">
        <f t="shared" si="168"/>
        <v>-</v>
      </c>
    </row>
    <row r="397" spans="2:2" x14ac:dyDescent="0.25">
      <c r="B397" s="24" t="str">
        <f t="shared" si="168"/>
        <v>-</v>
      </c>
    </row>
    <row r="398" spans="2:2" x14ac:dyDescent="0.25">
      <c r="B398" s="24" t="str">
        <f t="shared" si="168"/>
        <v>-</v>
      </c>
    </row>
    <row r="399" spans="2:2" x14ac:dyDescent="0.25">
      <c r="B399" s="24" t="str">
        <f t="shared" si="168"/>
        <v>-</v>
      </c>
    </row>
    <row r="400" spans="2:2" x14ac:dyDescent="0.25">
      <c r="B400" s="24" t="str">
        <f t="shared" si="168"/>
        <v>-</v>
      </c>
    </row>
    <row r="401" spans="2:2" x14ac:dyDescent="0.25">
      <c r="B401" s="24" t="str">
        <f t="shared" si="168"/>
        <v>-</v>
      </c>
    </row>
    <row r="402" spans="2:2" x14ac:dyDescent="0.25">
      <c r="B402" s="24" t="str">
        <f t="shared" ref="B402:B465" si="169">IF(A402&gt;A401,1+B401,"-")</f>
        <v>-</v>
      </c>
    </row>
    <row r="403" spans="2:2" x14ac:dyDescent="0.25">
      <c r="B403" s="24" t="str">
        <f t="shared" si="169"/>
        <v>-</v>
      </c>
    </row>
    <row r="404" spans="2:2" x14ac:dyDescent="0.25">
      <c r="B404" s="24" t="str">
        <f t="shared" si="169"/>
        <v>-</v>
      </c>
    </row>
    <row r="405" spans="2:2" x14ac:dyDescent="0.25">
      <c r="B405" s="24" t="str">
        <f t="shared" si="169"/>
        <v>-</v>
      </c>
    </row>
    <row r="406" spans="2:2" x14ac:dyDescent="0.25">
      <c r="B406" s="24" t="str">
        <f t="shared" si="169"/>
        <v>-</v>
      </c>
    </row>
    <row r="407" spans="2:2" x14ac:dyDescent="0.25">
      <c r="B407" s="24" t="str">
        <f t="shared" si="169"/>
        <v>-</v>
      </c>
    </row>
    <row r="408" spans="2:2" x14ac:dyDescent="0.25">
      <c r="B408" s="24" t="str">
        <f t="shared" si="169"/>
        <v>-</v>
      </c>
    </row>
    <row r="409" spans="2:2" x14ac:dyDescent="0.25">
      <c r="B409" s="24" t="str">
        <f t="shared" si="169"/>
        <v>-</v>
      </c>
    </row>
    <row r="410" spans="2:2" x14ac:dyDescent="0.25">
      <c r="B410" s="24" t="str">
        <f t="shared" si="169"/>
        <v>-</v>
      </c>
    </row>
    <row r="411" spans="2:2" x14ac:dyDescent="0.25">
      <c r="B411" s="24" t="str">
        <f t="shared" si="169"/>
        <v>-</v>
      </c>
    </row>
    <row r="412" spans="2:2" x14ac:dyDescent="0.25">
      <c r="B412" s="24" t="str">
        <f t="shared" si="169"/>
        <v>-</v>
      </c>
    </row>
    <row r="413" spans="2:2" x14ac:dyDescent="0.25">
      <c r="B413" s="24" t="str">
        <f t="shared" si="169"/>
        <v>-</v>
      </c>
    </row>
    <row r="414" spans="2:2" x14ac:dyDescent="0.25">
      <c r="B414" s="24" t="str">
        <f t="shared" si="169"/>
        <v>-</v>
      </c>
    </row>
    <row r="415" spans="2:2" x14ac:dyDescent="0.25">
      <c r="B415" s="24" t="str">
        <f t="shared" si="169"/>
        <v>-</v>
      </c>
    </row>
    <row r="416" spans="2:2" x14ac:dyDescent="0.25">
      <c r="B416" s="24" t="str">
        <f t="shared" si="169"/>
        <v>-</v>
      </c>
    </row>
    <row r="417" spans="2:2" x14ac:dyDescent="0.25">
      <c r="B417" s="24" t="str">
        <f t="shared" si="169"/>
        <v>-</v>
      </c>
    </row>
    <row r="418" spans="2:2" x14ac:dyDescent="0.25">
      <c r="B418" s="24" t="str">
        <f t="shared" si="169"/>
        <v>-</v>
      </c>
    </row>
    <row r="419" spans="2:2" x14ac:dyDescent="0.25">
      <c r="B419" s="24" t="str">
        <f t="shared" si="169"/>
        <v>-</v>
      </c>
    </row>
    <row r="420" spans="2:2" x14ac:dyDescent="0.25">
      <c r="B420" s="24" t="str">
        <f t="shared" si="169"/>
        <v>-</v>
      </c>
    </row>
    <row r="421" spans="2:2" x14ac:dyDescent="0.25">
      <c r="B421" s="24" t="str">
        <f t="shared" si="169"/>
        <v>-</v>
      </c>
    </row>
    <row r="422" spans="2:2" x14ac:dyDescent="0.25">
      <c r="B422" s="24" t="str">
        <f t="shared" si="169"/>
        <v>-</v>
      </c>
    </row>
    <row r="423" spans="2:2" x14ac:dyDescent="0.25">
      <c r="B423" s="24" t="str">
        <f t="shared" si="169"/>
        <v>-</v>
      </c>
    </row>
    <row r="424" spans="2:2" x14ac:dyDescent="0.25">
      <c r="B424" s="24" t="str">
        <f t="shared" si="169"/>
        <v>-</v>
      </c>
    </row>
    <row r="425" spans="2:2" x14ac:dyDescent="0.25">
      <c r="B425" s="24" t="str">
        <f t="shared" si="169"/>
        <v>-</v>
      </c>
    </row>
    <row r="426" spans="2:2" x14ac:dyDescent="0.25">
      <c r="B426" s="24" t="str">
        <f t="shared" si="169"/>
        <v>-</v>
      </c>
    </row>
    <row r="427" spans="2:2" x14ac:dyDescent="0.25">
      <c r="B427" s="24" t="str">
        <f t="shared" si="169"/>
        <v>-</v>
      </c>
    </row>
    <row r="428" spans="2:2" x14ac:dyDescent="0.25">
      <c r="B428" s="24" t="str">
        <f t="shared" si="169"/>
        <v>-</v>
      </c>
    </row>
    <row r="429" spans="2:2" x14ac:dyDescent="0.25">
      <c r="B429" s="24" t="str">
        <f t="shared" si="169"/>
        <v>-</v>
      </c>
    </row>
    <row r="430" spans="2:2" x14ac:dyDescent="0.25">
      <c r="B430" s="24" t="str">
        <f t="shared" si="169"/>
        <v>-</v>
      </c>
    </row>
    <row r="431" spans="2:2" x14ac:dyDescent="0.25">
      <c r="B431" s="24" t="str">
        <f t="shared" si="169"/>
        <v>-</v>
      </c>
    </row>
    <row r="432" spans="2:2" x14ac:dyDescent="0.25">
      <c r="B432" s="24" t="str">
        <f t="shared" si="169"/>
        <v>-</v>
      </c>
    </row>
    <row r="433" spans="2:2" x14ac:dyDescent="0.25">
      <c r="B433" s="24" t="str">
        <f t="shared" si="169"/>
        <v>-</v>
      </c>
    </row>
    <row r="434" spans="2:2" x14ac:dyDescent="0.25">
      <c r="B434" s="24" t="str">
        <f t="shared" si="169"/>
        <v>-</v>
      </c>
    </row>
    <row r="435" spans="2:2" x14ac:dyDescent="0.25">
      <c r="B435" s="24" t="str">
        <f t="shared" si="169"/>
        <v>-</v>
      </c>
    </row>
    <row r="436" spans="2:2" x14ac:dyDescent="0.25">
      <c r="B436" s="24" t="str">
        <f t="shared" si="169"/>
        <v>-</v>
      </c>
    </row>
    <row r="437" spans="2:2" x14ac:dyDescent="0.25">
      <c r="B437" s="24" t="str">
        <f t="shared" si="169"/>
        <v>-</v>
      </c>
    </row>
    <row r="438" spans="2:2" x14ac:dyDescent="0.25">
      <c r="B438" s="24" t="str">
        <f t="shared" si="169"/>
        <v>-</v>
      </c>
    </row>
    <row r="439" spans="2:2" x14ac:dyDescent="0.25">
      <c r="B439" s="24" t="str">
        <f t="shared" si="169"/>
        <v>-</v>
      </c>
    </row>
    <row r="440" spans="2:2" x14ac:dyDescent="0.25">
      <c r="B440" s="24" t="str">
        <f t="shared" si="169"/>
        <v>-</v>
      </c>
    </row>
    <row r="441" spans="2:2" x14ac:dyDescent="0.25">
      <c r="B441" s="24" t="str">
        <f t="shared" si="169"/>
        <v>-</v>
      </c>
    </row>
    <row r="442" spans="2:2" x14ac:dyDescent="0.25">
      <c r="B442" s="24" t="str">
        <f t="shared" si="169"/>
        <v>-</v>
      </c>
    </row>
    <row r="443" spans="2:2" x14ac:dyDescent="0.25">
      <c r="B443" s="24" t="str">
        <f t="shared" si="169"/>
        <v>-</v>
      </c>
    </row>
    <row r="444" spans="2:2" x14ac:dyDescent="0.25">
      <c r="B444" s="24" t="str">
        <f t="shared" si="169"/>
        <v>-</v>
      </c>
    </row>
    <row r="445" spans="2:2" x14ac:dyDescent="0.25">
      <c r="B445" s="24" t="str">
        <f t="shared" si="169"/>
        <v>-</v>
      </c>
    </row>
    <row r="446" spans="2:2" x14ac:dyDescent="0.25">
      <c r="B446" s="24" t="str">
        <f t="shared" si="169"/>
        <v>-</v>
      </c>
    </row>
    <row r="447" spans="2:2" x14ac:dyDescent="0.25">
      <c r="B447" s="24" t="str">
        <f t="shared" si="169"/>
        <v>-</v>
      </c>
    </row>
    <row r="448" spans="2:2" x14ac:dyDescent="0.25">
      <c r="B448" s="24" t="str">
        <f t="shared" si="169"/>
        <v>-</v>
      </c>
    </row>
    <row r="449" spans="2:2" x14ac:dyDescent="0.25">
      <c r="B449" s="24" t="str">
        <f t="shared" si="169"/>
        <v>-</v>
      </c>
    </row>
    <row r="450" spans="2:2" x14ac:dyDescent="0.25">
      <c r="B450" s="24" t="str">
        <f t="shared" si="169"/>
        <v>-</v>
      </c>
    </row>
    <row r="451" spans="2:2" x14ac:dyDescent="0.25">
      <c r="B451" s="24" t="str">
        <f t="shared" si="169"/>
        <v>-</v>
      </c>
    </row>
    <row r="452" spans="2:2" x14ac:dyDescent="0.25">
      <c r="B452" s="24" t="str">
        <f t="shared" si="169"/>
        <v>-</v>
      </c>
    </row>
    <row r="453" spans="2:2" x14ac:dyDescent="0.25">
      <c r="B453" s="24" t="str">
        <f t="shared" si="169"/>
        <v>-</v>
      </c>
    </row>
    <row r="454" spans="2:2" x14ac:dyDescent="0.25">
      <c r="B454" s="24" t="str">
        <f t="shared" si="169"/>
        <v>-</v>
      </c>
    </row>
    <row r="455" spans="2:2" x14ac:dyDescent="0.25">
      <c r="B455" s="24" t="str">
        <f t="shared" si="169"/>
        <v>-</v>
      </c>
    </row>
    <row r="456" spans="2:2" x14ac:dyDescent="0.25">
      <c r="B456" s="24" t="str">
        <f t="shared" si="169"/>
        <v>-</v>
      </c>
    </row>
    <row r="457" spans="2:2" x14ac:dyDescent="0.25">
      <c r="B457" s="24" t="str">
        <f t="shared" si="169"/>
        <v>-</v>
      </c>
    </row>
    <row r="458" spans="2:2" x14ac:dyDescent="0.25">
      <c r="B458" s="24" t="str">
        <f t="shared" si="169"/>
        <v>-</v>
      </c>
    </row>
    <row r="459" spans="2:2" x14ac:dyDescent="0.25">
      <c r="B459" s="24" t="str">
        <f t="shared" si="169"/>
        <v>-</v>
      </c>
    </row>
    <row r="460" spans="2:2" x14ac:dyDescent="0.25">
      <c r="B460" s="24" t="str">
        <f t="shared" si="169"/>
        <v>-</v>
      </c>
    </row>
    <row r="461" spans="2:2" x14ac:dyDescent="0.25">
      <c r="B461" s="24" t="str">
        <f t="shared" si="169"/>
        <v>-</v>
      </c>
    </row>
    <row r="462" spans="2:2" x14ac:dyDescent="0.25">
      <c r="B462" s="24" t="str">
        <f t="shared" si="169"/>
        <v>-</v>
      </c>
    </row>
    <row r="463" spans="2:2" x14ac:dyDescent="0.25">
      <c r="B463" s="24" t="str">
        <f t="shared" si="169"/>
        <v>-</v>
      </c>
    </row>
    <row r="464" spans="2:2" x14ac:dyDescent="0.25">
      <c r="B464" s="24" t="str">
        <f t="shared" si="169"/>
        <v>-</v>
      </c>
    </row>
    <row r="465" spans="2:2" x14ac:dyDescent="0.25">
      <c r="B465" s="24" t="str">
        <f t="shared" si="169"/>
        <v>-</v>
      </c>
    </row>
    <row r="466" spans="2:2" x14ac:dyDescent="0.25">
      <c r="B466" s="24" t="str">
        <f t="shared" ref="B466:B506" si="170">IF(A466&gt;A465,1+B465,"-")</f>
        <v>-</v>
      </c>
    </row>
    <row r="467" spans="2:2" x14ac:dyDescent="0.25">
      <c r="B467" s="24" t="str">
        <f t="shared" si="170"/>
        <v>-</v>
      </c>
    </row>
    <row r="468" spans="2:2" x14ac:dyDescent="0.25">
      <c r="B468" s="24" t="str">
        <f t="shared" si="170"/>
        <v>-</v>
      </c>
    </row>
    <row r="469" spans="2:2" x14ac:dyDescent="0.25">
      <c r="B469" s="24" t="str">
        <f t="shared" si="170"/>
        <v>-</v>
      </c>
    </row>
    <row r="470" spans="2:2" x14ac:dyDescent="0.25">
      <c r="B470" s="24" t="str">
        <f t="shared" si="170"/>
        <v>-</v>
      </c>
    </row>
    <row r="471" spans="2:2" x14ac:dyDescent="0.25">
      <c r="B471" s="24" t="str">
        <f t="shared" si="170"/>
        <v>-</v>
      </c>
    </row>
    <row r="472" spans="2:2" x14ac:dyDescent="0.25">
      <c r="B472" s="24" t="str">
        <f t="shared" si="170"/>
        <v>-</v>
      </c>
    </row>
    <row r="473" spans="2:2" x14ac:dyDescent="0.25">
      <c r="B473" s="24" t="str">
        <f t="shared" si="170"/>
        <v>-</v>
      </c>
    </row>
    <row r="474" spans="2:2" x14ac:dyDescent="0.25">
      <c r="B474" s="24" t="str">
        <f t="shared" si="170"/>
        <v>-</v>
      </c>
    </row>
    <row r="475" spans="2:2" x14ac:dyDescent="0.25">
      <c r="B475" s="24" t="str">
        <f t="shared" si="170"/>
        <v>-</v>
      </c>
    </row>
    <row r="476" spans="2:2" x14ac:dyDescent="0.25">
      <c r="B476" s="24" t="str">
        <f t="shared" si="170"/>
        <v>-</v>
      </c>
    </row>
    <row r="477" spans="2:2" x14ac:dyDescent="0.25">
      <c r="B477" s="24" t="str">
        <f t="shared" si="170"/>
        <v>-</v>
      </c>
    </row>
    <row r="478" spans="2:2" x14ac:dyDescent="0.25">
      <c r="B478" s="24" t="str">
        <f t="shared" si="170"/>
        <v>-</v>
      </c>
    </row>
    <row r="479" spans="2:2" x14ac:dyDescent="0.25">
      <c r="B479" s="24" t="str">
        <f t="shared" si="170"/>
        <v>-</v>
      </c>
    </row>
    <row r="480" spans="2:2" x14ac:dyDescent="0.25">
      <c r="B480" s="24" t="str">
        <f t="shared" si="170"/>
        <v>-</v>
      </c>
    </row>
    <row r="481" spans="2:2" x14ac:dyDescent="0.25">
      <c r="B481" s="24" t="str">
        <f t="shared" si="170"/>
        <v>-</v>
      </c>
    </row>
    <row r="482" spans="2:2" x14ac:dyDescent="0.25">
      <c r="B482" s="24" t="str">
        <f t="shared" si="170"/>
        <v>-</v>
      </c>
    </row>
    <row r="483" spans="2:2" x14ac:dyDescent="0.25">
      <c r="B483" s="24" t="str">
        <f t="shared" si="170"/>
        <v>-</v>
      </c>
    </row>
    <row r="484" spans="2:2" x14ac:dyDescent="0.25">
      <c r="B484" s="24" t="str">
        <f t="shared" si="170"/>
        <v>-</v>
      </c>
    </row>
    <row r="485" spans="2:2" x14ac:dyDescent="0.25">
      <c r="B485" s="24" t="str">
        <f t="shared" si="170"/>
        <v>-</v>
      </c>
    </row>
    <row r="486" spans="2:2" x14ac:dyDescent="0.25">
      <c r="B486" s="24" t="str">
        <f t="shared" si="170"/>
        <v>-</v>
      </c>
    </row>
    <row r="487" spans="2:2" x14ac:dyDescent="0.25">
      <c r="B487" s="24" t="str">
        <f t="shared" si="170"/>
        <v>-</v>
      </c>
    </row>
    <row r="488" spans="2:2" x14ac:dyDescent="0.25">
      <c r="B488" s="24" t="str">
        <f t="shared" si="170"/>
        <v>-</v>
      </c>
    </row>
    <row r="489" spans="2:2" x14ac:dyDescent="0.25">
      <c r="B489" s="24" t="str">
        <f t="shared" si="170"/>
        <v>-</v>
      </c>
    </row>
    <row r="490" spans="2:2" x14ac:dyDescent="0.25">
      <c r="B490" s="24" t="str">
        <f t="shared" si="170"/>
        <v>-</v>
      </c>
    </row>
    <row r="491" spans="2:2" x14ac:dyDescent="0.25">
      <c r="B491" s="24" t="str">
        <f t="shared" si="170"/>
        <v>-</v>
      </c>
    </row>
    <row r="492" spans="2:2" x14ac:dyDescent="0.25">
      <c r="B492" s="24" t="str">
        <f t="shared" si="170"/>
        <v>-</v>
      </c>
    </row>
    <row r="493" spans="2:2" x14ac:dyDescent="0.25">
      <c r="B493" s="24" t="str">
        <f t="shared" si="170"/>
        <v>-</v>
      </c>
    </row>
    <row r="494" spans="2:2" x14ac:dyDescent="0.25">
      <c r="B494" s="24" t="str">
        <f t="shared" si="170"/>
        <v>-</v>
      </c>
    </row>
    <row r="495" spans="2:2" x14ac:dyDescent="0.25">
      <c r="B495" s="24" t="str">
        <f t="shared" si="170"/>
        <v>-</v>
      </c>
    </row>
    <row r="496" spans="2:2" x14ac:dyDescent="0.25">
      <c r="B496" s="24" t="str">
        <f t="shared" si="170"/>
        <v>-</v>
      </c>
    </row>
    <row r="497" spans="2:2" x14ac:dyDescent="0.25">
      <c r="B497" s="24" t="str">
        <f t="shared" si="170"/>
        <v>-</v>
      </c>
    </row>
    <row r="498" spans="2:2" x14ac:dyDescent="0.25">
      <c r="B498" s="24" t="str">
        <f t="shared" si="170"/>
        <v>-</v>
      </c>
    </row>
    <row r="499" spans="2:2" x14ac:dyDescent="0.25">
      <c r="B499" s="24" t="str">
        <f t="shared" si="170"/>
        <v>-</v>
      </c>
    </row>
    <row r="500" spans="2:2" x14ac:dyDescent="0.25">
      <c r="B500" s="24" t="str">
        <f t="shared" si="170"/>
        <v>-</v>
      </c>
    </row>
    <row r="501" spans="2:2" x14ac:dyDescent="0.25">
      <c r="B501" s="24" t="str">
        <f t="shared" si="170"/>
        <v>-</v>
      </c>
    </row>
    <row r="502" spans="2:2" x14ac:dyDescent="0.25">
      <c r="B502" s="24" t="str">
        <f t="shared" si="170"/>
        <v>-</v>
      </c>
    </row>
    <row r="503" spans="2:2" x14ac:dyDescent="0.25">
      <c r="B503" s="24" t="str">
        <f t="shared" si="170"/>
        <v>-</v>
      </c>
    </row>
    <row r="504" spans="2:2" x14ac:dyDescent="0.25">
      <c r="B504" s="24" t="str">
        <f t="shared" si="170"/>
        <v>-</v>
      </c>
    </row>
    <row r="505" spans="2:2" x14ac:dyDescent="0.25">
      <c r="B505" s="24" t="str">
        <f t="shared" si="170"/>
        <v>-</v>
      </c>
    </row>
    <row r="506" spans="2:2" x14ac:dyDescent="0.25">
      <c r="B506" s="24" t="str">
        <f t="shared" si="170"/>
        <v>-</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F506"/>
  <sheetViews>
    <sheetView zoomScaleNormal="100" workbookViewId="0">
      <pane xSplit="2" ySplit="15" topLeftCell="C252" activePane="bottomRight" state="frozen"/>
      <selection pane="topRight" activeCell="L16" sqref="L16:L53"/>
      <selection pane="bottomLeft" activeCell="L16" sqref="L16:L53"/>
      <selection pane="bottomRight" activeCell="K256" sqref="K256"/>
    </sheetView>
  </sheetViews>
  <sheetFormatPr defaultColWidth="11" defaultRowHeight="15.75" x14ac:dyDescent="0.25"/>
  <cols>
    <col min="1" max="1" width="11.625" customWidth="1"/>
    <col min="2" max="2" width="4.125" style="23" bestFit="1" customWidth="1"/>
    <col min="3" max="3" width="25" style="23" bestFit="1" customWidth="1"/>
    <col min="4" max="4" width="11.625" style="23" bestFit="1" customWidth="1"/>
    <col min="5" max="5" width="14.125" style="2" bestFit="1" customWidth="1"/>
    <col min="6" max="6" width="7.125" bestFit="1" customWidth="1"/>
    <col min="7" max="7" width="9.125" bestFit="1" customWidth="1"/>
    <col min="8" max="8" width="10.125" bestFit="1" customWidth="1"/>
    <col min="9" max="9" width="1.625" customWidth="1"/>
    <col min="10" max="10" width="12.125" customWidth="1"/>
    <col min="11" max="11" width="10.125" bestFit="1" customWidth="1"/>
    <col min="12" max="12" width="13.625" bestFit="1" customWidth="1"/>
    <col min="13" max="13" width="7.125" bestFit="1" customWidth="1"/>
    <col min="14" max="14" width="9.125" bestFit="1" customWidth="1"/>
    <col min="15" max="15" width="1.625" customWidth="1"/>
    <col min="16" max="16" width="12" customWidth="1"/>
    <col min="17" max="17" width="10.125" bestFit="1" customWidth="1"/>
    <col min="18" max="18" width="13.625" bestFit="1" customWidth="1"/>
    <col min="19" max="19" width="7.125" bestFit="1" customWidth="1"/>
    <col min="20" max="20" width="9.125" bestFit="1" customWidth="1"/>
    <col min="21" max="21" width="2" customWidth="1"/>
    <col min="22" max="22" width="5.625" customWidth="1"/>
    <col min="24" max="24" width="12.125" bestFit="1" customWidth="1"/>
    <col min="26" max="26" width="11.625" customWidth="1"/>
    <col min="29" max="29" width="14.125" bestFit="1" customWidth="1"/>
  </cols>
  <sheetData>
    <row r="1" spans="1:28" x14ac:dyDescent="0.25">
      <c r="C1" s="7" t="s">
        <v>94</v>
      </c>
      <c r="D1" s="13"/>
      <c r="E1" s="14"/>
      <c r="F1" s="7"/>
      <c r="I1" s="39"/>
      <c r="J1" s="7" t="s">
        <v>95</v>
      </c>
      <c r="K1" s="13"/>
      <c r="L1" s="13"/>
      <c r="M1" s="14"/>
      <c r="N1" s="15"/>
      <c r="O1" s="39"/>
      <c r="P1" s="7" t="s">
        <v>291</v>
      </c>
      <c r="Q1" s="13"/>
      <c r="R1" s="13"/>
      <c r="S1" s="14"/>
      <c r="T1" s="15"/>
      <c r="U1" s="39"/>
    </row>
    <row r="2" spans="1:28" x14ac:dyDescent="0.25">
      <c r="C2" s="7"/>
      <c r="D2" s="16"/>
      <c r="E2" s="16"/>
      <c r="F2" s="16"/>
      <c r="G2" s="16"/>
      <c r="H2" s="16"/>
      <c r="I2" s="39"/>
      <c r="K2" s="16"/>
      <c r="L2" s="36"/>
      <c r="M2" s="16"/>
      <c r="N2" s="16"/>
      <c r="O2" s="39"/>
      <c r="Q2" s="16"/>
      <c r="R2" s="36"/>
      <c r="S2" s="16"/>
      <c r="T2" s="16"/>
      <c r="U2" s="39"/>
    </row>
    <row r="3" spans="1:28" x14ac:dyDescent="0.25">
      <c r="C3" s="7"/>
      <c r="D3" s="191"/>
      <c r="E3" s="16"/>
      <c r="F3" s="16"/>
      <c r="G3" s="16"/>
      <c r="H3" s="16"/>
      <c r="I3" s="39"/>
      <c r="K3" s="16"/>
      <c r="L3" s="16"/>
      <c r="M3" s="16"/>
      <c r="N3" s="16"/>
      <c r="O3" s="39"/>
      <c r="P3" s="43"/>
      <c r="Q3" s="42"/>
      <c r="R3" s="16"/>
      <c r="S3" s="16"/>
      <c r="T3" s="16"/>
      <c r="U3" s="39"/>
    </row>
    <row r="4" spans="1:28" x14ac:dyDescent="0.25">
      <c r="C4" s="7"/>
      <c r="D4" s="16" t="s">
        <v>41</v>
      </c>
      <c r="E4" s="23" t="s">
        <v>42</v>
      </c>
      <c r="F4" s="17" t="s">
        <v>43</v>
      </c>
      <c r="G4" s="35" t="s">
        <v>44</v>
      </c>
      <c r="H4" s="17" t="s">
        <v>45</v>
      </c>
      <c r="I4" s="39"/>
      <c r="K4" s="23" t="s">
        <v>41</v>
      </c>
      <c r="L4" s="17" t="s">
        <v>43</v>
      </c>
      <c r="M4" s="17" t="s">
        <v>45</v>
      </c>
      <c r="N4" s="35"/>
      <c r="O4" s="39"/>
      <c r="Q4" s="23" t="s">
        <v>41</v>
      </c>
      <c r="R4" s="23" t="s">
        <v>42</v>
      </c>
      <c r="S4" s="17" t="s">
        <v>43</v>
      </c>
      <c r="T4" s="17" t="s">
        <v>45</v>
      </c>
      <c r="U4" s="40"/>
    </row>
    <row r="5" spans="1:28" x14ac:dyDescent="0.25">
      <c r="B5" s="23" t="e">
        <f ca="1">MAX(B16:B545)-VLOOKUP(DATE(YEAR(TODAY())-1,12,31),A:B,2,0)</f>
        <v>#N/A</v>
      </c>
      <c r="C5" s="7" t="s">
        <v>7</v>
      </c>
      <c r="D5" s="16" t="str">
        <f t="array" aca="1" ref="D5" ca="1">IFERROR((GEOMEAN(1+OFFSET(D$16,MAX($B$16:$B$506)-$B$5+1,0,$B$5,1)/100)^$B$5-1)*100,"N/A")</f>
        <v>N/A</v>
      </c>
      <c r="E5" s="36" t="str">
        <f t="shared" ref="E5:E13" ca="1" si="0">IFERROR(D5-$K5,"N/A")</f>
        <v>N/A</v>
      </c>
      <c r="F5" s="16" t="str">
        <f ca="1">IFERROR(SLOPE(OFFSET(D$16,MAX($B$16:$B$506)-$B$5+1,0,$B$5,1),OFFSET($K$16,MAX($B$16:$B$506)-$B$5+1,0,$B$5,1)),"N/A")</f>
        <v>N/A</v>
      </c>
      <c r="G5" s="16" t="str">
        <f t="array" aca="1" ref="G5" ca="1">IFERROR(INTERCEPT(OFFSET(D$16,MAX($B$16:$B$506)-$B$5+1,0,$B$5,1),OFFSET($K$16,MAX($B$16:$B$506)-$B$5+1,0,$B$5,1))*12,"N/A")</f>
        <v>N/A</v>
      </c>
      <c r="H5" s="16" t="str">
        <f ca="1">IFERROR(STDEVP(OFFSET(D$16,MAX($B$16:$B$506)-$B$5+1,0,$B$5,1))*SQRT(12),"N/A")</f>
        <v>N/A</v>
      </c>
      <c r="I5" s="39"/>
      <c r="J5" s="7" t="s">
        <v>7</v>
      </c>
      <c r="K5" s="16" t="str">
        <f t="array" aca="1" ref="K5" ca="1">IFERROR((GEOMEAN(1+OFFSET(K$16,MAX($B$16:$B$506)-$B$5+1,0,$B$5,1)/100)^$B$5-1)*100,"N/A")</f>
        <v>N/A</v>
      </c>
      <c r="L5" s="16" t="str">
        <f ca="1">IFERROR(SLOPE(OFFSET(K$16,MAX($B$16:$B$506)-$B$5+1,0,$B$5,1),OFFSET($K$16,MAX($B$16:$B$506)-$B$5+1,0,$B$5,1)),"N/A")</f>
        <v>N/A</v>
      </c>
      <c r="M5" s="16" t="str">
        <f ca="1">IFERROR(STDEVP(OFFSET(K$16,MAX($B$16:$B$506)-$B$5+1,0,$B$5,1))*SQRT(12),"N/A")</f>
        <v>N/A</v>
      </c>
      <c r="N5" s="16"/>
      <c r="O5" s="39"/>
      <c r="P5" s="7" t="s">
        <v>7</v>
      </c>
      <c r="Q5" s="16" t="str">
        <f t="array" aca="1" ref="Q5" ca="1">IFERROR((GEOMEAN(1+OFFSET(Q$16,MAX($B$16:$B$506)-$B$5+1,0,$B$5,1)/100)^$B$5-1)*100,"N/A")</f>
        <v>N/A</v>
      </c>
      <c r="R5" s="36" t="str">
        <f t="shared" ref="R5:R13" ca="1" si="1">IFERROR(Q5-$K5,"N/A")</f>
        <v>N/A</v>
      </c>
      <c r="S5" s="16" t="str">
        <f ca="1">IFERROR(SLOPE(OFFSET(Q$16,MAX($B$16:$B$506)-$B$5+1,0,$B$5,1),OFFSET($K$16,MAX($B$16:$B$506)-$B$5+1,0,$B$5,1)),"N/A")</f>
        <v>N/A</v>
      </c>
      <c r="T5" s="16" t="str">
        <f ca="1">IFERROR(STDEVP(OFFSET(Q$16,MAX($B$16:$B$506)-$B$5+1,0,$B$5,1))*SQRT(12),"N/A")</f>
        <v>N/A</v>
      </c>
      <c r="U5" s="40"/>
    </row>
    <row r="6" spans="1:28" x14ac:dyDescent="0.25">
      <c r="C6" s="7" t="s">
        <v>46</v>
      </c>
      <c r="D6" s="16">
        <f t="array" aca="1" ref="D6" ca="1">IFERROR((GEOMEAN(1+OFFSET(D$16,MAX($B$16:$B$506)-11,0,12,1)/100)^12-1)*100,"N/A")</f>
        <v>0</v>
      </c>
      <c r="E6" s="36">
        <f t="shared" ca="1" si="0"/>
        <v>-11.52690924963682</v>
      </c>
      <c r="F6" s="16" t="str">
        <f ca="1">IFERROR(SLOPE(OFFSET(D$16,MAX($B$16:$B$506)-11,0,12,1),OFFSET(K$16,MAX($B$16:$B$506)-11,0,12,1)),"N/A")</f>
        <v>N/A</v>
      </c>
      <c r="G6" s="16" t="str">
        <f ca="1">IFERROR(INTERCEPT(OFFSET($D$16,MAX($B$16:$B$506)-11,0,12,1),OFFSET($K$16,MAX($B$16:$B$506)-11,0,12,1))*12,"N/A")</f>
        <v>N/A</v>
      </c>
      <c r="H6" s="16" t="str">
        <f ca="1">IFERROR(STDEVP(OFFSET(D$16,MAX($B$16:$B$506)-11,0,12,1))*SQRT(12),"N/A")</f>
        <v>N/A</v>
      </c>
      <c r="I6" s="39"/>
      <c r="J6" s="7" t="s">
        <v>46</v>
      </c>
      <c r="K6" s="16">
        <f t="array" aca="1" ref="K6" ca="1">IFERROR((GEOMEAN(1+OFFSET(K$16,MAX($B$16:$B$506)-11,0,12,1)/100)^12-1)*100,"N/A")</f>
        <v>11.52690924963682</v>
      </c>
      <c r="L6" s="16">
        <f ca="1">IFERROR(SLOPE(OFFSET(K$16,MAX($B$16:$B$506)-11,0,12,1),OFFSET(K$16,MAX($B$16:$B$506)-11,0,12,1)),"N/A")</f>
        <v>1</v>
      </c>
      <c r="M6" s="16">
        <f ca="1">IFERROR(STDEVP(OFFSET(K$16,MAX($B$16:$B$506)-11,0,12,1))*SQRT(12),"N/A")</f>
        <v>20.442179900820264</v>
      </c>
      <c r="N6" s="16"/>
      <c r="O6" s="39"/>
      <c r="P6" s="7" t="s">
        <v>46</v>
      </c>
      <c r="Q6" s="16">
        <f t="array" aca="1" ref="Q6" ca="1">IFERROR((GEOMEAN(1+OFFSET(Q$16,MAX($B$16:$B$506)-11,0,12,1)/100)^12-1)*100,"N/A")</f>
        <v>0</v>
      </c>
      <c r="R6" s="36">
        <f t="shared" ca="1" si="1"/>
        <v>-11.52690924963682</v>
      </c>
      <c r="S6" s="16" t="str">
        <f ca="1">IFERROR(SLOPE(OFFSET(Q$16,MAX($B$16:$B$506)-11,0,12,1),OFFSET($K$16,MAX($B$16:$B$506)-11,0,12,1)),"N/A")</f>
        <v>N/A</v>
      </c>
      <c r="T6" s="16" t="str">
        <f ca="1">IFERROR(STDEVP(OFFSET(Q$16,MAX($B$16:$B$506)-11,0,12,1))*SQRT(12),"N/A")</f>
        <v>N/A</v>
      </c>
      <c r="U6" s="41"/>
    </row>
    <row r="7" spans="1:28" x14ac:dyDescent="0.25">
      <c r="C7" s="7" t="s">
        <v>47</v>
      </c>
      <c r="D7" s="16">
        <f t="array" aca="1" ref="D7" ca="1">IFERROR((GEOMEAN(1+OFFSET(D$16,MAX($B$16:$B$506)-23,0,24,1)/100)^12-1)*100,"N/A")</f>
        <v>6.5753776692008881</v>
      </c>
      <c r="E7" s="36">
        <f t="shared" ca="1" si="0"/>
        <v>-7.5967111917101935</v>
      </c>
      <c r="F7" s="16">
        <f ca="1">IFERROR(SLOPE(OFFSET(D$16,MAX($B$16:$B$506)-23,0,24,1),OFFSET($K$16,MAX($B$16:$B$506)-23,0,24,1)),"N/A")</f>
        <v>0.64534119965166525</v>
      </c>
      <c r="G7" s="16">
        <f ca="1">IFERROR(INTERCEPT(OFFSET(D$16,MAX($B$16:$B$506)-23,0,24,1),OFFSET($K$16,MAX($B$16:$B$506)-23,0,24,1))*12,"N/A")</f>
        <v>2.1608042030674333</v>
      </c>
      <c r="H7" s="16">
        <f ca="1">IFERROR(STDEVP(OFFSET(D$16,MAX($B$16:$B$506)-23,0,24,1))*SQRT(12),"N/A")</f>
        <v>15.556563957212262</v>
      </c>
      <c r="I7" s="39"/>
      <c r="J7" s="7" t="s">
        <v>47</v>
      </c>
      <c r="K7" s="16">
        <f t="array" aca="1" ref="K7" ca="1">IFERROR((GEOMEAN(1+OFFSET(K$16,MAX($B$16:$B$506)-23,0,24,1)/100)^12-1)*100,"N/A")</f>
        <v>14.172088860911082</v>
      </c>
      <c r="L7" s="16">
        <f ca="1">IFERROR(SLOPE(OFFSET(K$16,MAX($B$16:$B$506)-23,0,24,1),OFFSET($K$16,MAX($B$16:$B$506)-23,0,24,1)),"N/A")</f>
        <v>1</v>
      </c>
      <c r="M7" s="16">
        <f ca="1">IFERROR(STDEVP(OFFSET(K$16,MAX($B$16:$B$506)-23,0,24,1))*SQRT(12),"N/A")</f>
        <v>21.871754113502984</v>
      </c>
      <c r="N7" s="16"/>
      <c r="O7" s="39"/>
      <c r="P7" s="7" t="s">
        <v>47</v>
      </c>
      <c r="Q7" s="16">
        <f t="array" aca="1" ref="Q7" ca="1">IFERROR((GEOMEAN(1+OFFSET(Q$16,MAX($B$16:$B$506)-23,0,24,1)/100)^12-1)*100,"N/A")</f>
        <v>0.71316505360037308</v>
      </c>
      <c r="R7" s="36">
        <f t="shared" ca="1" si="1"/>
        <v>-13.458923807310708</v>
      </c>
      <c r="S7" s="16">
        <f ca="1">IFERROR(SLOPE(OFFSET(Q$16,MAX($B$16:$B$506)-23,0,24,1),OFFSET($K$16,MAX($B$16:$B$506)-23,0,24,1)),"N/A")</f>
        <v>0.71796676195666265</v>
      </c>
      <c r="T7" s="16">
        <f ca="1">IFERROR(STDEVP(OFFSET(Q$16,MAX($B$16:$B$506)-23,0,24,1))*SQRT(12),"N/A")</f>
        <v>18.416036422255821</v>
      </c>
      <c r="U7" s="41"/>
    </row>
    <row r="8" spans="1:28" s="182" customFormat="1" x14ac:dyDescent="0.25">
      <c r="B8" s="183"/>
      <c r="C8" s="85" t="s">
        <v>48</v>
      </c>
      <c r="D8" s="184">
        <f t="array" aca="1" ref="D8" ca="1">IFERROR((GEOMEAN(1+OFFSET(D$16,MAX($B$16:$B$506)-35,0,36,1)/100)^12-1)*100,"N/A")</f>
        <v>0.40159714493863685</v>
      </c>
      <c r="E8" s="185">
        <f t="shared" ca="1" si="0"/>
        <v>-0.81091681457421405</v>
      </c>
      <c r="F8" s="184">
        <f ca="1">IFERROR(SLOPE(OFFSET(D$16,MAX($B$16:$B$506)-35,0,36,1),OFFSET(K$16,MAX($B$16:$B$506)-35,0,36,1)),"N/A")</f>
        <v>0.66732731473164297</v>
      </c>
      <c r="G8" s="184">
        <f ca="1">IFERROR(INTERCEPT(OFFSET($D$16,MAX($B$16:$B$506)-35,0,36,1),OFFSET($K$16,MAX($B$16:$B$506)-35,0,36,1))*12,"N/A")</f>
        <v>2.5118264047100047</v>
      </c>
      <c r="H8" s="184">
        <f ca="1">IFERROR(STDEVP(OFFSET(D$16,MAX($B$16:$B$506)-35,0,36,1))*SQRT(12),"N/A")</f>
        <v>17.234102735101274</v>
      </c>
      <c r="J8" s="85" t="s">
        <v>48</v>
      </c>
      <c r="K8" s="184">
        <f t="array" aca="1" ref="K8" ca="1">IFERROR((GEOMEAN(1+OFFSET(K$16,MAX($B$16:$B$506)-35,0,36,1)/100)^12-1)*100,"N/A")</f>
        <v>1.2125139595128509</v>
      </c>
      <c r="L8" s="184">
        <f ca="1">IFERROR(SLOPE(OFFSET(K$16,MAX($B$16:$B$506)-35,0,36,1),OFFSET(K$16,MAX($B$16:$B$506)-35,0,36,1)),"N/A")</f>
        <v>1</v>
      </c>
      <c r="M8" s="184">
        <f ca="1">IFERROR(STDEVP(OFFSET(K$16,MAX($B$16:$B$506)-35,0,36,1))*SQRT(12),"N/A")</f>
        <v>23.300440899203068</v>
      </c>
      <c r="N8" s="184"/>
      <c r="P8" s="85" t="s">
        <v>48</v>
      </c>
      <c r="Q8" s="184">
        <f t="array" aca="1" ref="Q8" ca="1">IFERROR((GEOMEAN(1+OFFSET(Q$16,MAX($B$16:$B$506)-35,0,36,1)/100)^12-1)*100,"N/A")</f>
        <v>-3.533710676135482</v>
      </c>
      <c r="R8" s="185">
        <f t="shared" ca="1" si="1"/>
        <v>-4.7462246356483329</v>
      </c>
      <c r="S8" s="184">
        <f ca="1">IFERROR(SLOPE(OFFSET(Q$16,MAX($B$16:$B$506)-35,0,36,1),OFFSET($K$16,MAX($B$16:$B$506)-35,0,36,1)),"N/A")</f>
        <v>0.75951606857565823</v>
      </c>
      <c r="T8" s="184">
        <f ca="1">IFERROR(STDEVP(OFFSET(Q$16,MAX($B$16:$B$506)-35,0,36,1))*SQRT(12),"N/A")</f>
        <v>20.269110782264306</v>
      </c>
      <c r="U8" s="186"/>
    </row>
    <row r="9" spans="1:28" x14ac:dyDescent="0.25">
      <c r="C9" s="7" t="s">
        <v>49</v>
      </c>
      <c r="D9" s="16">
        <f t="array" aca="1" ref="D9" ca="1">IFERROR((GEOMEAN(1+OFFSET(D$16,MAX($B$16:$B$506)-47,0,48,1)/100)^12-1)*100,"N/A")</f>
        <v>4.7705451529306275</v>
      </c>
      <c r="E9" s="36">
        <f t="shared" ca="1" si="0"/>
        <v>0.32346759093002664</v>
      </c>
      <c r="F9" s="16">
        <f ca="1">IFERROR(SLOPE(OFFSET(D$16,MAX($B$16:$B$506)-47,0,48,1),OFFSET($K$16,MAX($B$16:$B$506)-47,0,48,1)),"N/A")</f>
        <v>0.64593641845729288</v>
      </c>
      <c r="G9" s="16">
        <f ca="1">IFERROR(INTERCEPT(OFFSET(D$16,MAX($B$16:$B$506)-47,0,48,1),OFFSET($K$16,MAX($B$16:$B$506)-47,0,48,1))*12,"N/A")</f>
        <v>4.5208998477357714</v>
      </c>
      <c r="H9" s="16">
        <f ca="1">IFERROR(STDEVP(OFFSET(D$16,MAX($B$16:$B$506)-47,0,48,1))*SQRT(12),"N/A")</f>
        <v>15.06302966944142</v>
      </c>
      <c r="I9" s="39"/>
      <c r="J9" s="7" t="s">
        <v>49</v>
      </c>
      <c r="K9" s="16">
        <f t="array" aca="1" ref="K9" ca="1">IFERROR((GEOMEAN(1+OFFSET(K$16,MAX($B$16:$B$506)-47,0,48,1)/100)^12-1)*100,"N/A")</f>
        <v>4.4470775620006009</v>
      </c>
      <c r="L9" s="16">
        <f ca="1">IFERROR(SLOPE(OFFSET(K$16,MAX($B$16:$B$506)-47,0,48,1),OFFSET($K$16,MAX($B$16:$B$506)-47,0,48,1)),"N/A")</f>
        <v>1</v>
      </c>
      <c r="M9" s="16">
        <f ca="1">IFERROR(STDEVP(OFFSET(K$16,MAX($B$16:$B$506)-47,0,48,1))*SQRT(12),"N/A")</f>
        <v>20.970067428875097</v>
      </c>
      <c r="N9" s="16"/>
      <c r="O9" s="39"/>
      <c r="P9" s="7" t="s">
        <v>49</v>
      </c>
      <c r="Q9" s="16">
        <f t="array" aca="1" ref="Q9" ca="1">IFERROR((GEOMEAN(1+OFFSET(Q$16,MAX($B$16:$B$506)-47,0,48,1)/100)^12-1)*100,"N/A")</f>
        <v>3.903776915883328</v>
      </c>
      <c r="R9" s="36">
        <f t="shared" ca="1" si="1"/>
        <v>-0.54330064611727291</v>
      </c>
      <c r="S9" s="16">
        <f ca="1">IFERROR(SLOPE(OFFSET(Q$16,MAX($B$16:$B$506)-47,0,48,1),OFFSET($K$16,MAX($B$16:$B$506)-47,0,48,1)),"N/A")</f>
        <v>0.76160938618095786</v>
      </c>
      <c r="T9" s="16">
        <f ca="1">IFERROR(STDEVP(OFFSET(Q$16,MAX($B$16:$B$506)-47,0,48,1))*SQRT(12),"N/A")</f>
        <v>18.249585194670555</v>
      </c>
      <c r="U9" s="41"/>
    </row>
    <row r="10" spans="1:28" x14ac:dyDescent="0.25">
      <c r="C10" s="7" t="s">
        <v>50</v>
      </c>
      <c r="D10" s="16">
        <f t="array" aca="1" ref="D10" ca="1">IFERROR((GEOMEAN(1+OFFSET(D$16,MAX($B$16:$B$506)-59,0,60,1)/100)^12-1)*100,"N/A")</f>
        <v>1.5306950300881583</v>
      </c>
      <c r="E10" s="36">
        <f t="shared" ca="1" si="0"/>
        <v>-5.8449336455947076</v>
      </c>
      <c r="F10" s="16">
        <f ca="1">IFERROR(SLOPE(OFFSET(D$16,MAX($B$16:$B$506)-59,0,60,1),OFFSET(K$16,MAX($B$16:$B$506)-59,0,60,1)),"N/A")</f>
        <v>0.6580836210498423</v>
      </c>
      <c r="G10" s="16">
        <f ca="1">IFERROR(INTERCEPT(OFFSET($D$16,MAX($B$16:$B$506)-59,0,60,1),OFFSET($K$16,MAX($B$16:$B$506)-59,0,60,1))*12,"N/A")</f>
        <v>-2.4847210258492165</v>
      </c>
      <c r="H10" s="16">
        <f ca="1">IFERROR(STDEVP(OFFSET(D$16,MAX($B$16:$B$506)-59,0,60,1))*SQRT(12),"N/A")</f>
        <v>18.696049406804789</v>
      </c>
      <c r="I10" s="39"/>
      <c r="J10" s="7" t="s">
        <v>50</v>
      </c>
      <c r="K10" s="16">
        <f t="array" aca="1" ref="K10" ca="1">IFERROR((GEOMEAN(1+OFFSET(K$16,MAX($B$16:$B$506)-59,0,60,1)/100)^12-1)*100,"N/A")</f>
        <v>7.375628675682866</v>
      </c>
      <c r="L10" s="16">
        <f ca="1">IFERROR(SLOPE(OFFSET(K$16,MAX($B$16:$B$506)-59,0,60,1),OFFSET(K$16,MAX($B$16:$B$506)-59,0,60,1)),"N/A")</f>
        <v>1</v>
      </c>
      <c r="M10" s="16">
        <f ca="1">IFERROR(STDEVP(OFFSET(K$16,MAX($B$16:$B$506)-59,0,60,1))*SQRT(12),"N/A")</f>
        <v>24.479389245208623</v>
      </c>
      <c r="N10" s="16"/>
      <c r="O10" s="39"/>
      <c r="P10" s="7" t="s">
        <v>50</v>
      </c>
      <c r="Q10" s="16">
        <f t="array" aca="1" ref="Q10" ca="1">IFERROR((GEOMEAN(1+OFFSET(Q$16,MAX($B$16:$B$506)-59,0,60,1)/100)^12-1)*100,"N/A")</f>
        <v>-0.71010816884871097</v>
      </c>
      <c r="R10" s="36">
        <f t="shared" ca="1" si="1"/>
        <v>-8.0857368445315778</v>
      </c>
      <c r="S10" s="16">
        <f ca="1">IFERROR(SLOPE(OFFSET(Q$16,MAX($B$16:$B$506)-59,0,60,1),OFFSET($K$16,MAX($B$16:$B$506)-59,0,60,1)),"N/A")</f>
        <v>0.79317155293836317</v>
      </c>
      <c r="T10" s="16">
        <f ca="1">IFERROR(STDEVP(OFFSET(Q$16,MAX($B$16:$B$506)-59,0,60,1))*SQRT(12),"N/A")</f>
        <v>22.617530036970681</v>
      </c>
      <c r="U10" s="41"/>
    </row>
    <row r="11" spans="1:28" x14ac:dyDescent="0.25">
      <c r="C11" s="7" t="s">
        <v>51</v>
      </c>
      <c r="D11" s="16" t="s">
        <v>411</v>
      </c>
      <c r="E11" s="36" t="str">
        <f t="shared" si="0"/>
        <v>N/A</v>
      </c>
      <c r="F11" s="16" t="str">
        <f ca="1">IF(D11="N/A","N/A",IFERROR(SLOPE(OFFSET(D$16,MAX($B$16:$B$506)-119,0,120,1),OFFSET(K$16,MAX($B$16:$B$506)-119,0,120,1)),"N/A"))</f>
        <v>N/A</v>
      </c>
      <c r="G11" s="16" t="str">
        <f ca="1">IF(D11="N/A","N/A",IFERROR(INTERCEPT(OFFSET($D$16,MAX($B$16:$B$506)-119,0,120,1),OFFSET($K$16,MAX($B$16:$B$506)-119,0,120,1))*12,"N/A"))</f>
        <v>N/A</v>
      </c>
      <c r="H11" s="16" t="s">
        <v>411</v>
      </c>
      <c r="I11" s="39"/>
      <c r="J11" s="7" t="s">
        <v>51</v>
      </c>
      <c r="K11" s="16" t="s">
        <v>411</v>
      </c>
      <c r="L11" s="16" t="str">
        <f ca="1">IF(D11="N/A","N/A",IFERROR(SLOPE(OFFSET(K$16,MAX($B$16:$B$506)-119,0,120,1),OFFSET(K$16,MAX($B$16:$B$506)-119,0,120,1)),"N/A"))</f>
        <v>N/A</v>
      </c>
      <c r="M11" s="16" t="s">
        <v>411</v>
      </c>
      <c r="N11" s="16"/>
      <c r="O11" s="39"/>
      <c r="P11" s="7" t="s">
        <v>51</v>
      </c>
      <c r="Q11" s="16" t="s">
        <v>411</v>
      </c>
      <c r="R11" s="36" t="str">
        <f t="shared" si="1"/>
        <v>N/A</v>
      </c>
      <c r="S11" s="16" t="s">
        <v>411</v>
      </c>
      <c r="T11" s="16" t="s">
        <v>411</v>
      </c>
      <c r="U11" s="41"/>
    </row>
    <row r="12" spans="1:28" x14ac:dyDescent="0.25">
      <c r="C12" s="7" t="s">
        <v>52</v>
      </c>
      <c r="D12" s="16">
        <f t="array" aca="1" ref="D12" ca="1">IFERROR((GEOMEAN(1+OFFSET(D$16,1,0,MAX($B$16:$B$506),1)/100)^12-1)*100,"N/A")</f>
        <v>9.2631175261576715</v>
      </c>
      <c r="E12" s="36">
        <f t="shared" ca="1" si="0"/>
        <v>1.494721561573642</v>
      </c>
      <c r="F12" s="16">
        <f ca="1">IFERROR(SLOPE(OFFSET(D$16,1,0,MAX($B$16:$B$506),1),OFFSET(K$16,1,0,MAX($B$16:$B$506),1)),"N/A")</f>
        <v>0.6748926669273726</v>
      </c>
      <c r="G12" s="16">
        <f ca="1">IFERROR(INTERCEPT(OFFSET($D$16,1,0,MAX($B$16:$B$506),1),OFFSET($K$16,1,0,MAX($B$16:$B$506),1))*12,"N/A")</f>
        <v>4.1593100558321012</v>
      </c>
      <c r="H12" s="16">
        <f ca="1">IFERROR(STDEVP(OFFSET(D$16,1,0,MAX($B$16:$B$506),1))*SQRT(12),"N/A")</f>
        <v>14.875126377254732</v>
      </c>
      <c r="I12" s="39"/>
      <c r="J12" s="7" t="s">
        <v>52</v>
      </c>
      <c r="K12" s="16">
        <f t="array" aca="1" ref="K12" ca="1">IFERROR((GEOMEAN(1+OFFSET(K$16,1,0,MAX($B$16:$B$506),1)/100)^12-1)*100,"N/A")</f>
        <v>7.7683959645840295</v>
      </c>
      <c r="L12" s="16">
        <f ca="1">IFERROR(SLOPE(OFFSET(K$16,1,0,MAX($B$16:$B$506),1),OFFSET(K$16,1,0,MAX($B$16:$B$506),1)),"N/A")</f>
        <v>1</v>
      </c>
      <c r="M12" s="16">
        <f ca="1">IFERROR(STDEVP(OFFSET(K$16,1,0,MAX($B$16:$B$506),1))*SQRT(12),"N/A")</f>
        <v>20.160436907907702</v>
      </c>
      <c r="N12" s="16"/>
      <c r="O12" s="39"/>
      <c r="P12" s="7" t="s">
        <v>52</v>
      </c>
      <c r="Q12" s="16">
        <f t="array" aca="1" ref="Q12" ca="1">IFERROR((GEOMEAN(1+OFFSET(Q$16,1,0,MAX($B$16:$B$506),1)/100)^12-1)*100,"N/A")</f>
        <v>7.7125936327131939</v>
      </c>
      <c r="R12" s="36">
        <f t="shared" ca="1" si="1"/>
        <v>-5.5802331870835609E-2</v>
      </c>
      <c r="S12" s="16">
        <f ca="1">IFERROR(SLOPE(OFFSET(Q$16,1,0,MAX($B$16:$B$506),1),OFFSET($K$16,1,0,MAX($B$16:$B$506),1)),"N/A")</f>
        <v>0.73430980230435761</v>
      </c>
      <c r="T12" s="16">
        <f ca="1">IFERROR(STDEVP(OFFSET(Q$16,1,0,MAX($B$16:$B$506),1))*SQRT(12),"N/A")</f>
        <v>16.194668184706853</v>
      </c>
      <c r="U12" s="41"/>
    </row>
    <row r="13" spans="1:28" x14ac:dyDescent="0.25">
      <c r="C13" s="7" t="s">
        <v>96</v>
      </c>
      <c r="D13" s="16" cm="1">
        <f t="array" aca="1" ref="D13" ca="1">IFERROR((GEOMEAN(1+OFFSET(D$125,1,0,MAX($B$16:$B$506)-109,1)/100)^(MIN(COUNTA(OFFSET(D$125,1,0,MAX($B$16:$B$506)-109,1)),12))-1)*100,"N/A")</f>
        <v>7.3796505564889259</v>
      </c>
      <c r="E13" s="36">
        <f t="shared" ca="1" si="0"/>
        <v>-0.48201227611186503</v>
      </c>
      <c r="F13" s="16">
        <f ca="1">IFERROR(SLOPE(OFFSET(D$125,1,0,MAX($B$16:$B$506)-109,1),OFFSET($K$125,1,0,MAX($B$16:$B$506)-109,1)),"N/A")</f>
        <v>0.69068787141583143</v>
      </c>
      <c r="G13" s="16">
        <f ca="1">IFERROR(INTERCEPT(OFFSET(D$125,1,0,MAX($B$16:$B$506)-109,1),OFFSET($K$125,1,0,MAX($B$16:$B$506)-109,1))*12,"N/A")</f>
        <v>2.68288199556086</v>
      </c>
      <c r="H13" s="16">
        <f ca="1">IFERROR(STDEVP(OFFSET(D$125,1,0,MAX($B$16:$B$506)-109,1))*SQRT(12),"N/A")</f>
        <v>15.598657253274846</v>
      </c>
      <c r="I13" s="39"/>
      <c r="J13" s="7" t="s">
        <v>96</v>
      </c>
      <c r="K13" s="16">
        <f t="array" aca="1" ref="K13" ca="1">IFERROR((GEOMEAN(1+OFFSET(K$125,1,0,MAX($B$16:$B$506)-109,1)/100)^(MIN(COUNTA(OFFSET(K$125,1,0,MAX($B$16:$B$506)-109,1)),12))-1)*100,"N/A")</f>
        <v>7.8616628326007909</v>
      </c>
      <c r="L13" s="16">
        <f ca="1">IFERROR(SLOPE(OFFSET(K$125,1,0,MAX($B$16:$B$506)-109,1),OFFSET($K$125,1,0,MAX($B$16:$B$506)-109,1)),"N/A")</f>
        <v>1</v>
      </c>
      <c r="M13" s="16">
        <f ca="1">IFERROR(STDEVP(OFFSET(K$125,1,0,MAX($B$16:$B$506)-109,1))*SQRT(12),"N/A")</f>
        <v>20.234750807229098</v>
      </c>
      <c r="N13" s="16"/>
      <c r="O13" s="39"/>
      <c r="P13" s="7" t="s">
        <v>96</v>
      </c>
      <c r="Q13" s="16">
        <f t="array" aca="1" ref="Q13" ca="1">IFERROR((GEOMEAN(1+OFFSET(Q$125,1,0,MAX($B$16:$B$506)-109,1)/100)^(MIN(COUNTA(OFFSET(Q$125,1,0,MAX($B$16:$B$506)-109,1)),12))-1)*100,"N/A")</f>
        <v>6.0415287847975119</v>
      </c>
      <c r="R13" s="36">
        <f t="shared" ca="1" si="1"/>
        <v>-1.820134047803279</v>
      </c>
      <c r="S13" s="16">
        <f ca="1">IFERROR(SLOPE(OFFSET(Q$125,1,0,MAX($B$16:$B$506)-109,1),OFFSET($K$125,1,0,MAX($B$16:$B$506)-109,1)),"N/A")</f>
        <v>0.77176171397530735</v>
      </c>
      <c r="T13" s="16">
        <f ca="1">IFERROR(STDEVP(OFFSET(Q$125,1,0,MAX($B$16:$B$506)-109,1))*SQRT(12),"N/A")</f>
        <v>17.477889639799773</v>
      </c>
      <c r="U13" s="41"/>
    </row>
    <row r="14" spans="1:28" ht="16.5" thickBot="1" x14ac:dyDescent="0.3">
      <c r="A14" s="7"/>
      <c r="C14" s="17"/>
      <c r="D14" s="16"/>
      <c r="E14" s="36"/>
      <c r="F14" s="16"/>
      <c r="G14" s="16"/>
      <c r="H14" s="16"/>
      <c r="I14" s="39"/>
      <c r="J14" s="7"/>
      <c r="K14" s="16"/>
      <c r="L14" s="36"/>
      <c r="M14" s="16"/>
      <c r="N14" s="16"/>
      <c r="O14" s="39"/>
      <c r="P14" s="7"/>
      <c r="Q14" s="16"/>
      <c r="R14" s="36"/>
      <c r="S14" s="16"/>
      <c r="T14" s="16"/>
      <c r="U14" s="41"/>
      <c r="W14" s="101" t="s">
        <v>56</v>
      </c>
    </row>
    <row r="15" spans="1:28" x14ac:dyDescent="0.25">
      <c r="A15" s="7" t="s">
        <v>69</v>
      </c>
      <c r="B15" s="23" t="s">
        <v>70</v>
      </c>
      <c r="C15" s="13" t="s">
        <v>71</v>
      </c>
      <c r="D15" s="19" t="s">
        <v>72</v>
      </c>
      <c r="E15" s="13" t="s">
        <v>73</v>
      </c>
      <c r="F15" s="9" t="s">
        <v>74</v>
      </c>
      <c r="G15" s="9" t="s">
        <v>75</v>
      </c>
      <c r="H15" s="33"/>
      <c r="I15" s="44"/>
      <c r="J15" s="7" t="s">
        <v>69</v>
      </c>
      <c r="K15" s="33" t="s">
        <v>41</v>
      </c>
      <c r="L15" s="13" t="s">
        <v>73</v>
      </c>
      <c r="M15" s="9" t="s">
        <v>74</v>
      </c>
      <c r="N15" s="9" t="s">
        <v>75</v>
      </c>
      <c r="O15" s="44"/>
      <c r="P15" s="13" t="s">
        <v>69</v>
      </c>
      <c r="Q15" s="33" t="s">
        <v>41</v>
      </c>
      <c r="R15" s="13" t="s">
        <v>97</v>
      </c>
      <c r="S15" s="13" t="s">
        <v>74</v>
      </c>
      <c r="T15" s="13" t="s">
        <v>75</v>
      </c>
      <c r="U15" s="44"/>
      <c r="W15" s="324" t="s">
        <v>98</v>
      </c>
      <c r="X15" s="325"/>
      <c r="Y15" s="324" t="s">
        <v>99</v>
      </c>
      <c r="Z15" s="325" t="s">
        <v>81</v>
      </c>
      <c r="AA15" s="324" t="s">
        <v>68</v>
      </c>
      <c r="AB15" s="325"/>
    </row>
    <row r="16" spans="1:28" x14ac:dyDescent="0.25">
      <c r="A16" s="20">
        <v>38352</v>
      </c>
      <c r="B16" s="23">
        <v>0</v>
      </c>
      <c r="C16" s="17"/>
      <c r="D16" s="11"/>
      <c r="E16" s="48">
        <v>1000000</v>
      </c>
      <c r="F16" s="8"/>
      <c r="I16" s="39"/>
      <c r="J16" s="20">
        <f t="shared" ref="J16:J47" si="2">A16</f>
        <v>38352</v>
      </c>
      <c r="K16" s="16"/>
      <c r="L16" s="48">
        <v>1000000</v>
      </c>
      <c r="M16" s="8"/>
      <c r="O16" s="39"/>
      <c r="P16" s="20">
        <f>$A16</f>
        <v>38352</v>
      </c>
      <c r="Q16" s="16"/>
      <c r="R16" s="48">
        <v>1000000</v>
      </c>
      <c r="S16" s="8"/>
      <c r="U16" s="39"/>
    </row>
    <row r="17" spans="1:21" x14ac:dyDescent="0.25">
      <c r="A17" s="20">
        <v>38383</v>
      </c>
      <c r="B17" s="24">
        <f>IF(A17&gt;A16,1+B16,"-")</f>
        <v>1</v>
      </c>
      <c r="C17" s="17" t="s">
        <v>77</v>
      </c>
      <c r="D17" s="27">
        <v>-0.43</v>
      </c>
      <c r="E17" s="46">
        <f t="shared" ref="E17:E48" si="3">E16*D17/100+E16</f>
        <v>995700</v>
      </c>
      <c r="F17" s="10"/>
      <c r="I17" s="39"/>
      <c r="J17" s="20">
        <f t="shared" si="2"/>
        <v>38383</v>
      </c>
      <c r="K17" s="27">
        <v>-4.1749036766697643</v>
      </c>
      <c r="L17" s="46">
        <f t="shared" ref="L17:L48" si="4">L16*K17/100+L16</f>
        <v>958250.96323330235</v>
      </c>
      <c r="M17" s="10"/>
      <c r="O17" s="39"/>
      <c r="P17" s="20">
        <f t="shared" ref="P17:P80" si="5">$A17</f>
        <v>38383</v>
      </c>
      <c r="Q17" s="45">
        <v>-2.3169048240868486</v>
      </c>
      <c r="R17" s="46">
        <f t="shared" ref="R17:R48" si="6">R16*Q17/100+R16</f>
        <v>976830.95175913151</v>
      </c>
      <c r="S17" s="10"/>
      <c r="U17" s="39"/>
    </row>
    <row r="18" spans="1:21" x14ac:dyDescent="0.25">
      <c r="A18" s="20">
        <v>38411</v>
      </c>
      <c r="B18" s="24">
        <f t="shared" ref="B18:B81" si="7">IF(A18&gt;A17,1+B17,"-")</f>
        <v>2</v>
      </c>
      <c r="C18" s="17" t="s">
        <v>77</v>
      </c>
      <c r="D18" s="27">
        <v>3.31</v>
      </c>
      <c r="E18" s="46">
        <f t="shared" si="3"/>
        <v>1028657.67</v>
      </c>
      <c r="F18" s="8"/>
      <c r="I18" s="39"/>
      <c r="J18" s="20">
        <f t="shared" si="2"/>
        <v>38411</v>
      </c>
      <c r="K18" s="27">
        <v>1.6915377945368402</v>
      </c>
      <c r="L18" s="46">
        <f t="shared" si="4"/>
        <v>974460.140442907</v>
      </c>
      <c r="M18" s="8"/>
      <c r="O18" s="39"/>
      <c r="P18" s="20">
        <f t="shared" si="5"/>
        <v>38411</v>
      </c>
      <c r="Q18" s="45">
        <v>1.1782904285386828</v>
      </c>
      <c r="R18" s="46">
        <f t="shared" si="6"/>
        <v>988340.85736671265</v>
      </c>
      <c r="S18" s="8"/>
      <c r="U18" s="39"/>
    </row>
    <row r="19" spans="1:21" x14ac:dyDescent="0.25">
      <c r="A19" s="20">
        <v>38442</v>
      </c>
      <c r="B19" s="24">
        <f t="shared" si="7"/>
        <v>3</v>
      </c>
      <c r="C19" s="17" t="s">
        <v>77</v>
      </c>
      <c r="D19" s="27">
        <v>-0.01</v>
      </c>
      <c r="E19" s="46">
        <f t="shared" si="3"/>
        <v>1028554.804233</v>
      </c>
      <c r="F19" s="8"/>
      <c r="G19" s="5">
        <f>(E19/E16-1)*100</f>
        <v>2.8554804232999942</v>
      </c>
      <c r="H19" s="5"/>
      <c r="I19" s="39"/>
      <c r="J19" s="20">
        <f t="shared" si="2"/>
        <v>38442</v>
      </c>
      <c r="K19" s="27">
        <v>-2.8691520870784362</v>
      </c>
      <c r="L19" s="46">
        <f t="shared" si="4"/>
        <v>946501.39698564191</v>
      </c>
      <c r="M19" s="8"/>
      <c r="N19" s="5">
        <f>(L19/L16-1)*100</f>
        <v>-5.3498603014358048</v>
      </c>
      <c r="O19" s="39"/>
      <c r="P19" s="20">
        <f t="shared" si="5"/>
        <v>38442</v>
      </c>
      <c r="Q19" s="45">
        <v>-0.9493969536248793</v>
      </c>
      <c r="R19" s="46">
        <f t="shared" si="6"/>
        <v>978957.57937544305</v>
      </c>
      <c r="S19" s="8"/>
      <c r="T19" s="5">
        <f>(R19/R16-1)*100</f>
        <v>-2.1042420624556968</v>
      </c>
      <c r="U19" s="39"/>
    </row>
    <row r="20" spans="1:21" x14ac:dyDescent="0.25">
      <c r="A20" s="20">
        <v>38472</v>
      </c>
      <c r="B20" s="24">
        <f t="shared" si="7"/>
        <v>4</v>
      </c>
      <c r="C20" s="17" t="s">
        <v>77</v>
      </c>
      <c r="D20" s="27">
        <v>-3.12</v>
      </c>
      <c r="E20" s="46">
        <f t="shared" si="3"/>
        <v>996463.89434093039</v>
      </c>
      <c r="F20" s="8"/>
      <c r="I20" s="39"/>
      <c r="J20" s="20">
        <f t="shared" si="2"/>
        <v>38472</v>
      </c>
      <c r="K20" s="27">
        <v>-5.7274516200795542</v>
      </c>
      <c r="L20" s="46">
        <f t="shared" si="4"/>
        <v>892290.98738991213</v>
      </c>
      <c r="M20" s="8"/>
      <c r="O20" s="39"/>
      <c r="P20" s="20">
        <f t="shared" si="5"/>
        <v>38472</v>
      </c>
      <c r="Q20" s="45">
        <v>-2.6106177826898871</v>
      </c>
      <c r="R20" s="46">
        <f t="shared" si="6"/>
        <v>953400.73872327723</v>
      </c>
      <c r="S20" s="8"/>
      <c r="U20" s="39"/>
    </row>
    <row r="21" spans="1:21" x14ac:dyDescent="0.25">
      <c r="A21" s="20">
        <v>38503</v>
      </c>
      <c r="B21" s="24">
        <f t="shared" si="7"/>
        <v>5</v>
      </c>
      <c r="C21" s="17" t="s">
        <v>77</v>
      </c>
      <c r="D21" s="27">
        <v>4.51</v>
      </c>
      <c r="E21" s="46">
        <f t="shared" si="3"/>
        <v>1041404.4159757063</v>
      </c>
      <c r="F21" s="8"/>
      <c r="I21" s="39"/>
      <c r="J21" s="20">
        <f t="shared" si="2"/>
        <v>38503</v>
      </c>
      <c r="K21" s="27">
        <v>6.544957063145656</v>
      </c>
      <c r="L21" s="46">
        <f t="shared" si="4"/>
        <v>950691.04939290031</v>
      </c>
      <c r="M21" s="8"/>
      <c r="O21" s="39"/>
      <c r="P21" s="20">
        <f t="shared" si="5"/>
        <v>38503</v>
      </c>
      <c r="Q21" s="45">
        <v>4.5981059716678514</v>
      </c>
      <c r="R21" s="46">
        <f t="shared" si="6"/>
        <v>997239.11502443766</v>
      </c>
      <c r="S21" s="8"/>
      <c r="U21" s="39"/>
    </row>
    <row r="22" spans="1:21" x14ac:dyDescent="0.25">
      <c r="A22" s="20">
        <v>38533</v>
      </c>
      <c r="B22" s="24">
        <f t="shared" si="7"/>
        <v>6</v>
      </c>
      <c r="C22" s="17" t="s">
        <v>77</v>
      </c>
      <c r="D22" s="27">
        <v>4.92</v>
      </c>
      <c r="E22" s="46">
        <f t="shared" si="3"/>
        <v>1092641.5132417111</v>
      </c>
      <c r="F22" s="8"/>
      <c r="G22" s="5">
        <f>(E22/E19-1)*100</f>
        <v>6.2307529695999841</v>
      </c>
      <c r="H22" s="5"/>
      <c r="I22" s="39"/>
      <c r="J22" s="20">
        <f t="shared" si="2"/>
        <v>38533</v>
      </c>
      <c r="K22" s="27">
        <v>3.856145917194314</v>
      </c>
      <c r="L22" s="46">
        <f t="shared" si="4"/>
        <v>987351.08347919642</v>
      </c>
      <c r="M22" s="8"/>
      <c r="N22" s="5">
        <f>(L22/L19-1)*100</f>
        <v>4.3158611940405045</v>
      </c>
      <c r="O22" s="39"/>
      <c r="P22" s="20">
        <f t="shared" si="5"/>
        <v>38533</v>
      </c>
      <c r="Q22" s="45">
        <v>4.2369710801002611</v>
      </c>
      <c r="R22" s="46">
        <f t="shared" si="6"/>
        <v>1039491.8479274709</v>
      </c>
      <c r="S22" s="8"/>
      <c r="T22" s="5">
        <f>(R22/R19-1)*100</f>
        <v>6.1835435801669281</v>
      </c>
      <c r="U22" s="39"/>
    </row>
    <row r="23" spans="1:21" x14ac:dyDescent="0.25">
      <c r="A23" s="20">
        <v>38564</v>
      </c>
      <c r="B23" s="24">
        <f t="shared" si="7"/>
        <v>7</v>
      </c>
      <c r="C23" s="17" t="s">
        <v>77</v>
      </c>
      <c r="D23" s="27">
        <v>5.42</v>
      </c>
      <c r="E23" s="46">
        <f t="shared" si="3"/>
        <v>1151862.6832594117</v>
      </c>
      <c r="F23" s="8"/>
      <c r="I23" s="39"/>
      <c r="J23" s="20">
        <f t="shared" si="2"/>
        <v>38564</v>
      </c>
      <c r="K23" s="27">
        <v>6.3348181372920145</v>
      </c>
      <c r="L23" s="46">
        <f t="shared" si="4"/>
        <v>1049897.9789941858</v>
      </c>
      <c r="M23" s="8"/>
      <c r="O23" s="39"/>
      <c r="P23" s="20">
        <f t="shared" si="5"/>
        <v>38564</v>
      </c>
      <c r="Q23" s="45">
        <v>3.8763167812214028</v>
      </c>
      <c r="R23" s="46">
        <f t="shared" si="6"/>
        <v>1079785.8448681119</v>
      </c>
      <c r="S23" s="8"/>
      <c r="U23" s="39"/>
    </row>
    <row r="24" spans="1:21" x14ac:dyDescent="0.25">
      <c r="A24" s="20">
        <v>38595</v>
      </c>
      <c r="B24" s="24">
        <f t="shared" si="7"/>
        <v>8</v>
      </c>
      <c r="C24" s="17" t="s">
        <v>77</v>
      </c>
      <c r="D24" s="27">
        <v>-1.06</v>
      </c>
      <c r="E24" s="46">
        <f t="shared" si="3"/>
        <v>1139652.9388168619</v>
      </c>
      <c r="F24" s="8"/>
      <c r="I24" s="39"/>
      <c r="J24" s="20">
        <f t="shared" si="2"/>
        <v>38595</v>
      </c>
      <c r="K24" s="27">
        <v>-1.8581215654396157</v>
      </c>
      <c r="L24" s="46">
        <f t="shared" si="4"/>
        <v>1030389.5982313801</v>
      </c>
      <c r="M24" s="8"/>
      <c r="O24" s="39"/>
      <c r="P24" s="20">
        <f t="shared" si="5"/>
        <v>38595</v>
      </c>
      <c r="Q24" s="45">
        <v>-1.7068914880016577</v>
      </c>
      <c r="R24" s="46">
        <f t="shared" si="6"/>
        <v>1061355.0721934114</v>
      </c>
      <c r="S24" s="8"/>
      <c r="U24" s="39"/>
    </row>
    <row r="25" spans="1:21" x14ac:dyDescent="0.25">
      <c r="A25" s="20">
        <v>38625</v>
      </c>
      <c r="B25" s="24">
        <f t="shared" si="7"/>
        <v>9</v>
      </c>
      <c r="C25" s="17" t="s">
        <v>77</v>
      </c>
      <c r="D25" s="27">
        <v>0.55000000000000004</v>
      </c>
      <c r="E25" s="46">
        <f t="shared" si="3"/>
        <v>1145921.0299803547</v>
      </c>
      <c r="F25" s="8"/>
      <c r="G25" s="5">
        <f>(E25/E22-1)*100</f>
        <v>4.876212013999992</v>
      </c>
      <c r="H25" s="5"/>
      <c r="I25" s="39"/>
      <c r="J25" s="20">
        <f t="shared" si="2"/>
        <v>38625</v>
      </c>
      <c r="K25" s="27">
        <v>0.31673435780602038</v>
      </c>
      <c r="L25" s="46">
        <f t="shared" si="4"/>
        <v>1033653.1961082383</v>
      </c>
      <c r="M25" s="8"/>
      <c r="N25" s="5">
        <f>(L25/L22-1)*100</f>
        <v>4.6895287202080027</v>
      </c>
      <c r="O25" s="39"/>
      <c r="P25" s="20">
        <f t="shared" si="5"/>
        <v>38625</v>
      </c>
      <c r="Q25" s="45">
        <v>0.52377186044466195</v>
      </c>
      <c r="R25" s="46">
        <f t="shared" si="6"/>
        <v>1066914.1514009626</v>
      </c>
      <c r="S25" s="8"/>
      <c r="T25" s="5">
        <f>(R25/R22-1)*100</f>
        <v>2.6380489205534374</v>
      </c>
      <c r="U25" s="39"/>
    </row>
    <row r="26" spans="1:21" x14ac:dyDescent="0.25">
      <c r="A26" s="20">
        <v>38656</v>
      </c>
      <c r="B26" s="24">
        <f t="shared" si="7"/>
        <v>10</v>
      </c>
      <c r="C26" s="17" t="s">
        <v>77</v>
      </c>
      <c r="D26" s="27">
        <v>-5.37</v>
      </c>
      <c r="E26" s="46">
        <f t="shared" si="3"/>
        <v>1084385.0706704096</v>
      </c>
      <c r="F26" s="8"/>
      <c r="I26" s="39"/>
      <c r="J26" s="20">
        <f t="shared" si="2"/>
        <v>38656</v>
      </c>
      <c r="K26" s="27">
        <v>-3.1057180650660752</v>
      </c>
      <c r="L26" s="46">
        <f t="shared" si="4"/>
        <v>1001550.8420665719</v>
      </c>
      <c r="M26" s="8"/>
      <c r="O26" s="39"/>
      <c r="P26" s="20">
        <f t="shared" si="5"/>
        <v>38656</v>
      </c>
      <c r="Q26" s="45">
        <v>-1.3498155368663847</v>
      </c>
      <c r="R26" s="46">
        <f t="shared" si="6"/>
        <v>1052512.7784203263</v>
      </c>
      <c r="S26" s="8"/>
      <c r="U26" s="39"/>
    </row>
    <row r="27" spans="1:21" x14ac:dyDescent="0.25">
      <c r="A27" s="20">
        <v>38686</v>
      </c>
      <c r="B27" s="24">
        <f t="shared" si="7"/>
        <v>11</v>
      </c>
      <c r="C27" s="17" t="s">
        <v>77</v>
      </c>
      <c r="D27" s="27">
        <v>1.27</v>
      </c>
      <c r="E27" s="46">
        <f t="shared" si="3"/>
        <v>1098156.7610679239</v>
      </c>
      <c r="F27" s="8"/>
      <c r="I27" s="39"/>
      <c r="J27" s="20">
        <f t="shared" si="2"/>
        <v>38686</v>
      </c>
      <c r="K27" s="27">
        <v>4.8421218770686698</v>
      </c>
      <c r="L27" s="46">
        <f t="shared" si="4"/>
        <v>1050047.1545002428</v>
      </c>
      <c r="M27" s="8"/>
      <c r="O27" s="39"/>
      <c r="P27" s="20">
        <f t="shared" si="5"/>
        <v>38686</v>
      </c>
      <c r="Q27" s="45">
        <v>3.7450594636748717</v>
      </c>
      <c r="R27" s="46">
        <f t="shared" si="6"/>
        <v>1091930.0078349442</v>
      </c>
      <c r="S27" s="8"/>
      <c r="U27" s="39"/>
    </row>
    <row r="28" spans="1:21" x14ac:dyDescent="0.25">
      <c r="A28" s="20">
        <v>38717</v>
      </c>
      <c r="B28" s="24">
        <f t="shared" si="7"/>
        <v>12</v>
      </c>
      <c r="C28" s="17" t="s">
        <v>77</v>
      </c>
      <c r="D28" s="27">
        <v>1.2</v>
      </c>
      <c r="E28" s="46">
        <f t="shared" si="3"/>
        <v>1111334.6422007389</v>
      </c>
      <c r="F28" s="11">
        <f>(E28-E16)/E16*100</f>
        <v>11.13346422007389</v>
      </c>
      <c r="G28" s="5">
        <f>(E28/E25-1)*100</f>
        <v>-3.0182173880000107</v>
      </c>
      <c r="H28" s="5"/>
      <c r="I28" s="39"/>
      <c r="J28" s="20">
        <f t="shared" si="2"/>
        <v>38717</v>
      </c>
      <c r="K28" s="27">
        <v>-0.469444729858433</v>
      </c>
      <c r="L28" s="46">
        <f t="shared" si="4"/>
        <v>1045117.7634724129</v>
      </c>
      <c r="M28" s="11">
        <f>(L28-L16)/L16*100</f>
        <v>4.5117763472412946</v>
      </c>
      <c r="N28" s="5">
        <f>(L28/L25-1)*100</f>
        <v>1.1091309355342194</v>
      </c>
      <c r="O28" s="39"/>
      <c r="P28" s="20">
        <f t="shared" si="5"/>
        <v>38717</v>
      </c>
      <c r="Q28" s="45">
        <v>-1.1702600198175457</v>
      </c>
      <c r="R28" s="46">
        <f t="shared" si="6"/>
        <v>1079151.5875088612</v>
      </c>
      <c r="S28" s="11">
        <f>(R28-R16)/R16*100</f>
        <v>7.9151587508861212</v>
      </c>
      <c r="T28" s="5">
        <f>(R28/R25-1)*100</f>
        <v>1.1469935131921849</v>
      </c>
      <c r="U28" s="39"/>
    </row>
    <row r="29" spans="1:21" x14ac:dyDescent="0.25">
      <c r="A29" s="20">
        <v>38748</v>
      </c>
      <c r="B29" s="24">
        <f t="shared" si="7"/>
        <v>13</v>
      </c>
      <c r="C29" s="17" t="s">
        <v>77</v>
      </c>
      <c r="D29" s="27">
        <v>5.23</v>
      </c>
      <c r="E29" s="46">
        <f t="shared" si="3"/>
        <v>1169457.4439878375</v>
      </c>
      <c r="F29" s="10"/>
      <c r="I29" s="39"/>
      <c r="J29" s="20">
        <f t="shared" si="2"/>
        <v>38748</v>
      </c>
      <c r="K29" s="27">
        <v>8.9676280956516372</v>
      </c>
      <c r="L29" s="46">
        <f t="shared" si="4"/>
        <v>1138840.0376622111</v>
      </c>
      <c r="M29" s="10"/>
      <c r="O29" s="39"/>
      <c r="P29" s="20">
        <f t="shared" si="5"/>
        <v>38748</v>
      </c>
      <c r="Q29" s="45">
        <v>5.7200643053466838</v>
      </c>
      <c r="R29" s="46">
        <f t="shared" si="6"/>
        <v>1140879.7522665376</v>
      </c>
      <c r="S29" s="10"/>
      <c r="U29" s="39"/>
    </row>
    <row r="30" spans="1:21" x14ac:dyDescent="0.25">
      <c r="A30" s="20">
        <v>38776</v>
      </c>
      <c r="B30" s="24">
        <f t="shared" si="7"/>
        <v>14</v>
      </c>
      <c r="C30" s="17" t="s">
        <v>77</v>
      </c>
      <c r="D30" s="27">
        <v>-0.22</v>
      </c>
      <c r="E30" s="46">
        <f t="shared" si="3"/>
        <v>1166884.6376110644</v>
      </c>
      <c r="F30" s="8"/>
      <c r="I30" s="39"/>
      <c r="J30" s="20">
        <f t="shared" si="2"/>
        <v>38776</v>
      </c>
      <c r="K30" s="27">
        <v>-0.27856722302398085</v>
      </c>
      <c r="L30" s="46">
        <f t="shared" si="4"/>
        <v>1135667.6025946103</v>
      </c>
      <c r="M30" s="8"/>
      <c r="O30" s="39"/>
      <c r="P30" s="20">
        <f t="shared" si="5"/>
        <v>38776</v>
      </c>
      <c r="Q30" s="45">
        <v>0.58209882599168472</v>
      </c>
      <c r="R30" s="46">
        <f t="shared" si="6"/>
        <v>1147520.799910458</v>
      </c>
      <c r="S30" s="8"/>
      <c r="U30" s="39"/>
    </row>
    <row r="31" spans="1:21" x14ac:dyDescent="0.25">
      <c r="A31" s="20">
        <v>38807</v>
      </c>
      <c r="B31" s="24">
        <f t="shared" si="7"/>
        <v>15</v>
      </c>
      <c r="C31" s="17" t="s">
        <v>77</v>
      </c>
      <c r="D31" s="27">
        <v>5.4</v>
      </c>
      <c r="E31" s="46">
        <f t="shared" si="3"/>
        <v>1229896.4080420618</v>
      </c>
      <c r="F31" s="8"/>
      <c r="G31" s="5">
        <f>(E31/E28-1)*100</f>
        <v>10.668412676000006</v>
      </c>
      <c r="H31" s="5"/>
      <c r="I31" s="39"/>
      <c r="J31" s="20">
        <f t="shared" si="2"/>
        <v>38807</v>
      </c>
      <c r="K31" s="27">
        <v>4.8531852212221951</v>
      </c>
      <c r="L31" s="46">
        <f t="shared" si="4"/>
        <v>1190783.6548459404</v>
      </c>
      <c r="M31" s="8"/>
      <c r="N31" s="5">
        <f>(L31/L28-1)*100</f>
        <v>13.937749071410988</v>
      </c>
      <c r="O31" s="39"/>
      <c r="P31" s="20">
        <f t="shared" si="5"/>
        <v>38807</v>
      </c>
      <c r="Q31" s="45">
        <v>4.5436811132425214</v>
      </c>
      <c r="R31" s="46">
        <f t="shared" si="6"/>
        <v>1199660.4857665191</v>
      </c>
      <c r="S31" s="8"/>
      <c r="T31" s="5">
        <f>(R31/R28-1)*100</f>
        <v>11.167003751145232</v>
      </c>
      <c r="U31" s="39"/>
    </row>
    <row r="32" spans="1:21" x14ac:dyDescent="0.25">
      <c r="A32" s="20">
        <v>38837</v>
      </c>
      <c r="B32" s="24">
        <f t="shared" si="7"/>
        <v>16</v>
      </c>
      <c r="C32" s="17" t="s">
        <v>77</v>
      </c>
      <c r="D32" s="27">
        <v>0.13</v>
      </c>
      <c r="E32" s="46">
        <f t="shared" si="3"/>
        <v>1231495.2733725165</v>
      </c>
      <c r="F32" s="8"/>
      <c r="I32" s="39"/>
      <c r="J32" s="20">
        <f t="shared" si="2"/>
        <v>38837</v>
      </c>
      <c r="K32" s="27">
        <v>-2.0389419875890716E-2</v>
      </c>
      <c r="L32" s="46">
        <f t="shared" si="4"/>
        <v>1190540.8609667404</v>
      </c>
      <c r="M32" s="8"/>
      <c r="O32" s="39"/>
      <c r="P32" s="20">
        <f t="shared" si="5"/>
        <v>38837</v>
      </c>
      <c r="Q32" s="45">
        <v>-0.63599185184033835</v>
      </c>
      <c r="R32" s="46">
        <f t="shared" si="6"/>
        <v>1192030.7428272958</v>
      </c>
      <c r="S32" s="8"/>
      <c r="U32" s="39"/>
    </row>
    <row r="33" spans="1:21" x14ac:dyDescent="0.25">
      <c r="A33" s="20">
        <v>38868</v>
      </c>
      <c r="B33" s="24">
        <f t="shared" si="7"/>
        <v>17</v>
      </c>
      <c r="C33" s="17" t="s">
        <v>77</v>
      </c>
      <c r="D33" s="27">
        <v>-2.5</v>
      </c>
      <c r="E33" s="46">
        <f t="shared" si="3"/>
        <v>1200707.8915382037</v>
      </c>
      <c r="F33" s="8"/>
      <c r="I33" s="39"/>
      <c r="J33" s="20">
        <f t="shared" si="2"/>
        <v>38868</v>
      </c>
      <c r="K33" s="27">
        <v>-5.616961166089844</v>
      </c>
      <c r="L33" s="46">
        <f t="shared" si="4"/>
        <v>1123668.643139807</v>
      </c>
      <c r="M33" s="8"/>
      <c r="O33" s="39"/>
      <c r="P33" s="20">
        <f t="shared" si="5"/>
        <v>38868</v>
      </c>
      <c r="Q33" s="45">
        <v>-2.1502347417840388</v>
      </c>
      <c r="R33" s="46">
        <f t="shared" si="6"/>
        <v>1166399.283662277</v>
      </c>
      <c r="S33" s="8"/>
      <c r="U33" s="39"/>
    </row>
    <row r="34" spans="1:21" x14ac:dyDescent="0.25">
      <c r="A34" s="20">
        <v>38898</v>
      </c>
      <c r="B34" s="24">
        <f t="shared" si="7"/>
        <v>18</v>
      </c>
      <c r="C34" s="17" t="s">
        <v>77</v>
      </c>
      <c r="D34" s="27">
        <v>0.65</v>
      </c>
      <c r="E34" s="46">
        <f t="shared" si="3"/>
        <v>1208512.492833202</v>
      </c>
      <c r="F34" s="8"/>
      <c r="G34" s="5">
        <f>(E34/E31-1)*100</f>
        <v>-1.7386761249999938</v>
      </c>
      <c r="H34" s="5"/>
      <c r="I34" s="39"/>
      <c r="J34" s="20">
        <f t="shared" si="2"/>
        <v>38898</v>
      </c>
      <c r="K34" s="27">
        <v>0.63946256680731062</v>
      </c>
      <c r="L34" s="46">
        <f t="shared" si="4"/>
        <v>1130854.0834876378</v>
      </c>
      <c r="M34" s="8"/>
      <c r="N34" s="5">
        <f>(L34/L31-1)*100</f>
        <v>-5.0327841765728687</v>
      </c>
      <c r="O34" s="39"/>
      <c r="P34" s="20">
        <f t="shared" si="5"/>
        <v>38898</v>
      </c>
      <c r="Q34" s="45">
        <v>1.4729872373092852</v>
      </c>
      <c r="R34" s="46">
        <f t="shared" si="6"/>
        <v>1183580.1962466894</v>
      </c>
      <c r="S34" s="8"/>
      <c r="T34" s="5">
        <f>(R34/R31-1)*100</f>
        <v>-1.3404033650033287</v>
      </c>
      <c r="U34" s="39"/>
    </row>
    <row r="35" spans="1:21" x14ac:dyDescent="0.25">
      <c r="A35" s="20">
        <v>38929</v>
      </c>
      <c r="B35" s="24">
        <f t="shared" si="7"/>
        <v>19</v>
      </c>
      <c r="C35" s="17" t="s">
        <v>77</v>
      </c>
      <c r="D35" s="27">
        <v>0.56999999999999995</v>
      </c>
      <c r="E35" s="46">
        <f t="shared" si="3"/>
        <v>1215401.0140423512</v>
      </c>
      <c r="F35" s="8"/>
      <c r="I35" s="39"/>
      <c r="J35" s="20">
        <f t="shared" si="2"/>
        <v>38929</v>
      </c>
      <c r="K35" s="27">
        <v>-3.2571905354134869</v>
      </c>
      <c r="L35" s="46">
        <f t="shared" si="4"/>
        <v>1094020.0113109415</v>
      </c>
      <c r="M35" s="8"/>
      <c r="O35" s="39"/>
      <c r="P35" s="20">
        <f t="shared" si="5"/>
        <v>38929</v>
      </c>
      <c r="Q35" s="45">
        <v>1.0670323261935128</v>
      </c>
      <c r="R35" s="46">
        <f t="shared" si="6"/>
        <v>1196209.3795470663</v>
      </c>
      <c r="S35" s="8"/>
      <c r="U35" s="39"/>
    </row>
    <row r="36" spans="1:21" x14ac:dyDescent="0.25">
      <c r="A36" s="20">
        <v>38960</v>
      </c>
      <c r="B36" s="24">
        <f t="shared" si="7"/>
        <v>20</v>
      </c>
      <c r="C36" s="17" t="s">
        <v>77</v>
      </c>
      <c r="D36" s="27">
        <v>2.88</v>
      </c>
      <c r="E36" s="46">
        <f t="shared" si="3"/>
        <v>1250404.5632467708</v>
      </c>
      <c r="F36" s="8"/>
      <c r="I36" s="39"/>
      <c r="J36" s="20">
        <f t="shared" si="2"/>
        <v>38960</v>
      </c>
      <c r="K36" s="27">
        <v>2.9576490313718335</v>
      </c>
      <c r="L36" s="46">
        <f t="shared" si="4"/>
        <v>1126377.2835784936</v>
      </c>
      <c r="M36" s="8"/>
      <c r="O36" s="39"/>
      <c r="P36" s="20">
        <f t="shared" si="5"/>
        <v>38960</v>
      </c>
      <c r="Q36" s="45">
        <v>2.7805501840184705</v>
      </c>
      <c r="R36" s="46">
        <f t="shared" si="6"/>
        <v>1229470.5816513083</v>
      </c>
      <c r="S36" s="8"/>
      <c r="U36" s="39"/>
    </row>
    <row r="37" spans="1:21" x14ac:dyDescent="0.25">
      <c r="A37" s="20">
        <v>38990</v>
      </c>
      <c r="B37" s="24">
        <f t="shared" si="7"/>
        <v>21</v>
      </c>
      <c r="C37" s="17" t="s">
        <v>77</v>
      </c>
      <c r="D37" s="27">
        <v>0.99</v>
      </c>
      <c r="E37" s="46">
        <f t="shared" si="3"/>
        <v>1262783.5684229138</v>
      </c>
      <c r="F37" s="8"/>
      <c r="G37" s="5">
        <f>(E37/E34-1)*100</f>
        <v>4.4907335183999919</v>
      </c>
      <c r="H37" s="5"/>
      <c r="I37" s="39"/>
      <c r="J37" s="20">
        <f t="shared" si="2"/>
        <v>38990</v>
      </c>
      <c r="K37" s="27">
        <v>0.84129666372631351</v>
      </c>
      <c r="L37" s="46">
        <f t="shared" si="4"/>
        <v>1135853.4580862105</v>
      </c>
      <c r="M37" s="8"/>
      <c r="N37" s="5">
        <f>(L37/L34-1)*100</f>
        <v>0.44208838890640312</v>
      </c>
      <c r="O37" s="39"/>
      <c r="P37" s="20">
        <f t="shared" si="5"/>
        <v>38990</v>
      </c>
      <c r="Q37" s="45">
        <v>1.1379671355091263</v>
      </c>
      <c r="R37" s="46">
        <f t="shared" si="6"/>
        <v>1243461.5528112531</v>
      </c>
      <c r="S37" s="8"/>
      <c r="T37" s="5">
        <f>(R37/R34-1)*100</f>
        <v>5.0593408671804729</v>
      </c>
      <c r="U37" s="39"/>
    </row>
    <row r="38" spans="1:21" x14ac:dyDescent="0.25">
      <c r="A38" s="20">
        <v>39021</v>
      </c>
      <c r="B38" s="24">
        <f t="shared" si="7"/>
        <v>22</v>
      </c>
      <c r="C38" s="17" t="s">
        <v>77</v>
      </c>
      <c r="D38" s="27">
        <v>4.62</v>
      </c>
      <c r="E38" s="46">
        <f t="shared" si="3"/>
        <v>1321124.1692840524</v>
      </c>
      <c r="F38" s="8"/>
      <c r="I38" s="39"/>
      <c r="J38" s="20">
        <f t="shared" si="2"/>
        <v>39021</v>
      </c>
      <c r="K38" s="27">
        <v>5.7571593934936693</v>
      </c>
      <c r="L38" s="46">
        <f t="shared" si="4"/>
        <v>1201246.3521447435</v>
      </c>
      <c r="M38" s="8"/>
      <c r="O38" s="39"/>
      <c r="P38" s="20">
        <f t="shared" si="5"/>
        <v>39021</v>
      </c>
      <c r="Q38" s="45">
        <v>3.7640457866390502</v>
      </c>
      <c r="R38" s="46">
        <f t="shared" si="6"/>
        <v>1290266.0149983217</v>
      </c>
      <c r="S38" s="8"/>
      <c r="U38" s="39"/>
    </row>
    <row r="39" spans="1:21" x14ac:dyDescent="0.25">
      <c r="A39" s="20">
        <v>39051</v>
      </c>
      <c r="B39" s="24">
        <f t="shared" si="7"/>
        <v>23</v>
      </c>
      <c r="C39" s="17" t="s">
        <v>77</v>
      </c>
      <c r="D39" s="27">
        <v>2.5099999999999998</v>
      </c>
      <c r="E39" s="46">
        <f t="shared" si="3"/>
        <v>1354284.3859330821</v>
      </c>
      <c r="F39" s="8"/>
      <c r="I39" s="39"/>
      <c r="J39" s="20">
        <f t="shared" si="2"/>
        <v>39051</v>
      </c>
      <c r="K39" s="27">
        <v>2.612206642588784</v>
      </c>
      <c r="L39" s="46">
        <f t="shared" si="4"/>
        <v>1232625.389149324</v>
      </c>
      <c r="M39" s="8"/>
      <c r="O39" s="39"/>
      <c r="P39" s="20">
        <f t="shared" si="5"/>
        <v>39051</v>
      </c>
      <c r="Q39" s="45">
        <v>2.3436370471040737</v>
      </c>
      <c r="R39" s="46">
        <f t="shared" si="6"/>
        <v>1320505.1673320157</v>
      </c>
      <c r="S39" s="8"/>
      <c r="U39" s="39"/>
    </row>
    <row r="40" spans="1:21" x14ac:dyDescent="0.25">
      <c r="A40" s="20">
        <v>39082</v>
      </c>
      <c r="B40" s="24">
        <f t="shared" si="7"/>
        <v>24</v>
      </c>
      <c r="C40" s="17" t="s">
        <v>77</v>
      </c>
      <c r="D40" s="27">
        <v>1.56</v>
      </c>
      <c r="E40" s="46">
        <f t="shared" si="3"/>
        <v>1375411.2223536381</v>
      </c>
      <c r="F40" s="11">
        <f>(E40-E28)/E28*100</f>
        <v>23.762111800092654</v>
      </c>
      <c r="G40" s="5">
        <f>(E40/E37-1)*100</f>
        <v>8.9189990071999894</v>
      </c>
      <c r="H40" s="5"/>
      <c r="I40" s="39"/>
      <c r="J40" s="20">
        <f t="shared" si="2"/>
        <v>39082</v>
      </c>
      <c r="K40" s="27">
        <v>0.32945035951302504</v>
      </c>
      <c r="L40" s="46">
        <f t="shared" si="4"/>
        <v>1236686.2779253253</v>
      </c>
      <c r="M40" s="11">
        <f>(L40-L28)/L28*100</f>
        <v>18.329849625407217</v>
      </c>
      <c r="N40" s="5">
        <f>(L40/L37-1)*100</f>
        <v>8.877273658963647</v>
      </c>
      <c r="O40" s="39"/>
      <c r="P40" s="20">
        <f t="shared" si="5"/>
        <v>39082</v>
      </c>
      <c r="Q40" s="45">
        <v>0.75296311469620703</v>
      </c>
      <c r="R40" s="46">
        <f t="shared" si="6"/>
        <v>1330448.0841696833</v>
      </c>
      <c r="S40" s="11">
        <f>(R40-R28)/R28*100</f>
        <v>23.286487234005818</v>
      </c>
      <c r="T40" s="5">
        <f>(R40/R37-1)*100</f>
        <v>6.9955143495807004</v>
      </c>
      <c r="U40" s="39"/>
    </row>
    <row r="41" spans="1:21" x14ac:dyDescent="0.25">
      <c r="A41" s="20">
        <v>39113</v>
      </c>
      <c r="B41" s="24">
        <f t="shared" si="7"/>
        <v>25</v>
      </c>
      <c r="C41" s="17" t="s">
        <v>77</v>
      </c>
      <c r="D41" s="27">
        <v>0.49</v>
      </c>
      <c r="E41" s="46">
        <f t="shared" si="3"/>
        <v>1382150.7373431709</v>
      </c>
      <c r="F41" s="10"/>
      <c r="I41" s="39"/>
      <c r="J41" s="20">
        <f t="shared" si="2"/>
        <v>39113</v>
      </c>
      <c r="K41" s="27">
        <v>1.6727064058796588</v>
      </c>
      <c r="L41" s="46">
        <f t="shared" si="4"/>
        <v>1257372.408516817</v>
      </c>
      <c r="M41" s="10"/>
      <c r="O41" s="39"/>
      <c r="P41" s="20">
        <f t="shared" si="5"/>
        <v>39113</v>
      </c>
      <c r="Q41" s="45">
        <v>0.97448121144138133</v>
      </c>
      <c r="R41" s="46">
        <f t="shared" si="6"/>
        <v>1343413.0507778986</v>
      </c>
      <c r="S41" s="10"/>
      <c r="U41" s="39"/>
    </row>
    <row r="42" spans="1:21" x14ac:dyDescent="0.25">
      <c r="A42" s="20">
        <v>39141</v>
      </c>
      <c r="B42" s="24">
        <f t="shared" si="7"/>
        <v>26</v>
      </c>
      <c r="C42" s="17" t="s">
        <v>77</v>
      </c>
      <c r="D42" s="27">
        <v>0.92</v>
      </c>
      <c r="E42" s="46">
        <f t="shared" si="3"/>
        <v>1394866.5241267281</v>
      </c>
      <c r="F42" s="8"/>
      <c r="I42" s="39"/>
      <c r="J42" s="20">
        <f t="shared" si="2"/>
        <v>39141</v>
      </c>
      <c r="K42" s="27">
        <v>-0.79595440194727496</v>
      </c>
      <c r="L42" s="46">
        <f t="shared" si="4"/>
        <v>1247364.2974823569</v>
      </c>
      <c r="M42" s="8"/>
      <c r="O42" s="39"/>
      <c r="P42" s="20">
        <f t="shared" si="5"/>
        <v>39141</v>
      </c>
      <c r="Q42" s="45">
        <v>-0.81094216482677661</v>
      </c>
      <c r="R42" s="46">
        <f t="shared" si="6"/>
        <v>1332518.7479013549</v>
      </c>
      <c r="S42" s="8"/>
      <c r="U42" s="39"/>
    </row>
    <row r="43" spans="1:21" x14ac:dyDescent="0.25">
      <c r="A43" s="20">
        <v>39172</v>
      </c>
      <c r="B43" s="24">
        <f t="shared" si="7"/>
        <v>27</v>
      </c>
      <c r="C43" s="17" t="s">
        <v>77</v>
      </c>
      <c r="D43" s="27">
        <v>2.62</v>
      </c>
      <c r="E43" s="46">
        <f t="shared" si="3"/>
        <v>1431412.0270588484</v>
      </c>
      <c r="F43" s="8"/>
      <c r="G43" s="5">
        <f>(E43/E40-1)*100</f>
        <v>4.07156810960001</v>
      </c>
      <c r="H43" s="5"/>
      <c r="I43" s="39"/>
      <c r="J43" s="20">
        <f t="shared" si="2"/>
        <v>39172</v>
      </c>
      <c r="K43" s="27">
        <v>1.0712640086027962</v>
      </c>
      <c r="L43" s="46">
        <f t="shared" si="4"/>
        <v>1260726.8622574464</v>
      </c>
      <c r="M43" s="8"/>
      <c r="N43" s="5">
        <f>(L43/L40-1)*100</f>
        <v>1.94395173305002</v>
      </c>
      <c r="O43" s="39"/>
      <c r="P43" s="20">
        <f t="shared" si="5"/>
        <v>39172</v>
      </c>
      <c r="Q43" s="45">
        <v>0.45918438773082926</v>
      </c>
      <c r="R43" s="46">
        <f t="shared" si="6"/>
        <v>1338637.4659553042</v>
      </c>
      <c r="S43" s="8"/>
      <c r="T43" s="5">
        <f>(R43/R40-1)*100</f>
        <v>0.61553561413347779</v>
      </c>
      <c r="U43" s="39"/>
    </row>
    <row r="44" spans="1:21" x14ac:dyDescent="0.25">
      <c r="A44" s="20">
        <v>39202</v>
      </c>
      <c r="B44" s="24">
        <f t="shared" si="7"/>
        <v>28</v>
      </c>
      <c r="C44" s="17" t="s">
        <v>77</v>
      </c>
      <c r="D44" s="27">
        <v>1.68</v>
      </c>
      <c r="E44" s="46">
        <f t="shared" si="3"/>
        <v>1455459.749113437</v>
      </c>
      <c r="F44" s="8"/>
      <c r="I44" s="39"/>
      <c r="J44" s="20">
        <f t="shared" si="2"/>
        <v>39202</v>
      </c>
      <c r="K44" s="27">
        <v>1.8031780488134448</v>
      </c>
      <c r="L44" s="46">
        <f t="shared" si="4"/>
        <v>1283460.0122931672</v>
      </c>
      <c r="M44" s="8"/>
      <c r="O44" s="39"/>
      <c r="P44" s="20">
        <f t="shared" si="5"/>
        <v>39202</v>
      </c>
      <c r="Q44" s="45">
        <v>0.45847907579536551</v>
      </c>
      <c r="R44" s="46">
        <f t="shared" si="6"/>
        <v>1344774.8386374665</v>
      </c>
      <c r="S44" s="8"/>
      <c r="U44" s="39"/>
    </row>
    <row r="45" spans="1:21" x14ac:dyDescent="0.25">
      <c r="A45" s="20">
        <v>39233</v>
      </c>
      <c r="B45" s="24">
        <f t="shared" si="7"/>
        <v>29</v>
      </c>
      <c r="C45" s="17" t="s">
        <v>77</v>
      </c>
      <c r="D45" s="27">
        <v>2.66</v>
      </c>
      <c r="E45" s="46">
        <f t="shared" si="3"/>
        <v>1494174.9784398545</v>
      </c>
      <c r="F45" s="8"/>
      <c r="I45" s="39"/>
      <c r="J45" s="20">
        <f t="shared" si="2"/>
        <v>39233</v>
      </c>
      <c r="K45" s="27">
        <v>4.0958469830874584</v>
      </c>
      <c r="L45" s="46">
        <f t="shared" si="4"/>
        <v>1336028.5704858107</v>
      </c>
      <c r="M45" s="8"/>
      <c r="O45" s="39"/>
      <c r="P45" s="20">
        <f t="shared" si="5"/>
        <v>39233</v>
      </c>
      <c r="Q45" s="45">
        <v>3.0948285428920292</v>
      </c>
      <c r="R45" s="46">
        <f t="shared" si="6"/>
        <v>1386393.3141812491</v>
      </c>
      <c r="S45" s="8"/>
      <c r="U45" s="39"/>
    </row>
    <row r="46" spans="1:21" x14ac:dyDescent="0.25">
      <c r="A46" s="20">
        <v>39263</v>
      </c>
      <c r="B46" s="24">
        <f t="shared" si="7"/>
        <v>30</v>
      </c>
      <c r="C46" s="17" t="s">
        <v>77</v>
      </c>
      <c r="D46" s="27">
        <v>-0.74</v>
      </c>
      <c r="E46" s="46">
        <f t="shared" si="3"/>
        <v>1483118.0835993995</v>
      </c>
      <c r="F46" s="8"/>
      <c r="G46" s="5">
        <f>(E46/E43-1)*100</f>
        <v>3.6122413088000016</v>
      </c>
      <c r="H46" s="5"/>
      <c r="I46" s="39"/>
      <c r="J46" s="20">
        <f t="shared" si="2"/>
        <v>39263</v>
      </c>
      <c r="K46" s="27">
        <v>-1.4472308009532144</v>
      </c>
      <c r="L46" s="46">
        <f t="shared" si="4"/>
        <v>1316693.1535042052</v>
      </c>
      <c r="M46" s="8"/>
      <c r="N46" s="5">
        <f>(L46/L43-1)*100</f>
        <v>4.439208279146678</v>
      </c>
      <c r="O46" s="39"/>
      <c r="P46" s="20">
        <f t="shared" si="5"/>
        <v>39263</v>
      </c>
      <c r="Q46" s="45">
        <v>-3.560327776207973</v>
      </c>
      <c r="R46" s="46">
        <f t="shared" si="6"/>
        <v>1337033.1679289639</v>
      </c>
      <c r="S46" s="8"/>
      <c r="T46" s="5">
        <f>(R46/R43-1)*100</f>
        <v>-0.11984559428085406</v>
      </c>
      <c r="U46" s="39"/>
    </row>
    <row r="47" spans="1:21" x14ac:dyDescent="0.25">
      <c r="A47" s="20">
        <v>39294</v>
      </c>
      <c r="B47" s="24">
        <f t="shared" si="7"/>
        <v>31</v>
      </c>
      <c r="C47" s="17" t="s">
        <v>77</v>
      </c>
      <c r="D47" s="27">
        <v>-5.33</v>
      </c>
      <c r="E47" s="46">
        <f t="shared" si="3"/>
        <v>1404067.8897435516</v>
      </c>
      <c r="F47" s="8"/>
      <c r="I47" s="39"/>
      <c r="J47" s="20">
        <f t="shared" si="2"/>
        <v>39294</v>
      </c>
      <c r="K47" s="27">
        <v>-6.8491486921646274</v>
      </c>
      <c r="L47" s="46">
        <f t="shared" si="4"/>
        <v>1226510.8816011506</v>
      </c>
      <c r="M47" s="8"/>
      <c r="O47" s="39"/>
      <c r="P47" s="20">
        <f t="shared" si="5"/>
        <v>39294</v>
      </c>
      <c r="Q47" s="45">
        <v>-7.2830773094470782</v>
      </c>
      <c r="R47" s="46">
        <f t="shared" si="6"/>
        <v>1239656.0086557481</v>
      </c>
      <c r="S47" s="8"/>
      <c r="U47" s="39"/>
    </row>
    <row r="48" spans="1:21" x14ac:dyDescent="0.25">
      <c r="A48" s="20">
        <v>39325</v>
      </c>
      <c r="B48" s="24">
        <f t="shared" si="7"/>
        <v>32</v>
      </c>
      <c r="C48" s="17" t="s">
        <v>77</v>
      </c>
      <c r="D48" s="27">
        <v>1.39</v>
      </c>
      <c r="E48" s="46">
        <f t="shared" si="3"/>
        <v>1423584.433410987</v>
      </c>
      <c r="F48" s="8"/>
      <c r="I48" s="39"/>
      <c r="J48" s="20">
        <f t="shared" ref="J48:J79" si="8">A48</f>
        <v>39325</v>
      </c>
      <c r="K48" s="27">
        <v>2.2606153019913986</v>
      </c>
      <c r="L48" s="46">
        <f t="shared" si="4"/>
        <v>1254237.5742712158</v>
      </c>
      <c r="M48" s="8"/>
      <c r="O48" s="39"/>
      <c r="P48" s="20">
        <f t="shared" si="5"/>
        <v>39325</v>
      </c>
      <c r="Q48" s="45">
        <v>5.0592147833807362</v>
      </c>
      <c r="R48" s="46">
        <f t="shared" si="6"/>
        <v>1302372.8687087272</v>
      </c>
      <c r="S48" s="8"/>
      <c r="U48" s="39"/>
    </row>
    <row r="49" spans="1:21" x14ac:dyDescent="0.25">
      <c r="A49" s="20">
        <v>39355</v>
      </c>
      <c r="B49" s="24">
        <f t="shared" si="7"/>
        <v>33</v>
      </c>
      <c r="C49" s="17" t="s">
        <v>77</v>
      </c>
      <c r="D49" s="27">
        <v>-0.71</v>
      </c>
      <c r="E49" s="46">
        <f t="shared" ref="E49:E80" si="9">E48*D49/100+E48</f>
        <v>1413476.9839337689</v>
      </c>
      <c r="F49" s="8"/>
      <c r="G49" s="5">
        <f>(E49/E46-1)*100</f>
        <v>-4.6955869822999929</v>
      </c>
      <c r="H49" s="5"/>
      <c r="I49" s="39"/>
      <c r="J49" s="20">
        <f t="shared" si="8"/>
        <v>39355</v>
      </c>
      <c r="K49" s="27">
        <v>1.7155100472567253</v>
      </c>
      <c r="L49" s="46">
        <f t="shared" ref="L49:L80" si="10">L48*K49/100+L48</f>
        <v>1275754.1458743075</v>
      </c>
      <c r="M49" s="8"/>
      <c r="N49" s="5">
        <f>(L49/L46-1)*100</f>
        <v>-3.1092291716520171</v>
      </c>
      <c r="O49" s="39"/>
      <c r="P49" s="20">
        <f t="shared" si="5"/>
        <v>39355</v>
      </c>
      <c r="Q49" s="45">
        <v>0.90668194514073497</v>
      </c>
      <c r="R49" s="46">
        <f t="shared" ref="R49:R80" si="11">R48*Q49/100+R48</f>
        <v>1314181.2483677207</v>
      </c>
      <c r="S49" s="8"/>
      <c r="T49" s="5">
        <f>(R49/R46-1)*100</f>
        <v>-1.7091512843051104</v>
      </c>
      <c r="U49" s="39"/>
    </row>
    <row r="50" spans="1:21" x14ac:dyDescent="0.25">
      <c r="A50" s="20">
        <v>39386</v>
      </c>
      <c r="B50" s="24">
        <f t="shared" si="7"/>
        <v>34</v>
      </c>
      <c r="C50" s="17" t="s">
        <v>77</v>
      </c>
      <c r="D50" s="27">
        <v>0.87</v>
      </c>
      <c r="E50" s="46">
        <f t="shared" si="9"/>
        <v>1425774.2336939927</v>
      </c>
      <c r="F50" s="8"/>
      <c r="I50" s="39"/>
      <c r="J50" s="20">
        <f t="shared" si="8"/>
        <v>39386</v>
      </c>
      <c r="K50" s="27">
        <v>2.8691339798555933</v>
      </c>
      <c r="L50" s="46">
        <f t="shared" si="10"/>
        <v>1312357.2415730038</v>
      </c>
      <c r="M50" s="8"/>
      <c r="O50" s="39"/>
      <c r="P50" s="20">
        <f t="shared" si="5"/>
        <v>39386</v>
      </c>
      <c r="Q50" s="45">
        <v>0.28389734272087214</v>
      </c>
      <c r="R50" s="46">
        <f t="shared" si="11"/>
        <v>1317912.1740103727</v>
      </c>
      <c r="S50" s="8"/>
      <c r="U50" s="39"/>
    </row>
    <row r="51" spans="1:21" x14ac:dyDescent="0.25">
      <c r="A51" s="20">
        <v>39416</v>
      </c>
      <c r="B51" s="24">
        <f t="shared" si="7"/>
        <v>35</v>
      </c>
      <c r="C51" s="17" t="s">
        <v>77</v>
      </c>
      <c r="D51" s="27">
        <v>-5.34</v>
      </c>
      <c r="E51" s="46">
        <f t="shared" si="9"/>
        <v>1349637.8896147334</v>
      </c>
      <c r="F51" s="8"/>
      <c r="I51" s="39"/>
      <c r="J51" s="20">
        <f t="shared" si="8"/>
        <v>39416</v>
      </c>
      <c r="K51" s="27">
        <v>-7.1842178476465648</v>
      </c>
      <c r="L51" s="46">
        <f t="shared" si="10"/>
        <v>1218074.6383990338</v>
      </c>
      <c r="M51" s="8"/>
      <c r="O51" s="39"/>
      <c r="P51" s="20">
        <f t="shared" si="5"/>
        <v>39416</v>
      </c>
      <c r="Q51" s="45">
        <v>-4.9753708526780622</v>
      </c>
      <c r="R51" s="46">
        <f t="shared" si="11"/>
        <v>1252341.1558407648</v>
      </c>
      <c r="S51" s="8"/>
      <c r="U51" s="39"/>
    </row>
    <row r="52" spans="1:21" x14ac:dyDescent="0.25">
      <c r="A52" s="20">
        <v>39447</v>
      </c>
      <c r="B52" s="24">
        <f t="shared" si="7"/>
        <v>36</v>
      </c>
      <c r="C52" s="17" t="s">
        <v>77</v>
      </c>
      <c r="D52" s="27">
        <v>-0.61</v>
      </c>
      <c r="E52" s="46">
        <f t="shared" si="9"/>
        <v>1341405.0984880836</v>
      </c>
      <c r="F52" s="11">
        <f>(E52-E40)/E40*100</f>
        <v>-2.4724332121823496</v>
      </c>
      <c r="G52" s="5">
        <f>(E52/E49-1)*100</f>
        <v>-5.0989076062000098</v>
      </c>
      <c r="H52" s="5"/>
      <c r="I52" s="39"/>
      <c r="J52" s="20">
        <f t="shared" si="8"/>
        <v>39447</v>
      </c>
      <c r="K52" s="27">
        <v>-7.9516184775396917E-2</v>
      </c>
      <c r="L52" s="46">
        <f t="shared" si="10"/>
        <v>1217106.0719188622</v>
      </c>
      <c r="M52" s="11">
        <f>(L52-L40)/L40*100</f>
        <v>-1.5832799600001273</v>
      </c>
      <c r="N52" s="5">
        <f>(L52/L49-1)*100</f>
        <v>-4.597129795353494</v>
      </c>
      <c r="O52" s="39"/>
      <c r="P52" s="20">
        <f t="shared" si="5"/>
        <v>39447</v>
      </c>
      <c r="Q52" s="45">
        <v>-1.9736940103972709</v>
      </c>
      <c r="R52" s="46">
        <f t="shared" si="11"/>
        <v>1227623.7734581956</v>
      </c>
      <c r="S52" s="11">
        <f>(R52-R40)/R40*100</f>
        <v>-7.7285473920359005</v>
      </c>
      <c r="T52" s="5">
        <f>(R52/R49-1)*100</f>
        <v>-6.5864183511242347</v>
      </c>
      <c r="U52" s="39"/>
    </row>
    <row r="53" spans="1:21" x14ac:dyDescent="0.25">
      <c r="A53" s="20">
        <v>39478</v>
      </c>
      <c r="B53" s="24">
        <f t="shared" si="7"/>
        <v>37</v>
      </c>
      <c r="C53" s="17" t="s">
        <v>77</v>
      </c>
      <c r="D53" s="27">
        <v>-4.28</v>
      </c>
      <c r="E53" s="46">
        <f t="shared" si="9"/>
        <v>1283992.9602727937</v>
      </c>
      <c r="F53" s="10"/>
      <c r="I53" s="39"/>
      <c r="J53" s="20">
        <f t="shared" si="8"/>
        <v>39478</v>
      </c>
      <c r="K53" s="27">
        <v>-6.8218300174593134</v>
      </c>
      <c r="L53" s="46">
        <f t="shared" si="10"/>
        <v>1134077.1645603813</v>
      </c>
      <c r="M53" s="10"/>
      <c r="O53" s="39"/>
      <c r="P53" s="20">
        <f t="shared" si="5"/>
        <v>39478</v>
      </c>
      <c r="Q53" s="45">
        <v>-1.6274617067833752</v>
      </c>
      <c r="R53" s="46">
        <f t="shared" si="11"/>
        <v>1207644.6666417944</v>
      </c>
      <c r="S53" s="10"/>
      <c r="U53" s="39"/>
    </row>
    <row r="54" spans="1:21" x14ac:dyDescent="0.25">
      <c r="A54" s="20">
        <v>39507</v>
      </c>
      <c r="B54" s="24">
        <f t="shared" si="7"/>
        <v>38</v>
      </c>
      <c r="C54" s="17" t="s">
        <v>77</v>
      </c>
      <c r="D54" s="27">
        <v>-2.29</v>
      </c>
      <c r="E54" s="46">
        <f t="shared" si="9"/>
        <v>1254589.5214825466</v>
      </c>
      <c r="F54" s="8"/>
      <c r="I54" s="39"/>
      <c r="J54" s="20">
        <f t="shared" si="8"/>
        <v>39507</v>
      </c>
      <c r="K54" s="27">
        <v>-3.7078602875970117</v>
      </c>
      <c r="L54" s="46">
        <f t="shared" si="10"/>
        <v>1092027.1677449408</v>
      </c>
      <c r="M54" s="8"/>
      <c r="O54" s="39"/>
      <c r="P54" s="20">
        <f t="shared" si="5"/>
        <v>39507</v>
      </c>
      <c r="Q54" s="45">
        <v>-3.5806416732316837</v>
      </c>
      <c r="R54" s="46">
        <f t="shared" si="11"/>
        <v>1164403.2384434585</v>
      </c>
      <c r="S54" s="8"/>
      <c r="U54" s="39"/>
    </row>
    <row r="55" spans="1:21" x14ac:dyDescent="0.25">
      <c r="A55" s="20">
        <v>39538</v>
      </c>
      <c r="B55" s="24">
        <f t="shared" si="7"/>
        <v>39</v>
      </c>
      <c r="C55" s="17" t="s">
        <v>77</v>
      </c>
      <c r="D55" s="27">
        <v>-7.0000000000000007E-2</v>
      </c>
      <c r="E55" s="46">
        <f t="shared" si="9"/>
        <v>1253711.3088175089</v>
      </c>
      <c r="F55" s="8"/>
      <c r="G55" s="5">
        <f>(E55/E52-1)*100</f>
        <v>-6.5374576083999987</v>
      </c>
      <c r="H55" s="5"/>
      <c r="I55" s="39"/>
      <c r="J55" s="20">
        <f t="shared" si="8"/>
        <v>39538</v>
      </c>
      <c r="K55" s="27">
        <v>0.41544824942129316</v>
      </c>
      <c r="L55" s="46">
        <f t="shared" si="10"/>
        <v>1096563.9754965422</v>
      </c>
      <c r="M55" s="8"/>
      <c r="N55" s="5">
        <f>(L55/L52-1)*100</f>
        <v>-9.9039926924590951</v>
      </c>
      <c r="O55" s="39"/>
      <c r="P55" s="20">
        <f t="shared" si="5"/>
        <v>39538</v>
      </c>
      <c r="Q55" s="45">
        <v>1.0926160303753563</v>
      </c>
      <c r="R55" s="46">
        <f t="shared" si="11"/>
        <v>1177125.6948849014</v>
      </c>
      <c r="S55" s="8"/>
      <c r="T55" s="5">
        <f>(R55/R52-1)*100</f>
        <v>-4.1134816435691839</v>
      </c>
      <c r="U55" s="39"/>
    </row>
    <row r="56" spans="1:21" x14ac:dyDescent="0.25">
      <c r="A56" s="20">
        <v>39568</v>
      </c>
      <c r="B56" s="24">
        <f t="shared" si="7"/>
        <v>40</v>
      </c>
      <c r="C56" s="17" t="s">
        <v>77</v>
      </c>
      <c r="D56" s="27">
        <v>2.94</v>
      </c>
      <c r="E56" s="46">
        <f t="shared" si="9"/>
        <v>1290570.4212967437</v>
      </c>
      <c r="F56" s="8"/>
      <c r="I56" s="39"/>
      <c r="J56" s="20">
        <f t="shared" si="8"/>
        <v>39568</v>
      </c>
      <c r="K56" s="27">
        <v>4.1862234443964139</v>
      </c>
      <c r="L56" s="46">
        <f t="shared" si="10"/>
        <v>1142468.5937215837</v>
      </c>
      <c r="M56" s="8"/>
      <c r="O56" s="39"/>
      <c r="P56" s="20">
        <f t="shared" si="5"/>
        <v>39568</v>
      </c>
      <c r="Q56" s="45">
        <v>3.1948780526457532</v>
      </c>
      <c r="R56" s="46">
        <f t="shared" si="11"/>
        <v>1214733.4253628328</v>
      </c>
      <c r="S56" s="8"/>
      <c r="U56" s="39"/>
    </row>
    <row r="57" spans="1:21" x14ac:dyDescent="0.25">
      <c r="A57" s="20">
        <v>39599</v>
      </c>
      <c r="B57" s="24">
        <f t="shared" si="7"/>
        <v>41</v>
      </c>
      <c r="C57" s="17" t="s">
        <v>77</v>
      </c>
      <c r="D57" s="27">
        <v>2.5099999999999998</v>
      </c>
      <c r="E57" s="46">
        <f t="shared" si="9"/>
        <v>1322963.738871292</v>
      </c>
      <c r="F57" s="8"/>
      <c r="I57" s="39"/>
      <c r="J57" s="20">
        <f t="shared" si="8"/>
        <v>39599</v>
      </c>
      <c r="K57" s="27">
        <v>4.5934680742395937</v>
      </c>
      <c r="L57" s="46">
        <f t="shared" si="10"/>
        <v>1194947.5238323987</v>
      </c>
      <c r="M57" s="8"/>
      <c r="O57" s="39"/>
      <c r="P57" s="20">
        <f t="shared" si="5"/>
        <v>39599</v>
      </c>
      <c r="Q57" s="45">
        <v>3.8807070350292698</v>
      </c>
      <c r="R57" s="46">
        <f t="shared" si="11"/>
        <v>1261873.6708577403</v>
      </c>
      <c r="S57" s="8"/>
      <c r="U57" s="39"/>
    </row>
    <row r="58" spans="1:21" x14ac:dyDescent="0.25">
      <c r="A58" s="20">
        <v>39629</v>
      </c>
      <c r="B58" s="24">
        <f t="shared" si="7"/>
        <v>42</v>
      </c>
      <c r="C58" s="17" t="s">
        <v>77</v>
      </c>
      <c r="D58" s="27">
        <v>-6.86</v>
      </c>
      <c r="E58" s="46">
        <f t="shared" si="9"/>
        <v>1232208.4263847214</v>
      </c>
      <c r="F58" s="8"/>
      <c r="G58" s="5">
        <f>(E58/E55-1)*100</f>
        <v>-1.715138268399985</v>
      </c>
      <c r="H58" s="5"/>
      <c r="I58" s="39"/>
      <c r="J58" s="20">
        <f t="shared" si="8"/>
        <v>39629</v>
      </c>
      <c r="K58" s="27">
        <v>-7.6986079089839636</v>
      </c>
      <c r="L58" s="46">
        <f t="shared" si="10"/>
        <v>1102953.1992544297</v>
      </c>
      <c r="M58" s="8"/>
      <c r="N58" s="5">
        <f>(L58/L55-1)*100</f>
        <v>0.58265854985746213</v>
      </c>
      <c r="O58" s="39"/>
      <c r="P58" s="20">
        <f t="shared" si="5"/>
        <v>39629</v>
      </c>
      <c r="Q58" s="45">
        <v>-5.6649518065164752</v>
      </c>
      <c r="R58" s="46">
        <f t="shared" si="11"/>
        <v>1190389.135544529</v>
      </c>
      <c r="S58" s="8"/>
      <c r="T58" s="5">
        <f>(R58/R55-1)*100</f>
        <v>1.126765027495602</v>
      </c>
      <c r="U58" s="39"/>
    </row>
    <row r="59" spans="1:21" x14ac:dyDescent="0.25">
      <c r="A59" s="20">
        <v>39660</v>
      </c>
      <c r="B59" s="24">
        <f t="shared" si="7"/>
        <v>43</v>
      </c>
      <c r="C59" s="17" t="s">
        <v>77</v>
      </c>
      <c r="D59" s="27">
        <v>4.62</v>
      </c>
      <c r="E59" s="46">
        <f t="shared" si="9"/>
        <v>1289136.4556836956</v>
      </c>
      <c r="F59" s="8"/>
      <c r="I59" s="39"/>
      <c r="J59" s="20">
        <f t="shared" si="8"/>
        <v>39660</v>
      </c>
      <c r="K59" s="27">
        <v>3.6993092320346128</v>
      </c>
      <c r="L59" s="46">
        <f t="shared" si="10"/>
        <v>1143754.84877947</v>
      </c>
      <c r="M59" s="8"/>
      <c r="O59" s="39"/>
      <c r="P59" s="20">
        <f t="shared" si="5"/>
        <v>39660</v>
      </c>
      <c r="Q59" s="45">
        <v>2.9336175014103971</v>
      </c>
      <c r="R59" s="46">
        <f t="shared" si="11"/>
        <v>1225310.5995597511</v>
      </c>
      <c r="S59" s="8"/>
      <c r="U59" s="39"/>
    </row>
    <row r="60" spans="1:21" x14ac:dyDescent="0.25">
      <c r="A60" s="20">
        <v>39691</v>
      </c>
      <c r="B60" s="24">
        <f t="shared" si="7"/>
        <v>44</v>
      </c>
      <c r="C60" s="17" t="s">
        <v>77</v>
      </c>
      <c r="D60" s="27">
        <v>2.36</v>
      </c>
      <c r="E60" s="46">
        <f t="shared" si="9"/>
        <v>1319560.0760378309</v>
      </c>
      <c r="F60" s="8"/>
      <c r="I60" s="39"/>
      <c r="J60" s="20">
        <f t="shared" si="8"/>
        <v>39691</v>
      </c>
      <c r="K60" s="27">
        <v>3.6106699836766079</v>
      </c>
      <c r="L60" s="46">
        <f t="shared" si="10"/>
        <v>1185052.061791196</v>
      </c>
      <c r="M60" s="8"/>
      <c r="O60" s="39"/>
      <c r="P60" s="20">
        <f t="shared" si="5"/>
        <v>39691</v>
      </c>
      <c r="Q60" s="45">
        <v>5.2539431216125676</v>
      </c>
      <c r="R60" s="46">
        <f t="shared" si="11"/>
        <v>1289687.7215237103</v>
      </c>
      <c r="S60" s="8"/>
      <c r="U60" s="39"/>
    </row>
    <row r="61" spans="1:21" x14ac:dyDescent="0.25">
      <c r="A61" s="20">
        <v>39721</v>
      </c>
      <c r="B61" s="24">
        <f t="shared" si="7"/>
        <v>45</v>
      </c>
      <c r="C61" s="17" t="s">
        <v>77</v>
      </c>
      <c r="D61" s="27">
        <v>-4.62</v>
      </c>
      <c r="E61" s="46">
        <f t="shared" si="9"/>
        <v>1258596.4005248831</v>
      </c>
      <c r="F61" s="8"/>
      <c r="G61" s="5">
        <f>(E61/E58-1)*100</f>
        <v>2.1415187215999998</v>
      </c>
      <c r="H61" s="5"/>
      <c r="I61" s="39"/>
      <c r="J61" s="20">
        <f t="shared" si="8"/>
        <v>39721</v>
      </c>
      <c r="K61" s="27">
        <v>-7.9685893301630051</v>
      </c>
      <c r="L61" s="46">
        <f t="shared" si="10"/>
        <v>1090620.129638426</v>
      </c>
      <c r="M61" s="8"/>
      <c r="N61" s="5">
        <f>(L61/L58-1)*100</f>
        <v>-1.1181861228872214</v>
      </c>
      <c r="O61" s="39"/>
      <c r="P61" s="20">
        <f t="shared" si="5"/>
        <v>39721</v>
      </c>
      <c r="Q61" s="45">
        <v>-3.7810081724162847</v>
      </c>
      <c r="R61" s="46">
        <f t="shared" si="11"/>
        <v>1240924.5233742495</v>
      </c>
      <c r="S61" s="8"/>
      <c r="T61" s="5">
        <f>(R61/R58-1)*100</f>
        <v>4.2452830188679291</v>
      </c>
      <c r="U61" s="39"/>
    </row>
    <row r="62" spans="1:21" x14ac:dyDescent="0.25">
      <c r="A62" s="20">
        <v>39752</v>
      </c>
      <c r="B62" s="24">
        <f t="shared" si="7"/>
        <v>46</v>
      </c>
      <c r="C62" s="17" t="s">
        <v>77</v>
      </c>
      <c r="D62" s="27">
        <v>-10.33</v>
      </c>
      <c r="E62" s="46">
        <f t="shared" si="9"/>
        <v>1128583.3923506627</v>
      </c>
      <c r="F62" s="8"/>
      <c r="I62" s="39"/>
      <c r="J62" s="20">
        <f t="shared" si="8"/>
        <v>39752</v>
      </c>
      <c r="K62" s="27">
        <v>-20.8092308224881</v>
      </c>
      <c r="L62" s="46">
        <f t="shared" si="10"/>
        <v>863670.46946544701</v>
      </c>
      <c r="M62" s="8"/>
      <c r="O62" s="39"/>
      <c r="P62" s="20">
        <f t="shared" si="5"/>
        <v>39752</v>
      </c>
      <c r="Q62" s="45">
        <v>-17.340388749417478</v>
      </c>
      <c r="R62" s="46">
        <f t="shared" si="11"/>
        <v>1025743.3869342987</v>
      </c>
      <c r="S62" s="8"/>
      <c r="U62" s="39"/>
    </row>
    <row r="63" spans="1:21" x14ac:dyDescent="0.25">
      <c r="A63" s="20">
        <v>39782</v>
      </c>
      <c r="B63" s="24">
        <f t="shared" si="7"/>
        <v>47</v>
      </c>
      <c r="C63" s="17" t="s">
        <v>77</v>
      </c>
      <c r="D63" s="27">
        <v>-12.67</v>
      </c>
      <c r="E63" s="46">
        <f t="shared" si="9"/>
        <v>985591.87653983373</v>
      </c>
      <c r="F63" s="8"/>
      <c r="I63" s="39"/>
      <c r="J63" s="20">
        <f t="shared" si="8"/>
        <v>39782</v>
      </c>
      <c r="K63" s="27">
        <v>-11.830901621443356</v>
      </c>
      <c r="L63" s="46">
        <f t="shared" si="10"/>
        <v>761490.465889532</v>
      </c>
      <c r="M63" s="8"/>
      <c r="O63" s="39"/>
      <c r="P63" s="20">
        <f t="shared" si="5"/>
        <v>39782</v>
      </c>
      <c r="Q63" s="45">
        <v>-6.7562652311497429</v>
      </c>
      <c r="R63" s="46">
        <f t="shared" si="11"/>
        <v>956441.44312203885</v>
      </c>
      <c r="S63" s="8"/>
      <c r="U63" s="39"/>
    </row>
    <row r="64" spans="1:21" x14ac:dyDescent="0.25">
      <c r="A64" s="20">
        <v>39813</v>
      </c>
      <c r="B64" s="24">
        <f t="shared" si="7"/>
        <v>48</v>
      </c>
      <c r="C64" s="17" t="s">
        <v>77</v>
      </c>
      <c r="D64" s="27">
        <v>1.42</v>
      </c>
      <c r="E64" s="46">
        <f t="shared" si="9"/>
        <v>999587.2811866994</v>
      </c>
      <c r="F64" s="11">
        <f>(E64-E52)/E52*100</f>
        <v>-25.482072320036043</v>
      </c>
      <c r="G64" s="5">
        <f>(E64/E61-1)*100</f>
        <v>-20.579203883799991</v>
      </c>
      <c r="H64" s="5"/>
      <c r="I64" s="39"/>
      <c r="J64" s="20">
        <f t="shared" si="8"/>
        <v>39813</v>
      </c>
      <c r="K64" s="27">
        <v>5.7889676002185517</v>
      </c>
      <c r="L64" s="46">
        <f t="shared" si="10"/>
        <v>805572.90223863034</v>
      </c>
      <c r="M64" s="11">
        <f>(L64-L52)/L52*100</f>
        <v>-33.812432554166612</v>
      </c>
      <c r="N64" s="5">
        <f>(L64/L61-1)*100</f>
        <v>-26.13625217923472</v>
      </c>
      <c r="O64" s="39"/>
      <c r="P64" s="20">
        <f t="shared" si="5"/>
        <v>39813</v>
      </c>
      <c r="Q64" s="45">
        <v>5.5177390727701745</v>
      </c>
      <c r="R64" s="46">
        <f t="shared" si="11"/>
        <v>1009215.3863373505</v>
      </c>
      <c r="S64" s="11">
        <f>(R64-R52)/R52*100</f>
        <v>-17.791150012156606</v>
      </c>
      <c r="T64" s="5">
        <f>(R64/R61-1)*100</f>
        <v>-18.672298973256574</v>
      </c>
      <c r="U64" s="39"/>
    </row>
    <row r="65" spans="1:21" x14ac:dyDescent="0.25">
      <c r="A65" s="20">
        <v>39844</v>
      </c>
      <c r="B65" s="24">
        <f t="shared" si="7"/>
        <v>49</v>
      </c>
      <c r="C65" s="17" t="s">
        <v>77</v>
      </c>
      <c r="D65" s="27">
        <v>-4.51</v>
      </c>
      <c r="E65" s="46">
        <f t="shared" si="9"/>
        <v>954505.89480517921</v>
      </c>
      <c r="F65" s="10"/>
      <c r="I65" s="39"/>
      <c r="J65" s="20">
        <f t="shared" si="8"/>
        <v>39844</v>
      </c>
      <c r="K65" s="27">
        <v>-11.123966557972201</v>
      </c>
      <c r="L65" s="46">
        <f t="shared" si="10"/>
        <v>715961.24199351901</v>
      </c>
      <c r="M65" s="10"/>
      <c r="O65" s="39"/>
      <c r="P65" s="20">
        <f t="shared" si="5"/>
        <v>39844</v>
      </c>
      <c r="Q65" s="45">
        <v>-8.2920517560073979</v>
      </c>
      <c r="R65" s="46">
        <f t="shared" si="11"/>
        <v>925530.72417266737</v>
      </c>
      <c r="S65" s="10"/>
      <c r="U65" s="39"/>
    </row>
    <row r="66" spans="1:21" x14ac:dyDescent="0.25">
      <c r="A66" s="20">
        <v>39872</v>
      </c>
      <c r="B66" s="24">
        <f t="shared" si="7"/>
        <v>50</v>
      </c>
      <c r="C66" s="17" t="s">
        <v>77</v>
      </c>
      <c r="D66" s="27">
        <v>-9.59</v>
      </c>
      <c r="E66" s="46">
        <f t="shared" si="9"/>
        <v>862968.77949336253</v>
      </c>
      <c r="F66" s="8"/>
      <c r="I66" s="39"/>
      <c r="J66" s="20">
        <f t="shared" si="8"/>
        <v>39872</v>
      </c>
      <c r="K66" s="27">
        <v>-12.158807443659486</v>
      </c>
      <c r="L66" s="46">
        <f t="shared" si="10"/>
        <v>628908.89320829418</v>
      </c>
      <c r="M66" s="8"/>
      <c r="O66" s="39"/>
      <c r="P66" s="20">
        <f t="shared" si="5"/>
        <v>39872</v>
      </c>
      <c r="Q66" s="45">
        <v>-10.289434433829163</v>
      </c>
      <c r="R66" s="46">
        <f t="shared" si="11"/>
        <v>830298.84714397648</v>
      </c>
      <c r="S66" s="8"/>
      <c r="U66" s="39"/>
    </row>
    <row r="67" spans="1:21" x14ac:dyDescent="0.25">
      <c r="A67" s="20">
        <v>39903</v>
      </c>
      <c r="B67" s="24">
        <f t="shared" si="7"/>
        <v>51</v>
      </c>
      <c r="C67" s="17" t="s">
        <v>77</v>
      </c>
      <c r="D67" s="27">
        <v>6.41</v>
      </c>
      <c r="E67" s="46">
        <f t="shared" si="9"/>
        <v>918285.07825888705</v>
      </c>
      <c r="F67" s="8"/>
      <c r="G67" s="5">
        <f>(E67/E64-1)*100</f>
        <v>-8.1335771731000044</v>
      </c>
      <c r="H67" s="5"/>
      <c r="I67" s="39"/>
      <c r="J67" s="20">
        <f t="shared" si="8"/>
        <v>39903</v>
      </c>
      <c r="K67" s="27">
        <v>8.918497340315211</v>
      </c>
      <c r="L67" s="46">
        <f t="shared" si="10"/>
        <v>684998.11612208176</v>
      </c>
      <c r="M67" s="8"/>
      <c r="N67" s="5">
        <f>(L67/L64-1)*100</f>
        <v>-14.967582174310945</v>
      </c>
      <c r="O67" s="39"/>
      <c r="P67" s="20">
        <f t="shared" si="5"/>
        <v>39903</v>
      </c>
      <c r="Q67" s="45">
        <v>4.2980071446224475</v>
      </c>
      <c r="R67" s="46">
        <f t="shared" si="11"/>
        <v>865985.15091594239</v>
      </c>
      <c r="S67" s="8"/>
      <c r="T67" s="5">
        <f>(R67/R64-1)*100</f>
        <v>-14.19223659889094</v>
      </c>
      <c r="U67" s="39"/>
    </row>
    <row r="68" spans="1:21" x14ac:dyDescent="0.25">
      <c r="A68" s="20">
        <v>39933</v>
      </c>
      <c r="B68" s="24">
        <f t="shared" si="7"/>
        <v>52</v>
      </c>
      <c r="C68" s="17" t="s">
        <v>77</v>
      </c>
      <c r="D68" s="27">
        <v>9.33</v>
      </c>
      <c r="E68" s="46">
        <f t="shared" si="9"/>
        <v>1003961.0760604412</v>
      </c>
      <c r="F68" s="8"/>
      <c r="I68" s="39"/>
      <c r="J68" s="20">
        <f t="shared" si="8"/>
        <v>39933</v>
      </c>
      <c r="K68" s="27">
        <v>15.456920978795816</v>
      </c>
      <c r="L68" s="46">
        <f t="shared" si="10"/>
        <v>790877.73363731196</v>
      </c>
      <c r="M68" s="8"/>
      <c r="O68" s="39"/>
      <c r="P68" s="20">
        <f t="shared" si="5"/>
        <v>39933</v>
      </c>
      <c r="Q68" s="45">
        <v>9.0668217655421941</v>
      </c>
      <c r="R68" s="46">
        <f t="shared" si="11"/>
        <v>944502.48106555245</v>
      </c>
      <c r="S68" s="8"/>
      <c r="U68" s="39"/>
    </row>
    <row r="69" spans="1:21" x14ac:dyDescent="0.25">
      <c r="A69" s="20">
        <v>39964</v>
      </c>
      <c r="B69" s="24">
        <f t="shared" si="7"/>
        <v>53</v>
      </c>
      <c r="C69" s="17" t="s">
        <v>77</v>
      </c>
      <c r="D69" s="27">
        <v>2.95</v>
      </c>
      <c r="E69" s="46">
        <f t="shared" si="9"/>
        <v>1033577.9278042242</v>
      </c>
      <c r="F69" s="8"/>
      <c r="I69" s="39"/>
      <c r="J69" s="20">
        <f t="shared" si="8"/>
        <v>39964</v>
      </c>
      <c r="K69" s="27">
        <v>3.0139448922449068</v>
      </c>
      <c r="L69" s="46">
        <f t="shared" si="10"/>
        <v>814714.35269417602</v>
      </c>
      <c r="M69" s="8"/>
      <c r="O69" s="39"/>
      <c r="P69" s="20">
        <f t="shared" si="5"/>
        <v>39964</v>
      </c>
      <c r="Q69" s="45">
        <v>0.20343267958364888</v>
      </c>
      <c r="R69" s="46">
        <f t="shared" si="11"/>
        <v>946423.9077715181</v>
      </c>
      <c r="S69" s="8"/>
      <c r="U69" s="39"/>
    </row>
    <row r="70" spans="1:21" x14ac:dyDescent="0.25">
      <c r="A70" s="20">
        <v>39994</v>
      </c>
      <c r="B70" s="24">
        <f t="shared" si="7"/>
        <v>54</v>
      </c>
      <c r="C70" s="17" t="s">
        <v>77</v>
      </c>
      <c r="D70" s="27">
        <v>3.96</v>
      </c>
      <c r="E70" s="46">
        <f t="shared" si="9"/>
        <v>1074507.6137452715</v>
      </c>
      <c r="F70" s="8"/>
      <c r="G70" s="5">
        <f>(E70/E67-1)*100</f>
        <v>17.012422305999998</v>
      </c>
      <c r="H70" s="5"/>
      <c r="I70" s="39"/>
      <c r="J70" s="20">
        <f t="shared" si="8"/>
        <v>39994</v>
      </c>
      <c r="K70" s="27">
        <v>1.4668473068240331</v>
      </c>
      <c r="L70" s="46">
        <f t="shared" si="10"/>
        <v>826664.96823497943</v>
      </c>
      <c r="M70" s="8"/>
      <c r="N70" s="5">
        <f>(L70/L67-1)*100</f>
        <v>20.681349156827402</v>
      </c>
      <c r="O70" s="39"/>
      <c r="P70" s="20">
        <f t="shared" si="5"/>
        <v>39994</v>
      </c>
      <c r="Q70" s="45">
        <v>4.9789096069696939</v>
      </c>
      <c r="R70" s="46">
        <f t="shared" si="11"/>
        <v>993545.49863821222</v>
      </c>
      <c r="S70" s="8"/>
      <c r="T70" s="5">
        <f>(R70/R67-1)*100</f>
        <v>14.73008487355132</v>
      </c>
      <c r="U70" s="39"/>
    </row>
    <row r="71" spans="1:21" x14ac:dyDescent="0.25">
      <c r="A71" s="20">
        <v>40025</v>
      </c>
      <c r="B71" s="24">
        <f t="shared" si="7"/>
        <v>55</v>
      </c>
      <c r="C71" s="17" t="s">
        <v>77</v>
      </c>
      <c r="D71" s="27">
        <v>7.29</v>
      </c>
      <c r="E71" s="46">
        <f t="shared" si="9"/>
        <v>1152839.2187873018</v>
      </c>
      <c r="F71" s="8"/>
      <c r="I71" s="39"/>
      <c r="J71" s="20">
        <f t="shared" si="8"/>
        <v>40025</v>
      </c>
      <c r="K71" s="27">
        <v>9.6305396038464401</v>
      </c>
      <c r="L71" s="46">
        <f t="shared" si="10"/>
        <v>906277.26539197378</v>
      </c>
      <c r="M71" s="8"/>
      <c r="O71" s="39"/>
      <c r="P71" s="20">
        <f t="shared" si="5"/>
        <v>40025</v>
      </c>
      <c r="Q71" s="45">
        <v>7.2775065715358602</v>
      </c>
      <c r="R71" s="46">
        <f t="shared" si="11"/>
        <v>1065850.8375928069</v>
      </c>
      <c r="S71" s="8"/>
      <c r="U71" s="39"/>
    </row>
    <row r="72" spans="1:21" x14ac:dyDescent="0.25">
      <c r="A72" s="20">
        <v>40056</v>
      </c>
      <c r="B72" s="24">
        <f t="shared" si="7"/>
        <v>56</v>
      </c>
      <c r="C72" s="17" t="s">
        <v>77</v>
      </c>
      <c r="D72" s="27">
        <v>-1.65</v>
      </c>
      <c r="E72" s="46">
        <f t="shared" si="9"/>
        <v>1133817.3716773114</v>
      </c>
      <c r="F72" s="8"/>
      <c r="I72" s="39"/>
      <c r="J72" s="20">
        <f t="shared" si="8"/>
        <v>40056</v>
      </c>
      <c r="K72" s="27">
        <v>2.8673349550857035</v>
      </c>
      <c r="L72" s="46">
        <f t="shared" si="10"/>
        <v>932263.27021255263</v>
      </c>
      <c r="M72" s="8"/>
      <c r="O72" s="39"/>
      <c r="P72" s="20">
        <f t="shared" si="5"/>
        <v>40056</v>
      </c>
      <c r="Q72" s="45">
        <v>-0.31328759451133498</v>
      </c>
      <c r="R72" s="46">
        <f t="shared" si="11"/>
        <v>1062511.6591426334</v>
      </c>
      <c r="S72" s="8"/>
      <c r="U72" s="39"/>
    </row>
    <row r="73" spans="1:21" x14ac:dyDescent="0.25">
      <c r="A73" s="20">
        <v>40086</v>
      </c>
      <c r="B73" s="24">
        <f t="shared" si="7"/>
        <v>57</v>
      </c>
      <c r="C73" s="17" t="s">
        <v>77</v>
      </c>
      <c r="D73" s="27">
        <v>3.36</v>
      </c>
      <c r="E73" s="46">
        <f t="shared" si="9"/>
        <v>1171913.6353656689</v>
      </c>
      <c r="F73" s="8"/>
      <c r="G73" s="5">
        <f>(E73/E70-1)*100</f>
        <v>9.0651774239999927</v>
      </c>
      <c r="H73" s="5"/>
      <c r="I73" s="39"/>
      <c r="J73" s="20">
        <f t="shared" si="8"/>
        <v>40086</v>
      </c>
      <c r="K73" s="27">
        <v>5.7588046993516215</v>
      </c>
      <c r="L73" s="46">
        <f t="shared" si="10"/>
        <v>985950.49122788222</v>
      </c>
      <c r="M73" s="8"/>
      <c r="N73" s="5">
        <f>(L73/L70-1)*100</f>
        <v>19.26844962754317</v>
      </c>
      <c r="O73" s="39"/>
      <c r="P73" s="20">
        <f t="shared" si="5"/>
        <v>40086</v>
      </c>
      <c r="Q73" s="45">
        <v>4.0714925294520317</v>
      </c>
      <c r="R73" s="46">
        <f t="shared" si="11"/>
        <v>1105771.7419691826</v>
      </c>
      <c r="S73" s="8"/>
      <c r="T73" s="5">
        <f>(R73/R70-1)*100</f>
        <v>11.295531355613964</v>
      </c>
      <c r="U73" s="39"/>
    </row>
    <row r="74" spans="1:21" x14ac:dyDescent="0.25">
      <c r="A74" s="20">
        <v>40117</v>
      </c>
      <c r="B74" s="24">
        <f t="shared" si="7"/>
        <v>58</v>
      </c>
      <c r="C74" s="17" t="s">
        <v>77</v>
      </c>
      <c r="D74" s="27">
        <v>-2.89</v>
      </c>
      <c r="E74" s="46">
        <f t="shared" si="9"/>
        <v>1138045.3313036012</v>
      </c>
      <c r="F74" s="8"/>
      <c r="I74" s="39"/>
      <c r="J74" s="20">
        <f t="shared" si="8"/>
        <v>40117</v>
      </c>
      <c r="K74" s="27">
        <v>-6.7946386446026237</v>
      </c>
      <c r="L74" s="46">
        <f t="shared" si="10"/>
        <v>918958.71813426306</v>
      </c>
      <c r="M74" s="8"/>
      <c r="O74" s="39"/>
      <c r="P74" s="20">
        <f t="shared" si="5"/>
        <v>40117</v>
      </c>
      <c r="Q74" s="45">
        <v>-3.4533369323166254</v>
      </c>
      <c r="R74" s="46">
        <f t="shared" si="11"/>
        <v>1067585.7180166401</v>
      </c>
      <c r="S74" s="8"/>
      <c r="U74" s="39"/>
    </row>
    <row r="75" spans="1:21" x14ac:dyDescent="0.25">
      <c r="A75" s="20">
        <v>40147</v>
      </c>
      <c r="B75" s="24">
        <f t="shared" si="7"/>
        <v>59</v>
      </c>
      <c r="C75" s="17" t="s">
        <v>77</v>
      </c>
      <c r="D75" s="27">
        <v>2.46</v>
      </c>
      <c r="E75" s="46">
        <f t="shared" si="9"/>
        <v>1166041.2464536699</v>
      </c>
      <c r="F75" s="8"/>
      <c r="I75" s="39"/>
      <c r="J75" s="20">
        <f t="shared" si="8"/>
        <v>40147</v>
      </c>
      <c r="K75" s="27">
        <v>3.1147681981507231</v>
      </c>
      <c r="L75" s="46">
        <f t="shared" si="10"/>
        <v>947582.15204084269</v>
      </c>
      <c r="M75" s="8"/>
      <c r="O75" s="39"/>
      <c r="P75" s="20">
        <f t="shared" si="5"/>
        <v>40147</v>
      </c>
      <c r="Q75" s="45">
        <v>1.8294920407485764</v>
      </c>
      <c r="R75" s="46">
        <f t="shared" si="11"/>
        <v>1087117.113755923</v>
      </c>
      <c r="S75" s="8"/>
      <c r="U75" s="39"/>
    </row>
    <row r="76" spans="1:21" x14ac:dyDescent="0.25">
      <c r="A76" s="20">
        <v>40178</v>
      </c>
      <c r="B76" s="24">
        <f t="shared" si="7"/>
        <v>60</v>
      </c>
      <c r="C76" s="17" t="s">
        <v>77</v>
      </c>
      <c r="D76" s="27">
        <v>6.32</v>
      </c>
      <c r="E76" s="46">
        <f t="shared" si="9"/>
        <v>1239735.0532295418</v>
      </c>
      <c r="F76" s="11">
        <f>(E76-E64)/E64*100</f>
        <v>24.024692646923384</v>
      </c>
      <c r="G76" s="5">
        <f>(E76/E73-1)*100</f>
        <v>5.7872368592000178</v>
      </c>
      <c r="H76" s="5"/>
      <c r="I76" s="39"/>
      <c r="J76" s="20">
        <f t="shared" si="8"/>
        <v>40178</v>
      </c>
      <c r="K76" s="27">
        <v>8.0437363445395054</v>
      </c>
      <c r="L76" s="46">
        <f t="shared" si="10"/>
        <v>1023803.1619989215</v>
      </c>
      <c r="M76" s="11">
        <f>(L76-L64)/L64*100</f>
        <v>27.090069583254934</v>
      </c>
      <c r="N76" s="5">
        <f>(L76/L73-1)*100</f>
        <v>3.839206035984466</v>
      </c>
      <c r="O76" s="39"/>
      <c r="P76" s="20">
        <f t="shared" si="5"/>
        <v>40178</v>
      </c>
      <c r="Q76" s="45">
        <v>7.2414029789278684</v>
      </c>
      <c r="R76" s="46">
        <f t="shared" si="11"/>
        <v>1165839.6448158792</v>
      </c>
      <c r="S76" s="11">
        <f>(R76-R64)/R64*100</f>
        <v>15.519408502772658</v>
      </c>
      <c r="T76" s="5">
        <f>(R76/R73-1)*100</f>
        <v>5.4322153991497757</v>
      </c>
      <c r="U76" s="39"/>
    </row>
    <row r="77" spans="1:21" x14ac:dyDescent="0.25">
      <c r="A77" s="20">
        <v>40209</v>
      </c>
      <c r="B77" s="24">
        <f t="shared" si="7"/>
        <v>61</v>
      </c>
      <c r="C77" s="17" t="s">
        <v>77</v>
      </c>
      <c r="D77" s="27">
        <v>-3.24</v>
      </c>
      <c r="E77" s="46">
        <f t="shared" si="9"/>
        <v>1199567.6375049045</v>
      </c>
      <c r="F77" s="10"/>
      <c r="I77" s="39"/>
      <c r="J77" s="20">
        <f t="shared" si="8"/>
        <v>40209</v>
      </c>
      <c r="K77" s="27">
        <v>-3.6854331161916072</v>
      </c>
      <c r="L77" s="46">
        <f t="shared" si="10"/>
        <v>986071.58122199646</v>
      </c>
      <c r="M77" s="10"/>
      <c r="O77" s="39"/>
      <c r="P77" s="20">
        <f t="shared" si="5"/>
        <v>40209</v>
      </c>
      <c r="Q77" s="45">
        <v>-4.1170634920634948</v>
      </c>
      <c r="R77" s="46">
        <f t="shared" si="11"/>
        <v>1117841.2864231619</v>
      </c>
      <c r="S77" s="10"/>
      <c r="U77" s="39"/>
    </row>
    <row r="78" spans="1:21" x14ac:dyDescent="0.25">
      <c r="A78" s="20">
        <v>40237</v>
      </c>
      <c r="B78" s="24">
        <f t="shared" si="7"/>
        <v>62</v>
      </c>
      <c r="C78" s="17" t="s">
        <v>77</v>
      </c>
      <c r="D78" s="27">
        <v>3.9</v>
      </c>
      <c r="E78" s="46">
        <f t="shared" si="9"/>
        <v>1246350.7753675957</v>
      </c>
      <c r="F78" s="8"/>
      <c r="I78" s="39"/>
      <c r="J78" s="20">
        <f t="shared" si="8"/>
        <v>40237</v>
      </c>
      <c r="K78" s="27">
        <v>4.4992887225955993</v>
      </c>
      <c r="L78" s="46">
        <f t="shared" si="10"/>
        <v>1030437.7886726379</v>
      </c>
      <c r="M78" s="8"/>
      <c r="O78" s="39"/>
      <c r="P78" s="20">
        <f t="shared" si="5"/>
        <v>40237</v>
      </c>
      <c r="Q78" s="45">
        <v>4.0768986866478567</v>
      </c>
      <c r="R78" s="46">
        <f t="shared" si="11"/>
        <v>1163414.5431481553</v>
      </c>
      <c r="S78" s="8"/>
      <c r="U78" s="39"/>
    </row>
    <row r="79" spans="1:21" x14ac:dyDescent="0.25">
      <c r="A79" s="20">
        <v>40268</v>
      </c>
      <c r="B79" s="24">
        <f t="shared" si="7"/>
        <v>63</v>
      </c>
      <c r="C79" s="17" t="s">
        <v>77</v>
      </c>
      <c r="D79" s="27">
        <v>5.84</v>
      </c>
      <c r="E79" s="46">
        <f t="shared" si="9"/>
        <v>1319137.6606490633</v>
      </c>
      <c r="F79" s="8"/>
      <c r="G79" s="5">
        <f>(E79/E76-1)*100</f>
        <v>6.4048045759999894</v>
      </c>
      <c r="H79" s="5"/>
      <c r="I79" s="39"/>
      <c r="J79" s="20">
        <f t="shared" si="8"/>
        <v>40268</v>
      </c>
      <c r="K79" s="27">
        <v>8.1162864890256916</v>
      </c>
      <c r="L79" s="46">
        <f t="shared" si="10"/>
        <v>1114071.0716924903</v>
      </c>
      <c r="M79" s="8"/>
      <c r="N79" s="5">
        <f>(L79/L76-1)*100</f>
        <v>8.816920385098781</v>
      </c>
      <c r="O79" s="39"/>
      <c r="P79" s="20">
        <f t="shared" si="5"/>
        <v>40268</v>
      </c>
      <c r="Q79" s="45">
        <v>6.2870794984446716</v>
      </c>
      <c r="R79" s="46">
        <f t="shared" si="11"/>
        <v>1236559.3403723468</v>
      </c>
      <c r="S79" s="8"/>
      <c r="T79" s="5">
        <f>(R79/R76-1)*100</f>
        <v>6.0659882232462881</v>
      </c>
      <c r="U79" s="39"/>
    </row>
    <row r="80" spans="1:21" x14ac:dyDescent="0.25">
      <c r="A80" s="20">
        <v>40298</v>
      </c>
      <c r="B80" s="24">
        <f t="shared" si="7"/>
        <v>64</v>
      </c>
      <c r="C80" s="17" t="s">
        <v>77</v>
      </c>
      <c r="D80" s="27">
        <v>2.88</v>
      </c>
      <c r="E80" s="46">
        <f t="shared" si="9"/>
        <v>1357128.8252757564</v>
      </c>
      <c r="F80" s="8"/>
      <c r="I80" s="39"/>
      <c r="J80" s="20">
        <f t="shared" ref="J80:J111" si="12">A80</f>
        <v>40298</v>
      </c>
      <c r="K80" s="27">
        <v>5.6590634544510561</v>
      </c>
      <c r="L80" s="46">
        <f t="shared" si="10"/>
        <v>1177117.0605672512</v>
      </c>
      <c r="M80" s="8"/>
      <c r="O80" s="39"/>
      <c r="P80" s="20">
        <f t="shared" si="5"/>
        <v>40298</v>
      </c>
      <c r="Q80" s="45">
        <v>3.9012174332825462</v>
      </c>
      <c r="R80" s="46">
        <f t="shared" si="11"/>
        <v>1284800.2089318365</v>
      </c>
      <c r="S80" s="8"/>
      <c r="U80" s="39"/>
    </row>
    <row r="81" spans="1:21" x14ac:dyDescent="0.25">
      <c r="A81" s="20">
        <v>40329</v>
      </c>
      <c r="B81" s="24">
        <f t="shared" si="7"/>
        <v>65</v>
      </c>
      <c r="C81" s="17" t="s">
        <v>77</v>
      </c>
      <c r="D81" s="27">
        <v>-4.47</v>
      </c>
      <c r="E81" s="46">
        <f t="shared" ref="E81:E112" si="13">E80*D81/100+E80</f>
        <v>1296465.1667859301</v>
      </c>
      <c r="F81" s="8"/>
      <c r="I81" s="39"/>
      <c r="J81" s="20">
        <f t="shared" si="12"/>
        <v>40329</v>
      </c>
      <c r="K81" s="27">
        <v>-7.586770948217298</v>
      </c>
      <c r="L81" s="46">
        <f t="shared" ref="L81:L112" si="14">L80*K81/100+L80</f>
        <v>1087811.8853896256</v>
      </c>
      <c r="M81" s="8"/>
      <c r="O81" s="39"/>
      <c r="P81" s="20">
        <f t="shared" ref="P81:P146" si="15">$A81</f>
        <v>40329</v>
      </c>
      <c r="Q81" s="45">
        <v>-5.4143133012936797</v>
      </c>
      <c r="R81" s="46">
        <f t="shared" ref="R81:R112" si="16">R80*Q81/100+R80</f>
        <v>1215237.1003245912</v>
      </c>
      <c r="S81" s="8"/>
      <c r="U81" s="39"/>
    </row>
    <row r="82" spans="1:21" x14ac:dyDescent="0.25">
      <c r="A82" s="20">
        <v>40359</v>
      </c>
      <c r="B82" s="24">
        <f t="shared" ref="B82:B142" si="17">IF(A82&gt;A81,1+B81,"-")</f>
        <v>66</v>
      </c>
      <c r="C82" s="17" t="s">
        <v>77</v>
      </c>
      <c r="D82" s="27">
        <v>-2.88</v>
      </c>
      <c r="E82" s="46">
        <f t="shared" si="13"/>
        <v>1259126.9699824953</v>
      </c>
      <c r="F82" s="8"/>
      <c r="G82" s="5">
        <f>(E82/E79-1)*100</f>
        <v>-4.5492364031999966</v>
      </c>
      <c r="H82" s="5"/>
      <c r="I82" s="39"/>
      <c r="J82" s="20">
        <f t="shared" si="12"/>
        <v>40359</v>
      </c>
      <c r="K82" s="27">
        <v>-7.7509660367317474</v>
      </c>
      <c r="L82" s="46">
        <f t="shared" si="14"/>
        <v>1003495.9556095444</v>
      </c>
      <c r="M82" s="8"/>
      <c r="N82" s="5">
        <f>(L82/L79-1)*100</f>
        <v>-9.9253197477752302</v>
      </c>
      <c r="O82" s="39"/>
      <c r="P82" s="20">
        <f t="shared" si="15"/>
        <v>40359</v>
      </c>
      <c r="Q82" s="45">
        <v>-2.506754267468998</v>
      </c>
      <c r="R82" s="46">
        <f t="shared" si="16"/>
        <v>1184774.092452338</v>
      </c>
      <c r="S82" s="8"/>
      <c r="T82" s="5">
        <f>(R82/R79-1)*100</f>
        <v>-4.1878498046374002</v>
      </c>
      <c r="U82" s="39"/>
    </row>
    <row r="83" spans="1:21" x14ac:dyDescent="0.25">
      <c r="A83" s="20">
        <v>40390</v>
      </c>
      <c r="B83" s="24">
        <f t="shared" si="17"/>
        <v>67</v>
      </c>
      <c r="C83" s="17" t="s">
        <v>77</v>
      </c>
      <c r="D83" s="27">
        <v>5.21</v>
      </c>
      <c r="E83" s="46">
        <f t="shared" si="13"/>
        <v>1324727.4851185833</v>
      </c>
      <c r="F83" s="8"/>
      <c r="I83" s="39"/>
      <c r="J83" s="20">
        <f t="shared" si="12"/>
        <v>40390</v>
      </c>
      <c r="K83" s="27">
        <v>6.8677914548601589</v>
      </c>
      <c r="L83" s="46">
        <f t="shared" si="14"/>
        <v>1072413.965098764</v>
      </c>
      <c r="M83" s="8"/>
      <c r="O83" s="39"/>
      <c r="P83" s="20">
        <f t="shared" si="15"/>
        <v>40390</v>
      </c>
      <c r="Q83" s="45">
        <v>5.5738376029349208</v>
      </c>
      <c r="R83" s="46">
        <f t="shared" si="16"/>
        <v>1250811.4763272773</v>
      </c>
      <c r="S83" s="8"/>
      <c r="U83" s="39"/>
    </row>
    <row r="84" spans="1:21" x14ac:dyDescent="0.25">
      <c r="A84" s="20">
        <v>40421</v>
      </c>
      <c r="B84" s="24">
        <f t="shared" si="17"/>
        <v>68</v>
      </c>
      <c r="C84" s="17" t="s">
        <v>77</v>
      </c>
      <c r="D84" s="27">
        <v>-4.5599999999999996</v>
      </c>
      <c r="E84" s="46">
        <f t="shared" si="13"/>
        <v>1264319.9117971759</v>
      </c>
      <c r="F84" s="8"/>
      <c r="I84" s="39"/>
      <c r="J84" s="20">
        <f t="shared" si="12"/>
        <v>40421</v>
      </c>
      <c r="K84" s="27">
        <v>-7.4044482187218534</v>
      </c>
      <c r="L84" s="46">
        <f t="shared" si="14"/>
        <v>993007.62836268428</v>
      </c>
      <c r="M84" s="8"/>
      <c r="O84" s="39"/>
      <c r="P84" s="20">
        <f t="shared" si="15"/>
        <v>40421</v>
      </c>
      <c r="Q84" s="45">
        <v>-5.8641929277713887</v>
      </c>
      <c r="R84" s="46">
        <f t="shared" si="16"/>
        <v>1177461.4781927401</v>
      </c>
      <c r="S84" s="8"/>
      <c r="U84" s="39"/>
    </row>
    <row r="85" spans="1:21" x14ac:dyDescent="0.25">
      <c r="A85" s="20">
        <v>40451</v>
      </c>
      <c r="B85" s="24">
        <f t="shared" si="17"/>
        <v>69</v>
      </c>
      <c r="C85" s="17" t="s">
        <v>77</v>
      </c>
      <c r="D85" s="27">
        <v>8.7200000000000006</v>
      </c>
      <c r="E85" s="46">
        <f t="shared" si="13"/>
        <v>1374568.6081058895</v>
      </c>
      <c r="F85" s="8"/>
      <c r="G85" s="5">
        <f>(E85/E82-1)*100</f>
        <v>9.1683873727999909</v>
      </c>
      <c r="H85" s="5"/>
      <c r="I85" s="39"/>
      <c r="J85" s="20">
        <f t="shared" si="12"/>
        <v>40451</v>
      </c>
      <c r="K85" s="27">
        <v>12.459603595160253</v>
      </c>
      <c r="L85" s="46">
        <f t="shared" si="14"/>
        <v>1116732.4425263768</v>
      </c>
      <c r="M85" s="8"/>
      <c r="N85" s="5">
        <f>(L85/L82-1)*100</f>
        <v>11.284199630685121</v>
      </c>
      <c r="O85" s="39"/>
      <c r="P85" s="20">
        <f t="shared" si="15"/>
        <v>40451</v>
      </c>
      <c r="Q85" s="45">
        <v>8.6408213057874743</v>
      </c>
      <c r="R85" s="46">
        <f t="shared" si="16"/>
        <v>1279203.8204678586</v>
      </c>
      <c r="S85" s="8"/>
      <c r="T85" s="5">
        <f>(R85/R82-1)*100</f>
        <v>7.9702728661176669</v>
      </c>
      <c r="U85" s="39"/>
    </row>
    <row r="86" spans="1:21" x14ac:dyDescent="0.25">
      <c r="A86" s="20">
        <v>40482</v>
      </c>
      <c r="B86" s="24">
        <f t="shared" si="17"/>
        <v>70</v>
      </c>
      <c r="C86" s="17" t="s">
        <v>77</v>
      </c>
      <c r="D86" s="27">
        <v>4.8499999999999996</v>
      </c>
      <c r="E86" s="46">
        <f t="shared" si="13"/>
        <v>1441235.1855990251</v>
      </c>
      <c r="F86" s="8"/>
      <c r="I86" s="39"/>
      <c r="J86" s="20">
        <f t="shared" si="12"/>
        <v>40482</v>
      </c>
      <c r="K86" s="27">
        <v>4.0917088096319905</v>
      </c>
      <c r="L86" s="46">
        <f t="shared" si="14"/>
        <v>1162425.8822572471</v>
      </c>
      <c r="M86" s="8"/>
      <c r="O86" s="39"/>
      <c r="P86" s="20">
        <f t="shared" si="15"/>
        <v>40482</v>
      </c>
      <c r="Q86" s="45">
        <v>3.4795035947092896</v>
      </c>
      <c r="R86" s="46">
        <f t="shared" si="16"/>
        <v>1323713.7633846963</v>
      </c>
      <c r="S86" s="8"/>
      <c r="U86" s="39"/>
    </row>
    <row r="87" spans="1:21" x14ac:dyDescent="0.25">
      <c r="A87" s="20">
        <v>40512</v>
      </c>
      <c r="B87" s="24">
        <f t="shared" si="17"/>
        <v>71</v>
      </c>
      <c r="C87" s="17" t="s">
        <v>77</v>
      </c>
      <c r="D87" s="27">
        <v>4.0599999999999996</v>
      </c>
      <c r="E87" s="46">
        <f t="shared" si="13"/>
        <v>1499749.3341343454</v>
      </c>
      <c r="F87" s="8"/>
      <c r="I87" s="39"/>
      <c r="J87" s="20">
        <f t="shared" si="12"/>
        <v>40512</v>
      </c>
      <c r="K87" s="27">
        <v>3.4682958567506987</v>
      </c>
      <c r="L87" s="46">
        <f t="shared" si="14"/>
        <v>1202742.2509693729</v>
      </c>
      <c r="M87" s="8"/>
      <c r="O87" s="39"/>
      <c r="P87" s="20">
        <f t="shared" si="15"/>
        <v>40512</v>
      </c>
      <c r="Q87" s="45">
        <v>1.7869473921560266</v>
      </c>
      <c r="R87" s="46">
        <f t="shared" si="16"/>
        <v>1347367.8319591095</v>
      </c>
      <c r="S87" s="8"/>
      <c r="U87" s="39"/>
    </row>
    <row r="88" spans="1:21" x14ac:dyDescent="0.25">
      <c r="A88" s="20">
        <v>40543</v>
      </c>
      <c r="B88" s="24">
        <f t="shared" si="17"/>
        <v>72</v>
      </c>
      <c r="C88" s="17" t="s">
        <v>77</v>
      </c>
      <c r="D88" s="27">
        <v>5.96</v>
      </c>
      <c r="E88" s="46">
        <f t="shared" si="13"/>
        <v>1589134.3944487525</v>
      </c>
      <c r="F88" s="11">
        <f>(E88-E76)/E76*100</f>
        <v>28.183388080301231</v>
      </c>
      <c r="G88" s="5">
        <f>(E88/E85-1)*100</f>
        <v>15.609681836</v>
      </c>
      <c r="H88" s="5"/>
      <c r="I88" s="39"/>
      <c r="J88" s="20">
        <f t="shared" si="12"/>
        <v>40543</v>
      </c>
      <c r="K88" s="27">
        <v>7.9476105565938058</v>
      </c>
      <c r="L88" s="46">
        <f t="shared" si="14"/>
        <v>1298331.5210760287</v>
      </c>
      <c r="M88" s="11">
        <f>(L88-L76)/L76*100</f>
        <v>26.81456448533574</v>
      </c>
      <c r="N88" s="5">
        <f>(L88/L85-1)*100</f>
        <v>16.261646177200827</v>
      </c>
      <c r="O88" s="39"/>
      <c r="P88" s="20">
        <f t="shared" si="15"/>
        <v>40543</v>
      </c>
      <c r="Q88" s="45">
        <v>5.7582344552591191</v>
      </c>
      <c r="R88" s="46">
        <f t="shared" si="16"/>
        <v>1424952.4306980567</v>
      </c>
      <c r="S88" s="11">
        <f>(R88-R76)/R76*100</f>
        <v>22.225422427035337</v>
      </c>
      <c r="T88" s="5">
        <f>(R88/R85-1)*100</f>
        <v>11.39369722777186</v>
      </c>
      <c r="U88" s="39"/>
    </row>
    <row r="89" spans="1:21" x14ac:dyDescent="0.25">
      <c r="A89" s="20">
        <v>40574</v>
      </c>
      <c r="B89" s="24">
        <f t="shared" si="17"/>
        <v>73</v>
      </c>
      <c r="C89" s="17" t="s">
        <v>77</v>
      </c>
      <c r="D89" s="32">
        <v>-0.93</v>
      </c>
      <c r="E89" s="46">
        <f t="shared" si="13"/>
        <v>1574355.4445803792</v>
      </c>
      <c r="F89" s="10"/>
      <c r="I89" s="39"/>
      <c r="J89" s="20">
        <f t="shared" si="12"/>
        <v>40574</v>
      </c>
      <c r="K89" s="27">
        <v>-0.25769271869127441</v>
      </c>
      <c r="L89" s="46">
        <f t="shared" si="14"/>
        <v>1294985.815281742</v>
      </c>
      <c r="M89" s="10"/>
      <c r="O89" s="39"/>
      <c r="P89" s="20">
        <f t="shared" si="15"/>
        <v>40574</v>
      </c>
      <c r="Q89" s="45">
        <v>9.1639829288006087E-3</v>
      </c>
      <c r="R89" s="46">
        <f t="shared" si="16"/>
        <v>1425083.0130955493</v>
      </c>
      <c r="S89" s="10"/>
      <c r="U89" s="39"/>
    </row>
    <row r="90" spans="1:21" x14ac:dyDescent="0.25">
      <c r="A90" s="20">
        <v>40602</v>
      </c>
      <c r="B90" s="24">
        <f t="shared" si="17"/>
        <v>74</v>
      </c>
      <c r="C90" s="17" t="s">
        <v>77</v>
      </c>
      <c r="D90" s="27">
        <v>3.64</v>
      </c>
      <c r="E90" s="46">
        <f t="shared" si="13"/>
        <v>1631661.9827631051</v>
      </c>
      <c r="F90" s="8"/>
      <c r="I90" s="39"/>
      <c r="J90" s="20">
        <f t="shared" si="12"/>
        <v>40602</v>
      </c>
      <c r="K90" s="27">
        <v>5.4841566989274968</v>
      </c>
      <c r="L90" s="46">
        <f t="shared" si="14"/>
        <v>1366004.8666206766</v>
      </c>
      <c r="M90" s="8"/>
      <c r="O90" s="39"/>
      <c r="P90" s="20">
        <f t="shared" si="15"/>
        <v>40602</v>
      </c>
      <c r="Q90" s="45">
        <v>4.3302396816462299</v>
      </c>
      <c r="R90" s="46">
        <f t="shared" si="16"/>
        <v>1486792.5232250125</v>
      </c>
      <c r="S90" s="8"/>
      <c r="U90" s="39"/>
    </row>
    <row r="91" spans="1:21" x14ac:dyDescent="0.25">
      <c r="A91" s="20">
        <v>40633</v>
      </c>
      <c r="B91" s="24">
        <f t="shared" si="17"/>
        <v>75</v>
      </c>
      <c r="C91" s="17" t="s">
        <v>77</v>
      </c>
      <c r="D91" s="27">
        <v>3.44</v>
      </c>
      <c r="E91" s="46">
        <f t="shared" si="13"/>
        <v>1687791.1549701558</v>
      </c>
      <c r="F91" s="8"/>
      <c r="G91" s="5">
        <f>(E91/E88-1)*100</f>
        <v>6.2082074912000129</v>
      </c>
      <c r="H91" s="5"/>
      <c r="I91" s="39"/>
      <c r="J91" s="20">
        <f t="shared" si="12"/>
        <v>40633</v>
      </c>
      <c r="K91" s="27">
        <v>2.5916016104468986</v>
      </c>
      <c r="L91" s="46">
        <f t="shared" si="14"/>
        <v>1401406.270742801</v>
      </c>
      <c r="M91" s="8"/>
      <c r="N91" s="5">
        <f>(L91/L88-1)*100</f>
        <v>7.9390161906680135</v>
      </c>
      <c r="O91" s="39"/>
      <c r="P91" s="20">
        <f t="shared" si="15"/>
        <v>40633</v>
      </c>
      <c r="Q91" s="45">
        <v>1.9284576103185662</v>
      </c>
      <c r="R91" s="46">
        <f t="shared" si="16"/>
        <v>1515464.6867887927</v>
      </c>
      <c r="S91" s="8"/>
      <c r="T91" s="5">
        <f>(R91/R88-1)*100</f>
        <v>6.3519493100829827</v>
      </c>
      <c r="U91" s="39"/>
    </row>
    <row r="92" spans="1:21" x14ac:dyDescent="0.25">
      <c r="A92" s="20">
        <v>40663</v>
      </c>
      <c r="B92" s="24">
        <f t="shared" si="17"/>
        <v>76</v>
      </c>
      <c r="C92" s="17" t="s">
        <v>77</v>
      </c>
      <c r="D92" s="27">
        <v>2.14</v>
      </c>
      <c r="E92" s="46">
        <f t="shared" si="13"/>
        <v>1723909.8856865172</v>
      </c>
      <c r="F92" s="8"/>
      <c r="I92" s="39"/>
      <c r="J92" s="20">
        <f t="shared" si="12"/>
        <v>40663</v>
      </c>
      <c r="K92" s="27">
        <v>2.6406962247670149</v>
      </c>
      <c r="L92" s="46">
        <f t="shared" si="14"/>
        <v>1438413.1532279544</v>
      </c>
      <c r="M92" s="8"/>
      <c r="O92" s="39"/>
      <c r="P92" s="20">
        <f t="shared" si="15"/>
        <v>40663</v>
      </c>
      <c r="Q92" s="45">
        <v>2.6883970555651335</v>
      </c>
      <c r="R92" s="46">
        <f t="shared" si="16"/>
        <v>1556206.394806552</v>
      </c>
      <c r="S92" s="8"/>
      <c r="U92" s="39"/>
    </row>
    <row r="93" spans="1:21" x14ac:dyDescent="0.25">
      <c r="A93" s="20">
        <v>40694</v>
      </c>
      <c r="B93" s="24">
        <f t="shared" si="17"/>
        <v>77</v>
      </c>
      <c r="C93" s="17" t="s">
        <v>77</v>
      </c>
      <c r="D93" s="27">
        <v>-0.35</v>
      </c>
      <c r="E93" s="46">
        <f t="shared" si="13"/>
        <v>1717876.2010866145</v>
      </c>
      <c r="F93" s="8"/>
      <c r="I93" s="39"/>
      <c r="J93" s="20">
        <f t="shared" si="12"/>
        <v>40694</v>
      </c>
      <c r="K93" s="27">
        <v>-1.8748918370617418</v>
      </c>
      <c r="L93" s="46">
        <f t="shared" si="14"/>
        <v>1411444.4624348611</v>
      </c>
      <c r="M93" s="8"/>
      <c r="O93" s="39"/>
      <c r="P93" s="20">
        <f t="shared" si="15"/>
        <v>40694</v>
      </c>
      <c r="Q93" s="45">
        <v>-0.10548776102227175</v>
      </c>
      <c r="R93" s="46">
        <f t="shared" si="16"/>
        <v>1554564.7875237851</v>
      </c>
      <c r="S93" s="8"/>
      <c r="U93" s="39"/>
    </row>
    <row r="94" spans="1:21" x14ac:dyDescent="0.25">
      <c r="A94" s="20">
        <v>40724</v>
      </c>
      <c r="B94" s="24">
        <f t="shared" si="17"/>
        <v>78</v>
      </c>
      <c r="C94" s="17" t="s">
        <v>77</v>
      </c>
      <c r="D94" s="27">
        <v>-0.87</v>
      </c>
      <c r="E94" s="46">
        <f t="shared" si="13"/>
        <v>1702930.6781371611</v>
      </c>
      <c r="F94" s="8"/>
      <c r="G94" s="5">
        <f>(E94/E91-1)*100</f>
        <v>0.89700216300001578</v>
      </c>
      <c r="H94" s="5"/>
      <c r="I94" s="39"/>
      <c r="J94" s="20">
        <f t="shared" si="12"/>
        <v>40724</v>
      </c>
      <c r="K94" s="27">
        <v>-2.3055633693393269</v>
      </c>
      <c r="L94" s="46">
        <f t="shared" si="14"/>
        <v>1378902.7159303946</v>
      </c>
      <c r="M94" s="8"/>
      <c r="N94" s="5">
        <f>(L94/L91-1)*100</f>
        <v>-1.6057837960492871</v>
      </c>
      <c r="O94" s="39"/>
      <c r="P94" s="20">
        <f t="shared" si="15"/>
        <v>40724</v>
      </c>
      <c r="Q94" s="45">
        <v>-1.5983872129023027</v>
      </c>
      <c r="R94" s="46">
        <f t="shared" si="16"/>
        <v>1529716.8227437232</v>
      </c>
      <c r="S94" s="8"/>
      <c r="T94" s="5">
        <f>(R94/R91-1)*100</f>
        <v>0.94044658903469358</v>
      </c>
      <c r="U94" s="39"/>
    </row>
    <row r="95" spans="1:21" x14ac:dyDescent="0.25">
      <c r="A95" s="20">
        <v>40755</v>
      </c>
      <c r="B95" s="24">
        <f t="shared" si="17"/>
        <v>79</v>
      </c>
      <c r="C95" s="17" t="s">
        <v>77</v>
      </c>
      <c r="D95" s="27">
        <v>-2.4500000000000002</v>
      </c>
      <c r="E95" s="46">
        <f t="shared" si="13"/>
        <v>1661208.8765228007</v>
      </c>
      <c r="F95" s="8"/>
      <c r="I95" s="39"/>
      <c r="J95" s="20">
        <f t="shared" si="12"/>
        <v>40755</v>
      </c>
      <c r="K95" s="27">
        <v>-3.6145213933725984</v>
      </c>
      <c r="L95" s="46">
        <f t="shared" si="14"/>
        <v>1329061.9822692948</v>
      </c>
      <c r="M95" s="8"/>
      <c r="O95" s="39"/>
      <c r="P95" s="20">
        <f t="shared" si="15"/>
        <v>40755</v>
      </c>
      <c r="Q95" s="45">
        <v>-2.4535986927148126</v>
      </c>
      <c r="R95" s="46">
        <f t="shared" si="16"/>
        <v>1492183.7107786445</v>
      </c>
      <c r="S95" s="8"/>
      <c r="U95" s="39"/>
    </row>
    <row r="96" spans="1:21" x14ac:dyDescent="0.25">
      <c r="A96" s="20">
        <v>40786</v>
      </c>
      <c r="B96" s="24">
        <f t="shared" si="17"/>
        <v>80</v>
      </c>
      <c r="C96" s="17" t="s">
        <v>77</v>
      </c>
      <c r="D96" s="27">
        <v>-4.0999999999999996</v>
      </c>
      <c r="E96" s="46">
        <f t="shared" si="13"/>
        <v>1593099.3125853657</v>
      </c>
      <c r="F96" s="8"/>
      <c r="I96" s="39"/>
      <c r="J96" s="20">
        <f t="shared" si="12"/>
        <v>40786</v>
      </c>
      <c r="K96" s="27">
        <v>-8.700274667600933</v>
      </c>
      <c r="L96" s="46">
        <f t="shared" si="14"/>
        <v>1213429.9393092045</v>
      </c>
      <c r="M96" s="8"/>
      <c r="O96" s="39"/>
      <c r="P96" s="20">
        <f t="shared" si="15"/>
        <v>40786</v>
      </c>
      <c r="Q96" s="45">
        <v>-2.5128141017627232</v>
      </c>
      <c r="R96" s="46">
        <f t="shared" si="16"/>
        <v>1454687.9080699924</v>
      </c>
      <c r="S96" s="8"/>
      <c r="U96" s="39"/>
    </row>
    <row r="97" spans="1:21" x14ac:dyDescent="0.25">
      <c r="A97" s="20">
        <v>40816</v>
      </c>
      <c r="B97" s="24">
        <f t="shared" si="17"/>
        <v>81</v>
      </c>
      <c r="C97" s="17" t="s">
        <v>77</v>
      </c>
      <c r="D97" s="27">
        <v>-6.11</v>
      </c>
      <c r="E97" s="46">
        <f t="shared" si="13"/>
        <v>1495760.9445863999</v>
      </c>
      <c r="F97" s="8"/>
      <c r="G97" s="5">
        <f>(E97/E94-1)*100</f>
        <v>-12.165482495000003</v>
      </c>
      <c r="H97" s="49"/>
      <c r="I97" s="39"/>
      <c r="J97" s="20">
        <f t="shared" si="12"/>
        <v>40816</v>
      </c>
      <c r="K97" s="27">
        <v>-11.210228059624475</v>
      </c>
      <c r="L97" s="46">
        <f t="shared" si="14"/>
        <v>1077401.6757688797</v>
      </c>
      <c r="M97" s="8"/>
      <c r="N97" s="5">
        <f>(L97/L94-1)*100</f>
        <v>-21.865287280842104</v>
      </c>
      <c r="O97" s="39"/>
      <c r="P97" s="20">
        <f t="shared" si="15"/>
        <v>40816</v>
      </c>
      <c r="Q97" s="45">
        <v>-7.3070017953321251</v>
      </c>
      <c r="R97" s="46">
        <f t="shared" si="16"/>
        <v>1348393.8365108387</v>
      </c>
      <c r="S97" s="8"/>
      <c r="T97" s="5">
        <f>(R97/R94-1)*100</f>
        <v>-11.853369430013904</v>
      </c>
      <c r="U97" s="39"/>
    </row>
    <row r="98" spans="1:21" x14ac:dyDescent="0.25">
      <c r="A98" s="20">
        <v>40847</v>
      </c>
      <c r="B98" s="24">
        <f t="shared" si="17"/>
        <v>82</v>
      </c>
      <c r="C98" s="17" t="s">
        <v>77</v>
      </c>
      <c r="D98" s="27">
        <v>10.87</v>
      </c>
      <c r="E98" s="46">
        <f t="shared" si="13"/>
        <v>1658350.1592629417</v>
      </c>
      <c r="F98" s="8"/>
      <c r="H98" s="49"/>
      <c r="I98" s="39"/>
      <c r="J98" s="20">
        <f t="shared" si="12"/>
        <v>40847</v>
      </c>
      <c r="K98" s="27">
        <v>15.13580194155395</v>
      </c>
      <c r="L98" s="46">
        <f t="shared" si="14"/>
        <v>1240475.0595282405</v>
      </c>
      <c r="M98" s="8"/>
      <c r="O98" s="39"/>
      <c r="P98" s="20">
        <f t="shared" si="15"/>
        <v>40847</v>
      </c>
      <c r="Q98" s="45">
        <v>10.728812152403082</v>
      </c>
      <c r="R98" s="46">
        <f t="shared" si="16"/>
        <v>1493060.4783046676</v>
      </c>
      <c r="S98" s="8"/>
      <c r="U98" s="39"/>
    </row>
    <row r="99" spans="1:21" x14ac:dyDescent="0.25">
      <c r="A99" s="20">
        <v>40877</v>
      </c>
      <c r="B99" s="24">
        <f t="shared" si="17"/>
        <v>83</v>
      </c>
      <c r="C99" s="17" t="s">
        <v>77</v>
      </c>
      <c r="D99" s="27">
        <v>1.1299999999999999</v>
      </c>
      <c r="E99" s="46">
        <f t="shared" si="13"/>
        <v>1677089.5160626129</v>
      </c>
      <c r="F99" s="8"/>
      <c r="H99" s="49"/>
      <c r="I99" s="39"/>
      <c r="J99" s="20">
        <f t="shared" si="12"/>
        <v>40877</v>
      </c>
      <c r="K99" s="27">
        <v>-0.36476645321503764</v>
      </c>
      <c r="L99" s="46">
        <f t="shared" si="14"/>
        <v>1235950.2226505822</v>
      </c>
      <c r="M99" s="8"/>
      <c r="O99" s="39"/>
      <c r="P99" s="20">
        <f t="shared" si="15"/>
        <v>40877</v>
      </c>
      <c r="Q99" s="45">
        <v>0.44229543835975405</v>
      </c>
      <c r="R99" s="46">
        <f t="shared" si="16"/>
        <v>1499664.2166921615</v>
      </c>
      <c r="S99" s="8"/>
      <c r="U99" s="39"/>
    </row>
    <row r="100" spans="1:21" x14ac:dyDescent="0.25">
      <c r="A100" s="20">
        <v>40908</v>
      </c>
      <c r="B100" s="24">
        <f t="shared" si="17"/>
        <v>84</v>
      </c>
      <c r="C100" s="17" t="s">
        <v>77</v>
      </c>
      <c r="D100" s="27">
        <v>0.48</v>
      </c>
      <c r="E100" s="46">
        <f t="shared" si="13"/>
        <v>1685139.5457397134</v>
      </c>
      <c r="F100" s="11">
        <f>(E100-E88)/E88*100</f>
        <v>6.041348776184762</v>
      </c>
      <c r="G100" s="5">
        <f>(E100/E97-1)*100</f>
        <v>12.661020588799987</v>
      </c>
      <c r="H100" s="49"/>
      <c r="I100" s="39"/>
      <c r="J100" s="20">
        <f t="shared" si="12"/>
        <v>40908</v>
      </c>
      <c r="K100" s="27">
        <v>0.66069199871902062</v>
      </c>
      <c r="L100" s="46">
        <f t="shared" si="14"/>
        <v>1244116.0468797844</v>
      </c>
      <c r="M100" s="11">
        <f>(L100-L88)/L88*100</f>
        <v>-4.1757804779561747</v>
      </c>
      <c r="N100" s="5">
        <f>(L100/L97-1)*100</f>
        <v>15.473743438530496</v>
      </c>
      <c r="O100" s="39"/>
      <c r="P100" s="20">
        <f t="shared" si="15"/>
        <v>40908</v>
      </c>
      <c r="Q100" s="45">
        <v>1.7937331293304069</v>
      </c>
      <c r="R100" s="46">
        <f t="shared" si="16"/>
        <v>1526564.1905756821</v>
      </c>
      <c r="S100" s="11">
        <f>(R100-R88)/R88*100</f>
        <v>7.1308878590317395</v>
      </c>
      <c r="T100" s="5">
        <f>(R100/R97-1)*100</f>
        <v>13.213524805622413</v>
      </c>
      <c r="U100" s="39"/>
    </row>
    <row r="101" spans="1:21" x14ac:dyDescent="0.25">
      <c r="A101" s="20">
        <v>40939</v>
      </c>
      <c r="B101" s="24">
        <f t="shared" si="17"/>
        <v>85</v>
      </c>
      <c r="C101" s="17" t="s">
        <v>77</v>
      </c>
      <c r="D101" s="27">
        <v>3.63</v>
      </c>
      <c r="E101" s="46">
        <f t="shared" si="13"/>
        <v>1746310.111250065</v>
      </c>
      <c r="F101" s="10"/>
      <c r="H101" s="49"/>
      <c r="I101" s="39"/>
      <c r="J101" s="20">
        <f t="shared" si="12"/>
        <v>40939</v>
      </c>
      <c r="K101" s="27">
        <v>7.0651692545300389</v>
      </c>
      <c r="L101" s="46">
        <f t="shared" si="14"/>
        <v>1332014.9513146095</v>
      </c>
      <c r="M101" s="10"/>
      <c r="O101" s="39"/>
      <c r="P101" s="20">
        <f t="shared" si="15"/>
        <v>40939</v>
      </c>
      <c r="Q101" s="45">
        <v>3.7527647770459254</v>
      </c>
      <c r="R101" s="46">
        <f t="shared" si="16"/>
        <v>1583852.5538186026</v>
      </c>
      <c r="S101" s="10"/>
      <c r="U101" s="39"/>
    </row>
    <row r="102" spans="1:21" x14ac:dyDescent="0.25">
      <c r="A102" s="20">
        <v>40968</v>
      </c>
      <c r="B102" s="24">
        <f t="shared" si="17"/>
        <v>86</v>
      </c>
      <c r="C102" s="17" t="s">
        <v>77</v>
      </c>
      <c r="D102" s="27">
        <v>2.19</v>
      </c>
      <c r="E102" s="46">
        <f t="shared" si="13"/>
        <v>1784554.3026864415</v>
      </c>
      <c r="F102" s="8"/>
      <c r="H102" s="49"/>
      <c r="I102" s="39"/>
      <c r="J102" s="20">
        <f t="shared" si="12"/>
        <v>40968</v>
      </c>
      <c r="K102" s="27">
        <v>2.3932261670854693</v>
      </c>
      <c r="L102" s="46">
        <f t="shared" si="14"/>
        <v>1363893.0816789614</v>
      </c>
      <c r="M102" s="8"/>
      <c r="O102" s="39"/>
      <c r="P102" s="20">
        <f t="shared" si="15"/>
        <v>40968</v>
      </c>
      <c r="Q102" s="45">
        <v>1.1177329690002837</v>
      </c>
      <c r="R102" s="46">
        <f t="shared" si="16"/>
        <v>1601555.7959929861</v>
      </c>
      <c r="S102" s="8"/>
      <c r="U102" s="39"/>
    </row>
    <row r="103" spans="1:21" x14ac:dyDescent="0.25">
      <c r="A103" s="20">
        <v>40999</v>
      </c>
      <c r="B103" s="24">
        <f t="shared" si="17"/>
        <v>87</v>
      </c>
      <c r="C103" s="17" t="s">
        <v>77</v>
      </c>
      <c r="D103" s="27">
        <v>1.91</v>
      </c>
      <c r="E103" s="46">
        <f t="shared" si="13"/>
        <v>1818639.2898677525</v>
      </c>
      <c r="F103" s="8"/>
      <c r="G103" s="5">
        <f>(E103/E100-1)*100</f>
        <v>7.9221773927000028</v>
      </c>
      <c r="H103" s="49"/>
      <c r="I103" s="39"/>
      <c r="J103" s="20">
        <f t="shared" si="12"/>
        <v>40999</v>
      </c>
      <c r="K103" s="27">
        <v>2.5621042267388683</v>
      </c>
      <c r="L103" s="46">
        <f t="shared" si="14"/>
        <v>1398837.443972857</v>
      </c>
      <c r="M103" s="8"/>
      <c r="N103" s="5">
        <f>(L103/L100-1)*100</f>
        <v>12.436251222794725</v>
      </c>
      <c r="O103" s="39"/>
      <c r="P103" s="20">
        <f t="shared" si="15"/>
        <v>40999</v>
      </c>
      <c r="Q103" s="45">
        <v>2.4448767078611127</v>
      </c>
      <c r="R103" s="46">
        <f t="shared" si="16"/>
        <v>1640711.8606126183</v>
      </c>
      <c r="S103" s="8"/>
      <c r="T103" s="5">
        <f>(R103/R100-1)*100</f>
        <v>7.4774235332934147</v>
      </c>
      <c r="U103" s="39"/>
    </row>
    <row r="104" spans="1:21" x14ac:dyDescent="0.25">
      <c r="A104" s="20">
        <v>41029</v>
      </c>
      <c r="B104" s="24">
        <f t="shared" si="17"/>
        <v>88</v>
      </c>
      <c r="C104" s="17" t="s">
        <v>77</v>
      </c>
      <c r="D104" s="27">
        <v>0.82</v>
      </c>
      <c r="E104" s="46">
        <f t="shared" si="13"/>
        <v>1833552.1320446681</v>
      </c>
      <c r="F104" s="8"/>
      <c r="H104" s="49"/>
      <c r="I104" s="39"/>
      <c r="J104" s="20">
        <f t="shared" si="12"/>
        <v>41029</v>
      </c>
      <c r="K104" s="27">
        <v>-1.5447142518908705</v>
      </c>
      <c r="L104" s="46">
        <f t="shared" si="14"/>
        <v>1377229.4026150224</v>
      </c>
      <c r="M104" s="8"/>
      <c r="O104" s="39"/>
      <c r="P104" s="20">
        <f t="shared" si="15"/>
        <v>41029</v>
      </c>
      <c r="Q104" s="45">
        <v>9.3232672366751188E-2</v>
      </c>
      <c r="R104" s="46">
        <f t="shared" si="16"/>
        <v>1642241.5401261058</v>
      </c>
      <c r="S104" s="8"/>
      <c r="U104" s="39"/>
    </row>
    <row r="105" spans="1:21" x14ac:dyDescent="0.25">
      <c r="A105" s="20">
        <v>41060</v>
      </c>
      <c r="B105" s="24">
        <f t="shared" si="17"/>
        <v>89</v>
      </c>
      <c r="C105" s="17" t="s">
        <v>77</v>
      </c>
      <c r="D105" s="27">
        <v>-3.74</v>
      </c>
      <c r="E105" s="46">
        <f t="shared" si="13"/>
        <v>1764977.2823061976</v>
      </c>
      <c r="F105" s="8"/>
      <c r="H105" s="49"/>
      <c r="I105" s="39"/>
      <c r="J105" s="20">
        <f t="shared" si="12"/>
        <v>41060</v>
      </c>
      <c r="K105" s="27">
        <v>-6.6147434991662353</v>
      </c>
      <c r="L105" s="46">
        <f t="shared" si="14"/>
        <v>1286129.2102369391</v>
      </c>
      <c r="M105" s="8"/>
      <c r="O105" s="39"/>
      <c r="P105" s="20">
        <f t="shared" si="15"/>
        <v>41060</v>
      </c>
      <c r="Q105" s="45">
        <v>-2.7614330826726103</v>
      </c>
      <c r="R105" s="46">
        <f t="shared" si="16"/>
        <v>1596892.1389396712</v>
      </c>
      <c r="S105" s="8"/>
      <c r="U105" s="39"/>
    </row>
    <row r="106" spans="1:21" x14ac:dyDescent="0.25">
      <c r="A106" s="20">
        <v>41090</v>
      </c>
      <c r="B106" s="24">
        <f t="shared" si="17"/>
        <v>90</v>
      </c>
      <c r="C106" s="17" t="s">
        <v>77</v>
      </c>
      <c r="D106" s="27">
        <v>4.71</v>
      </c>
      <c r="E106" s="46">
        <f t="shared" si="13"/>
        <v>1848107.7123028194</v>
      </c>
      <c r="F106" s="8"/>
      <c r="G106" s="5">
        <f>(E106/E103-1)*100</f>
        <v>1.6203555371999911</v>
      </c>
      <c r="H106" s="49"/>
      <c r="I106" s="39"/>
      <c r="J106" s="20">
        <f t="shared" si="12"/>
        <v>41090</v>
      </c>
      <c r="K106" s="27">
        <v>4.9899882818746146</v>
      </c>
      <c r="L106" s="46">
        <f t="shared" si="14"/>
        <v>1350306.9071175288</v>
      </c>
      <c r="M106" s="8"/>
      <c r="N106" s="5">
        <f>(L106/L103-1)*100</f>
        <v>-3.4693478548512346</v>
      </c>
      <c r="O106" s="39"/>
      <c r="P106" s="20">
        <f t="shared" si="15"/>
        <v>41090</v>
      </c>
      <c r="Q106" s="45">
        <v>4.2428419564734945</v>
      </c>
      <c r="R106" s="46">
        <f t="shared" si="16"/>
        <v>1664645.7486102306</v>
      </c>
      <c r="S106" s="8"/>
      <c r="T106" s="5">
        <f>(R106/R103-1)*100</f>
        <v>1.4587502273967656</v>
      </c>
      <c r="U106" s="39"/>
    </row>
    <row r="107" spans="1:21" x14ac:dyDescent="0.25">
      <c r="A107" s="20">
        <v>41121</v>
      </c>
      <c r="B107" s="24">
        <f t="shared" si="17"/>
        <v>91</v>
      </c>
      <c r="C107" s="17" t="s">
        <v>77</v>
      </c>
      <c r="D107" s="27">
        <v>0.87</v>
      </c>
      <c r="E107" s="46">
        <f t="shared" si="13"/>
        <v>1864186.2493998539</v>
      </c>
      <c r="F107" s="8"/>
      <c r="H107" s="49"/>
      <c r="I107" s="39"/>
      <c r="J107" s="20">
        <f t="shared" si="12"/>
        <v>41121</v>
      </c>
      <c r="K107" s="27">
        <v>-1.3819068348042534</v>
      </c>
      <c r="L107" s="46">
        <f t="shared" si="14"/>
        <v>1331646.9236772377</v>
      </c>
      <c r="M107" s="8"/>
      <c r="O107" s="39"/>
      <c r="P107" s="20">
        <f t="shared" si="15"/>
        <v>41121</v>
      </c>
      <c r="Q107" s="45">
        <v>7.1720737378829641E-2</v>
      </c>
      <c r="R107" s="46">
        <f t="shared" si="16"/>
        <v>1665839.6448158792</v>
      </c>
      <c r="S107" s="8"/>
      <c r="U107" s="39"/>
    </row>
    <row r="108" spans="1:21" x14ac:dyDescent="0.25">
      <c r="A108" s="20">
        <v>41152</v>
      </c>
      <c r="B108" s="24">
        <f t="shared" si="17"/>
        <v>92</v>
      </c>
      <c r="C108" s="17" t="s">
        <v>77</v>
      </c>
      <c r="D108" s="27">
        <v>1.87</v>
      </c>
      <c r="E108" s="46">
        <f t="shared" si="13"/>
        <v>1899046.5322636312</v>
      </c>
      <c r="F108" s="8"/>
      <c r="H108" s="49"/>
      <c r="I108" s="39"/>
      <c r="J108" s="20">
        <f t="shared" si="12"/>
        <v>41152</v>
      </c>
      <c r="K108" s="27">
        <v>3.3366006800921695</v>
      </c>
      <c r="L108" s="46">
        <f t="shared" si="14"/>
        <v>1376078.663989079</v>
      </c>
      <c r="M108" s="8"/>
      <c r="O108" s="39"/>
      <c r="P108" s="20">
        <f t="shared" si="15"/>
        <v>41152</v>
      </c>
      <c r="Q108" s="45">
        <v>1.8365267248233437</v>
      </c>
      <c r="R108" s="46">
        <f t="shared" si="16"/>
        <v>1696433.235085625</v>
      </c>
      <c r="S108" s="8"/>
      <c r="U108" s="39"/>
    </row>
    <row r="109" spans="1:21" x14ac:dyDescent="0.25">
      <c r="A109" s="20">
        <v>41182</v>
      </c>
      <c r="B109" s="24">
        <f t="shared" si="17"/>
        <v>93</v>
      </c>
      <c r="C109" s="17" t="s">
        <v>77</v>
      </c>
      <c r="D109" s="27">
        <v>3.38</v>
      </c>
      <c r="E109" s="46">
        <f t="shared" si="13"/>
        <v>1963234.3050541419</v>
      </c>
      <c r="F109" s="8"/>
      <c r="G109" s="5">
        <f>(E109/E106-1)*100</f>
        <v>6.2294308922000052</v>
      </c>
      <c r="H109" s="49"/>
      <c r="I109" s="39"/>
      <c r="J109" s="20">
        <f t="shared" si="12"/>
        <v>41182</v>
      </c>
      <c r="K109" s="27">
        <v>3.2837720551479967</v>
      </c>
      <c r="L109" s="46">
        <f t="shared" si="14"/>
        <v>1421265.9506140063</v>
      </c>
      <c r="M109" s="8"/>
      <c r="N109" s="5">
        <f>(L109/L106-1)*100</f>
        <v>5.25503077281535</v>
      </c>
      <c r="O109" s="39"/>
      <c r="P109" s="20">
        <f t="shared" si="15"/>
        <v>41182</v>
      </c>
      <c r="Q109" s="45">
        <v>3.2428331079074995</v>
      </c>
      <c r="R109" s="46">
        <f t="shared" si="16"/>
        <v>1751445.7336865279</v>
      </c>
      <c r="S109" s="8"/>
      <c r="T109" s="5">
        <f>(R109/R106-1)*100</f>
        <v>5.2143217347453197</v>
      </c>
      <c r="U109" s="39"/>
    </row>
    <row r="110" spans="1:21" x14ac:dyDescent="0.25">
      <c r="A110" s="20">
        <v>41213</v>
      </c>
      <c r="B110" s="24">
        <f t="shared" si="17"/>
        <v>94</v>
      </c>
      <c r="C110" s="17" t="s">
        <v>77</v>
      </c>
      <c r="D110" s="27">
        <v>-1.22</v>
      </c>
      <c r="E110" s="46">
        <f t="shared" si="13"/>
        <v>1939282.8465324815</v>
      </c>
      <c r="F110" s="8"/>
      <c r="H110" s="49"/>
      <c r="I110" s="39"/>
      <c r="J110" s="20">
        <f t="shared" si="12"/>
        <v>41213</v>
      </c>
      <c r="K110" s="27">
        <v>-2.1694242318026342</v>
      </c>
      <c r="L110" s="46">
        <f t="shared" si="14"/>
        <v>1390432.6626830259</v>
      </c>
      <c r="M110" s="8"/>
      <c r="O110" s="39"/>
      <c r="P110" s="20">
        <f t="shared" si="15"/>
        <v>41213</v>
      </c>
      <c r="Q110" s="45">
        <v>-0.97243524199045628</v>
      </c>
      <c r="R110" s="46">
        <f t="shared" si="16"/>
        <v>1734414.0581278219</v>
      </c>
      <c r="S110" s="8"/>
      <c r="U110" s="39"/>
    </row>
    <row r="111" spans="1:21" x14ac:dyDescent="0.25">
      <c r="A111" s="20">
        <v>41243</v>
      </c>
      <c r="B111" s="24">
        <f t="shared" si="17"/>
        <v>95</v>
      </c>
      <c r="C111" s="17" t="s">
        <v>77</v>
      </c>
      <c r="D111" s="27">
        <v>-0.15</v>
      </c>
      <c r="E111" s="46">
        <f t="shared" si="13"/>
        <v>1936373.9222626828</v>
      </c>
      <c r="F111" s="8"/>
      <c r="H111" s="49"/>
      <c r="I111" s="39"/>
      <c r="J111" s="20">
        <f t="shared" si="12"/>
        <v>41243</v>
      </c>
      <c r="K111" s="27">
        <v>0.53249508101832621</v>
      </c>
      <c r="L111" s="46">
        <f t="shared" si="14"/>
        <v>1397836.6482166853</v>
      </c>
      <c r="M111" s="8"/>
      <c r="O111" s="39"/>
      <c r="P111" s="20">
        <f t="shared" si="15"/>
        <v>41243</v>
      </c>
      <c r="Q111" s="45">
        <v>0.43882764183920847</v>
      </c>
      <c r="R111" s="46">
        <f t="shared" si="16"/>
        <v>1742025.1464388319</v>
      </c>
      <c r="S111" s="8"/>
      <c r="U111" s="39"/>
    </row>
    <row r="112" spans="1:21" x14ac:dyDescent="0.25">
      <c r="A112" s="20">
        <v>41274</v>
      </c>
      <c r="B112" s="24">
        <f t="shared" si="17"/>
        <v>96</v>
      </c>
      <c r="C112" s="17" t="s">
        <v>77</v>
      </c>
      <c r="D112" s="27">
        <v>1.79</v>
      </c>
      <c r="E112" s="46">
        <f t="shared" si="13"/>
        <v>1971035.0154711849</v>
      </c>
      <c r="F112" s="11">
        <f>(E112-E100)/E100*100</f>
        <v>16.965685153746364</v>
      </c>
      <c r="G112" s="5">
        <f>(E112/E109-1)*100</f>
        <v>0.39733975700000368</v>
      </c>
      <c r="H112" s="49"/>
      <c r="I112" s="39"/>
      <c r="J112" s="20">
        <f t="shared" ref="J112:J143" si="18">A112</f>
        <v>41274</v>
      </c>
      <c r="K112" s="27">
        <v>3.5869607583186101</v>
      </c>
      <c r="L112" s="46">
        <f t="shared" si="14"/>
        <v>1447976.500253614</v>
      </c>
      <c r="M112" s="11">
        <f>(L112-L100)/L100*100</f>
        <v>16.385967682444665</v>
      </c>
      <c r="N112" s="5">
        <f>(L112/L109-1)*100</f>
        <v>1.8793491554531583</v>
      </c>
      <c r="O112" s="39"/>
      <c r="P112" s="20">
        <f t="shared" si="15"/>
        <v>41274</v>
      </c>
      <c r="Q112" s="45">
        <v>2.2755747834188234</v>
      </c>
      <c r="R112" s="46">
        <f t="shared" si="16"/>
        <v>1781666.2313920087</v>
      </c>
      <c r="S112" s="11">
        <f>(R112-R100)/R100*100</f>
        <v>16.710862366038153</v>
      </c>
      <c r="T112" s="5">
        <f>(R112/R109-1)*100</f>
        <v>1.7254601226993849</v>
      </c>
      <c r="U112" s="39"/>
    </row>
    <row r="113" spans="1:21" x14ac:dyDescent="0.25">
      <c r="A113" s="20">
        <v>41305</v>
      </c>
      <c r="B113" s="24">
        <f t="shared" si="17"/>
        <v>97</v>
      </c>
      <c r="C113" s="17" t="s">
        <v>77</v>
      </c>
      <c r="D113" s="27">
        <v>6.68</v>
      </c>
      <c r="E113" s="46">
        <f t="shared" ref="E113:E144" si="19">E112*D113/100+E112</f>
        <v>2102700.1545046601</v>
      </c>
      <c r="F113" s="10"/>
      <c r="H113" s="49"/>
      <c r="I113" s="39"/>
      <c r="J113" s="20">
        <f t="shared" si="18"/>
        <v>41305</v>
      </c>
      <c r="K113" s="27">
        <v>6.2592775407756065</v>
      </c>
      <c r="L113" s="46">
        <f t="shared" ref="L113:L134" si="20">L112*K113/100+L112</f>
        <v>1538609.3681296972</v>
      </c>
      <c r="M113" s="10"/>
      <c r="O113" s="39"/>
      <c r="P113" s="20">
        <f t="shared" si="15"/>
        <v>41305</v>
      </c>
      <c r="Q113" s="45">
        <v>5.2110817941952483</v>
      </c>
      <c r="R113" s="46">
        <f t="shared" ref="R113:R144" si="21">R112*Q113/100+R112</f>
        <v>1874510.3160094023</v>
      </c>
      <c r="S113" s="10"/>
      <c r="U113" s="39"/>
    </row>
    <row r="114" spans="1:21" x14ac:dyDescent="0.25">
      <c r="A114" s="20">
        <v>41333</v>
      </c>
      <c r="B114" s="24">
        <f t="shared" si="17"/>
        <v>98</v>
      </c>
      <c r="C114" s="17" t="s">
        <v>77</v>
      </c>
      <c r="D114" s="27">
        <v>2.19</v>
      </c>
      <c r="E114" s="46">
        <f t="shared" si="19"/>
        <v>2148749.2878883122</v>
      </c>
      <c r="F114" s="8"/>
      <c r="H114" s="49"/>
      <c r="I114" s="39"/>
      <c r="J114" s="20">
        <f t="shared" si="18"/>
        <v>41333</v>
      </c>
      <c r="K114" s="27">
        <v>1.1030698950075635</v>
      </c>
      <c r="L114" s="46">
        <f t="shared" si="20"/>
        <v>1555581.3048713019</v>
      </c>
      <c r="M114" s="8"/>
      <c r="O114" s="39"/>
      <c r="P114" s="20">
        <f t="shared" si="15"/>
        <v>41333</v>
      </c>
      <c r="Q114" s="45">
        <v>1.9286460665771006</v>
      </c>
      <c r="R114" s="46">
        <f t="shared" si="21"/>
        <v>1910662.9854866995</v>
      </c>
      <c r="S114" s="8"/>
      <c r="U114" s="39"/>
    </row>
    <row r="115" spans="1:21" x14ac:dyDescent="0.25">
      <c r="A115" s="20">
        <v>41364</v>
      </c>
      <c r="B115" s="24">
        <f t="shared" si="17"/>
        <v>99</v>
      </c>
      <c r="C115" s="17" t="s">
        <v>77</v>
      </c>
      <c r="D115" s="27">
        <v>5.19</v>
      </c>
      <c r="E115" s="46">
        <f t="shared" si="19"/>
        <v>2260269.3759297156</v>
      </c>
      <c r="F115" s="8"/>
      <c r="G115" s="5">
        <f>(E115/E112-1)*100</f>
        <v>14.674237554799996</v>
      </c>
      <c r="H115" s="49"/>
      <c r="I115" s="39"/>
      <c r="J115" s="20">
        <f t="shared" si="18"/>
        <v>41364</v>
      </c>
      <c r="K115" s="27">
        <v>4.6180696693330967</v>
      </c>
      <c r="L115" s="46">
        <f t="shared" si="20"/>
        <v>1627419.1332933796</v>
      </c>
      <c r="M115" s="8"/>
      <c r="N115" s="5">
        <f>(L115/L112-1)*100</f>
        <v>12.392648154741192</v>
      </c>
      <c r="O115" s="39"/>
      <c r="P115" s="20">
        <f t="shared" si="15"/>
        <v>41364</v>
      </c>
      <c r="Q115" s="45">
        <v>4.8670708727531808</v>
      </c>
      <c r="R115" s="46">
        <f t="shared" si="21"/>
        <v>2003656.3071297989</v>
      </c>
      <c r="S115" s="8"/>
      <c r="T115" s="5">
        <f>(R115/R112-1)*100</f>
        <v>12.459689240691851</v>
      </c>
      <c r="U115" s="39"/>
    </row>
    <row r="116" spans="1:21" x14ac:dyDescent="0.25">
      <c r="A116" s="20">
        <v>41394</v>
      </c>
      <c r="B116" s="24">
        <f t="shared" si="17"/>
        <v>100</v>
      </c>
      <c r="C116" s="17" t="s">
        <v>77</v>
      </c>
      <c r="D116" s="27">
        <v>1.1299999999999999</v>
      </c>
      <c r="E116" s="46">
        <f t="shared" si="19"/>
        <v>2285810.4198777215</v>
      </c>
      <c r="F116" s="8"/>
      <c r="H116" s="49"/>
      <c r="I116" s="39"/>
      <c r="J116" s="20">
        <f t="shared" si="18"/>
        <v>41394</v>
      </c>
      <c r="K116" s="27">
        <v>-0.36743813302988854</v>
      </c>
      <c r="L116" s="46">
        <f t="shared" si="20"/>
        <v>1621439.3748134351</v>
      </c>
      <c r="M116" s="8"/>
      <c r="O116" s="39"/>
      <c r="P116" s="20">
        <f t="shared" si="15"/>
        <v>41394</v>
      </c>
      <c r="Q116" s="45">
        <v>0.88820199612691464</v>
      </c>
      <c r="R116" s="46">
        <f t="shared" si="21"/>
        <v>2021452.8224452487</v>
      </c>
      <c r="S116" s="8"/>
      <c r="U116" s="39"/>
    </row>
    <row r="117" spans="1:21" x14ac:dyDescent="0.25">
      <c r="A117" s="20">
        <v>41425</v>
      </c>
      <c r="B117" s="24">
        <f t="shared" si="17"/>
        <v>101</v>
      </c>
      <c r="C117" s="17" t="s">
        <v>77</v>
      </c>
      <c r="D117" s="27">
        <v>1.88</v>
      </c>
      <c r="E117" s="46">
        <f t="shared" si="19"/>
        <v>2328783.6557714227</v>
      </c>
      <c r="F117" s="8"/>
      <c r="H117" s="49"/>
      <c r="I117" s="39"/>
      <c r="J117" s="20">
        <f t="shared" si="18"/>
        <v>41425</v>
      </c>
      <c r="K117" s="27">
        <v>3.9965077138199381</v>
      </c>
      <c r="L117" s="46">
        <f t="shared" si="20"/>
        <v>1686240.3245027678</v>
      </c>
      <c r="M117" s="8"/>
      <c r="O117" s="39"/>
      <c r="P117" s="20">
        <f t="shared" si="15"/>
        <v>41425</v>
      </c>
      <c r="Q117" s="45">
        <v>0.58415311640613454</v>
      </c>
      <c r="R117" s="46">
        <f t="shared" si="21"/>
        <v>2033261.2021042425</v>
      </c>
      <c r="S117" s="8"/>
      <c r="U117" s="39"/>
    </row>
    <row r="118" spans="1:21" x14ac:dyDescent="0.25">
      <c r="A118" s="20">
        <v>41455</v>
      </c>
      <c r="B118" s="24">
        <f t="shared" si="17"/>
        <v>102</v>
      </c>
      <c r="C118" s="17" t="s">
        <v>77</v>
      </c>
      <c r="D118" s="27">
        <v>-0.23</v>
      </c>
      <c r="E118" s="46">
        <f t="shared" si="19"/>
        <v>2323427.4533631485</v>
      </c>
      <c r="F118" s="8"/>
      <c r="G118" s="5">
        <f>(E118/E115-1)*100</f>
        <v>2.7942721388000136</v>
      </c>
      <c r="H118" s="49"/>
      <c r="I118" s="39"/>
      <c r="J118" s="20">
        <f t="shared" si="18"/>
        <v>41455</v>
      </c>
      <c r="K118" s="27">
        <v>-0.51248585858309226</v>
      </c>
      <c r="L118" s="46">
        <f t="shared" si="20"/>
        <v>1677598.5812979655</v>
      </c>
      <c r="M118" s="8"/>
      <c r="N118" s="5">
        <f>(L118/L115-1)*100</f>
        <v>3.0833758174539039</v>
      </c>
      <c r="O118" s="39"/>
      <c r="P118" s="20">
        <f t="shared" si="15"/>
        <v>41455</v>
      </c>
      <c r="Q118" s="45">
        <v>1.265195651176656</v>
      </c>
      <c r="R118" s="46">
        <f t="shared" si="21"/>
        <v>2058985.9344103276</v>
      </c>
      <c r="S118" s="8"/>
      <c r="T118" s="5">
        <f>(R118/R115-1)*100</f>
        <v>2.7614330403694431</v>
      </c>
      <c r="U118" s="39"/>
    </row>
    <row r="119" spans="1:21" x14ac:dyDescent="0.25">
      <c r="A119" s="20">
        <v>41486</v>
      </c>
      <c r="B119" s="24">
        <f t="shared" si="17"/>
        <v>103</v>
      </c>
      <c r="C119" s="17" t="s">
        <v>77</v>
      </c>
      <c r="D119" s="27">
        <v>6.85</v>
      </c>
      <c r="E119" s="46">
        <f t="shared" si="19"/>
        <v>2482582.2339185243</v>
      </c>
      <c r="F119" s="8"/>
      <c r="H119" s="49"/>
      <c r="I119" s="39"/>
      <c r="J119" s="20">
        <f t="shared" si="18"/>
        <v>41486</v>
      </c>
      <c r="K119" s="27">
        <v>6.9977537119009705</v>
      </c>
      <c r="L119" s="46">
        <f t="shared" si="20"/>
        <v>1794992.7982915419</v>
      </c>
      <c r="M119" s="8"/>
      <c r="O119" s="39"/>
      <c r="P119" s="20">
        <f t="shared" si="15"/>
        <v>41486</v>
      </c>
      <c r="Q119" s="45">
        <v>6.3031148640078225</v>
      </c>
      <c r="R119" s="46">
        <f t="shared" si="21"/>
        <v>2188766.1828899751</v>
      </c>
      <c r="S119" s="8"/>
      <c r="U119" s="39"/>
    </row>
    <row r="120" spans="1:21" x14ac:dyDescent="0.25">
      <c r="A120" s="20">
        <v>41517</v>
      </c>
      <c r="B120" s="24">
        <f t="shared" si="17"/>
        <v>104</v>
      </c>
      <c r="C120" s="17" t="s">
        <v>77</v>
      </c>
      <c r="D120" s="27">
        <v>-4.22</v>
      </c>
      <c r="E120" s="46">
        <f t="shared" si="19"/>
        <v>2377817.2636471628</v>
      </c>
      <c r="F120" s="8"/>
      <c r="H120" s="49"/>
      <c r="I120" s="39"/>
      <c r="J120" s="20">
        <f t="shared" si="18"/>
        <v>41517</v>
      </c>
      <c r="K120" s="27">
        <v>-3.1777193277507911</v>
      </c>
      <c r="L120" s="46">
        <f t="shared" si="20"/>
        <v>1737952.9652084967</v>
      </c>
      <c r="M120" s="8"/>
      <c r="O120" s="39"/>
      <c r="P120" s="20">
        <f t="shared" si="15"/>
        <v>41517</v>
      </c>
      <c r="Q120" s="45">
        <v>-4.7591855519854018</v>
      </c>
      <c r="R120" s="46">
        <f t="shared" si="21"/>
        <v>2084598.7389471331</v>
      </c>
      <c r="S120" s="8"/>
      <c r="U120" s="39"/>
    </row>
    <row r="121" spans="1:21" x14ac:dyDescent="0.25">
      <c r="A121" s="20">
        <v>41547</v>
      </c>
      <c r="B121" s="24">
        <f t="shared" si="17"/>
        <v>105</v>
      </c>
      <c r="C121" s="17" t="s">
        <v>77</v>
      </c>
      <c r="D121" s="27">
        <v>5.8</v>
      </c>
      <c r="E121" s="46">
        <f t="shared" si="19"/>
        <v>2515730.6649386981</v>
      </c>
      <c r="F121" s="8"/>
      <c r="G121" s="5">
        <f>(E121/E118-1)*100</f>
        <v>8.2767039400000186</v>
      </c>
      <c r="H121" s="49"/>
      <c r="I121" s="39"/>
      <c r="J121" s="20">
        <f t="shared" si="18"/>
        <v>41547</v>
      </c>
      <c r="K121" s="27">
        <v>6.3780070609969286</v>
      </c>
      <c r="L121" s="46">
        <f t="shared" si="20"/>
        <v>1848799.7280463001</v>
      </c>
      <c r="M121" s="8"/>
      <c r="N121" s="5">
        <f>(L121/L118-1)*100</f>
        <v>10.205131826940118</v>
      </c>
      <c r="O121" s="39"/>
      <c r="P121" s="20">
        <f t="shared" si="15"/>
        <v>41547</v>
      </c>
      <c r="Q121" s="45">
        <v>5.2395142598906412</v>
      </c>
      <c r="R121" s="46">
        <f t="shared" si="21"/>
        <v>2193821.5871357685</v>
      </c>
      <c r="S121" s="8"/>
      <c r="T121" s="5">
        <f>(R121/R118-1)*100</f>
        <v>6.5486437023211774</v>
      </c>
      <c r="U121" s="39"/>
    </row>
    <row r="122" spans="1:21" x14ac:dyDescent="0.25">
      <c r="A122" s="20">
        <v>41578</v>
      </c>
      <c r="B122" s="24">
        <f t="shared" si="17"/>
        <v>106</v>
      </c>
      <c r="C122" s="17" t="s">
        <v>77</v>
      </c>
      <c r="D122" s="27">
        <v>3.36</v>
      </c>
      <c r="E122" s="46">
        <f t="shared" si="19"/>
        <v>2600259.2152806381</v>
      </c>
      <c r="F122" s="8"/>
      <c r="H122" s="49"/>
      <c r="I122" s="39"/>
      <c r="J122" s="20">
        <f t="shared" si="18"/>
        <v>41578</v>
      </c>
      <c r="K122" s="27">
        <v>2.5146190529199517</v>
      </c>
      <c r="L122" s="46">
        <f t="shared" si="20"/>
        <v>1895289.9982580845</v>
      </c>
      <c r="M122" s="8"/>
      <c r="O122" s="39"/>
      <c r="P122" s="20">
        <f t="shared" si="15"/>
        <v>41578</v>
      </c>
      <c r="Q122" s="45">
        <v>4.2363225115219079</v>
      </c>
      <c r="R122" s="46">
        <f t="shared" si="21"/>
        <v>2286758.9448942281</v>
      </c>
      <c r="S122" s="8"/>
      <c r="U122" s="39"/>
    </row>
    <row r="123" spans="1:21" x14ac:dyDescent="0.25">
      <c r="A123" s="20">
        <v>41608</v>
      </c>
      <c r="B123" s="24">
        <f t="shared" si="17"/>
        <v>107</v>
      </c>
      <c r="C123" s="17" t="s">
        <v>77</v>
      </c>
      <c r="D123" s="27">
        <v>4.05</v>
      </c>
      <c r="E123" s="46">
        <f t="shared" si="19"/>
        <v>2705569.7134995041</v>
      </c>
      <c r="F123" s="8"/>
      <c r="H123" s="49"/>
      <c r="I123" s="39"/>
      <c r="J123" s="20">
        <f t="shared" si="18"/>
        <v>41608</v>
      </c>
      <c r="K123" s="27">
        <v>4.0068638380340351</v>
      </c>
      <c r="L123" s="46">
        <f t="shared" si="20"/>
        <v>1971231.6878241636</v>
      </c>
      <c r="M123" s="8"/>
      <c r="O123" s="39"/>
      <c r="P123" s="20">
        <f t="shared" si="15"/>
        <v>41608</v>
      </c>
      <c r="Q123" s="45">
        <v>3.6228219017163812</v>
      </c>
      <c r="R123" s="46">
        <f t="shared" si="21"/>
        <v>2369604.1487893146</v>
      </c>
      <c r="S123" s="8"/>
      <c r="U123" s="39"/>
    </row>
    <row r="124" spans="1:21" x14ac:dyDescent="0.25">
      <c r="A124" s="20">
        <v>41639</v>
      </c>
      <c r="B124" s="24">
        <f t="shared" si="17"/>
        <v>108</v>
      </c>
      <c r="C124" s="17" t="s">
        <v>77</v>
      </c>
      <c r="D124" s="27">
        <v>1.42</v>
      </c>
      <c r="E124" s="46">
        <f t="shared" si="19"/>
        <v>2743988.8034311971</v>
      </c>
      <c r="F124" s="11">
        <f>(E124-E112)/E112*100</f>
        <v>39.215629448126982</v>
      </c>
      <c r="G124" s="5">
        <f>(E124/E121-1)*100</f>
        <v>9.0732343360000023</v>
      </c>
      <c r="H124" s="49"/>
      <c r="I124" s="39"/>
      <c r="J124" s="20">
        <f t="shared" si="18"/>
        <v>41639</v>
      </c>
      <c r="K124" s="27">
        <v>1.9722705558260061</v>
      </c>
      <c r="L124" s="46">
        <f t="shared" si="20"/>
        <v>2010109.7099902316</v>
      </c>
      <c r="M124" s="11">
        <f>(L124-L112)/L112*100</f>
        <v>38.821984309701122</v>
      </c>
      <c r="N124" s="5">
        <f>(L124/L121-1)*100</f>
        <v>8.7251193029108656</v>
      </c>
      <c r="O124" s="39"/>
      <c r="P124" s="20">
        <f t="shared" si="15"/>
        <v>41639</v>
      </c>
      <c r="Q124" s="45">
        <v>0.99665420192876064</v>
      </c>
      <c r="R124" s="46">
        <f t="shared" si="21"/>
        <v>2393220.9081073017</v>
      </c>
      <c r="S124" s="11">
        <f>(R124-R112)/R112*100</f>
        <v>34.324873309042161</v>
      </c>
      <c r="T124" s="5">
        <f>(R124/R121-1)*100</f>
        <v>9.089131137225559</v>
      </c>
      <c r="U124" s="39"/>
    </row>
    <row r="125" spans="1:21" x14ac:dyDescent="0.25">
      <c r="A125" s="20">
        <v>41670</v>
      </c>
      <c r="B125" s="24">
        <f t="shared" si="17"/>
        <v>109</v>
      </c>
      <c r="C125" s="17" t="s">
        <v>77</v>
      </c>
      <c r="D125" s="27">
        <v>-1.48</v>
      </c>
      <c r="E125" s="46">
        <f t="shared" si="19"/>
        <v>2703377.7691404154</v>
      </c>
      <c r="F125" s="10"/>
      <c r="H125" s="49"/>
      <c r="I125" s="39"/>
      <c r="J125" s="20">
        <f t="shared" si="18"/>
        <v>41670</v>
      </c>
      <c r="K125" s="27">
        <v>-2.7679779878653212</v>
      </c>
      <c r="L125" s="46">
        <f t="shared" si="20"/>
        <v>1954470.3156857586</v>
      </c>
      <c r="M125" s="10"/>
      <c r="O125" s="39"/>
      <c r="P125" s="20">
        <f t="shared" si="15"/>
        <v>41670</v>
      </c>
      <c r="Q125" s="45">
        <v>-2.6728297386410729</v>
      </c>
      <c r="R125" s="46">
        <f t="shared" si="21"/>
        <v>2329254.1879640338</v>
      </c>
      <c r="S125" s="10"/>
      <c r="U125" s="39"/>
    </row>
    <row r="126" spans="1:21" x14ac:dyDescent="0.25">
      <c r="A126" s="21">
        <v>41698</v>
      </c>
      <c r="B126" s="24">
        <f t="shared" si="17"/>
        <v>110</v>
      </c>
      <c r="C126" s="13" t="s">
        <v>100</v>
      </c>
      <c r="D126" s="29">
        <v>5.34</v>
      </c>
      <c r="E126" s="47">
        <f t="shared" si="19"/>
        <v>2847738.1420125137</v>
      </c>
      <c r="F126" s="76"/>
      <c r="G126" s="3"/>
      <c r="H126" s="49"/>
      <c r="I126" s="39"/>
      <c r="J126" s="20">
        <f t="shared" si="18"/>
        <v>41698</v>
      </c>
      <c r="K126" s="27">
        <v>4.7112568096957084</v>
      </c>
      <c r="L126" s="46">
        <f t="shared" si="20"/>
        <v>2046550.431526985</v>
      </c>
      <c r="M126" s="8"/>
      <c r="O126" s="39"/>
      <c r="P126" s="20">
        <f t="shared" si="15"/>
        <v>41698</v>
      </c>
      <c r="Q126" s="45">
        <v>3.5719434255418094</v>
      </c>
      <c r="R126" s="46">
        <f t="shared" si="21"/>
        <v>2412453.8297951724</v>
      </c>
      <c r="S126" s="8"/>
      <c r="U126" s="39"/>
    </row>
    <row r="127" spans="1:21" x14ac:dyDescent="0.25">
      <c r="A127" s="21">
        <v>41729</v>
      </c>
      <c r="B127" s="24">
        <f t="shared" si="17"/>
        <v>111</v>
      </c>
      <c r="C127" s="13" t="s">
        <v>100</v>
      </c>
      <c r="D127" s="29">
        <v>2.4900000000000002</v>
      </c>
      <c r="E127" s="47">
        <f t="shared" si="19"/>
        <v>2918646.8217486255</v>
      </c>
      <c r="F127" s="76"/>
      <c r="G127" s="49">
        <f>(E127/E124-1)*100</f>
        <v>6.3651141032000202</v>
      </c>
      <c r="H127" s="49"/>
      <c r="I127" s="39"/>
      <c r="J127" s="20">
        <f t="shared" si="18"/>
        <v>41729</v>
      </c>
      <c r="K127" s="27">
        <v>-0.68078276144242911</v>
      </c>
      <c r="L127" s="46">
        <f t="shared" si="20"/>
        <v>2032617.8689849237</v>
      </c>
      <c r="M127" s="8"/>
      <c r="N127" s="5">
        <f>(L127/L124-1)*100</f>
        <v>1.1197477870400263</v>
      </c>
      <c r="O127" s="39"/>
      <c r="P127" s="20">
        <f t="shared" si="15"/>
        <v>41729</v>
      </c>
      <c r="Q127" s="45">
        <v>1.885216745797303</v>
      </c>
      <c r="R127" s="46">
        <f t="shared" si="21"/>
        <v>2457933.8133790996</v>
      </c>
      <c r="S127" s="8"/>
      <c r="T127" s="5">
        <f>(R127/R124-1)*100</f>
        <v>2.7040088548690111</v>
      </c>
      <c r="U127" s="39"/>
    </row>
    <row r="128" spans="1:21" x14ac:dyDescent="0.25">
      <c r="A128" s="21">
        <v>41759</v>
      </c>
      <c r="B128" s="24">
        <f t="shared" si="17"/>
        <v>112</v>
      </c>
      <c r="C128" s="3" t="s">
        <v>101</v>
      </c>
      <c r="D128" s="29">
        <v>-2.99</v>
      </c>
      <c r="E128" s="47">
        <f t="shared" si="19"/>
        <v>2831379.2817783416</v>
      </c>
      <c r="F128" s="3"/>
      <c r="G128" s="54"/>
      <c r="H128" s="49"/>
      <c r="I128" s="39"/>
      <c r="J128" s="20">
        <f t="shared" si="18"/>
        <v>41759</v>
      </c>
      <c r="K128" s="27">
        <v>-3.8781162598282912</v>
      </c>
      <c r="L128" s="46">
        <f t="shared" si="20"/>
        <v>1953790.584907644</v>
      </c>
      <c r="M128" s="8"/>
      <c r="O128" s="39"/>
      <c r="P128" s="20">
        <f t="shared" si="15"/>
        <v>41759</v>
      </c>
      <c r="Q128" s="45">
        <v>-2.7178202792956854</v>
      </c>
      <c r="R128" s="46">
        <f t="shared" si="21"/>
        <v>2391131.5897474168</v>
      </c>
      <c r="S128" s="8"/>
      <c r="T128" s="140"/>
      <c r="U128" s="39"/>
    </row>
    <row r="129" spans="1:21" x14ac:dyDescent="0.25">
      <c r="A129" s="21">
        <v>41790</v>
      </c>
      <c r="B129" s="24">
        <f t="shared" si="17"/>
        <v>113</v>
      </c>
      <c r="C129" s="3" t="s">
        <v>101</v>
      </c>
      <c r="D129" s="29">
        <v>0.69</v>
      </c>
      <c r="E129" s="47">
        <f t="shared" si="19"/>
        <v>2850915.798822612</v>
      </c>
      <c r="F129" s="3"/>
      <c r="H129" s="49"/>
      <c r="I129" s="39"/>
      <c r="J129" s="20">
        <f t="shared" si="18"/>
        <v>41790</v>
      </c>
      <c r="K129" s="27">
        <v>0.80152936191700652</v>
      </c>
      <c r="L129" s="46">
        <f t="shared" si="20"/>
        <v>1969450.7901160487</v>
      </c>
      <c r="M129" s="8"/>
      <c r="O129" s="39"/>
      <c r="P129" s="20">
        <f t="shared" si="15"/>
        <v>41790</v>
      </c>
      <c r="Q129" s="45">
        <v>0.81448599224522389</v>
      </c>
      <c r="R129" s="46">
        <f t="shared" si="21"/>
        <v>2410607.0216020602</v>
      </c>
      <c r="S129" s="8"/>
      <c r="T129" s="140"/>
      <c r="U129" s="39"/>
    </row>
    <row r="130" spans="1:21" x14ac:dyDescent="0.25">
      <c r="A130" s="21">
        <v>41820</v>
      </c>
      <c r="B130" s="24">
        <f t="shared" si="17"/>
        <v>114</v>
      </c>
      <c r="C130" s="3" t="s">
        <v>101</v>
      </c>
      <c r="D130" s="29">
        <v>3.88</v>
      </c>
      <c r="E130" s="47">
        <f t="shared" si="19"/>
        <v>2961531.3318169294</v>
      </c>
      <c r="F130" s="4"/>
      <c r="G130" s="49">
        <f>(E130/E127-1)*100</f>
        <v>1.4693285171999859</v>
      </c>
      <c r="H130" s="49"/>
      <c r="I130" s="39"/>
      <c r="J130" s="20">
        <f t="shared" si="18"/>
        <v>41820</v>
      </c>
      <c r="K130" s="27">
        <v>5.3207317594899166</v>
      </c>
      <c r="L130" s="46">
        <f t="shared" si="20"/>
        <v>2074239.9837932782</v>
      </c>
      <c r="M130" s="8"/>
      <c r="N130" s="5">
        <f>(L130/L127-1)*100</f>
        <v>2.0477097758242246</v>
      </c>
      <c r="O130" s="39"/>
      <c r="P130" s="20">
        <f t="shared" si="15"/>
        <v>41820</v>
      </c>
      <c r="Q130" s="45">
        <v>3.4869953491251513</v>
      </c>
      <c r="R130" s="46">
        <f t="shared" si="21"/>
        <v>2494664.7763310084</v>
      </c>
      <c r="S130" s="8"/>
      <c r="T130" s="131">
        <f>(R130/R127-1)*100</f>
        <v>1.4943837279903116</v>
      </c>
      <c r="U130" s="39"/>
    </row>
    <row r="131" spans="1:21" x14ac:dyDescent="0.25">
      <c r="A131" s="21">
        <v>41851</v>
      </c>
      <c r="B131" s="24">
        <f t="shared" si="17"/>
        <v>115</v>
      </c>
      <c r="C131" s="3" t="s">
        <v>101</v>
      </c>
      <c r="D131" s="29">
        <v>-4.12</v>
      </c>
      <c r="E131" s="47">
        <f t="shared" si="19"/>
        <v>2839516.2409460717</v>
      </c>
      <c r="F131" s="3"/>
      <c r="H131" s="49"/>
      <c r="I131" s="39"/>
      <c r="J131" s="20">
        <f t="shared" si="18"/>
        <v>41851</v>
      </c>
      <c r="K131" s="27">
        <v>-6.0529187375197528</v>
      </c>
      <c r="L131" s="46">
        <f t="shared" si="20"/>
        <v>1948687.9231531282</v>
      </c>
      <c r="M131" s="8"/>
      <c r="O131" s="39"/>
      <c r="P131" s="20">
        <f t="shared" si="15"/>
        <v>41851</v>
      </c>
      <c r="Q131" s="45">
        <v>-4.3932131400070293</v>
      </c>
      <c r="R131" s="46">
        <f t="shared" si="21"/>
        <v>2385068.8355781077</v>
      </c>
      <c r="S131" s="8"/>
      <c r="T131" s="140"/>
      <c r="U131" s="39"/>
    </row>
    <row r="132" spans="1:21" x14ac:dyDescent="0.25">
      <c r="A132" s="21">
        <v>41882</v>
      </c>
      <c r="B132" s="24">
        <f t="shared" si="17"/>
        <v>116</v>
      </c>
      <c r="C132" s="3" t="s">
        <v>101</v>
      </c>
      <c r="D132" s="29">
        <v>4.43</v>
      </c>
      <c r="E132" s="47">
        <f t="shared" si="19"/>
        <v>2965306.8104199828</v>
      </c>
      <c r="F132" s="4"/>
      <c r="H132" s="49"/>
      <c r="I132" s="39"/>
      <c r="J132" s="20">
        <f t="shared" si="18"/>
        <v>41882</v>
      </c>
      <c r="K132" s="27">
        <v>4.958593526650164</v>
      </c>
      <c r="L132" s="46">
        <f t="shared" si="20"/>
        <v>2045315.4363652128</v>
      </c>
      <c r="M132" s="8"/>
      <c r="O132" s="39"/>
      <c r="P132" s="20">
        <f t="shared" si="15"/>
        <v>41882</v>
      </c>
      <c r="Q132" s="45">
        <v>3.4312575281180191</v>
      </c>
      <c r="R132" s="46">
        <f t="shared" si="21"/>
        <v>2466906.6895496785</v>
      </c>
      <c r="S132" s="8"/>
      <c r="T132" s="140"/>
      <c r="U132" s="39"/>
    </row>
    <row r="133" spans="1:21" x14ac:dyDescent="0.25">
      <c r="A133" s="21">
        <v>41912</v>
      </c>
      <c r="B133" s="24">
        <f t="shared" si="17"/>
        <v>117</v>
      </c>
      <c r="C133" s="3" t="s">
        <v>101</v>
      </c>
      <c r="D133" s="29">
        <v>-3.94</v>
      </c>
      <c r="E133" s="47">
        <f t="shared" si="19"/>
        <v>2848473.7220894354</v>
      </c>
      <c r="F133" s="19"/>
      <c r="G133" s="49">
        <f>(E133/E130-1)*100</f>
        <v>-3.8175388696000012</v>
      </c>
      <c r="H133" s="49"/>
      <c r="I133" s="39"/>
      <c r="J133" s="20">
        <f t="shared" si="18"/>
        <v>41912</v>
      </c>
      <c r="K133" s="27">
        <v>-6.0493826882581736</v>
      </c>
      <c r="L133" s="46">
        <f t="shared" si="20"/>
        <v>1921586.4784374635</v>
      </c>
      <c r="M133" s="8"/>
      <c r="N133" s="131">
        <f>(L133/L130-1)*100</f>
        <v>-7.359491020737563</v>
      </c>
      <c r="O133" s="39"/>
      <c r="P133" s="20">
        <f t="shared" si="15"/>
        <v>41912</v>
      </c>
      <c r="Q133" s="45">
        <v>-4.8691404329973382</v>
      </c>
      <c r="R133" s="46">
        <f t="shared" si="21"/>
        <v>2346789.5384844989</v>
      </c>
      <c r="S133" s="8"/>
      <c r="T133" s="131">
        <f>(R133/R130-1)*100</f>
        <v>-5.9276596699294748</v>
      </c>
      <c r="U133" s="39"/>
    </row>
    <row r="134" spans="1:21" x14ac:dyDescent="0.25">
      <c r="A134" s="21">
        <v>41943</v>
      </c>
      <c r="B134" s="24">
        <f t="shared" si="17"/>
        <v>118</v>
      </c>
      <c r="C134" s="3" t="s">
        <v>101</v>
      </c>
      <c r="D134" s="29">
        <v>10.37</v>
      </c>
      <c r="E134" s="47">
        <f t="shared" si="19"/>
        <v>3143860.4470701097</v>
      </c>
      <c r="F134" s="19"/>
      <c r="G134" s="49"/>
      <c r="H134" s="49"/>
      <c r="I134" s="39"/>
      <c r="J134" s="20">
        <f t="shared" si="18"/>
        <v>41943</v>
      </c>
      <c r="K134" s="27">
        <v>6.5919147344933187</v>
      </c>
      <c r="L134" s="46">
        <f t="shared" si="20"/>
        <v>2048255.8206456141</v>
      </c>
      <c r="M134" s="11"/>
      <c r="N134" s="140"/>
      <c r="O134" s="39"/>
      <c r="P134" s="20">
        <f t="shared" si="15"/>
        <v>41943</v>
      </c>
      <c r="Q134" s="45">
        <v>10.01176451884708</v>
      </c>
      <c r="R134" s="46">
        <f t="shared" si="21"/>
        <v>2581744.5808305051</v>
      </c>
      <c r="S134" s="11"/>
      <c r="T134" s="140"/>
      <c r="U134" s="39"/>
    </row>
    <row r="135" spans="1:21" x14ac:dyDescent="0.25">
      <c r="A135" s="21">
        <v>41973</v>
      </c>
      <c r="B135" s="24">
        <f t="shared" si="17"/>
        <v>119</v>
      </c>
      <c r="C135" s="3" t="s">
        <v>101</v>
      </c>
      <c r="D135" s="29">
        <v>0.87</v>
      </c>
      <c r="E135" s="47">
        <f t="shared" si="19"/>
        <v>3171212.0329596195</v>
      </c>
      <c r="F135" s="19"/>
      <c r="H135" s="49"/>
      <c r="I135" s="39"/>
      <c r="J135" s="20">
        <f t="shared" si="18"/>
        <v>41973</v>
      </c>
      <c r="K135" s="27">
        <v>9.0243889280837E-2</v>
      </c>
      <c r="L135" s="46">
        <f t="shared" ref="L135:L140" si="22">L134*K135/100+L134</f>
        <v>2050104.2463605858</v>
      </c>
      <c r="M135" s="11"/>
      <c r="N135" s="140"/>
      <c r="O135" s="39"/>
      <c r="P135" s="20">
        <f t="shared" si="15"/>
        <v>41973</v>
      </c>
      <c r="Q135" s="45">
        <v>-0.27601754373287979</v>
      </c>
      <c r="R135" s="46">
        <f t="shared" si="21"/>
        <v>2574618.5128530399</v>
      </c>
      <c r="S135" s="11"/>
      <c r="T135" s="140"/>
      <c r="U135" s="39"/>
    </row>
    <row r="136" spans="1:21" x14ac:dyDescent="0.25">
      <c r="A136" s="21">
        <v>42004</v>
      </c>
      <c r="B136" s="24">
        <f>IF(A136&gt;A135,1+B135,"-")</f>
        <v>120</v>
      </c>
      <c r="C136" s="3" t="s">
        <v>101</v>
      </c>
      <c r="D136" s="29">
        <v>3.35</v>
      </c>
      <c r="E136" s="47">
        <f t="shared" si="19"/>
        <v>3277447.6360637667</v>
      </c>
      <c r="F136" s="19">
        <f>(E136-E$124)/E$124*100</f>
        <v>19.440998883286646</v>
      </c>
      <c r="G136" s="49">
        <f>(E136/E133-1)*100</f>
        <v>15.059781336499988</v>
      </c>
      <c r="H136" s="19"/>
      <c r="I136" s="39"/>
      <c r="J136" s="20">
        <f t="shared" si="18"/>
        <v>42004</v>
      </c>
      <c r="K136" s="27">
        <v>2.8498588871171826</v>
      </c>
      <c r="L136" s="46">
        <f t="shared" si="22"/>
        <v>2108529.3244206598</v>
      </c>
      <c r="M136" s="19">
        <f>(L136-L$124)/L$124*100</f>
        <v>4.8962309838753297</v>
      </c>
      <c r="N136" s="131">
        <f>(L136/L133-1)*100</f>
        <v>9.7285679349288898</v>
      </c>
      <c r="O136" s="39"/>
      <c r="P136" s="20">
        <f t="shared" si="15"/>
        <v>42004</v>
      </c>
      <c r="Q136" s="45">
        <v>3.3402166431184948</v>
      </c>
      <c r="R136" s="46">
        <f t="shared" si="21"/>
        <v>2660616.3489161669</v>
      </c>
      <c r="S136" s="19">
        <f>(R136-R$124)/R$124*100</f>
        <v>11.173036300286091</v>
      </c>
      <c r="T136" s="131">
        <f>(R136/R133-1)*100</f>
        <v>13.372601389485062</v>
      </c>
      <c r="U136" s="39"/>
    </row>
    <row r="137" spans="1:21" x14ac:dyDescent="0.25">
      <c r="A137" s="21">
        <v>42035</v>
      </c>
      <c r="B137" s="24">
        <f t="shared" si="17"/>
        <v>121</v>
      </c>
      <c r="C137" s="3" t="s">
        <v>101</v>
      </c>
      <c r="D137" s="29">
        <v>-2.25</v>
      </c>
      <c r="E137" s="47">
        <f t="shared" si="19"/>
        <v>3203705.0642523319</v>
      </c>
      <c r="F137" s="76">
        <f>(E136-E$125)/E$125*100</f>
        <v>21.235281042718885</v>
      </c>
      <c r="H137" s="49"/>
      <c r="I137" s="39"/>
      <c r="J137" s="20">
        <f t="shared" si="18"/>
        <v>42035</v>
      </c>
      <c r="K137" s="27">
        <v>-3.2159753259148767</v>
      </c>
      <c r="L137" s="46">
        <f t="shared" si="22"/>
        <v>2040719.5416076118</v>
      </c>
      <c r="M137" s="76">
        <f>(L136-L$125)/L$125*100</f>
        <v>7.8823918428685387</v>
      </c>
      <c r="N137" s="109"/>
      <c r="O137" s="39"/>
      <c r="P137" s="20">
        <f t="shared" si="15"/>
        <v>42035</v>
      </c>
      <c r="Q137" s="45">
        <v>-1.3917616126205019</v>
      </c>
      <c r="R137" s="46">
        <f t="shared" si="21"/>
        <v>2623586.9119128464</v>
      </c>
      <c r="S137" s="76">
        <f>(R136-R$125)/R$125*100</f>
        <v>14.226105620605187</v>
      </c>
      <c r="T137" s="109"/>
      <c r="U137" s="39"/>
    </row>
    <row r="138" spans="1:21" x14ac:dyDescent="0.25">
      <c r="A138" s="21">
        <v>42063</v>
      </c>
      <c r="B138" s="24">
        <f t="shared" si="17"/>
        <v>122</v>
      </c>
      <c r="C138" s="3" t="s">
        <v>101</v>
      </c>
      <c r="D138" s="29">
        <v>3.22</v>
      </c>
      <c r="E138" s="47">
        <f t="shared" si="19"/>
        <v>3306864.367321257</v>
      </c>
      <c r="H138" s="49"/>
      <c r="I138" s="39"/>
      <c r="J138" s="20">
        <f t="shared" si="18"/>
        <v>42063</v>
      </c>
      <c r="K138" s="27">
        <v>5.9366466793778523</v>
      </c>
      <c r="L138" s="46">
        <f t="shared" si="22"/>
        <v>2161869.850509875</v>
      </c>
      <c r="M138" s="18"/>
      <c r="N138" s="109"/>
      <c r="O138" s="39"/>
      <c r="P138" s="20">
        <f t="shared" si="15"/>
        <v>42063</v>
      </c>
      <c r="Q138" s="45">
        <v>1.7555460750853118</v>
      </c>
      <c r="R138" s="46">
        <f t="shared" si="21"/>
        <v>2669645.1889713844</v>
      </c>
      <c r="S138" s="18"/>
      <c r="T138" s="109"/>
      <c r="U138" s="39"/>
    </row>
    <row r="139" spans="1:21" x14ac:dyDescent="0.25">
      <c r="A139" s="21">
        <v>42094</v>
      </c>
      <c r="B139" s="24">
        <f t="shared" si="17"/>
        <v>123</v>
      </c>
      <c r="C139" s="3" t="s">
        <v>101</v>
      </c>
      <c r="D139" s="29">
        <v>2.2999999999999998</v>
      </c>
      <c r="E139" s="47">
        <f t="shared" si="19"/>
        <v>3382922.2477696459</v>
      </c>
      <c r="G139" s="49">
        <f>(E139/E136-1)*100</f>
        <v>3.2181936500000008</v>
      </c>
      <c r="H139" s="49"/>
      <c r="I139" s="39"/>
      <c r="J139" s="20">
        <f t="shared" si="18"/>
        <v>42094</v>
      </c>
      <c r="K139" s="27">
        <v>1.7420488950149302</v>
      </c>
      <c r="L139" s="46">
        <f t="shared" si="22"/>
        <v>2199530.6803523432</v>
      </c>
      <c r="M139" s="18"/>
      <c r="N139" s="131">
        <f>(L139/L136-1)*100</f>
        <v>4.3158686425519344</v>
      </c>
      <c r="O139" s="39"/>
      <c r="P139" s="20">
        <f t="shared" si="15"/>
        <v>42094</v>
      </c>
      <c r="Q139" s="45">
        <v>1.8356637248530829</v>
      </c>
      <c r="R139" s="46">
        <f t="shared" si="21"/>
        <v>2718650.8972876174</v>
      </c>
      <c r="S139" s="18"/>
      <c r="T139" s="131">
        <f>(R139/R136-1)*100</f>
        <v>2.181244522348802</v>
      </c>
      <c r="U139" s="39"/>
    </row>
    <row r="140" spans="1:21" x14ac:dyDescent="0.25">
      <c r="A140" s="21">
        <v>42124</v>
      </c>
      <c r="B140" s="24">
        <f>IF(A140&gt;A139,1+B139,"-")</f>
        <v>124</v>
      </c>
      <c r="C140" s="3" t="s">
        <v>101</v>
      </c>
      <c r="D140" s="29">
        <v>-3.67</v>
      </c>
      <c r="E140" s="47">
        <f t="shared" si="19"/>
        <v>3258769.0012765001</v>
      </c>
      <c r="G140" s="49"/>
      <c r="H140" s="49"/>
      <c r="I140" s="39"/>
      <c r="J140" s="20">
        <f t="shared" si="18"/>
        <v>42124</v>
      </c>
      <c r="K140" s="27">
        <v>-2.5502843863635616</v>
      </c>
      <c r="L140" s="46">
        <f t="shared" si="22"/>
        <v>2143436.3928380413</v>
      </c>
      <c r="M140" s="18"/>
      <c r="N140" s="131"/>
      <c r="O140" s="39"/>
      <c r="P140" s="20">
        <f t="shared" si="15"/>
        <v>42124</v>
      </c>
      <c r="Q140" s="45">
        <v>-3.6627875061755426</v>
      </c>
      <c r="R140" s="46">
        <f t="shared" si="21"/>
        <v>2619072.4918852374</v>
      </c>
      <c r="S140" s="18"/>
      <c r="T140" s="131"/>
      <c r="U140" s="39"/>
    </row>
    <row r="141" spans="1:21" x14ac:dyDescent="0.25">
      <c r="A141" s="21">
        <v>42155</v>
      </c>
      <c r="B141" s="24">
        <f>IF(A141&gt;A140,1+B140,"-")</f>
        <v>125</v>
      </c>
      <c r="C141" s="3" t="s">
        <v>101</v>
      </c>
      <c r="D141" s="29">
        <v>1.8</v>
      </c>
      <c r="E141" s="47">
        <f t="shared" si="19"/>
        <v>3317426.8432994769</v>
      </c>
      <c r="G141" s="49"/>
      <c r="H141" s="49"/>
      <c r="I141" s="39"/>
      <c r="J141" s="20">
        <f t="shared" si="18"/>
        <v>42155</v>
      </c>
      <c r="K141" s="27">
        <v>2.2830562424304075</v>
      </c>
      <c r="L141" s="46">
        <f>L140*K141/100+L140</f>
        <v>2192372.2512072553</v>
      </c>
      <c r="M141" s="18"/>
      <c r="N141" s="131"/>
      <c r="O141" s="39"/>
      <c r="P141" s="20">
        <f t="shared" si="15"/>
        <v>42155</v>
      </c>
      <c r="Q141" s="45">
        <v>0.45228564509465297</v>
      </c>
      <c r="R141" s="46">
        <f t="shared" si="21"/>
        <v>2630918.1808006573</v>
      </c>
      <c r="S141" s="18"/>
      <c r="T141" s="131"/>
      <c r="U141" s="39"/>
    </row>
    <row r="142" spans="1:21" x14ac:dyDescent="0.25">
      <c r="A142" s="21">
        <v>42185</v>
      </c>
      <c r="B142" s="24">
        <f t="shared" si="17"/>
        <v>126</v>
      </c>
      <c r="C142" s="3" t="s">
        <v>101</v>
      </c>
      <c r="D142" s="29">
        <v>1.1499999999999999</v>
      </c>
      <c r="E142" s="47">
        <f t="shared" si="19"/>
        <v>3355577.251997421</v>
      </c>
      <c r="G142" s="49">
        <f>(E142/E139-1)*100</f>
        <v>-0.80832468999999518</v>
      </c>
      <c r="H142" s="49"/>
      <c r="I142" s="39"/>
      <c r="J142" s="20">
        <f t="shared" si="18"/>
        <v>42185</v>
      </c>
      <c r="K142" s="27">
        <v>0.74882261871327926</v>
      </c>
      <c r="L142" s="46">
        <f>L141*K142/100+L141</f>
        <v>2208789.2305106889</v>
      </c>
      <c r="M142" s="18"/>
      <c r="N142" s="131">
        <f>(L142/L139-1)*100</f>
        <v>0.42093298543408597</v>
      </c>
      <c r="O142" s="39"/>
      <c r="P142" s="20">
        <f t="shared" si="15"/>
        <v>42185</v>
      </c>
      <c r="Q142" s="45">
        <v>1.1330681471712307</v>
      </c>
      <c r="R142" s="46">
        <f t="shared" si="21"/>
        <v>2660728.2766854465</v>
      </c>
      <c r="S142" s="18"/>
      <c r="T142" s="131">
        <f>(R142/R139-1)*100</f>
        <v>-2.1305648570016822</v>
      </c>
      <c r="U142" s="39"/>
    </row>
    <row r="143" spans="1:21" x14ac:dyDescent="0.25">
      <c r="A143" s="21">
        <v>42216</v>
      </c>
      <c r="B143" s="24">
        <f>IF(A143&gt;A142,1+B142,"-")</f>
        <v>127</v>
      </c>
      <c r="C143" s="3" t="s">
        <v>101</v>
      </c>
      <c r="D143" s="29">
        <v>0.91</v>
      </c>
      <c r="E143" s="47">
        <f t="shared" si="19"/>
        <v>3386113.0049905977</v>
      </c>
      <c r="G143" s="49"/>
      <c r="H143" s="49"/>
      <c r="I143" s="39"/>
      <c r="J143" s="20">
        <f t="shared" si="18"/>
        <v>42216</v>
      </c>
      <c r="K143" s="27">
        <v>-1.1619530266059153</v>
      </c>
      <c r="L143" s="46">
        <f>L142*K143/100+L142</f>
        <v>2183124.1371954242</v>
      </c>
      <c r="M143" s="18"/>
      <c r="N143" s="131"/>
      <c r="O143" s="39"/>
      <c r="P143" s="20">
        <f t="shared" si="15"/>
        <v>42216</v>
      </c>
      <c r="Q143" s="45">
        <v>1.8397122645147275</v>
      </c>
      <c r="R143" s="46">
        <f t="shared" si="21"/>
        <v>2709678.02111704</v>
      </c>
      <c r="S143" s="18"/>
      <c r="T143" s="131"/>
      <c r="U143" s="39"/>
    </row>
    <row r="144" spans="1:21" x14ac:dyDescent="0.25">
      <c r="A144" s="21">
        <v>42247</v>
      </c>
      <c r="B144" s="24">
        <f>IF(A144&gt;A143,1+B143,"-")</f>
        <v>128</v>
      </c>
      <c r="C144" s="3" t="s">
        <v>101</v>
      </c>
      <c r="D144" s="29">
        <v>-4.1399999999999997</v>
      </c>
      <c r="E144" s="47">
        <f t="shared" si="19"/>
        <v>3245927.9265839872</v>
      </c>
      <c r="G144" s="105"/>
      <c r="H144" s="49"/>
      <c r="I144" s="39"/>
      <c r="J144" s="20">
        <f t="shared" ref="J144:J178" si="23">A144</f>
        <v>42247</v>
      </c>
      <c r="K144" s="27">
        <v>-6.2840456545254346</v>
      </c>
      <c r="L144" s="46">
        <f>L143*K144/100+L143</f>
        <v>2045935.6197190993</v>
      </c>
      <c r="M144" s="18"/>
      <c r="N144" s="131"/>
      <c r="O144" s="39"/>
      <c r="P144" s="20">
        <f t="shared" si="15"/>
        <v>42247</v>
      </c>
      <c r="Q144" s="45">
        <v>-4.876252108361153</v>
      </c>
      <c r="R144" s="46">
        <f t="shared" si="21"/>
        <v>2577547.2894825214</v>
      </c>
      <c r="S144" s="18"/>
      <c r="T144" s="131"/>
      <c r="U144" s="39"/>
    </row>
    <row r="145" spans="1:32" x14ac:dyDescent="0.25">
      <c r="A145" s="21">
        <v>42277</v>
      </c>
      <c r="B145" s="24">
        <f>IF(A145&gt;A144,1+B144,"-")</f>
        <v>129</v>
      </c>
      <c r="C145" s="3" t="s">
        <v>101</v>
      </c>
      <c r="D145" s="29">
        <v>-0.39</v>
      </c>
      <c r="E145" s="47">
        <f>E144*D145/100+E144</f>
        <v>3233268.8076703097</v>
      </c>
      <c r="F145" s="19"/>
      <c r="G145" s="49">
        <f>(E145/E142-1)*100</f>
        <v>-3.6449300713999877</v>
      </c>
      <c r="H145" s="49"/>
      <c r="I145" s="39"/>
      <c r="J145" s="20">
        <f t="shared" si="23"/>
        <v>42277</v>
      </c>
      <c r="K145" s="27">
        <v>-4.9062264035734069</v>
      </c>
      <c r="L145" s="46">
        <f>L144*K145/100+L144</f>
        <v>1945557.3861443277</v>
      </c>
      <c r="M145" s="19"/>
      <c r="N145" s="131">
        <f>(L145/L142-1)*100</f>
        <v>-11.917472284374542</v>
      </c>
      <c r="O145" s="39"/>
      <c r="P145" s="20">
        <f t="shared" si="15"/>
        <v>42277</v>
      </c>
      <c r="Q145" s="45">
        <v>0.78814810526010137</v>
      </c>
      <c r="R145" s="46">
        <f t="shared" ref="R145:R176" si="24">R144*Q145/100+R144</f>
        <v>2597862.1796067609</v>
      </c>
      <c r="S145" s="19"/>
      <c r="T145" s="131">
        <f>(R145/R142-1)*100</f>
        <v>-2.3627402177647361</v>
      </c>
      <c r="U145" s="39"/>
    </row>
    <row r="146" spans="1:32" x14ac:dyDescent="0.25">
      <c r="A146" s="21">
        <v>42308</v>
      </c>
      <c r="B146" s="24">
        <f t="shared" ref="B146:B159" si="25">IF(A146&gt;A145,1+B145,"-")</f>
        <v>130</v>
      </c>
      <c r="C146" s="3" t="s">
        <v>101</v>
      </c>
      <c r="D146" s="29">
        <v>3.81</v>
      </c>
      <c r="E146" s="47">
        <f t="shared" ref="E146:E153" si="26">E145*D146/100+E145</f>
        <v>3356456.3492425485</v>
      </c>
      <c r="F146" s="19"/>
      <c r="G146" s="49"/>
      <c r="H146" s="49"/>
      <c r="I146" s="39"/>
      <c r="J146" s="20">
        <f t="shared" si="23"/>
        <v>42308</v>
      </c>
      <c r="K146" s="27">
        <v>5.634204345986376</v>
      </c>
      <c r="L146" s="46">
        <f t="shared" ref="L146:L151" si="27">L145*K146/100+L145</f>
        <v>2055174.0649481304</v>
      </c>
      <c r="M146" s="19"/>
      <c r="N146" s="131"/>
      <c r="O146" s="39"/>
      <c r="P146" s="20">
        <f t="shared" si="15"/>
        <v>42308</v>
      </c>
      <c r="Q146" s="45">
        <v>6.2623419334917916</v>
      </c>
      <c r="R146" s="46">
        <f t="shared" si="24"/>
        <v>2760549.1922545987</v>
      </c>
      <c r="S146" s="19"/>
      <c r="T146" s="131"/>
      <c r="U146" s="39"/>
    </row>
    <row r="147" spans="1:32" x14ac:dyDescent="0.25">
      <c r="A147" s="21">
        <v>42338</v>
      </c>
      <c r="B147" s="24">
        <f t="shared" si="25"/>
        <v>131</v>
      </c>
      <c r="C147" s="3" t="s">
        <v>101</v>
      </c>
      <c r="D147" s="29">
        <v>1.91</v>
      </c>
      <c r="E147" s="47">
        <f t="shared" si="26"/>
        <v>3420564.665513081</v>
      </c>
      <c r="F147" s="19"/>
      <c r="G147" s="49"/>
      <c r="H147" s="49"/>
      <c r="I147" s="39"/>
      <c r="J147" s="20">
        <f t="shared" si="23"/>
        <v>42338</v>
      </c>
      <c r="K147" s="27">
        <v>3.2529358603983836</v>
      </c>
      <c r="L147" s="46">
        <f t="shared" si="27"/>
        <v>2122027.5591004351</v>
      </c>
      <c r="M147" s="19"/>
      <c r="N147" s="131"/>
      <c r="O147" s="39"/>
      <c r="P147" s="20">
        <f>$A147</f>
        <v>42338</v>
      </c>
      <c r="Q147" s="45">
        <v>2.7361435850306126</v>
      </c>
      <c r="R147" s="46">
        <f t="shared" si="24"/>
        <v>2836081.7818900873</v>
      </c>
      <c r="S147" s="19"/>
      <c r="T147" s="131"/>
      <c r="U147" s="39"/>
    </row>
    <row r="148" spans="1:32" ht="16.5" thickBot="1" x14ac:dyDescent="0.3">
      <c r="A148" s="21">
        <v>42369</v>
      </c>
      <c r="B148" s="24">
        <f t="shared" si="25"/>
        <v>132</v>
      </c>
      <c r="C148" s="3" t="s">
        <v>101</v>
      </c>
      <c r="D148" s="29">
        <v>-1.68</v>
      </c>
      <c r="E148" s="47">
        <f t="shared" si="26"/>
        <v>3363099.1791324611</v>
      </c>
      <c r="F148" s="19">
        <f>(E148-E$136)/E$136*100</f>
        <v>2.6133611450025303</v>
      </c>
      <c r="G148" s="49">
        <f>(E148/E145-1)*100</f>
        <v>4.0154524471999853</v>
      </c>
      <c r="H148" s="49"/>
      <c r="I148" s="39"/>
      <c r="J148" s="20">
        <f t="shared" si="23"/>
        <v>42369</v>
      </c>
      <c r="K148" s="27">
        <v>-5.0212707421467879</v>
      </c>
      <c r="L148" s="46">
        <f t="shared" si="27"/>
        <v>2015474.8101350334</v>
      </c>
      <c r="M148" s="19">
        <f>(L148-L$136)/L$136*100</f>
        <v>-4.4132425955799333</v>
      </c>
      <c r="N148" s="131">
        <f>(L148/L145-1)*100</f>
        <v>3.5936963097894958</v>
      </c>
      <c r="O148" s="39"/>
      <c r="P148" s="20">
        <f>$A148</f>
        <v>42369</v>
      </c>
      <c r="Q148" s="45">
        <v>-3.3690497332780835</v>
      </c>
      <c r="R148" s="46">
        <f t="shared" si="24"/>
        <v>2740532.776181771</v>
      </c>
      <c r="S148" s="19">
        <f>(R148-R$136)/R$136*100</f>
        <v>3.0036809815950698</v>
      </c>
      <c r="T148" s="131">
        <f>(R148/R145-1)*100</f>
        <v>5.4918462455389561</v>
      </c>
      <c r="U148" s="39"/>
      <c r="W148" s="101" t="s">
        <v>56</v>
      </c>
      <c r="AD148" t="s">
        <v>102</v>
      </c>
      <c r="AE148" s="135" t="s">
        <v>103</v>
      </c>
    </row>
    <row r="149" spans="1:32" x14ac:dyDescent="0.25">
      <c r="A149" s="21">
        <v>42400</v>
      </c>
      <c r="B149" s="24">
        <f t="shared" si="25"/>
        <v>133</v>
      </c>
      <c r="C149" s="3" t="s">
        <v>101</v>
      </c>
      <c r="D149" s="29">
        <v>-1.05</v>
      </c>
      <c r="E149" s="47">
        <f t="shared" si="26"/>
        <v>3327786.6377515704</v>
      </c>
      <c r="F149" s="19"/>
      <c r="G149" s="49"/>
      <c r="H149" s="49"/>
      <c r="I149" s="39"/>
      <c r="J149" s="20">
        <f t="shared" si="23"/>
        <v>42400</v>
      </c>
      <c r="K149" s="27">
        <v>-8.7951679430077974</v>
      </c>
      <c r="L149" s="46">
        <f t="shared" si="27"/>
        <v>1838210.4157346396</v>
      </c>
      <c r="M149" s="19"/>
      <c r="N149" s="131"/>
      <c r="O149" s="39"/>
      <c r="P149" s="20">
        <f>$A149</f>
        <v>42400</v>
      </c>
      <c r="Q149" s="45">
        <v>-2.5818704095732623</v>
      </c>
      <c r="R149" s="46">
        <f t="shared" si="24"/>
        <v>2669775.771368877</v>
      </c>
      <c r="S149" s="19"/>
      <c r="T149" s="131"/>
      <c r="U149" s="39"/>
      <c r="V149" s="92"/>
      <c r="W149" s="324" t="s">
        <v>98</v>
      </c>
      <c r="X149" s="325"/>
      <c r="Y149" s="324" t="s">
        <v>99</v>
      </c>
      <c r="Z149" s="325" t="s">
        <v>81</v>
      </c>
      <c r="AA149" s="324" t="s">
        <v>68</v>
      </c>
      <c r="AB149" s="325"/>
      <c r="AC149" s="132">
        <f>$A149</f>
        <v>42400</v>
      </c>
      <c r="AD149" s="1">
        <v>-1.0500000000000001E-2</v>
      </c>
      <c r="AE149">
        <v>-1.03</v>
      </c>
    </row>
    <row r="150" spans="1:32" x14ac:dyDescent="0.25">
      <c r="A150" s="21">
        <v>42429</v>
      </c>
      <c r="B150" s="24">
        <f t="shared" si="25"/>
        <v>134</v>
      </c>
      <c r="C150" s="3" t="s">
        <v>101</v>
      </c>
      <c r="D150" s="29">
        <v>1.67</v>
      </c>
      <c r="E150" s="47">
        <f t="shared" si="26"/>
        <v>3383360.6746020215</v>
      </c>
      <c r="F150" s="19"/>
      <c r="G150" s="49"/>
      <c r="H150" s="49"/>
      <c r="I150" s="39"/>
      <c r="J150" s="20">
        <f t="shared" si="23"/>
        <v>42429</v>
      </c>
      <c r="K150" s="27">
        <v>-1.125449271752009E-2</v>
      </c>
      <c r="L150" s="46">
        <f t="shared" si="27"/>
        <v>1838003.5344772681</v>
      </c>
      <c r="M150" s="19"/>
      <c r="N150" s="131"/>
      <c r="O150" s="39"/>
      <c r="P150" s="20">
        <f t="shared" ref="P150:P232" si="28">$A150</f>
        <v>42429</v>
      </c>
      <c r="Q150" s="45">
        <v>0.26831381536655008</v>
      </c>
      <c r="R150" s="46">
        <f t="shared" si="24"/>
        <v>2676939.1486027688</v>
      </c>
      <c r="S150" s="19"/>
      <c r="T150" s="131"/>
      <c r="U150" s="39"/>
      <c r="V150" s="109"/>
      <c r="W150" s="94" t="s">
        <v>41</v>
      </c>
      <c r="X150" s="93" t="s">
        <v>76</v>
      </c>
      <c r="Y150" s="94" t="s">
        <v>41</v>
      </c>
      <c r="Z150" s="93" t="s">
        <v>76</v>
      </c>
      <c r="AA150" s="94" t="s">
        <v>41</v>
      </c>
      <c r="AB150" s="93" t="s">
        <v>76</v>
      </c>
      <c r="AC150" s="132">
        <f t="shared" ref="AC150:AC158" si="29">$A150</f>
        <v>42429</v>
      </c>
      <c r="AD150" s="1">
        <v>1.67E-2</v>
      </c>
      <c r="AE150">
        <v>1.72</v>
      </c>
    </row>
    <row r="151" spans="1:32" x14ac:dyDescent="0.25">
      <c r="A151" s="21">
        <v>42460</v>
      </c>
      <c r="B151" s="24">
        <f t="shared" si="25"/>
        <v>135</v>
      </c>
      <c r="C151" s="3" t="s">
        <v>101</v>
      </c>
      <c r="D151" s="29">
        <v>5.61</v>
      </c>
      <c r="E151" s="47">
        <f t="shared" si="26"/>
        <v>3573167.2084471947</v>
      </c>
      <c r="F151" s="19"/>
      <c r="G151" s="49">
        <f>(E151/E148-1)*100</f>
        <v>6.2462632864999978</v>
      </c>
      <c r="H151" s="49"/>
      <c r="I151" s="39"/>
      <c r="J151" s="20">
        <f t="shared" si="23"/>
        <v>42460</v>
      </c>
      <c r="K151" s="27">
        <v>7.9811016800056063</v>
      </c>
      <c r="L151" s="46">
        <f t="shared" si="27"/>
        <v>1984696.4654459958</v>
      </c>
      <c r="M151" s="19"/>
      <c r="N151" s="131">
        <f>(L151/L148-1)*100</f>
        <v>-1.5271014320925924</v>
      </c>
      <c r="O151" s="39"/>
      <c r="P151" s="20">
        <f t="shared" si="28"/>
        <v>42460</v>
      </c>
      <c r="Q151" s="45">
        <v>6.6620209059233382</v>
      </c>
      <c r="R151" s="46">
        <f t="shared" si="24"/>
        <v>2855277.3943215315</v>
      </c>
      <c r="S151" s="19"/>
      <c r="T151" s="131">
        <f>(R151/R148-1)*100</f>
        <v>4.1869456602386501</v>
      </c>
      <c r="U151" s="39"/>
      <c r="V151" s="36"/>
      <c r="W151" s="107"/>
      <c r="X151" s="108">
        <v>280000</v>
      </c>
      <c r="Y151" s="107"/>
      <c r="Z151" s="108">
        <v>26138397.710000001</v>
      </c>
      <c r="AA151" s="95"/>
      <c r="AB151" s="111">
        <f t="shared" ref="AB151:AB161" si="30">X151+Z151</f>
        <v>26418397.710000001</v>
      </c>
      <c r="AC151" s="132">
        <f t="shared" si="29"/>
        <v>42460</v>
      </c>
      <c r="AD151" s="1">
        <v>5.6100000000000004E-2</v>
      </c>
      <c r="AE151">
        <v>5.93</v>
      </c>
    </row>
    <row r="152" spans="1:32" x14ac:dyDescent="0.25">
      <c r="A152" s="21">
        <v>42490</v>
      </c>
      <c r="B152" s="24">
        <f t="shared" si="25"/>
        <v>136</v>
      </c>
      <c r="C152" s="97" t="s">
        <v>104</v>
      </c>
      <c r="D152" s="84">
        <f>AA152</f>
        <v>1.0139</v>
      </c>
      <c r="E152" s="47">
        <f t="shared" si="26"/>
        <v>3609395.5507736406</v>
      </c>
      <c r="H152" s="49"/>
      <c r="I152" s="39"/>
      <c r="J152" s="20">
        <f t="shared" si="23"/>
        <v>42490</v>
      </c>
      <c r="K152" s="27">
        <v>1.5694968610604174</v>
      </c>
      <c r="L152" s="46">
        <f t="shared" ref="L152:L153" si="31">L151*K152/100+L151</f>
        <v>2015846.2141727477</v>
      </c>
      <c r="M152" s="18"/>
      <c r="N152" s="109"/>
      <c r="O152" s="39"/>
      <c r="P152" s="20">
        <f t="shared" si="28"/>
        <v>42490</v>
      </c>
      <c r="Q152" s="45">
        <v>0.62916503332027374</v>
      </c>
      <c r="R152" s="46">
        <f t="shared" si="24"/>
        <v>2873241.8012909009</v>
      </c>
      <c r="S152" s="18"/>
      <c r="T152" s="109"/>
      <c r="U152" s="39"/>
      <c r="V152" s="36"/>
      <c r="W152" s="107">
        <v>0.70000000000000284</v>
      </c>
      <c r="X152" s="108">
        <v>292845.33</v>
      </c>
      <c r="Y152" s="107">
        <v>1.0161399999999998</v>
      </c>
      <c r="Z152" s="108">
        <v>26404000.289999999</v>
      </c>
      <c r="AA152" s="110">
        <f>ROUND(X151/AB151*(W152+1.23/12)+Z151/AB151*Y152,4)</f>
        <v>1.0139</v>
      </c>
      <c r="AB152" s="111">
        <f t="shared" si="30"/>
        <v>26696845.619999997</v>
      </c>
      <c r="AC152" s="132">
        <f t="shared" si="29"/>
        <v>42490</v>
      </c>
      <c r="AD152" s="1">
        <v>9.3999999999999986E-3</v>
      </c>
      <c r="AE152">
        <v>0.91999999999999993</v>
      </c>
      <c r="AF152" s="61"/>
    </row>
    <row r="153" spans="1:32" x14ac:dyDescent="0.25">
      <c r="A153" s="21">
        <v>42521</v>
      </c>
      <c r="B153" s="24">
        <f t="shared" si="25"/>
        <v>137</v>
      </c>
      <c r="C153" s="97" t="s">
        <v>104</v>
      </c>
      <c r="D153" s="84">
        <f t="shared" ref="D153:D180" si="32">AA153</f>
        <v>2.5308999999999999</v>
      </c>
      <c r="E153" s="47">
        <f t="shared" si="26"/>
        <v>3700745.7427681708</v>
      </c>
      <c r="G153" s="138"/>
      <c r="H153" s="49"/>
      <c r="I153" s="39"/>
      <c r="J153" s="20">
        <f t="shared" si="23"/>
        <v>42521</v>
      </c>
      <c r="K153" s="27">
        <v>2.2518361605255559</v>
      </c>
      <c r="L153" s="46">
        <f t="shared" si="31"/>
        <v>2061239.768164075</v>
      </c>
      <c r="M153" s="18"/>
      <c r="N153" s="131"/>
      <c r="O153" s="39"/>
      <c r="P153" s="20">
        <f t="shared" si="28"/>
        <v>42521</v>
      </c>
      <c r="Q153" s="45">
        <v>3.1514773767554174</v>
      </c>
      <c r="R153" s="46">
        <f t="shared" si="24"/>
        <v>2963791.3666380635</v>
      </c>
      <c r="S153" s="18"/>
      <c r="T153" s="131"/>
      <c r="U153" s="39"/>
      <c r="V153" s="36"/>
      <c r="W153" s="107">
        <v>2.3833167825223458</v>
      </c>
      <c r="X153" s="108">
        <v>11273788.789999999</v>
      </c>
      <c r="Y153" s="107">
        <v>2.53145</v>
      </c>
      <c r="Z153" s="108">
        <v>27072405.32</v>
      </c>
      <c r="AA153" s="110">
        <f t="shared" ref="AA153:AA161" si="33">ROUND(X152/AB152*(W153+1.23/12)+Z152/AB152*Y153,4)</f>
        <v>2.5308999999999999</v>
      </c>
      <c r="AB153" s="111">
        <f t="shared" si="30"/>
        <v>38346194.109999999</v>
      </c>
      <c r="AC153" s="132">
        <f t="shared" si="29"/>
        <v>42521</v>
      </c>
      <c r="AD153" s="1">
        <v>2.6200000000000001E-2</v>
      </c>
      <c r="AE153">
        <v>2.69</v>
      </c>
      <c r="AF153" s="61"/>
    </row>
    <row r="154" spans="1:32" x14ac:dyDescent="0.25">
      <c r="A154" s="21">
        <v>42551</v>
      </c>
      <c r="B154" s="24">
        <f t="shared" ref="B154" si="34">IF(A154&gt;A153,1+B153,"-")</f>
        <v>138</v>
      </c>
      <c r="C154" s="97" t="s">
        <v>104</v>
      </c>
      <c r="D154" s="84">
        <f t="shared" si="32"/>
        <v>2.5323000000000002</v>
      </c>
      <c r="E154" s="47">
        <f t="shared" ref="E154" si="35">E153*D154/100+E153</f>
        <v>3794459.7272122893</v>
      </c>
      <c r="G154" s="131">
        <f>(E154/E151-1)*100</f>
        <v>6.1931755738143135</v>
      </c>
      <c r="H154" s="49"/>
      <c r="I154" s="39"/>
      <c r="J154" s="20">
        <f t="shared" si="23"/>
        <v>42551</v>
      </c>
      <c r="K154" s="27">
        <v>-6.3906032296119186E-2</v>
      </c>
      <c r="L154" s="46">
        <f t="shared" ref="L154" si="36">L153*K154/100+L153</f>
        <v>2059922.5116121315</v>
      </c>
      <c r="M154" s="18"/>
      <c r="N154" s="131">
        <f>(L154/L151-1)*100</f>
        <v>3.7903048388425065</v>
      </c>
      <c r="O154" s="39"/>
      <c r="P154" s="20">
        <f t="shared" si="28"/>
        <v>42551</v>
      </c>
      <c r="Q154" s="45">
        <v>2.3200337367901036</v>
      </c>
      <c r="R154" s="46">
        <f t="shared" si="24"/>
        <v>3032552.326232139</v>
      </c>
      <c r="S154" s="18"/>
      <c r="T154" s="131">
        <f>(R154/R151-1)*100</f>
        <v>6.2086763360773789</v>
      </c>
      <c r="U154" s="39"/>
      <c r="V154" s="36"/>
      <c r="W154" s="107">
        <v>2.1338506304558571</v>
      </c>
      <c r="X154" s="108">
        <v>11434375</v>
      </c>
      <c r="Y154" s="107">
        <v>2.6555499999999999</v>
      </c>
      <c r="Z154" s="108">
        <v>27793503.079999998</v>
      </c>
      <c r="AA154" s="110">
        <f t="shared" si="33"/>
        <v>2.5323000000000002</v>
      </c>
      <c r="AB154" s="111">
        <f t="shared" si="30"/>
        <v>39227878.079999998</v>
      </c>
      <c r="AC154" s="132">
        <f t="shared" si="29"/>
        <v>42551</v>
      </c>
      <c r="AD154" s="1">
        <v>2.3799999999999998E-2</v>
      </c>
      <c r="AE154">
        <v>2.74</v>
      </c>
      <c r="AF154" s="61"/>
    </row>
    <row r="155" spans="1:32" x14ac:dyDescent="0.25">
      <c r="A155" s="21">
        <v>42582</v>
      </c>
      <c r="B155" s="24">
        <f t="shared" ref="B155" si="37">IF(A155&gt;A154,1+B154,"-")</f>
        <v>139</v>
      </c>
      <c r="C155" s="97" t="s">
        <v>104</v>
      </c>
      <c r="D155" s="84">
        <f t="shared" si="32"/>
        <v>2.9630000000000001</v>
      </c>
      <c r="E155" s="47">
        <f t="shared" ref="E155" si="38">E154*D155/100+E154</f>
        <v>3906889.5689295894</v>
      </c>
      <c r="F155" s="104"/>
      <c r="G155" s="139"/>
      <c r="H155" s="49"/>
      <c r="I155" s="39"/>
      <c r="J155" s="20">
        <f t="shared" si="23"/>
        <v>42582</v>
      </c>
      <c r="K155" s="27">
        <v>5.9706867954982137</v>
      </c>
      <c r="L155" s="46">
        <f t="shared" ref="L155" si="39">L154*K155/100+L154</f>
        <v>2182914.0330104521</v>
      </c>
      <c r="M155" s="104"/>
      <c r="N155" s="106"/>
      <c r="O155" s="39"/>
      <c r="P155" s="20">
        <f t="shared" si="28"/>
        <v>42582</v>
      </c>
      <c r="Q155" s="45">
        <v>3.4202124714725923</v>
      </c>
      <c r="R155" s="46">
        <f t="shared" si="24"/>
        <v>3136272.0590978628</v>
      </c>
      <c r="S155" s="104"/>
      <c r="T155" s="106"/>
      <c r="U155" s="39"/>
      <c r="V155" s="36"/>
      <c r="W155" s="107">
        <v>2.7540360873694296</v>
      </c>
      <c r="X155" s="108">
        <v>11915017</v>
      </c>
      <c r="Y155" s="107">
        <v>3.0067400000000002</v>
      </c>
      <c r="Z155" s="108">
        <v>28608107.93</v>
      </c>
      <c r="AA155" s="110">
        <f t="shared" si="33"/>
        <v>2.9630000000000001</v>
      </c>
      <c r="AB155" s="111">
        <f t="shared" si="30"/>
        <v>40523124.93</v>
      </c>
      <c r="AC155" s="132">
        <f t="shared" si="29"/>
        <v>42582</v>
      </c>
      <c r="AD155" s="1">
        <v>3.0800000000000001E-2</v>
      </c>
      <c r="AE155">
        <v>3.02</v>
      </c>
      <c r="AF155" s="61"/>
    </row>
    <row r="156" spans="1:32" x14ac:dyDescent="0.25">
      <c r="A156" s="21">
        <v>42613</v>
      </c>
      <c r="B156" s="24">
        <f t="shared" ref="B156" si="40">IF(A156&gt;A155,1+B155,"-")</f>
        <v>140</v>
      </c>
      <c r="C156" s="97" t="s">
        <v>104</v>
      </c>
      <c r="D156" s="84">
        <f t="shared" si="32"/>
        <v>0.1865</v>
      </c>
      <c r="E156" s="47">
        <f t="shared" ref="E156" si="41">E155*D156/100+E155</f>
        <v>3914175.9179756432</v>
      </c>
      <c r="F156" s="104"/>
      <c r="G156" s="139"/>
      <c r="H156" s="49"/>
      <c r="I156" s="39"/>
      <c r="J156" s="20">
        <f t="shared" si="23"/>
        <v>42613</v>
      </c>
      <c r="K156" s="27">
        <v>1.7677409666168633</v>
      </c>
      <c r="L156" s="46">
        <f t="shared" ref="L156" si="42">L155*K156/100+L155</f>
        <v>2221502.2986380062</v>
      </c>
      <c r="M156" s="104"/>
      <c r="N156" s="106"/>
      <c r="O156" s="39"/>
      <c r="P156" s="20">
        <f t="shared" si="28"/>
        <v>42613</v>
      </c>
      <c r="Q156" s="45">
        <v>2.0068640221742422</v>
      </c>
      <c r="R156" s="46">
        <f t="shared" si="24"/>
        <v>3199212.774689401</v>
      </c>
      <c r="S156" s="104"/>
      <c r="T156" s="106"/>
      <c r="U156" s="39"/>
      <c r="V156" s="36"/>
      <c r="W156" s="107">
        <v>9.2421441774489715E-2</v>
      </c>
      <c r="X156" s="108">
        <v>12096875</v>
      </c>
      <c r="Y156" s="107">
        <v>0.183</v>
      </c>
      <c r="Z156" s="108">
        <v>28660461.610000003</v>
      </c>
      <c r="AA156" s="110">
        <f t="shared" si="33"/>
        <v>0.1865</v>
      </c>
      <c r="AB156" s="111">
        <f t="shared" si="30"/>
        <v>40757336.609999999</v>
      </c>
      <c r="AC156" s="132">
        <f t="shared" si="29"/>
        <v>42613</v>
      </c>
      <c r="AD156" s="1">
        <v>3.2000000000000002E-3</v>
      </c>
      <c r="AE156">
        <v>0.26</v>
      </c>
      <c r="AF156" s="61"/>
    </row>
    <row r="157" spans="1:32" x14ac:dyDescent="0.25">
      <c r="A157" s="21">
        <v>42643</v>
      </c>
      <c r="B157" s="24">
        <f t="shared" ref="B157" si="43">IF(A157&gt;A156,1+B156,"-")</f>
        <v>141</v>
      </c>
      <c r="C157" s="97" t="s">
        <v>104</v>
      </c>
      <c r="D157" s="84">
        <f t="shared" si="32"/>
        <v>0.5202</v>
      </c>
      <c r="E157" s="47">
        <f t="shared" ref="E157:E159" si="44">E156*D157/100+E156</f>
        <v>3934537.4611009527</v>
      </c>
      <c r="F157" s="104"/>
      <c r="G157" s="106">
        <f>(E157/E$154-1)*100</f>
        <v>3.6916384402259972</v>
      </c>
      <c r="H157" s="49"/>
      <c r="I157" s="39"/>
      <c r="J157" s="20">
        <f t="shared" si="23"/>
        <v>42643</v>
      </c>
      <c r="K157" s="27">
        <v>1.113824774447457</v>
      </c>
      <c r="L157" s="46">
        <f t="shared" ref="L157:L165" si="45">L156*K157/100+L156</f>
        <v>2246245.9416051558</v>
      </c>
      <c r="M157" s="104"/>
      <c r="N157" s="106">
        <f>(L157/L$154-1)*100</f>
        <v>9.045166939177939</v>
      </c>
      <c r="O157" s="39"/>
      <c r="P157" s="20">
        <f t="shared" si="28"/>
        <v>42643</v>
      </c>
      <c r="Q157" s="45">
        <v>-0.33353353119879808</v>
      </c>
      <c r="R157" s="46">
        <f t="shared" si="24"/>
        <v>3188542.3273514165</v>
      </c>
      <c r="S157" s="104"/>
      <c r="T157" s="106">
        <f>(R157/R$154-1)*100</f>
        <v>5.1438519220240675</v>
      </c>
      <c r="U157" s="39"/>
      <c r="V157" s="36"/>
      <c r="W157" s="107">
        <v>0.27700831024930156</v>
      </c>
      <c r="X157" s="108">
        <v>12437809</v>
      </c>
      <c r="Y157" s="107">
        <v>0.57955999999999996</v>
      </c>
      <c r="Z157" s="108">
        <v>28826566.949999999</v>
      </c>
      <c r="AA157" s="110">
        <f t="shared" si="33"/>
        <v>0.5202</v>
      </c>
      <c r="AB157" s="111">
        <f t="shared" si="30"/>
        <v>41264375.950000003</v>
      </c>
      <c r="AC157" s="132">
        <f t="shared" si="29"/>
        <v>42643</v>
      </c>
      <c r="AD157" s="1">
        <v>4.4000000000000003E-3</v>
      </c>
      <c r="AE157">
        <v>0.57999999999999996</v>
      </c>
      <c r="AF157" s="61"/>
    </row>
    <row r="158" spans="1:32" x14ac:dyDescent="0.25">
      <c r="A158" s="21">
        <v>42674</v>
      </c>
      <c r="B158" s="24">
        <f t="shared" si="25"/>
        <v>142</v>
      </c>
      <c r="C158" s="97" t="s">
        <v>104</v>
      </c>
      <c r="D158" s="84">
        <f t="shared" si="32"/>
        <v>-1.2204999999999999</v>
      </c>
      <c r="E158" s="47">
        <f t="shared" si="44"/>
        <v>3886516.4313882156</v>
      </c>
      <c r="H158" s="49"/>
      <c r="I158" s="39"/>
      <c r="J158" s="20">
        <f t="shared" si="23"/>
        <v>42674</v>
      </c>
      <c r="K158" s="27">
        <v>-4.7540048686390586</v>
      </c>
      <c r="L158" s="46">
        <f t="shared" si="45"/>
        <v>2139459.3001796394</v>
      </c>
      <c r="M158" s="18"/>
      <c r="N158" s="109"/>
      <c r="O158" s="39"/>
      <c r="P158" s="20">
        <f t="shared" si="28"/>
        <v>42674</v>
      </c>
      <c r="Q158" s="45">
        <v>-2.0254497586660754</v>
      </c>
      <c r="R158" s="46">
        <f t="shared" si="24"/>
        <v>3123960.0044771116</v>
      </c>
      <c r="S158" s="18"/>
      <c r="T158" s="109"/>
      <c r="U158" s="39"/>
      <c r="V158" s="36"/>
      <c r="W158" s="107">
        <v>-1.1970534069981493</v>
      </c>
      <c r="X158" s="108">
        <v>12311759</v>
      </c>
      <c r="Y158" s="107">
        <v>-1.2748699999999999</v>
      </c>
      <c r="Z158" s="108">
        <v>28459065.789999999</v>
      </c>
      <c r="AA158" s="110">
        <f t="shared" si="33"/>
        <v>-1.2204999999999999</v>
      </c>
      <c r="AB158" s="111">
        <f t="shared" si="30"/>
        <v>40770824.789999999</v>
      </c>
      <c r="AC158" s="132">
        <f t="shared" si="29"/>
        <v>42674</v>
      </c>
      <c r="AD158" s="1">
        <v>-1.0800000000000001E-2</v>
      </c>
      <c r="AE158">
        <v>-1.35</v>
      </c>
      <c r="AF158" s="61"/>
    </row>
    <row r="159" spans="1:32" x14ac:dyDescent="0.25">
      <c r="A159" s="21">
        <v>42704</v>
      </c>
      <c r="B159" s="24">
        <f t="shared" si="25"/>
        <v>143</v>
      </c>
      <c r="C159" s="97" t="s">
        <v>104</v>
      </c>
      <c r="D159" s="84">
        <f t="shared" si="32"/>
        <v>8.7833000000000006</v>
      </c>
      <c r="E159" s="47">
        <f t="shared" si="44"/>
        <v>4227880.8291063365</v>
      </c>
      <c r="F159" s="104"/>
      <c r="G159" s="139"/>
      <c r="H159" s="49"/>
      <c r="I159" s="39"/>
      <c r="J159" s="20">
        <f t="shared" si="23"/>
        <v>42704</v>
      </c>
      <c r="K159" s="27">
        <v>11.137505370213507</v>
      </c>
      <c r="L159" s="46">
        <f t="shared" si="45"/>
        <v>2377741.6946306792</v>
      </c>
      <c r="M159" s="104"/>
      <c r="N159" s="106"/>
      <c r="O159" s="39"/>
      <c r="P159" s="20">
        <f t="shared" si="28"/>
        <v>42704</v>
      </c>
      <c r="Q159" s="45">
        <v>10.598759128882188</v>
      </c>
      <c r="R159" s="46">
        <f t="shared" si="24"/>
        <v>3455061.0006342577</v>
      </c>
      <c r="S159" s="104"/>
      <c r="T159" s="106"/>
      <c r="U159" s="39"/>
      <c r="V159" s="36"/>
      <c r="W159" s="107">
        <v>8.4808946877912401</v>
      </c>
      <c r="X159" s="108">
        <v>13443511</v>
      </c>
      <c r="Y159" s="107">
        <v>8.8697200000000009</v>
      </c>
      <c r="Z159" s="108">
        <v>30961473.949999999</v>
      </c>
      <c r="AA159" s="110">
        <f t="shared" si="33"/>
        <v>8.7833000000000006</v>
      </c>
      <c r="AB159" s="111">
        <f t="shared" si="30"/>
        <v>44404984.950000003</v>
      </c>
      <c r="AC159" s="132"/>
      <c r="AE159">
        <v>9.18</v>
      </c>
      <c r="AF159" s="61"/>
    </row>
    <row r="160" spans="1:32" x14ac:dyDescent="0.25">
      <c r="A160" s="21">
        <v>42735</v>
      </c>
      <c r="B160" s="24">
        <f t="shared" ref="B160" si="46">IF(A160&gt;A159,1+B159,"-")</f>
        <v>144</v>
      </c>
      <c r="C160" s="97" t="s">
        <v>104</v>
      </c>
      <c r="D160" s="84">
        <f t="shared" si="32"/>
        <v>5.0953999999999997</v>
      </c>
      <c r="E160" s="47">
        <f t="shared" ref="E160" si="47">E159*D160/100+E159</f>
        <v>4443308.2688726205</v>
      </c>
      <c r="F160" s="112">
        <f>(E160/E$148-1)*100</f>
        <v>32.119453878812095</v>
      </c>
      <c r="G160" s="106">
        <f>(E160/E$157-1)*100</f>
        <v>12.930892456906617</v>
      </c>
      <c r="H160" s="49"/>
      <c r="I160" s="39"/>
      <c r="J160" s="20">
        <f t="shared" si="23"/>
        <v>42735</v>
      </c>
      <c r="K160" s="27">
        <v>2.8005428284200691</v>
      </c>
      <c r="L160" s="46">
        <f t="shared" si="45"/>
        <v>2444331.3691380126</v>
      </c>
      <c r="M160" s="112">
        <f>(L160/L$148-1)*100</f>
        <v>21.278189975207205</v>
      </c>
      <c r="N160" s="106">
        <f>(L160/L$157-1)*100</f>
        <v>8.8185102024627824</v>
      </c>
      <c r="O160" s="39"/>
      <c r="P160" s="20">
        <f t="shared" si="28"/>
        <v>42735</v>
      </c>
      <c r="Q160" s="45">
        <v>4.4813511003606683</v>
      </c>
      <c r="R160" s="46">
        <f t="shared" si="24"/>
        <v>3609894.4148043133</v>
      </c>
      <c r="S160" s="112">
        <f>(R160/R$148-1)*100</f>
        <v>31.722358739083379</v>
      </c>
      <c r="T160" s="106">
        <f>(R160/R$157-1)*100</f>
        <v>13.214567792891607</v>
      </c>
      <c r="U160" s="39"/>
      <c r="V160" s="36"/>
      <c r="W160" s="107">
        <v>4.972105</v>
      </c>
      <c r="X160" s="108">
        <v>14332581</v>
      </c>
      <c r="Y160" s="107">
        <v>5.1044999999999998</v>
      </c>
      <c r="Z160" s="108">
        <v>32541902.489999998</v>
      </c>
      <c r="AA160" s="110">
        <f t="shared" si="33"/>
        <v>5.0953999999999997</v>
      </c>
      <c r="AB160" s="111">
        <f t="shared" si="30"/>
        <v>46874483.489999995</v>
      </c>
      <c r="AC160" s="134"/>
      <c r="AE160" s="1"/>
    </row>
    <row r="161" spans="1:30" x14ac:dyDescent="0.25">
      <c r="A161" s="21">
        <v>42766</v>
      </c>
      <c r="B161" s="24">
        <f t="shared" ref="B161:B173" si="48">IF(A161&gt;A160,1+B160,"-")</f>
        <v>145</v>
      </c>
      <c r="C161" s="97" t="s">
        <v>104</v>
      </c>
      <c r="D161" s="84">
        <f t="shared" si="32"/>
        <v>-1.9387000000000001</v>
      </c>
      <c r="E161" s="47">
        <f t="shared" ref="E161" si="49">E160*D161/100+E160</f>
        <v>4357165.8514639875</v>
      </c>
      <c r="H161" s="49"/>
      <c r="I161" s="39"/>
      <c r="J161" s="20">
        <f t="shared" si="23"/>
        <v>42766</v>
      </c>
      <c r="K161" s="27">
        <v>0.39328651542358017</v>
      </c>
      <c r="L161" s="46">
        <f t="shared" si="45"/>
        <v>2453944.5948051009</v>
      </c>
      <c r="M161" s="18"/>
      <c r="N161" s="10"/>
      <c r="O161" s="39"/>
      <c r="P161" s="20">
        <f t="shared" si="28"/>
        <v>42766</v>
      </c>
      <c r="Q161" s="45">
        <v>-1.8593162181156617</v>
      </c>
      <c r="R161" s="46">
        <f t="shared" si="24"/>
        <v>3542775.0624930053</v>
      </c>
      <c r="S161" s="18"/>
      <c r="T161" s="10"/>
      <c r="U161" s="39"/>
      <c r="V161" s="36"/>
      <c r="W161" s="107">
        <v>-1.9720624486442087</v>
      </c>
      <c r="X161" s="108">
        <v>14046649.449999999</v>
      </c>
      <c r="Y161" s="107">
        <v>-1.9691699999999999</v>
      </c>
      <c r="Z161" s="108">
        <v>31901098.07</v>
      </c>
      <c r="AA161" s="110">
        <f t="shared" si="33"/>
        <v>-1.9387000000000001</v>
      </c>
      <c r="AB161" s="111">
        <f t="shared" si="30"/>
        <v>45947747.519999996</v>
      </c>
    </row>
    <row r="162" spans="1:30" x14ac:dyDescent="0.25">
      <c r="A162" s="21">
        <v>42794</v>
      </c>
      <c r="B162" s="24">
        <f t="shared" si="48"/>
        <v>146</v>
      </c>
      <c r="C162" s="97" t="s">
        <v>104</v>
      </c>
      <c r="D162" s="84">
        <f t="shared" si="32"/>
        <v>0.49930000000000002</v>
      </c>
      <c r="E162" s="47">
        <f t="shared" ref="E162" si="50">E161*D162/100+E161</f>
        <v>4378921.1805603476</v>
      </c>
      <c r="H162" s="49"/>
      <c r="I162" s="39"/>
      <c r="J162" s="20">
        <f t="shared" si="23"/>
        <v>42794</v>
      </c>
      <c r="K162" s="27">
        <v>1.925907515637346</v>
      </c>
      <c r="L162" s="46">
        <f t="shared" si="45"/>
        <v>2501205.2981860288</v>
      </c>
      <c r="M162" s="18"/>
      <c r="N162" s="10"/>
      <c r="O162" s="39"/>
      <c r="P162" s="20">
        <f t="shared" si="28"/>
        <v>42794</v>
      </c>
      <c r="Q162" s="45">
        <v>1.3658813989489889</v>
      </c>
      <c r="R162" s="46">
        <f t="shared" si="24"/>
        <v>3591165.1680782009</v>
      </c>
      <c r="S162" s="18"/>
      <c r="T162" s="10"/>
      <c r="U162" s="39"/>
      <c r="V162" s="36"/>
      <c r="W162" s="107">
        <v>0.41911148365465811</v>
      </c>
      <c r="X162" s="108">
        <v>14165872</v>
      </c>
      <c r="Y162" s="107">
        <v>0.48941999999999997</v>
      </c>
      <c r="Z162" s="108">
        <v>32033800.360000003</v>
      </c>
      <c r="AA162" s="110">
        <f t="shared" ref="AA162:AA164" si="51">ROUND(X161/AB161*(W162+1.23/12)+Z161/AB161*Y162,4)</f>
        <v>0.49930000000000002</v>
      </c>
      <c r="AB162" s="111">
        <f t="shared" ref="AB162:AB164" si="52">X162+Z162</f>
        <v>46199672.359999999</v>
      </c>
    </row>
    <row r="163" spans="1:30" x14ac:dyDescent="0.25">
      <c r="A163" s="21">
        <v>42825</v>
      </c>
      <c r="B163" s="24">
        <f t="shared" ref="B163" si="53">IF(A163&gt;A162,1+B162,"-")</f>
        <v>147</v>
      </c>
      <c r="C163" s="97" t="s">
        <v>104</v>
      </c>
      <c r="D163" s="84">
        <f t="shared" si="32"/>
        <v>4.3299999999999998E-2</v>
      </c>
      <c r="E163" s="47">
        <f t="shared" ref="E163" si="54">E162*D163/100+E162</f>
        <v>4380817.2534315307</v>
      </c>
      <c r="G163" s="106">
        <f>(E163/E$160-1)*100</f>
        <v>-1.4064073807092736</v>
      </c>
      <c r="H163" s="49"/>
      <c r="I163" s="39"/>
      <c r="J163" s="20">
        <f t="shared" si="23"/>
        <v>42825</v>
      </c>
      <c r="K163" s="27">
        <v>0.13084916475280836</v>
      </c>
      <c r="L163" s="46">
        <f t="shared" si="45"/>
        <v>2504478.1044274583</v>
      </c>
      <c r="M163" s="18"/>
      <c r="N163" s="106">
        <f>(L163/L$160-1)*100</f>
        <v>2.4606620873444118</v>
      </c>
      <c r="O163" s="39"/>
      <c r="P163" s="20">
        <f t="shared" si="28"/>
        <v>42825</v>
      </c>
      <c r="Q163" s="45">
        <v>-0.52257568516632791</v>
      </c>
      <c r="R163" s="46">
        <f t="shared" si="24"/>
        <v>3572398.6120956619</v>
      </c>
      <c r="S163" s="18"/>
      <c r="T163" s="106">
        <f>(R163/R$160-1)*100</f>
        <v>-1.0386952747116318</v>
      </c>
      <c r="U163" s="39"/>
      <c r="W163" s="107">
        <v>8.3472454090148474E-2</v>
      </c>
      <c r="X163" s="108">
        <v>14155179.27</v>
      </c>
      <c r="Y163" s="107">
        <v>-1.9790000000000002E-2</v>
      </c>
      <c r="Z163" s="108">
        <v>32027460.469999999</v>
      </c>
      <c r="AA163" s="110">
        <f t="shared" si="51"/>
        <v>4.3299999999999998E-2</v>
      </c>
      <c r="AB163" s="111">
        <f t="shared" si="52"/>
        <v>46182639.739999995</v>
      </c>
    </row>
    <row r="164" spans="1:30" x14ac:dyDescent="0.25">
      <c r="A164" s="21">
        <v>42855</v>
      </c>
      <c r="B164" s="24">
        <f t="shared" si="48"/>
        <v>148</v>
      </c>
      <c r="C164" s="97" t="s">
        <v>104</v>
      </c>
      <c r="D164" s="84">
        <f t="shared" si="32"/>
        <v>3.2566999999999999</v>
      </c>
      <c r="E164" s="47">
        <f t="shared" ref="E164" si="55">E163*D164/100+E163</f>
        <v>4523487.3289240357</v>
      </c>
      <c r="H164" s="49"/>
      <c r="I164" s="39"/>
      <c r="J164" s="20">
        <f t="shared" si="23"/>
        <v>42855</v>
      </c>
      <c r="K164" s="27">
        <v>1.0966058849237992</v>
      </c>
      <c r="L164" s="46">
        <f t="shared" si="45"/>
        <v>2531942.358707238</v>
      </c>
      <c r="M164" s="18"/>
      <c r="N164" s="10"/>
      <c r="O164" s="39"/>
      <c r="P164" s="20">
        <f t="shared" si="28"/>
        <v>42855</v>
      </c>
      <c r="Q164" s="45">
        <v>1.3858863092813634</v>
      </c>
      <c r="R164" s="46">
        <f t="shared" si="24"/>
        <v>3621907.9953736532</v>
      </c>
      <c r="S164" s="18"/>
      <c r="T164" s="10"/>
      <c r="U164" s="39"/>
      <c r="W164" s="107">
        <v>3.1693077564637115</v>
      </c>
      <c r="X164" s="108">
        <v>14002520.23</v>
      </c>
      <c r="Y164" s="107">
        <v>3.2500599999999999</v>
      </c>
      <c r="Z164" s="108">
        <v>33068371.559999999</v>
      </c>
      <c r="AA164" s="110">
        <f t="shared" si="51"/>
        <v>3.2566999999999999</v>
      </c>
      <c r="AB164" s="111">
        <f t="shared" si="52"/>
        <v>47070891.789999999</v>
      </c>
    </row>
    <row r="165" spans="1:30" x14ac:dyDescent="0.25">
      <c r="A165" s="21">
        <v>42886</v>
      </c>
      <c r="B165" s="24">
        <f t="shared" si="48"/>
        <v>149</v>
      </c>
      <c r="C165" s="97" t="s">
        <v>104</v>
      </c>
      <c r="D165" s="84">
        <f t="shared" si="32"/>
        <v>-7.3499999999999996E-2</v>
      </c>
      <c r="E165" s="47">
        <f t="shared" ref="E165" si="56">E164*D165/100+E164</f>
        <v>4520162.5657372763</v>
      </c>
      <c r="H165" s="49"/>
      <c r="I165" s="39"/>
      <c r="J165" s="20">
        <f t="shared" si="23"/>
        <v>42886</v>
      </c>
      <c r="K165" s="27">
        <v>-2.0343905575018346</v>
      </c>
      <c r="L165" s="46">
        <f t="shared" si="45"/>
        <v>2480432.7624403089</v>
      </c>
      <c r="M165" s="18"/>
      <c r="N165" s="10"/>
      <c r="O165" s="39"/>
      <c r="P165" s="20">
        <f t="shared" si="28"/>
        <v>42886</v>
      </c>
      <c r="Q165" s="45">
        <v>-1.2299388120892418</v>
      </c>
      <c r="R165" s="46">
        <f t="shared" si="24"/>
        <v>3577360.7432003892</v>
      </c>
      <c r="S165" s="18"/>
      <c r="T165" s="10"/>
      <c r="U165" s="39"/>
      <c r="W165" s="107">
        <v>-0.24252223120452193</v>
      </c>
      <c r="X165" s="108">
        <v>16286885.68</v>
      </c>
      <c r="Y165" s="107">
        <v>-4.5330000000000002E-2</v>
      </c>
      <c r="Z165" s="108">
        <v>33029125.079999998</v>
      </c>
      <c r="AA165" s="110">
        <f t="shared" ref="AA165" si="57">ROUND(X164/AB164*(W165+1.23/12)+Z164/AB164*Y165,4)</f>
        <v>-7.3499999999999996E-2</v>
      </c>
      <c r="AB165" s="111">
        <f t="shared" ref="AB165" si="58">X165+Z165</f>
        <v>49316010.759999998</v>
      </c>
    </row>
    <row r="166" spans="1:30" x14ac:dyDescent="0.25">
      <c r="A166" s="21">
        <v>42916</v>
      </c>
      <c r="B166" s="24">
        <f t="shared" si="48"/>
        <v>150</v>
      </c>
      <c r="C166" s="97" t="s">
        <v>104</v>
      </c>
      <c r="D166" s="84">
        <f t="shared" si="32"/>
        <v>1.4237</v>
      </c>
      <c r="E166" s="47">
        <f t="shared" ref="E166" si="59">E165*D166/100+E165</f>
        <v>4584516.1201856779</v>
      </c>
      <c r="F166" s="112"/>
      <c r="G166" s="106">
        <f>(E166/E$163-1)*100</f>
        <v>4.6497914651561389</v>
      </c>
      <c r="H166" s="49"/>
      <c r="I166" s="39"/>
      <c r="J166" s="20">
        <f t="shared" si="23"/>
        <v>42916</v>
      </c>
      <c r="K166" s="27">
        <v>3.4550215532803126</v>
      </c>
      <c r="L166" s="46">
        <f t="shared" ref="L166:L168" si="60">L165*K166/100+L165</f>
        <v>2566132.2489972478</v>
      </c>
      <c r="M166" s="112"/>
      <c r="N166" s="106">
        <f>(L166/L$163-1)*100</f>
        <v>2.4617561822878997</v>
      </c>
      <c r="O166" s="39"/>
      <c r="P166" s="20">
        <f t="shared" si="28"/>
        <v>42916</v>
      </c>
      <c r="Q166" s="45">
        <v>2.2652371615702216</v>
      </c>
      <c r="R166" s="46">
        <f t="shared" si="24"/>
        <v>3658396.448158789</v>
      </c>
      <c r="S166" s="112"/>
      <c r="T166" s="106">
        <f>(R166/R$163-1)*100</f>
        <v>2.407285563597239</v>
      </c>
      <c r="U166" s="39"/>
      <c r="W166" s="107">
        <v>1.1345218800648345</v>
      </c>
      <c r="X166" s="108">
        <v>16585055.67</v>
      </c>
      <c r="Y166" s="107">
        <v>1.5157487000000001</v>
      </c>
      <c r="Z166" s="108">
        <v>33529763.619033281</v>
      </c>
      <c r="AA166" s="110">
        <f t="shared" ref="AA166:AA169" si="61">ROUND(X165/AB165*(W166+1.23/12)+Z165/AB165*Y166,4)</f>
        <v>1.4237</v>
      </c>
      <c r="AB166" s="111">
        <f t="shared" ref="AB166:AB169" si="62">X166+Z166</f>
        <v>50114819.289033279</v>
      </c>
    </row>
    <row r="167" spans="1:30" x14ac:dyDescent="0.25">
      <c r="A167" s="21">
        <v>42947</v>
      </c>
      <c r="B167" s="24">
        <f t="shared" si="48"/>
        <v>151</v>
      </c>
      <c r="C167" s="97" t="s">
        <v>104</v>
      </c>
      <c r="D167" s="84">
        <f t="shared" si="32"/>
        <v>1.1075999999999999</v>
      </c>
      <c r="E167" s="47">
        <f t="shared" ref="E167" si="63">E166*D167/100+E166</f>
        <v>4635294.2207328547</v>
      </c>
      <c r="F167" s="112"/>
      <c r="G167" s="106"/>
      <c r="H167" s="49"/>
      <c r="I167" s="39"/>
      <c r="J167" s="20">
        <f t="shared" si="23"/>
        <v>42947</v>
      </c>
      <c r="K167" s="27">
        <v>0.74206765933175201</v>
      </c>
      <c r="L167" s="46">
        <f t="shared" si="60"/>
        <v>2585174.6865127389</v>
      </c>
      <c r="M167" s="112"/>
      <c r="N167" s="10"/>
      <c r="O167" s="39"/>
      <c r="P167" s="20">
        <f t="shared" si="28"/>
        <v>42947</v>
      </c>
      <c r="Q167" s="45">
        <v>1.3553479644284978</v>
      </c>
      <c r="R167" s="46">
        <f t="shared" si="24"/>
        <v>3707980.4499496338</v>
      </c>
      <c r="S167" s="112"/>
      <c r="T167" s="10"/>
      <c r="U167" s="39"/>
      <c r="W167" s="107">
        <v>1.0416666666666587</v>
      </c>
      <c r="X167" s="108">
        <v>16486121.140000001</v>
      </c>
      <c r="Y167" s="107">
        <v>1.0894699999999999</v>
      </c>
      <c r="Z167" s="108">
        <v>33895061.8997925</v>
      </c>
      <c r="AA167" s="110">
        <f t="shared" si="61"/>
        <v>1.1075999999999999</v>
      </c>
      <c r="AB167" s="111">
        <f t="shared" si="62"/>
        <v>50381183.0397925</v>
      </c>
    </row>
    <row r="168" spans="1:30" x14ac:dyDescent="0.25">
      <c r="A168" s="21">
        <v>42978</v>
      </c>
      <c r="B168" s="24">
        <f t="shared" si="48"/>
        <v>152</v>
      </c>
      <c r="C168" s="97" t="s">
        <v>104</v>
      </c>
      <c r="D168" s="84">
        <f t="shared" si="32"/>
        <v>-1.7018</v>
      </c>
      <c r="E168" s="47">
        <f t="shared" ref="E168" si="64">E167*D168/100+E167</f>
        <v>4556410.7836844232</v>
      </c>
      <c r="F168" s="112"/>
      <c r="G168" s="106"/>
      <c r="H168" s="49"/>
      <c r="I168" s="39"/>
      <c r="J168" s="20">
        <f t="shared" si="23"/>
        <v>42978</v>
      </c>
      <c r="K168" s="27">
        <v>-1.2722891480434002</v>
      </c>
      <c r="L168" s="46">
        <f t="shared" si="60"/>
        <v>2552283.7895182725</v>
      </c>
      <c r="M168" s="112"/>
      <c r="N168" s="10"/>
      <c r="O168" s="39"/>
      <c r="P168" s="20">
        <f t="shared" si="28"/>
        <v>42978</v>
      </c>
      <c r="Q168" s="45">
        <v>-1.8921366403380855</v>
      </c>
      <c r="R168" s="46">
        <f t="shared" si="24"/>
        <v>3637820.3932395638</v>
      </c>
      <c r="S168" s="112"/>
      <c r="T168" s="10"/>
      <c r="U168" s="39"/>
      <c r="W168" s="107">
        <v>-1.7446471054718389</v>
      </c>
      <c r="X168" s="108">
        <v>16223831.529999999</v>
      </c>
      <c r="Y168" s="107">
        <v>-1.7308000000000001</v>
      </c>
      <c r="Z168" s="108">
        <v>33308405.922954392</v>
      </c>
      <c r="AA168" s="110">
        <f t="shared" si="61"/>
        <v>-1.7018</v>
      </c>
      <c r="AB168" s="111">
        <f t="shared" si="62"/>
        <v>49532237.452954389</v>
      </c>
    </row>
    <row r="169" spans="1:30" x14ac:dyDescent="0.25">
      <c r="A169" s="21">
        <v>43008</v>
      </c>
      <c r="B169" s="24">
        <f t="shared" si="48"/>
        <v>153</v>
      </c>
      <c r="C169" s="97" t="s">
        <v>104</v>
      </c>
      <c r="D169" s="84">
        <f t="shared" si="32"/>
        <v>6.1718000000000002</v>
      </c>
      <c r="E169" s="47">
        <f t="shared" ref="E169" si="65">E168*D169/100+E168</f>
        <v>4837623.3444318585</v>
      </c>
      <c r="F169" s="112"/>
      <c r="G169" s="106">
        <f>(E169/E$166-1)*100</f>
        <v>5.5209146965749856</v>
      </c>
      <c r="H169" s="49"/>
      <c r="I169" s="39"/>
      <c r="J169" s="20">
        <f t="shared" si="23"/>
        <v>43008</v>
      </c>
      <c r="K169" s="27">
        <v>6.2398253684003659</v>
      </c>
      <c r="L169" s="46">
        <f t="shared" ref="L169:L177" si="66">L168*K169/100+L168</f>
        <v>2711541.8408902041</v>
      </c>
      <c r="M169" s="112"/>
      <c r="N169" s="106">
        <f>(L169/L$166-1)*100</f>
        <v>5.6664886211448051</v>
      </c>
      <c r="O169" s="39"/>
      <c r="P169" s="20">
        <f t="shared" si="28"/>
        <v>43008</v>
      </c>
      <c r="Q169" s="45">
        <v>6.4330364239599218</v>
      </c>
      <c r="R169" s="46">
        <f t="shared" si="24"/>
        <v>3871842.7041749069</v>
      </c>
      <c r="S169" s="112"/>
      <c r="T169" s="106">
        <f>(R169/R$166-1)*100</f>
        <v>5.8344211470996221</v>
      </c>
      <c r="U169" s="39"/>
      <c r="W169" s="107">
        <v>6.053268765133172</v>
      </c>
      <c r="X169" s="108">
        <v>17491909.280000001</v>
      </c>
      <c r="Y169" s="107">
        <v>6.1796680000000004</v>
      </c>
      <c r="Z169" s="108">
        <v>35340663.032586083</v>
      </c>
      <c r="AA169" s="110">
        <f t="shared" si="61"/>
        <v>6.1718000000000002</v>
      </c>
      <c r="AB169" s="111">
        <f t="shared" si="62"/>
        <v>52832572.312586084</v>
      </c>
    </row>
    <row r="170" spans="1:30" x14ac:dyDescent="0.25">
      <c r="A170" s="21">
        <v>43039</v>
      </c>
      <c r="B170" s="24">
        <f t="shared" ref="B170" si="67">IF(A170&gt;A169,1+B169,"-")</f>
        <v>154</v>
      </c>
      <c r="C170" s="97" t="s">
        <v>104</v>
      </c>
      <c r="D170" s="84">
        <f t="shared" si="32"/>
        <v>1.2041999999999999</v>
      </c>
      <c r="E170" s="47">
        <f t="shared" ref="E170:E173" si="68">E169*D170/100+E169</f>
        <v>4895878.0047455067</v>
      </c>
      <c r="H170" s="49"/>
      <c r="I170" s="39"/>
      <c r="J170" s="20">
        <f t="shared" si="23"/>
        <v>43039</v>
      </c>
      <c r="K170" s="27">
        <v>0.85147616539708126</v>
      </c>
      <c r="L170" s="46">
        <f t="shared" si="66"/>
        <v>2734629.9733801535</v>
      </c>
      <c r="M170" s="18"/>
      <c r="N170" s="10"/>
      <c r="O170" s="39"/>
      <c r="P170" s="20">
        <f t="shared" si="28"/>
        <v>43039</v>
      </c>
      <c r="Q170" s="45">
        <v>1.1052545361689032</v>
      </c>
      <c r="R170" s="46">
        <f t="shared" si="24"/>
        <v>3914636.4212961248</v>
      </c>
      <c r="S170" s="18"/>
      <c r="T170" s="10"/>
      <c r="U170" s="39"/>
      <c r="W170" s="107">
        <v>0.98934550989344738</v>
      </c>
      <c r="X170" s="108">
        <v>19931936.239999998</v>
      </c>
      <c r="Y170" s="107">
        <v>1.2598799000000001</v>
      </c>
      <c r="Z170" s="108">
        <v>35785912.951976806</v>
      </c>
      <c r="AA170" s="110">
        <f t="shared" ref="AA170:AA171" si="69">ROUND(X169/AB169*(W170+1.23/12)+Z169/AB169*Y170,4)</f>
        <v>1.2041999999999999</v>
      </c>
      <c r="AB170" s="111">
        <f t="shared" ref="AB170:AB171" si="70">X170+Z170</f>
        <v>55717849.191976801</v>
      </c>
    </row>
    <row r="171" spans="1:30" x14ac:dyDescent="0.25">
      <c r="A171" s="21">
        <v>43069</v>
      </c>
      <c r="B171" s="24">
        <f t="shared" si="48"/>
        <v>155</v>
      </c>
      <c r="C171" s="97" t="s">
        <v>104</v>
      </c>
      <c r="D171" s="84">
        <f t="shared" si="32"/>
        <v>1.5989</v>
      </c>
      <c r="E171" s="47">
        <f t="shared" ref="E171" si="71">E170*D171/100+E170</f>
        <v>4974158.1981633827</v>
      </c>
      <c r="F171" s="112"/>
      <c r="H171" s="49"/>
      <c r="I171" s="39"/>
      <c r="J171" s="20">
        <f t="shared" si="23"/>
        <v>43069</v>
      </c>
      <c r="K171" s="27">
        <v>2.8792520157457955</v>
      </c>
      <c r="L171" s="46">
        <f t="shared" si="66"/>
        <v>2813366.8620118904</v>
      </c>
      <c r="M171" s="112"/>
      <c r="N171" s="10"/>
      <c r="O171" s="39"/>
      <c r="P171" s="20">
        <f t="shared" si="28"/>
        <v>43069</v>
      </c>
      <c r="Q171" s="45">
        <v>3.1460866913194305</v>
      </c>
      <c r="R171" s="46">
        <f t="shared" si="24"/>
        <v>4037794.2767600655</v>
      </c>
      <c r="S171" s="112"/>
      <c r="T171" s="10"/>
      <c r="U171" s="39"/>
      <c r="W171" s="107">
        <v>1.5071590052750645</v>
      </c>
      <c r="X171" s="108">
        <v>21249097.190000001</v>
      </c>
      <c r="Y171" s="107">
        <v>1.5929599999999999</v>
      </c>
      <c r="Z171" s="108">
        <v>36330046.707240753</v>
      </c>
      <c r="AA171" s="110">
        <f t="shared" si="69"/>
        <v>1.5989</v>
      </c>
      <c r="AB171" s="111">
        <f t="shared" si="70"/>
        <v>57579143.897240758</v>
      </c>
    </row>
    <row r="172" spans="1:30" x14ac:dyDescent="0.25">
      <c r="A172" s="21">
        <v>43100</v>
      </c>
      <c r="B172" s="24">
        <f t="shared" si="48"/>
        <v>156</v>
      </c>
      <c r="C172" s="97" t="s">
        <v>104</v>
      </c>
      <c r="D172" s="84">
        <f t="shared" si="32"/>
        <v>-1.7410000000000001</v>
      </c>
      <c r="E172" s="47">
        <f t="shared" si="68"/>
        <v>4887558.1039333586</v>
      </c>
      <c r="F172" s="112">
        <f>(E172/E$160-1)*100</f>
        <v>9.9981772179281059</v>
      </c>
      <c r="G172" s="106">
        <f>(E172/E$169-1)*100</f>
        <v>1.0322167714643449</v>
      </c>
      <c r="H172" s="49"/>
      <c r="I172" s="39"/>
      <c r="J172" s="20">
        <f t="shared" si="23"/>
        <v>43100</v>
      </c>
      <c r="K172" s="27">
        <v>-0.4082453594050594</v>
      </c>
      <c r="L172" s="46">
        <f t="shared" si="66"/>
        <v>2801881.422354687</v>
      </c>
      <c r="M172" s="112">
        <f>(L172/L$160-1)*100</f>
        <v>14.627724282029874</v>
      </c>
      <c r="N172" s="106">
        <f>(L172/L$169-1)*100</f>
        <v>3.3316683556992244</v>
      </c>
      <c r="O172" s="39"/>
      <c r="P172" s="20">
        <f t="shared" si="28"/>
        <v>43100</v>
      </c>
      <c r="Q172" s="45">
        <v>-2.6250866250866327</v>
      </c>
      <c r="R172" s="46">
        <f t="shared" si="24"/>
        <v>3931798.6792523232</v>
      </c>
      <c r="S172" s="112">
        <f>(R172/R$160-1)*100</f>
        <v>8.9172764479722222</v>
      </c>
      <c r="T172" s="106">
        <f>(R172/R$169-1)*100</f>
        <v>1.5485126762191825</v>
      </c>
      <c r="U172" s="39"/>
      <c r="V172" s="61"/>
      <c r="W172" s="107">
        <v>-1.7828310000000001</v>
      </c>
      <c r="X172" s="108">
        <v>21152071.010000002</v>
      </c>
      <c r="Y172" s="107">
        <v>-1.7765267</v>
      </c>
      <c r="Z172" s="108">
        <v>35684633.719999999</v>
      </c>
      <c r="AA172" s="110">
        <f t="shared" ref="AA172" si="72">ROUND(X171/AB171*(W172+1.23/12)+Z171/AB171*Y172,4)</f>
        <v>-1.7410000000000001</v>
      </c>
      <c r="AB172" s="111">
        <f t="shared" ref="AB172" si="73">X172+Z172</f>
        <v>56836704.730000004</v>
      </c>
    </row>
    <row r="173" spans="1:30" x14ac:dyDescent="0.25">
      <c r="A173" s="21">
        <v>43131</v>
      </c>
      <c r="B173" s="24">
        <f t="shared" si="48"/>
        <v>157</v>
      </c>
      <c r="C173" s="97" t="s">
        <v>104</v>
      </c>
      <c r="D173" s="84">
        <f t="shared" si="32"/>
        <v>0.60289999999999999</v>
      </c>
      <c r="E173" s="47">
        <f t="shared" si="68"/>
        <v>4917025.1917419732</v>
      </c>
      <c r="H173" s="49"/>
      <c r="I173" s="39"/>
      <c r="J173" s="20">
        <f t="shared" si="23"/>
        <v>43131</v>
      </c>
      <c r="K173" s="27">
        <v>2.6110313010553323</v>
      </c>
      <c r="L173" s="46">
        <f t="shared" si="66"/>
        <v>2875039.4233108223</v>
      </c>
      <c r="M173" s="18"/>
      <c r="N173" s="10"/>
      <c r="O173" s="39"/>
      <c r="P173" s="20">
        <f t="shared" si="28"/>
        <v>43131</v>
      </c>
      <c r="Q173" s="45">
        <v>-0.53755788354968159</v>
      </c>
      <c r="R173" s="46">
        <f t="shared" si="24"/>
        <v>3910662.9854867002</v>
      </c>
      <c r="S173" s="18"/>
      <c r="T173" s="10"/>
      <c r="U173" s="39"/>
      <c r="W173" s="107">
        <v>0.3314001657000758</v>
      </c>
      <c r="X173" s="108">
        <v>21419695.43</v>
      </c>
      <c r="Y173" s="107">
        <v>0.70304800000000001</v>
      </c>
      <c r="Z173" s="108">
        <v>35935513.880000003</v>
      </c>
      <c r="AA173" s="110">
        <f t="shared" ref="AA173" si="74">ROUND(X172/AB172*(W173+1.23/12)+Z172/AB172*Y173,4)</f>
        <v>0.60289999999999999</v>
      </c>
      <c r="AB173" s="111">
        <f t="shared" ref="AB173" si="75">X173+Z173</f>
        <v>57355209.310000002</v>
      </c>
      <c r="AC173" s="189">
        <f>Z173-Z172</f>
        <v>250880.16000000387</v>
      </c>
      <c r="AD173" s="1">
        <v>7.0304815783885782E-3</v>
      </c>
    </row>
    <row r="174" spans="1:30" x14ac:dyDescent="0.25">
      <c r="A174" s="21">
        <v>43159</v>
      </c>
      <c r="B174" s="24">
        <f t="shared" ref="B174:B178" si="76">IF(A174&gt;A173,1+B173,"-")</f>
        <v>158</v>
      </c>
      <c r="C174" s="97" t="s">
        <v>104</v>
      </c>
      <c r="D174" s="84">
        <f t="shared" si="32"/>
        <v>-4.1345000000000001</v>
      </c>
      <c r="E174" s="47">
        <f t="shared" ref="E174:E175" si="77">E173*D174/100+E173</f>
        <v>4713730.7851894014</v>
      </c>
      <c r="H174" s="49"/>
      <c r="I174" s="39"/>
      <c r="J174" s="20">
        <f t="shared" si="23"/>
        <v>43159</v>
      </c>
      <c r="K174" s="27">
        <v>-3.8603870929858517</v>
      </c>
      <c r="L174" s="46">
        <f t="shared" si="66"/>
        <v>2764051.7724950765</v>
      </c>
      <c r="M174" s="18"/>
      <c r="N174" s="10"/>
      <c r="O174" s="39"/>
      <c r="P174" s="20">
        <f t="shared" si="28"/>
        <v>43159</v>
      </c>
      <c r="Q174" s="45">
        <v>-5.0788274858682856</v>
      </c>
      <c r="R174" s="46">
        <f t="shared" si="24"/>
        <v>3712047.1589001245</v>
      </c>
      <c r="S174" s="18"/>
      <c r="T174" s="10"/>
      <c r="U174" s="39"/>
      <c r="W174" s="107">
        <v>-4.1288191577208924</v>
      </c>
      <c r="X174" s="108">
        <v>20693892.500000004</v>
      </c>
      <c r="Y174" s="107">
        <v>-4.1989999999999998</v>
      </c>
      <c r="Z174" s="108">
        <v>34400036.340000004</v>
      </c>
      <c r="AA174" s="110">
        <f t="shared" ref="AA174" si="78">ROUND(X173/AB173*(W174+1.23/12)+Z173/AB173*Y174,4)</f>
        <v>-4.1345000000000001</v>
      </c>
      <c r="AB174" s="111">
        <f t="shared" ref="AB174" si="79">X174+Z174</f>
        <v>55093928.840000004</v>
      </c>
    </row>
    <row r="175" spans="1:30" x14ac:dyDescent="0.25">
      <c r="A175" s="21">
        <v>43190</v>
      </c>
      <c r="B175" s="24">
        <f t="shared" si="76"/>
        <v>159</v>
      </c>
      <c r="C175" s="97" t="s">
        <v>104</v>
      </c>
      <c r="D175" s="84">
        <f t="shared" si="32"/>
        <v>2.7176</v>
      </c>
      <c r="E175" s="47">
        <f t="shared" si="77"/>
        <v>4841831.1330077089</v>
      </c>
      <c r="G175" s="106">
        <f>(E175/E$172-1)*100</f>
        <v>-0.93557907554796538</v>
      </c>
      <c r="H175" s="49"/>
      <c r="I175" s="39"/>
      <c r="J175" s="20">
        <f t="shared" si="23"/>
        <v>43190</v>
      </c>
      <c r="K175" s="27">
        <v>1.2925838628987631</v>
      </c>
      <c r="L175" s="46">
        <f t="shared" si="66"/>
        <v>2799779.4596685153</v>
      </c>
      <c r="M175" s="112"/>
      <c r="N175" s="106">
        <f>(L175/L$172-1)*100</f>
        <v>-7.5019687464339402E-2</v>
      </c>
      <c r="O175" s="39"/>
      <c r="P175" s="20">
        <f t="shared" si="28"/>
        <v>43190</v>
      </c>
      <c r="Q175" s="45">
        <v>3.4358855810400573</v>
      </c>
      <c r="R175" s="46">
        <f t="shared" si="24"/>
        <v>3839588.8519941811</v>
      </c>
      <c r="S175" s="18"/>
      <c r="T175" s="106">
        <f>(R175/R$172-1)*100</f>
        <v>-2.3452326728915063</v>
      </c>
      <c r="U175" s="39"/>
      <c r="W175" s="107">
        <v>2.4117140396210264</v>
      </c>
      <c r="X175" s="108">
        <v>22851228.93</v>
      </c>
      <c r="Y175" s="107">
        <v>2.84</v>
      </c>
      <c r="Z175" s="108">
        <v>35377156.07</v>
      </c>
      <c r="AA175" s="110">
        <f t="shared" ref="AA175" si="80">ROUND(X174/AB174*(W175+1.23/12)+Z174/AB174*Y175,4)</f>
        <v>2.7176</v>
      </c>
      <c r="AB175" s="111">
        <f t="shared" ref="AB175" si="81">X175+Z175</f>
        <v>58228385</v>
      </c>
    </row>
    <row r="176" spans="1:30" x14ac:dyDescent="0.25">
      <c r="A176" s="21">
        <v>43220</v>
      </c>
      <c r="B176" s="24">
        <f t="shared" si="76"/>
        <v>160</v>
      </c>
      <c r="C176" s="97" t="s">
        <v>104</v>
      </c>
      <c r="D176" s="84">
        <f t="shared" si="32"/>
        <v>1.4121999999999999</v>
      </c>
      <c r="E176" s="47">
        <f t="shared" ref="E176" si="82">E175*D176/100+E175</f>
        <v>4910207.472268044</v>
      </c>
      <c r="F176" s="112"/>
      <c r="H176" s="49"/>
      <c r="I176" s="39"/>
      <c r="J176" s="20">
        <f t="shared" si="23"/>
        <v>43220</v>
      </c>
      <c r="K176" s="27">
        <v>0.86466776426594183</v>
      </c>
      <c r="L176" s="46">
        <f t="shared" si="66"/>
        <v>2823988.250126808</v>
      </c>
      <c r="M176" s="112"/>
      <c r="N176" s="10"/>
      <c r="O176" s="39"/>
      <c r="P176" s="20">
        <f t="shared" si="28"/>
        <v>43220</v>
      </c>
      <c r="Q176" s="45">
        <v>0.6622130450625584</v>
      </c>
      <c r="R176" s="46">
        <f t="shared" si="24"/>
        <v>3865015.1102488544</v>
      </c>
      <c r="S176" s="112"/>
      <c r="T176" s="10"/>
      <c r="U176" s="39"/>
      <c r="W176" s="107">
        <v>1.2615643397813168</v>
      </c>
      <c r="X176" s="108">
        <v>23885529.719999999</v>
      </c>
      <c r="Y176" s="107">
        <v>1.4433</v>
      </c>
      <c r="Z176" s="108">
        <v>35861296.960000001</v>
      </c>
      <c r="AA176" s="110">
        <f t="shared" ref="AA176" si="83">ROUND(X175/AB175*(W176+1.23/12)+Z175/AB175*Y176,4)</f>
        <v>1.4121999999999999</v>
      </c>
      <c r="AB176" s="111">
        <f t="shared" ref="AB176" si="84">X176+Z176</f>
        <v>59746826.68</v>
      </c>
    </row>
    <row r="177" spans="1:28" x14ac:dyDescent="0.25">
      <c r="A177" s="21">
        <v>43251</v>
      </c>
      <c r="B177" s="24">
        <f t="shared" si="76"/>
        <v>161</v>
      </c>
      <c r="C177" s="97" t="s">
        <v>104</v>
      </c>
      <c r="D177" s="84">
        <f t="shared" si="32"/>
        <v>5.1650999999999998</v>
      </c>
      <c r="E177" s="47">
        <f t="shared" ref="E177" si="85">E176*D177/100+E176</f>
        <v>5163824.5984181603</v>
      </c>
      <c r="F177" s="112"/>
      <c r="H177" s="49"/>
      <c r="I177" s="39"/>
      <c r="J177" s="20">
        <f t="shared" si="23"/>
        <v>43251</v>
      </c>
      <c r="K177" s="27">
        <v>6.0699700580171658</v>
      </c>
      <c r="L177" s="46">
        <f t="shared" si="66"/>
        <v>2995403.491351428</v>
      </c>
      <c r="M177" s="112"/>
      <c r="N177" s="10"/>
      <c r="O177" s="39"/>
      <c r="P177" s="20">
        <f t="shared" si="28"/>
        <v>43251</v>
      </c>
      <c r="Q177" s="45">
        <v>5.6108461880031655</v>
      </c>
      <c r="R177" s="46">
        <f t="shared" ref="R177:R195" si="86">R176*Q177/100+R176</f>
        <v>4081875.1632279987</v>
      </c>
      <c r="S177" s="112"/>
      <c r="T177" s="10"/>
      <c r="U177" s="39"/>
      <c r="W177" s="107">
        <v>4.9833887043189486</v>
      </c>
      <c r="X177" s="108">
        <v>26602136.75</v>
      </c>
      <c r="Y177" s="107">
        <v>5.2178060000000004</v>
      </c>
      <c r="Z177" s="108">
        <v>37732470.149999999</v>
      </c>
      <c r="AA177" s="110">
        <f t="shared" ref="AA177:AA180" si="87">ROUND(X176/AB176*(W177+1.23/12)+Z176/AB176*Y177,4)</f>
        <v>5.1650999999999998</v>
      </c>
      <c r="AB177" s="111">
        <f t="shared" ref="AB177:AB180" si="88">X177+Z177</f>
        <v>64334606.899999999</v>
      </c>
    </row>
    <row r="178" spans="1:28" x14ac:dyDescent="0.25">
      <c r="A178" s="21">
        <v>43281</v>
      </c>
      <c r="B178" s="24">
        <f t="shared" si="76"/>
        <v>162</v>
      </c>
      <c r="C178" s="97" t="s">
        <v>104</v>
      </c>
      <c r="D178" s="84">
        <f t="shared" si="32"/>
        <v>1.4078999999999999</v>
      </c>
      <c r="E178" s="47">
        <f t="shared" ref="E178" si="89">E177*D178/100+E177</f>
        <v>5236526.0849392898</v>
      </c>
      <c r="F178" s="112"/>
      <c r="G178" s="106">
        <f>(E178/E$175-1)*100</f>
        <v>8.1517702928726408</v>
      </c>
      <c r="H178" s="49"/>
      <c r="I178" s="39"/>
      <c r="J178" s="20">
        <f t="shared" si="23"/>
        <v>43281</v>
      </c>
      <c r="K178" s="27">
        <v>0.71507127323460473</v>
      </c>
      <c r="L178" s="46">
        <f t="shared" ref="L178" si="90">L177*K178/100+L177</f>
        <v>3016822.7612355486</v>
      </c>
      <c r="M178" s="112"/>
      <c r="N178" s="106">
        <f>(L178/L$175-1)*100</f>
        <v>7.7521570785697103</v>
      </c>
      <c r="O178" s="39"/>
      <c r="P178" s="20">
        <f t="shared" si="28"/>
        <v>43281</v>
      </c>
      <c r="Q178" s="45">
        <v>1.5680055572566505</v>
      </c>
      <c r="R178" s="46">
        <f t="shared" si="86"/>
        <v>4145879.1926276926</v>
      </c>
      <c r="S178" s="112"/>
      <c r="T178" s="106">
        <f>(R178/R$175-1)*100</f>
        <v>7.9771650674116401</v>
      </c>
      <c r="U178" s="39"/>
      <c r="W178" s="107">
        <v>1.1867088607594825</v>
      </c>
      <c r="X178" s="108">
        <v>28902762.780000001</v>
      </c>
      <c r="Y178" s="107">
        <v>1.4915849999999999</v>
      </c>
      <c r="Z178" s="108">
        <v>38295282.420000002</v>
      </c>
      <c r="AA178" s="110">
        <f t="shared" si="87"/>
        <v>1.4078999999999999</v>
      </c>
      <c r="AB178" s="111">
        <f t="shared" si="88"/>
        <v>67198045.200000003</v>
      </c>
    </row>
    <row r="179" spans="1:28" x14ac:dyDescent="0.25">
      <c r="A179" s="21">
        <v>43312</v>
      </c>
      <c r="B179" s="24">
        <f t="shared" ref="B179" si="91">IF(A179&gt;A178,1+B178,"-")</f>
        <v>163</v>
      </c>
      <c r="C179" s="97" t="s">
        <v>104</v>
      </c>
      <c r="D179" s="84">
        <f t="shared" si="32"/>
        <v>2.4182000000000001</v>
      </c>
      <c r="E179" s="47">
        <f t="shared" ref="E179" si="92">E178*D179/100+E178</f>
        <v>5363155.758725292</v>
      </c>
      <c r="F179" s="112"/>
      <c r="H179" s="49"/>
      <c r="I179" s="39"/>
      <c r="J179" s="20">
        <f t="shared" ref="J179" si="93">A179</f>
        <v>43312</v>
      </c>
      <c r="K179" s="27">
        <v>1.7395888164145061</v>
      </c>
      <c r="L179" s="46">
        <f t="shared" ref="L179" si="94">L178*K179/100+L178</f>
        <v>3069303.0726010497</v>
      </c>
      <c r="M179" s="112"/>
      <c r="N179" s="10"/>
      <c r="O179" s="39"/>
      <c r="P179" s="20">
        <f t="shared" si="28"/>
        <v>43312</v>
      </c>
      <c r="Q179" s="45">
        <v>2.7267327801875374</v>
      </c>
      <c r="R179" s="46">
        <f t="shared" si="86"/>
        <v>4258926.2396000465</v>
      </c>
      <c r="S179" s="112"/>
      <c r="T179" s="10"/>
      <c r="U179" s="39"/>
      <c r="W179" s="107">
        <v>2.3455819999999998</v>
      </c>
      <c r="X179" s="108">
        <v>31246169.390000001</v>
      </c>
      <c r="Y179" s="107">
        <v>2.3955907999999999</v>
      </c>
      <c r="Z179" s="108">
        <v>39212680.260000005</v>
      </c>
      <c r="AA179" s="110">
        <f t="shared" si="87"/>
        <v>2.4182000000000001</v>
      </c>
      <c r="AB179" s="111">
        <f t="shared" si="88"/>
        <v>70458849.650000006</v>
      </c>
    </row>
    <row r="180" spans="1:28" x14ac:dyDescent="0.25">
      <c r="A180" s="21">
        <v>43343</v>
      </c>
      <c r="B180" s="24">
        <f t="shared" ref="B180:B183" si="95">IF(A180&gt;A179,1+B179,"-")</f>
        <v>164</v>
      </c>
      <c r="C180" s="97" t="s">
        <v>104</v>
      </c>
      <c r="D180" s="84">
        <f t="shared" si="32"/>
        <v>5.8045</v>
      </c>
      <c r="E180" s="47">
        <f t="shared" ref="E180" si="96">E179*D180/100+E179</f>
        <v>5674460.1347405016</v>
      </c>
      <c r="F180" s="112"/>
      <c r="H180" s="49"/>
      <c r="I180" s="39"/>
      <c r="J180" s="20">
        <f t="shared" ref="J180" si="97">A180</f>
        <v>43343</v>
      </c>
      <c r="K180" s="27">
        <v>4.3072100000000004</v>
      </c>
      <c r="L180" s="46">
        <f t="shared" ref="L180" si="98">L179*K180/100+L179</f>
        <v>3201504.4014744293</v>
      </c>
      <c r="M180" s="112"/>
      <c r="N180" s="10"/>
      <c r="O180" s="39"/>
      <c r="P180" s="20">
        <f t="shared" si="28"/>
        <v>43343</v>
      </c>
      <c r="Q180" s="45">
        <v>3.0555750227766585</v>
      </c>
      <c r="R180" s="46">
        <f t="shared" si="86"/>
        <v>4389060.9260157468</v>
      </c>
      <c r="S180" s="112"/>
      <c r="T180" s="10"/>
      <c r="U180" s="39"/>
      <c r="W180" s="107">
        <v>5.5767759999999997</v>
      </c>
      <c r="X180" s="108">
        <v>35168761.299999997</v>
      </c>
      <c r="Y180" s="107">
        <v>5.9042000000000003</v>
      </c>
      <c r="Z180" s="108">
        <v>41527892.689999998</v>
      </c>
      <c r="AA180" s="110">
        <f t="shared" si="87"/>
        <v>5.8045</v>
      </c>
      <c r="AB180" s="111">
        <f t="shared" si="88"/>
        <v>76696653.989999995</v>
      </c>
    </row>
    <row r="181" spans="1:28" x14ac:dyDescent="0.25">
      <c r="A181" s="21">
        <v>43373</v>
      </c>
      <c r="B181" s="24">
        <f t="shared" si="95"/>
        <v>165</v>
      </c>
      <c r="C181" s="97" t="s">
        <v>104</v>
      </c>
      <c r="D181" s="84">
        <f t="shared" ref="D181:D182" si="99">AA181</f>
        <v>-2.2879</v>
      </c>
      <c r="E181" s="47">
        <f t="shared" ref="E181" si="100">E180*D181/100+E180</f>
        <v>5544634.1613177741</v>
      </c>
      <c r="F181" s="112"/>
      <c r="G181" s="106">
        <f>(E181/E$178-1)*100</f>
        <v>5.8838258681577216</v>
      </c>
      <c r="H181" s="49"/>
      <c r="I181" s="39"/>
      <c r="J181" s="20">
        <f t="shared" ref="J181" si="101">A181</f>
        <v>43373</v>
      </c>
      <c r="K181" s="27">
        <v>-2.4049999999999998</v>
      </c>
      <c r="L181" s="46">
        <f t="shared" ref="L181" si="102">L180*K181/100+L180</f>
        <v>3124508.2206189693</v>
      </c>
      <c r="M181" s="112"/>
      <c r="N181" s="106">
        <f>(L181/L$178-1)*100</f>
        <v>3.5694990361090362</v>
      </c>
      <c r="O181" s="39"/>
      <c r="P181" s="20">
        <f t="shared" si="28"/>
        <v>43373</v>
      </c>
      <c r="Q181" s="45">
        <v>-2.7091125467528152</v>
      </c>
      <c r="R181" s="46">
        <f t="shared" si="86"/>
        <v>4270156.325784429</v>
      </c>
      <c r="S181" s="112"/>
      <c r="T181" s="106">
        <f>(R181/R$178-1)*100</f>
        <v>2.9976062345890231</v>
      </c>
      <c r="U181" s="39"/>
      <c r="W181" s="107">
        <v>-2.3878400000000002</v>
      </c>
      <c r="X181" s="108">
        <v>36129214.93</v>
      </c>
      <c r="Y181" s="107">
        <v>-2.2901400000000001</v>
      </c>
      <c r="Z181" s="108">
        <v>40549436.809999995</v>
      </c>
      <c r="AA181" s="110">
        <f t="shared" ref="AA181:AA185" si="103">ROUND(X180/AB180*(W181+1.23/12)+Z180/AB180*Y181,4)</f>
        <v>-2.2879</v>
      </c>
      <c r="AB181" s="111">
        <f t="shared" ref="AB181" si="104">X181+Z181</f>
        <v>76678651.739999995</v>
      </c>
    </row>
    <row r="182" spans="1:28" x14ac:dyDescent="0.25">
      <c r="A182" s="21">
        <v>43404</v>
      </c>
      <c r="B182" s="24">
        <f t="shared" si="95"/>
        <v>166</v>
      </c>
      <c r="C182" s="97" t="s">
        <v>104</v>
      </c>
      <c r="D182" s="84">
        <f t="shared" si="99"/>
        <v>-10.7766</v>
      </c>
      <c r="E182" s="47">
        <f t="shared" ref="E182" si="105">E181*D182/100+E181</f>
        <v>4947111.1162892031</v>
      </c>
      <c r="F182" s="112"/>
      <c r="H182" s="49"/>
      <c r="I182" s="39"/>
      <c r="J182" s="20">
        <f t="shared" ref="J182" si="106">A182</f>
        <v>43404</v>
      </c>
      <c r="K182" s="27">
        <v>-10.861624881516924</v>
      </c>
      <c r="L182" s="46">
        <f t="shared" ref="L182" si="107">L181*K182/100+L181</f>
        <v>2785135.8583031776</v>
      </c>
      <c r="M182" s="112"/>
      <c r="N182" s="54"/>
      <c r="O182" s="39"/>
      <c r="P182" s="20">
        <f t="shared" si="28"/>
        <v>43404</v>
      </c>
      <c r="Q182" s="45">
        <v>-7.0435025731086132</v>
      </c>
      <c r="R182" s="46">
        <f t="shared" si="86"/>
        <v>3969387.7551020426</v>
      </c>
      <c r="S182" s="112"/>
      <c r="T182" s="54"/>
      <c r="U182" s="39"/>
      <c r="W182" s="107">
        <v>-10.674573758339507</v>
      </c>
      <c r="X182" s="108">
        <v>33824711.049999997</v>
      </c>
      <c r="Y182" s="107">
        <v>-10.958769269279042</v>
      </c>
      <c r="Z182" s="108">
        <v>36075267.230000004</v>
      </c>
      <c r="AA182" s="110">
        <f t="shared" si="103"/>
        <v>-10.7766</v>
      </c>
      <c r="AB182" s="111">
        <f t="shared" ref="AB182:AB185" si="108">X182+Z182</f>
        <v>69899978.280000001</v>
      </c>
    </row>
    <row r="183" spans="1:28" x14ac:dyDescent="0.25">
      <c r="A183" s="21">
        <v>43434</v>
      </c>
      <c r="B183" s="24">
        <f t="shared" si="95"/>
        <v>167</v>
      </c>
      <c r="C183" s="97" t="s">
        <v>104</v>
      </c>
      <c r="D183" s="84">
        <f t="shared" ref="D183:D187" si="109">AA183</f>
        <v>0.86480000000000001</v>
      </c>
      <c r="E183" s="47">
        <f t="shared" ref="E183" si="110">E182*D183/100+E182</f>
        <v>4989893.733222872</v>
      </c>
      <c r="F183" s="112"/>
      <c r="H183" s="49"/>
      <c r="I183" s="39"/>
      <c r="J183" s="20">
        <f t="shared" ref="J183" si="111">A183</f>
        <v>43434</v>
      </c>
      <c r="K183" s="27">
        <v>1.5799600677700532</v>
      </c>
      <c r="L183" s="46">
        <f t="shared" ref="L183" si="112">L182*K183/100+L182</f>
        <v>2829139.8926975126</v>
      </c>
      <c r="M183" s="112"/>
      <c r="N183" s="54"/>
      <c r="O183" s="39"/>
      <c r="P183" s="20">
        <f t="shared" si="28"/>
        <v>43434</v>
      </c>
      <c r="Q183" s="45">
        <v>3.6469078826785934</v>
      </c>
      <c r="R183" s="46">
        <f t="shared" si="86"/>
        <v>4114147.670036938</v>
      </c>
      <c r="S183" s="112"/>
      <c r="T183" s="54"/>
      <c r="U183" s="39"/>
      <c r="W183" s="107">
        <v>0.82987551867219622</v>
      </c>
      <c r="X183" s="108">
        <v>34434962.149999999</v>
      </c>
      <c r="Y183" s="107">
        <v>0.80140687528995613</v>
      </c>
      <c r="Z183" s="108">
        <v>36365550.560000002</v>
      </c>
      <c r="AA183" s="110">
        <f t="shared" si="103"/>
        <v>0.86480000000000001</v>
      </c>
      <c r="AB183" s="111">
        <f t="shared" si="108"/>
        <v>70800512.710000008</v>
      </c>
    </row>
    <row r="184" spans="1:28" x14ac:dyDescent="0.25">
      <c r="A184" s="21">
        <v>43465</v>
      </c>
      <c r="B184" s="24">
        <f t="shared" ref="B184:B194" si="113">IF(A184&gt;A183,1+B183,"-")</f>
        <v>168</v>
      </c>
      <c r="C184" s="97" t="s">
        <v>104</v>
      </c>
      <c r="D184" s="84">
        <f t="shared" si="109"/>
        <v>-10.669499999999999</v>
      </c>
      <c r="E184" s="47">
        <f t="shared" ref="E184:E187" si="114">E183*D184/100+E183</f>
        <v>4457497.0213566581</v>
      </c>
      <c r="F184" s="112">
        <f>(E184/E$172-1)*100</f>
        <v>-8.7990991294937366</v>
      </c>
      <c r="G184" s="106">
        <f>(E184/E$181-1)*100</f>
        <v>-19.607012984653615</v>
      </c>
      <c r="H184" s="16">
        <f>STDEVP(D149:D184)*SQRT(12)</f>
        <v>13.330096740320238</v>
      </c>
      <c r="I184" s="39"/>
      <c r="J184" s="20">
        <f t="shared" ref="J184" si="115">A184</f>
        <v>43465</v>
      </c>
      <c r="K184" s="27">
        <v>-11.88434454640741</v>
      </c>
      <c r="L184" s="46">
        <f t="shared" ref="L184:L187" si="116">L183*K184/100+L183</f>
        <v>2492915.1601494793</v>
      </c>
      <c r="M184" s="112">
        <f>(L184/L$172-1)*100</f>
        <v>-11.027099852982147</v>
      </c>
      <c r="N184" s="106">
        <f>(L184/L$181-1)*100</f>
        <v>-20.214159025139978</v>
      </c>
      <c r="O184" s="39"/>
      <c r="P184" s="20">
        <f t="shared" si="28"/>
        <v>43465</v>
      </c>
      <c r="Q184" s="45">
        <v>-9.3306067297533701</v>
      </c>
      <c r="R184" s="46">
        <f t="shared" si="86"/>
        <v>3730272.73066448</v>
      </c>
      <c r="S184" s="112">
        <f>(R184/R$172-1)*100</f>
        <v>-5.1255408790707886</v>
      </c>
      <c r="T184" s="106">
        <f>(R184/R$181-1)*100</f>
        <v>-12.643181043747198</v>
      </c>
      <c r="U184" s="39"/>
      <c r="V184" s="61"/>
      <c r="W184" s="107">
        <v>-10.454219999999999</v>
      </c>
      <c r="X184" s="108">
        <v>30939369</v>
      </c>
      <c r="Y184" s="107">
        <v>-10.970416175361708</v>
      </c>
      <c r="Z184" s="108">
        <v>32376202.100000001</v>
      </c>
      <c r="AA184" s="110">
        <f t="shared" si="103"/>
        <v>-10.669499999999999</v>
      </c>
      <c r="AB184" s="111">
        <f t="shared" si="108"/>
        <v>63315571.100000001</v>
      </c>
    </row>
    <row r="185" spans="1:28" x14ac:dyDescent="0.25">
      <c r="A185" s="21">
        <v>43496</v>
      </c>
      <c r="B185" s="24">
        <f t="shared" si="113"/>
        <v>169</v>
      </c>
      <c r="C185" s="97" t="s">
        <v>104</v>
      </c>
      <c r="D185" s="84">
        <f t="shared" si="109"/>
        <v>8.6816999999999993</v>
      </c>
      <c r="E185" s="47">
        <f t="shared" si="114"/>
        <v>4844483.5402597794</v>
      </c>
      <c r="F185" s="112"/>
      <c r="I185" s="39"/>
      <c r="J185" s="20">
        <f t="shared" ref="J185" si="117">A185</f>
        <v>43496</v>
      </c>
      <c r="K185" s="27">
        <v>11.246632927110163</v>
      </c>
      <c r="L185" s="46">
        <f t="shared" si="116"/>
        <v>2773284.1773957717</v>
      </c>
      <c r="M185" s="18"/>
      <c r="N185" s="10"/>
      <c r="O185" s="39"/>
      <c r="P185" s="20">
        <f t="shared" si="28"/>
        <v>43496</v>
      </c>
      <c r="Q185" s="45">
        <v>8.6290100767634179</v>
      </c>
      <c r="R185" s="46">
        <f t="shared" si="86"/>
        <v>4052158.3404842759</v>
      </c>
      <c r="S185" s="18"/>
      <c r="T185" s="10"/>
      <c r="U185" s="39"/>
      <c r="W185" s="107">
        <v>8.2284607938044498</v>
      </c>
      <c r="X185" s="108">
        <v>32806928.5</v>
      </c>
      <c r="Y185" s="107">
        <v>9.0169587706307563</v>
      </c>
      <c r="Z185" s="108">
        <v>35241050.609999999</v>
      </c>
      <c r="AA185" s="110">
        <f t="shared" si="103"/>
        <v>8.6816999999999993</v>
      </c>
      <c r="AB185" s="111">
        <f t="shared" si="108"/>
        <v>68047979.109999999</v>
      </c>
    </row>
    <row r="186" spans="1:28" x14ac:dyDescent="0.25">
      <c r="A186" s="21">
        <v>43524</v>
      </c>
      <c r="B186" s="24">
        <f t="shared" si="113"/>
        <v>170</v>
      </c>
      <c r="C186" s="97" t="s">
        <v>104</v>
      </c>
      <c r="D186" s="84">
        <f t="shared" si="109"/>
        <v>4.4736000000000002</v>
      </c>
      <c r="E186" s="47">
        <f t="shared" si="114"/>
        <v>5061206.355916841</v>
      </c>
      <c r="F186" s="112"/>
      <c r="I186" s="39"/>
      <c r="J186" s="20">
        <f t="shared" ref="J186" si="118">A186</f>
        <v>43524</v>
      </c>
      <c r="K186" s="27">
        <v>5.1894965863048865</v>
      </c>
      <c r="L186" s="46">
        <f t="shared" si="116"/>
        <v>2917203.6651102589</v>
      </c>
      <c r="M186" s="112"/>
      <c r="N186" s="10"/>
      <c r="O186" s="39"/>
      <c r="P186" s="20">
        <f t="shared" si="28"/>
        <v>43524</v>
      </c>
      <c r="Q186" s="45">
        <v>3.6870453917687209</v>
      </c>
      <c r="R186" s="46">
        <f t="shared" si="86"/>
        <v>4201563.257844273</v>
      </c>
      <c r="S186" s="18"/>
      <c r="T186" s="10"/>
      <c r="U186" s="39"/>
      <c r="W186" s="107">
        <v>4.4722719141323797</v>
      </c>
      <c r="X186" s="108">
        <v>34742654.799999997</v>
      </c>
      <c r="Y186" s="107">
        <v>4.3794494510061979</v>
      </c>
      <c r="Z186" s="108">
        <v>36814630.879999995</v>
      </c>
      <c r="AA186" s="110">
        <f t="shared" ref="AA186" si="119">ROUND(X185/AB185*(W186+1.23/12)+Z185/AB185*Y186,4)</f>
        <v>4.4736000000000002</v>
      </c>
      <c r="AB186" s="111">
        <f t="shared" ref="AB186" si="120">X186+Z186</f>
        <v>71557285.679999992</v>
      </c>
    </row>
    <row r="187" spans="1:28" x14ac:dyDescent="0.25">
      <c r="A187" s="21">
        <v>43555</v>
      </c>
      <c r="B187" s="24">
        <f t="shared" si="113"/>
        <v>171</v>
      </c>
      <c r="C187" s="97" t="s">
        <v>104</v>
      </c>
      <c r="D187" s="84">
        <f t="shared" si="109"/>
        <v>-1.9114</v>
      </c>
      <c r="E187" s="47">
        <f t="shared" si="114"/>
        <v>4964466.4576298464</v>
      </c>
      <c r="F187" s="112"/>
      <c r="G187" s="106">
        <f>(E187/E$184-1)*100</f>
        <v>11.373410545070662</v>
      </c>
      <c r="I187" s="39"/>
      <c r="J187" s="20">
        <f t="shared" ref="J187" si="121">A187</f>
        <v>43555</v>
      </c>
      <c r="K187" s="27">
        <v>-2.0937400864579221</v>
      </c>
      <c r="L187" s="46">
        <f t="shared" si="116"/>
        <v>2856125.0025702259</v>
      </c>
      <c r="M187" s="112"/>
      <c r="N187" s="106">
        <f>(L187/L$184-1)*100</f>
        <v>14.569683245817643</v>
      </c>
      <c r="O187" s="39"/>
      <c r="P187" s="20">
        <f t="shared" si="28"/>
        <v>43555</v>
      </c>
      <c r="Q187" s="45">
        <v>-2.0974208472265907</v>
      </c>
      <c r="R187" s="46">
        <f t="shared" si="86"/>
        <v>4113438.7941648345</v>
      </c>
      <c r="S187" s="112"/>
      <c r="T187" s="106">
        <f>(R187/R$181-1)*100</f>
        <v>-3.6700654417096912</v>
      </c>
      <c r="U187" s="39"/>
      <c r="W187" s="107">
        <v>-1.8835616438356066</v>
      </c>
      <c r="X187" s="108">
        <v>35451492.519999988</v>
      </c>
      <c r="Y187" s="107">
        <v>-2.0343837819296939</v>
      </c>
      <c r="Z187" s="108">
        <v>36065903.580000006</v>
      </c>
      <c r="AA187" s="110">
        <f t="shared" ref="AA187:AA191" si="122">ROUND(X186/AB186*(W187+1.23/12)+Z186/AB186*Y187,4)</f>
        <v>-1.9114</v>
      </c>
      <c r="AB187" s="111">
        <f t="shared" ref="AB187:AB191" si="123">X187+Z187</f>
        <v>71517396.099999994</v>
      </c>
    </row>
    <row r="188" spans="1:28" x14ac:dyDescent="0.25">
      <c r="A188" s="21">
        <v>43585</v>
      </c>
      <c r="B188" s="24">
        <f t="shared" si="113"/>
        <v>172</v>
      </c>
      <c r="C188" s="97" t="s">
        <v>104</v>
      </c>
      <c r="D188" s="84">
        <f t="shared" ref="D188:D189" si="124">AA188</f>
        <v>3.04</v>
      </c>
      <c r="E188" s="47">
        <f t="shared" ref="E188" si="125">E187*D188/100+E187</f>
        <v>5115386.2379417941</v>
      </c>
      <c r="F188" s="112"/>
      <c r="I188" s="39"/>
      <c r="J188" s="20">
        <f t="shared" ref="J188" si="126">A188</f>
        <v>43585</v>
      </c>
      <c r="K188" s="27">
        <v>3.3970374167589599</v>
      </c>
      <c r="L188" s="46">
        <f t="shared" ref="L188" si="127">L187*K188/100+L187</f>
        <v>2953148.6375769442</v>
      </c>
      <c r="M188" s="112"/>
      <c r="N188" s="10"/>
      <c r="O188" s="39"/>
      <c r="P188" s="20">
        <f t="shared" si="28"/>
        <v>43585</v>
      </c>
      <c r="Q188" s="45">
        <v>3.0248747193941097</v>
      </c>
      <c r="R188" s="46">
        <f t="shared" si="86"/>
        <v>4237865.1643472761</v>
      </c>
      <c r="S188" s="112"/>
      <c r="T188" s="10"/>
      <c r="U188" s="39"/>
      <c r="W188" s="107">
        <v>2.7923211169284334</v>
      </c>
      <c r="X188" s="108">
        <v>37574293.160000004</v>
      </c>
      <c r="Y188" s="107">
        <v>3.1827587612378361</v>
      </c>
      <c r="Z188" s="108">
        <v>37213447.589999996</v>
      </c>
      <c r="AA188" s="110">
        <f t="shared" si="122"/>
        <v>3.04</v>
      </c>
      <c r="AB188" s="111">
        <f t="shared" si="123"/>
        <v>74787740.75</v>
      </c>
    </row>
    <row r="189" spans="1:28" x14ac:dyDescent="0.25">
      <c r="A189" s="21">
        <v>43616</v>
      </c>
      <c r="B189" s="24">
        <f t="shared" si="113"/>
        <v>173</v>
      </c>
      <c r="C189" s="97" t="s">
        <v>104</v>
      </c>
      <c r="D189" s="84">
        <f t="shared" si="124"/>
        <v>-5.7443</v>
      </c>
      <c r="E189" s="47">
        <f t="shared" ref="E189" si="128">E188*D189/100+E188</f>
        <v>4821543.1062757038</v>
      </c>
      <c r="F189" s="112"/>
      <c r="G189" s="106"/>
      <c r="I189" s="39"/>
      <c r="J189" s="20">
        <f t="shared" ref="J189" si="129">A189</f>
        <v>43616</v>
      </c>
      <c r="K189" s="27">
        <v>-7.7772522689384598</v>
      </c>
      <c r="L189" s="46">
        <f t="shared" ref="L189" si="130">L188*K189/100+L188</f>
        <v>2723474.8181558661</v>
      </c>
      <c r="M189" s="112"/>
      <c r="N189" s="106"/>
      <c r="O189" s="39"/>
      <c r="P189" s="20">
        <f t="shared" si="28"/>
        <v>43616</v>
      </c>
      <c r="Q189" s="45">
        <v>-4.5374711125784053</v>
      </c>
      <c r="R189" s="46">
        <f t="shared" si="86"/>
        <v>4045573.2567249951</v>
      </c>
      <c r="S189" s="112"/>
      <c r="T189" s="106"/>
      <c r="U189" s="39"/>
      <c r="W189" s="107">
        <v>-5.7724957555178245</v>
      </c>
      <c r="X189" s="108">
        <v>36739947.520000003</v>
      </c>
      <c r="Y189" s="107">
        <v>-5.8193743922496655</v>
      </c>
      <c r="Z189" s="108">
        <v>35047966.960000008</v>
      </c>
      <c r="AA189" s="110">
        <f t="shared" si="122"/>
        <v>-5.7443</v>
      </c>
      <c r="AB189" s="111">
        <f t="shared" si="123"/>
        <v>71787914.480000019</v>
      </c>
    </row>
    <row r="190" spans="1:28" x14ac:dyDescent="0.25">
      <c r="A190" s="21">
        <v>43646</v>
      </c>
      <c r="B190" s="24">
        <f t="shared" si="113"/>
        <v>174</v>
      </c>
      <c r="C190" s="97" t="s">
        <v>104</v>
      </c>
      <c r="D190" s="84">
        <f t="shared" ref="D190:D191" si="131">AA190</f>
        <v>5.3159999999999998</v>
      </c>
      <c r="E190" s="47">
        <f t="shared" ref="E190" si="132">E189*D190/100+E189</f>
        <v>5077856.3378053205</v>
      </c>
      <c r="F190" s="112"/>
      <c r="G190" s="106">
        <f>(E190/E187-1)*100</f>
        <v>2.2840295355648133</v>
      </c>
      <c r="I190" s="39"/>
      <c r="J190" s="20">
        <f t="shared" ref="J190" si="133">A190</f>
        <v>43646</v>
      </c>
      <c r="K190" s="27">
        <v>7.0659142624330968</v>
      </c>
      <c r="L190" s="46">
        <f t="shared" ref="L190" si="134">L189*K190/100+L189</f>
        <v>2915913.2137657152</v>
      </c>
      <c r="M190" s="112"/>
      <c r="N190" s="106">
        <f>(L190/L$187-1)*100</f>
        <v>2.0933331398900856</v>
      </c>
      <c r="O190" s="39"/>
      <c r="P190" s="20">
        <f t="shared" si="28"/>
        <v>43646</v>
      </c>
      <c r="Q190" s="45">
        <v>5.123877768401826</v>
      </c>
      <c r="R190" s="46">
        <f t="shared" si="86"/>
        <v>4252863.485430737</v>
      </c>
      <c r="S190" s="112"/>
      <c r="T190" s="106">
        <f>(R190/R$187-1)*100</f>
        <v>3.3894923017618428</v>
      </c>
      <c r="U190" s="39"/>
      <c r="W190" s="107">
        <v>5.315315</v>
      </c>
      <c r="X190" s="108">
        <v>38576422.250000007</v>
      </c>
      <c r="Y190" s="107">
        <v>5.2093622836259295</v>
      </c>
      <c r="Z190" s="108">
        <v>36845922.810000002</v>
      </c>
      <c r="AA190" s="110">
        <f t="shared" si="122"/>
        <v>5.3159999999999998</v>
      </c>
      <c r="AB190" s="111">
        <f t="shared" si="123"/>
        <v>75422345.060000002</v>
      </c>
    </row>
    <row r="191" spans="1:28" x14ac:dyDescent="0.25">
      <c r="A191" s="21">
        <v>43677</v>
      </c>
      <c r="B191" s="24">
        <f t="shared" si="113"/>
        <v>175</v>
      </c>
      <c r="C191" s="97" t="s">
        <v>104</v>
      </c>
      <c r="D191" s="84">
        <f t="shared" si="131"/>
        <v>2.1334</v>
      </c>
      <c r="E191" s="47">
        <f t="shared" ref="E191" si="135">E190*D191/100+E190</f>
        <v>5186187.3249160592</v>
      </c>
      <c r="F191" s="112"/>
      <c r="G191" s="106"/>
      <c r="I191" s="39"/>
      <c r="J191" s="20">
        <f t="shared" ref="J191" si="136">A191</f>
        <v>43677</v>
      </c>
      <c r="K191" s="27">
        <v>0.57276328251731323</v>
      </c>
      <c r="L191" s="46">
        <f t="shared" ref="L191" si="137">L190*K191/100+L190</f>
        <v>2932614.4940042361</v>
      </c>
      <c r="M191" s="112"/>
      <c r="N191" s="106"/>
      <c r="O191" s="39"/>
      <c r="P191" s="20">
        <f t="shared" si="28"/>
        <v>43677</v>
      </c>
      <c r="Q191" s="45">
        <v>1.6830497545826542</v>
      </c>
      <c r="R191" s="46">
        <f t="shared" si="86"/>
        <v>4324441.293885014</v>
      </c>
      <c r="S191" s="112"/>
      <c r="T191" s="106"/>
      <c r="U191" s="39"/>
      <c r="W191" s="107">
        <v>1.88195</v>
      </c>
      <c r="X191" s="133">
        <v>39239673.284799993</v>
      </c>
      <c r="Y191" s="107">
        <v>2.2893767918545036</v>
      </c>
      <c r="Z191" s="133">
        <v>37585797.079999998</v>
      </c>
      <c r="AA191" s="110">
        <f t="shared" si="122"/>
        <v>2.1334</v>
      </c>
      <c r="AB191" s="111">
        <f t="shared" si="123"/>
        <v>76825470.364799991</v>
      </c>
    </row>
    <row r="192" spans="1:28" x14ac:dyDescent="0.25">
      <c r="A192" s="21">
        <v>43708</v>
      </c>
      <c r="B192" s="24">
        <f t="shared" si="113"/>
        <v>176</v>
      </c>
      <c r="C192" s="97" t="s">
        <v>104</v>
      </c>
      <c r="D192" s="84">
        <f t="shared" ref="D192" si="138">AA192</f>
        <v>-3.4944000000000002</v>
      </c>
      <c r="E192" s="47">
        <f t="shared" ref="E192" si="139">E191*D192/100+E191</f>
        <v>5004961.1950341919</v>
      </c>
      <c r="F192" s="112"/>
      <c r="I192" s="39"/>
      <c r="J192" s="20">
        <f t="shared" ref="J192" si="140">A192</f>
        <v>43708</v>
      </c>
      <c r="K192" s="27">
        <v>-4.9388228429049992</v>
      </c>
      <c r="L192" s="46">
        <f t="shared" ref="L192" si="141">L191*K192/100+L191</f>
        <v>2787777.8594800122</v>
      </c>
      <c r="M192" s="112"/>
      <c r="N192" s="54"/>
      <c r="O192" s="39"/>
      <c r="P192" s="20">
        <f t="shared" si="28"/>
        <v>43708</v>
      </c>
      <c r="Q192" s="45">
        <v>-2.5231217862442534</v>
      </c>
      <c r="R192" s="46">
        <f t="shared" si="86"/>
        <v>4215330.3734656582</v>
      </c>
      <c r="S192" s="112"/>
      <c r="T192" s="54"/>
      <c r="U192" s="39"/>
      <c r="W192" s="107">
        <v>-3.5264479999999998</v>
      </c>
      <c r="X192" s="133">
        <v>37375528.920000002</v>
      </c>
      <c r="Y192" s="107">
        <v>-3.5679300595168106</v>
      </c>
      <c r="Z192" s="133">
        <v>36318789.799999997</v>
      </c>
      <c r="AA192" s="110">
        <f t="shared" ref="AA192:AA194" si="142">ROUND(X191/AB191*(W192+1.23/12)+Z191/AB191*Y192,4)</f>
        <v>-3.4944000000000002</v>
      </c>
      <c r="AB192" s="111">
        <f t="shared" ref="AB192:AB194" si="143">X192+Z192</f>
        <v>73694318.719999999</v>
      </c>
    </row>
    <row r="193" spans="1:28" x14ac:dyDescent="0.25">
      <c r="A193" s="21">
        <v>43738</v>
      </c>
      <c r="B193" s="24">
        <f t="shared" si="113"/>
        <v>177</v>
      </c>
      <c r="C193" s="97" t="s">
        <v>104</v>
      </c>
      <c r="D193" s="84">
        <f t="shared" ref="D193:D194" si="144">AA193</f>
        <v>4.1382000000000003</v>
      </c>
      <c r="E193" s="47">
        <f t="shared" ref="E193" si="145">E192*D193/100+E192</f>
        <v>5212076.4992070971</v>
      </c>
      <c r="F193" s="112"/>
      <c r="G193" s="106">
        <f>(E193/E190-1)*100</f>
        <v>2.6432445597660781</v>
      </c>
      <c r="I193" s="39"/>
      <c r="J193" s="20">
        <f t="shared" ref="J193" si="146">A193</f>
        <v>43738</v>
      </c>
      <c r="K193" s="27">
        <v>2.0805680904424926</v>
      </c>
      <c r="L193" s="46">
        <f t="shared" ref="L193" si="147">L192*K193/100+L192</f>
        <v>2845779.4760567741</v>
      </c>
      <c r="M193" s="112"/>
      <c r="N193" s="106">
        <f>(L193/L190-1)*100</f>
        <v>-2.4052066219888535</v>
      </c>
      <c r="O193" s="39"/>
      <c r="P193" s="20">
        <f t="shared" si="28"/>
        <v>43738</v>
      </c>
      <c r="Q193" s="45">
        <v>3.3730588979806697</v>
      </c>
      <c r="R193" s="46">
        <f t="shared" si="86"/>
        <v>4357515.9497071235</v>
      </c>
      <c r="S193" s="112"/>
      <c r="T193" s="106">
        <f>(R193/R190-1)*100</f>
        <v>2.460752964088786</v>
      </c>
      <c r="U193" s="39"/>
      <c r="W193" s="107">
        <v>4.0034809999999998</v>
      </c>
      <c r="X193" s="133">
        <v>40887730.059999995</v>
      </c>
      <c r="Y193" s="107">
        <v>4.1713752027531692</v>
      </c>
      <c r="Z193" s="133">
        <v>37833782.740000002</v>
      </c>
      <c r="AA193" s="110">
        <f t="shared" si="142"/>
        <v>4.1382000000000003</v>
      </c>
      <c r="AB193" s="111">
        <f t="shared" si="143"/>
        <v>78721512.799999997</v>
      </c>
    </row>
    <row r="194" spans="1:28" x14ac:dyDescent="0.25">
      <c r="A194" s="21">
        <v>43769</v>
      </c>
      <c r="B194" s="24">
        <f t="shared" si="113"/>
        <v>178</v>
      </c>
      <c r="C194" s="97" t="s">
        <v>104</v>
      </c>
      <c r="D194" s="84">
        <f t="shared" si="144"/>
        <v>1.6277999999999999</v>
      </c>
      <c r="E194" s="47">
        <f t="shared" ref="E194" si="148">E193*D194/100+E193</f>
        <v>5296918.6804611906</v>
      </c>
      <c r="F194" s="112"/>
      <c r="G194" s="106"/>
      <c r="I194" s="39"/>
      <c r="J194" s="20">
        <f t="shared" ref="J194" si="149">A194</f>
        <v>43769</v>
      </c>
      <c r="K194" s="27">
        <v>2.6336339999999998</v>
      </c>
      <c r="L194" s="46">
        <f t="shared" ref="L194" si="150">L193*K194/100+L193</f>
        <v>2920726.8919032272</v>
      </c>
      <c r="M194" s="112"/>
      <c r="N194" s="106"/>
      <c r="O194" s="39"/>
      <c r="P194" s="20">
        <f t="shared" si="28"/>
        <v>43769</v>
      </c>
      <c r="Q194" s="45">
        <v>2.6747834872361294</v>
      </c>
      <c r="R194" s="46">
        <f t="shared" si="86"/>
        <v>4474070.0667835698</v>
      </c>
      <c r="S194" s="112"/>
      <c r="T194" s="106"/>
      <c r="U194" s="39"/>
      <c r="W194" s="107">
        <v>1.4225939999999999</v>
      </c>
      <c r="X194" s="133">
        <v>42644166.770000003</v>
      </c>
      <c r="Y194" s="107">
        <v>1.7387634749609804</v>
      </c>
      <c r="Z194" s="133">
        <v>38491622.799999997</v>
      </c>
      <c r="AA194" s="110">
        <f t="shared" si="142"/>
        <v>1.6277999999999999</v>
      </c>
      <c r="AB194" s="111">
        <f t="shared" si="143"/>
        <v>81135789.569999993</v>
      </c>
    </row>
    <row r="195" spans="1:28" x14ac:dyDescent="0.25">
      <c r="A195" s="21">
        <v>43799</v>
      </c>
      <c r="B195" s="24">
        <f t="shared" ref="B195:B202" si="151">IF(A195&gt;A194,1+B194,"-")</f>
        <v>179</v>
      </c>
      <c r="C195" s="97" t="s">
        <v>104</v>
      </c>
      <c r="D195" s="84">
        <f t="shared" ref="D195" si="152">AA195</f>
        <v>1.2399</v>
      </c>
      <c r="E195" s="47">
        <f t="shared" ref="E195" si="153">E194*D195/100+E194</f>
        <v>5362595.1751802294</v>
      </c>
      <c r="F195" s="112"/>
      <c r="G195" s="106"/>
      <c r="I195" s="39"/>
      <c r="J195" s="20">
        <f t="shared" ref="J195" si="154">A195</f>
        <v>43799</v>
      </c>
      <c r="K195" s="27">
        <v>4.1039970911143833</v>
      </c>
      <c r="L195" s="46">
        <f t="shared" ref="L195" si="155">L194*K195/100+L194</f>
        <v>3040593.438586331</v>
      </c>
      <c r="M195" s="112"/>
      <c r="N195" s="106"/>
      <c r="O195" s="39"/>
      <c r="P195" s="20">
        <f t="shared" si="28"/>
        <v>43799</v>
      </c>
      <c r="Q195" s="45">
        <v>0.74425547350908783</v>
      </c>
      <c r="R195" s="46">
        <f t="shared" si="86"/>
        <v>4507368.5781442383</v>
      </c>
      <c r="S195" s="112"/>
      <c r="T195" s="106"/>
      <c r="U195" s="39"/>
      <c r="W195" s="107">
        <v>1.15511551155116</v>
      </c>
      <c r="X195" s="133">
        <v>45117689.009999998</v>
      </c>
      <c r="Y195" s="107">
        <v>1.2202282185323921</v>
      </c>
      <c r="Z195" s="133">
        <v>38934057.420000002</v>
      </c>
      <c r="AA195" s="110">
        <f t="shared" ref="AA195:AA196" si="156">ROUND(X194/AB194*(W195+1.23/12)+Z194/AB194*Y195,4)</f>
        <v>1.2399</v>
      </c>
      <c r="AB195" s="111">
        <f t="shared" ref="AB195:AB196" si="157">X195+Z195</f>
        <v>84051746.430000007</v>
      </c>
    </row>
    <row r="196" spans="1:28" x14ac:dyDescent="0.25">
      <c r="A196" s="21">
        <v>43830</v>
      </c>
      <c r="B196" s="24">
        <f t="shared" si="151"/>
        <v>180</v>
      </c>
      <c r="C196" s="97" t="s">
        <v>104</v>
      </c>
      <c r="D196" s="84">
        <f t="shared" ref="D196" si="158">AA196</f>
        <v>1.6506000000000001</v>
      </c>
      <c r="E196" s="47">
        <f t="shared" ref="E196" si="159">E195*D196/100+E195</f>
        <v>5451110.1711417539</v>
      </c>
      <c r="F196" s="112">
        <f>(E196/E$184-1)*100</f>
        <v>22.290831491855624</v>
      </c>
      <c r="G196" s="106">
        <f>(E196/E193-1)*100</f>
        <v>4.5861504905198691</v>
      </c>
      <c r="H196" s="16">
        <f>STDEVP(D161:D196)*SQRT(12)</f>
        <v>14.045804581054322</v>
      </c>
      <c r="I196" s="39"/>
      <c r="J196" s="20">
        <f t="shared" ref="J196" si="160">A196</f>
        <v>43830</v>
      </c>
      <c r="K196" s="27">
        <v>2.8824800000000002</v>
      </c>
      <c r="L196" s="46">
        <f t="shared" ref="L196" si="161">L195*K196/100+L195</f>
        <v>3128237.936334894</v>
      </c>
      <c r="M196" s="112">
        <f>(L196/L$184-1)*100</f>
        <v>25.485134285409039</v>
      </c>
      <c r="N196" s="106">
        <f>(L196/L193-1)*100</f>
        <v>9.9255217297970599</v>
      </c>
      <c r="O196" s="39"/>
      <c r="P196" s="20">
        <f t="shared" si="28"/>
        <v>43830</v>
      </c>
      <c r="Q196" s="45">
        <v>1.5971227785549391</v>
      </c>
      <c r="R196" s="46">
        <f t="shared" ref="R196" si="162">R195*Q196/100+R195</f>
        <v>4579356.7884192076</v>
      </c>
      <c r="S196" s="112">
        <f>(R196/R$184-1)*100</f>
        <v>22.761983347085678</v>
      </c>
      <c r="T196" s="106">
        <f>(R196/R193-1)*100</f>
        <v>5.0909931546434084</v>
      </c>
      <c r="U196" s="39"/>
      <c r="V196" s="61"/>
      <c r="W196" s="107">
        <v>1.669171</v>
      </c>
      <c r="X196" s="133">
        <v>47470285.57</v>
      </c>
      <c r="Y196" s="107">
        <v>1.5103075438555047</v>
      </c>
      <c r="Z196" s="133">
        <v>39522080.510000005</v>
      </c>
      <c r="AA196" s="110">
        <f t="shared" si="156"/>
        <v>1.6506000000000001</v>
      </c>
      <c r="AB196" s="111">
        <f t="shared" si="157"/>
        <v>86992366.080000013</v>
      </c>
    </row>
    <row r="197" spans="1:28" x14ac:dyDescent="0.25">
      <c r="A197" s="21">
        <v>43861</v>
      </c>
      <c r="B197" s="24">
        <f t="shared" si="151"/>
        <v>181</v>
      </c>
      <c r="C197" s="97" t="s">
        <v>104</v>
      </c>
      <c r="D197" s="84">
        <f t="shared" ref="D197:D199" si="163">AA197</f>
        <v>-3.0228000000000002</v>
      </c>
      <c r="E197" s="47">
        <f t="shared" ref="E197:E199" si="164">E196*D197/100+E196</f>
        <v>5286334.0128884809</v>
      </c>
      <c r="I197" s="39"/>
      <c r="J197" s="20">
        <f t="shared" ref="J197" si="165">A197</f>
        <v>43861</v>
      </c>
      <c r="K197" s="27">
        <v>-3.2096710000000002</v>
      </c>
      <c r="L197" s="46">
        <f t="shared" ref="L197:L198" si="166">L196*K197/100+L196</f>
        <v>3027831.7904813546</v>
      </c>
      <c r="M197" s="112"/>
      <c r="N197" s="106"/>
      <c r="O197" s="39"/>
      <c r="P197" s="20">
        <f t="shared" si="28"/>
        <v>43861</v>
      </c>
      <c r="Q197" s="45">
        <v>-2.4641418276770821</v>
      </c>
      <c r="R197" s="46">
        <f t="shared" ref="R197" si="167">R196*Q197/100+R196</f>
        <v>4466514.9423572002</v>
      </c>
      <c r="S197" s="112"/>
      <c r="T197" s="106"/>
      <c r="U197" s="39"/>
      <c r="W197" s="107">
        <v>-3.2441200000000001</v>
      </c>
      <c r="X197" s="133">
        <v>50030491.480000004</v>
      </c>
      <c r="Y197" s="107">
        <v>-2.88</v>
      </c>
      <c r="Z197" s="133">
        <v>38384529.159999996</v>
      </c>
      <c r="AA197" s="110">
        <f t="shared" ref="AA197:AA217" si="168">ROUND(X196/AB196*(W197+1.23/12)+Z196/AB196*Y197,4)</f>
        <v>-3.0228000000000002</v>
      </c>
      <c r="AB197" s="111">
        <f t="shared" ref="AB197:AB217" si="169">X197+Z197</f>
        <v>88415020.640000001</v>
      </c>
    </row>
    <row r="198" spans="1:28" x14ac:dyDescent="0.25">
      <c r="A198" s="21">
        <v>43890</v>
      </c>
      <c r="B198" s="24">
        <f t="shared" si="151"/>
        <v>182</v>
      </c>
      <c r="C198" s="97" t="s">
        <v>104</v>
      </c>
      <c r="D198" s="84">
        <f t="shared" si="163"/>
        <v>-9.7119999999999997</v>
      </c>
      <c r="E198" s="47">
        <f t="shared" si="164"/>
        <v>4772925.2535567516</v>
      </c>
      <c r="I198" s="39"/>
      <c r="J198" s="20">
        <f t="shared" ref="J198" si="170">A198</f>
        <v>43890</v>
      </c>
      <c r="K198" s="27">
        <v>-8.4235100000000003</v>
      </c>
      <c r="L198" s="46">
        <f t="shared" si="166"/>
        <v>2772782.0768269785</v>
      </c>
      <c r="M198" s="112"/>
      <c r="O198" s="39"/>
      <c r="P198" s="20">
        <f t="shared" si="28"/>
        <v>43890</v>
      </c>
      <c r="Q198" s="45">
        <v>-8.7916402151759154</v>
      </c>
      <c r="R198" s="46">
        <f t="shared" ref="R198" si="171">R197*Q198/100+R197</f>
        <v>4073835.0184680833</v>
      </c>
      <c r="S198" s="112"/>
      <c r="U198" s="39"/>
      <c r="W198" s="107">
        <v>-9.6395649999999993</v>
      </c>
      <c r="X198" s="133">
        <v>45438868.680000007</v>
      </c>
      <c r="Y198" s="107">
        <v>-9.94</v>
      </c>
      <c r="Z198" s="133">
        <v>34647497.219999999</v>
      </c>
      <c r="AA198" s="110">
        <f t="shared" si="168"/>
        <v>-9.7119999999999997</v>
      </c>
      <c r="AB198" s="111">
        <f t="shared" si="169"/>
        <v>80086365.900000006</v>
      </c>
    </row>
    <row r="199" spans="1:28" x14ac:dyDescent="0.25">
      <c r="A199" s="21">
        <v>43921</v>
      </c>
      <c r="B199" s="24">
        <f t="shared" si="151"/>
        <v>183</v>
      </c>
      <c r="C199" s="97" t="s">
        <v>104</v>
      </c>
      <c r="D199" s="84">
        <f t="shared" si="163"/>
        <v>-21.0091</v>
      </c>
      <c r="E199" s="47">
        <f t="shared" si="164"/>
        <v>3770176.6141117602</v>
      </c>
      <c r="F199" s="112"/>
      <c r="G199" s="106">
        <f>(E199/E196-1)*100</f>
        <v>-30.836536123024572</v>
      </c>
      <c r="I199" s="39"/>
      <c r="J199" s="20">
        <f t="shared" ref="J199" si="172">A199</f>
        <v>43921</v>
      </c>
      <c r="K199" s="27">
        <v>-21.728459999999998</v>
      </c>
      <c r="L199" s="46">
        <f t="shared" ref="L199" si="173">L198*K199/100+L198</f>
        <v>2170299.2323764591</v>
      </c>
      <c r="M199" s="112"/>
      <c r="N199" s="106">
        <f>(L199/L196-1)*100</f>
        <v>-30.622309538281954</v>
      </c>
      <c r="O199" s="39"/>
      <c r="P199" s="20">
        <f t="shared" si="28"/>
        <v>43921</v>
      </c>
      <c r="Q199" s="45">
        <v>-25.378923171323652</v>
      </c>
      <c r="R199" s="46">
        <f t="shared" ref="R199" si="174">R198*Q199/100+R198</f>
        <v>3039939.5590045899</v>
      </c>
      <c r="S199" s="112"/>
      <c r="T199" s="106">
        <f>(R199/R196-1)*100</f>
        <v>-33.616450967691989</v>
      </c>
      <c r="U199" s="39"/>
      <c r="W199" s="107">
        <v>-21.057510000000001</v>
      </c>
      <c r="X199" s="133">
        <v>35990238.039999992</v>
      </c>
      <c r="Y199" s="107">
        <v>-21.08</v>
      </c>
      <c r="Z199" s="133">
        <v>27259879.199999999</v>
      </c>
      <c r="AA199" s="110">
        <f t="shared" si="168"/>
        <v>-21.0091</v>
      </c>
      <c r="AB199" s="111">
        <f t="shared" si="169"/>
        <v>63250117.239999995</v>
      </c>
    </row>
    <row r="200" spans="1:28" x14ac:dyDescent="0.25">
      <c r="A200" s="21">
        <v>43951</v>
      </c>
      <c r="B200" s="24">
        <f t="shared" si="151"/>
        <v>184</v>
      </c>
      <c r="C200" s="97" t="s">
        <v>104</v>
      </c>
      <c r="D200" s="84">
        <f t="shared" ref="D200:D204" si="175">AA200</f>
        <v>5.3794000000000004</v>
      </c>
      <c r="E200" s="47">
        <f t="shared" ref="E200:E204" si="176">E199*D200/100+E199</f>
        <v>3972989.4948912882</v>
      </c>
      <c r="F200" s="112"/>
      <c r="G200" s="106"/>
      <c r="I200" s="39"/>
      <c r="J200" s="20">
        <f t="shared" ref="J200" si="177">A200</f>
        <v>43951</v>
      </c>
      <c r="K200" s="27">
        <v>13.736280000000001</v>
      </c>
      <c r="L200" s="46">
        <f t="shared" ref="L200" si="178">L199*K200/100+L199</f>
        <v>2468417.6117735403</v>
      </c>
      <c r="M200" s="112"/>
      <c r="N200" s="106"/>
      <c r="O200" s="39"/>
      <c r="P200" s="20">
        <f t="shared" si="28"/>
        <v>43951</v>
      </c>
      <c r="Q200" s="45">
        <v>5.6627740720058402</v>
      </c>
      <c r="R200" s="46">
        <f t="shared" ref="R200" si="179">R199*Q200/100+R199</f>
        <v>3212084.4681565505</v>
      </c>
      <c r="S200" s="112"/>
      <c r="T200" s="106"/>
      <c r="U200" s="39"/>
      <c r="W200" s="107">
        <v>5.170388</v>
      </c>
      <c r="X200" s="133">
        <v>40620810.289999999</v>
      </c>
      <c r="Y200" s="240">
        <v>5.52</v>
      </c>
      <c r="Z200" s="133">
        <v>28793197.400000002</v>
      </c>
      <c r="AA200" s="110">
        <f t="shared" si="168"/>
        <v>5.3794000000000004</v>
      </c>
      <c r="AB200" s="111">
        <f t="shared" si="169"/>
        <v>69414007.689999998</v>
      </c>
    </row>
    <row r="201" spans="1:28" x14ac:dyDescent="0.25">
      <c r="A201" s="21">
        <v>43982</v>
      </c>
      <c r="B201" s="24">
        <f t="shared" si="151"/>
        <v>185</v>
      </c>
      <c r="C201" s="97" t="s">
        <v>104</v>
      </c>
      <c r="D201" s="84">
        <f t="shared" si="175"/>
        <v>5.3324999999999996</v>
      </c>
      <c r="E201" s="47">
        <f t="shared" si="176"/>
        <v>4184849.1597063662</v>
      </c>
      <c r="F201" s="112"/>
      <c r="G201" s="106"/>
      <c r="I201" s="39"/>
      <c r="J201" s="20">
        <f t="shared" ref="J201" si="180">A201</f>
        <v>43982</v>
      </c>
      <c r="K201" s="27">
        <v>6.507466</v>
      </c>
      <c r="L201" s="46">
        <f t="shared" ref="L201" si="181">L200*K201/100+L200</f>
        <v>2629049.0485977153</v>
      </c>
      <c r="M201" s="112"/>
      <c r="N201" s="106"/>
      <c r="O201" s="39"/>
      <c r="P201" s="20">
        <f t="shared" si="28"/>
        <v>43982</v>
      </c>
      <c r="Q201" s="45">
        <v>-4.4532978680155786</v>
      </c>
      <c r="R201" s="46">
        <f t="shared" ref="R201" si="182">R200*Q201/100+R200</f>
        <v>3069040.7790172752</v>
      </c>
      <c r="S201" s="112"/>
      <c r="T201" s="106"/>
      <c r="U201" s="39"/>
      <c r="W201" s="107">
        <v>5.1396649999999999</v>
      </c>
      <c r="X201" s="133">
        <v>44066075.479999997</v>
      </c>
      <c r="Y201" s="240">
        <v>5.46</v>
      </c>
      <c r="Z201" s="133">
        <v>30315837.530000001</v>
      </c>
      <c r="AA201" s="110">
        <f t="shared" si="168"/>
        <v>5.3324999999999996</v>
      </c>
      <c r="AB201" s="111">
        <f t="shared" si="169"/>
        <v>74381913.00999999</v>
      </c>
    </row>
    <row r="202" spans="1:28" x14ac:dyDescent="0.25">
      <c r="A202" s="21">
        <v>44012</v>
      </c>
      <c r="B202" s="24">
        <f t="shared" si="151"/>
        <v>186</v>
      </c>
      <c r="C202" s="97" t="s">
        <v>104</v>
      </c>
      <c r="D202" s="84">
        <f t="shared" si="175"/>
        <v>0.52039999999999997</v>
      </c>
      <c r="E202" s="47">
        <f t="shared" si="176"/>
        <v>4206627.1147334781</v>
      </c>
      <c r="F202" s="112"/>
      <c r="G202" s="106">
        <f>(E202/E199-1)*100</f>
        <v>11.576394033852022</v>
      </c>
      <c r="I202" s="39"/>
      <c r="J202" s="20">
        <f t="shared" ref="J202" si="183">A202</f>
        <v>44012</v>
      </c>
      <c r="K202" s="27">
        <v>3.5346199999999999</v>
      </c>
      <c r="L202" s="46">
        <f t="shared" ref="L202" si="184">L201*K202/100+L201</f>
        <v>2721975.94207926</v>
      </c>
      <c r="M202" s="112"/>
      <c r="N202" s="106">
        <f>(L202/L199-1)*100</f>
        <v>25.419384639357755</v>
      </c>
      <c r="O202" s="39"/>
      <c r="P202" s="20">
        <f t="shared" si="28"/>
        <v>44012</v>
      </c>
      <c r="Q202" s="45">
        <v>1.5323458080829591</v>
      </c>
      <c r="R202" s="46">
        <f t="shared" ref="R202" si="185">R201*Q202/100+R201</f>
        <v>3116069.0967429029</v>
      </c>
      <c r="S202" s="112"/>
      <c r="T202" s="106">
        <f>(R202/R199-1)*100</f>
        <v>2.5043109002877983</v>
      </c>
      <c r="U202" s="39"/>
      <c r="W202" s="107">
        <v>0.4250797</v>
      </c>
      <c r="X202" s="133">
        <v>45700701.699999996</v>
      </c>
      <c r="Y202" s="240">
        <v>0.51</v>
      </c>
      <c r="Z202" s="133">
        <v>30464718.829999998</v>
      </c>
      <c r="AA202" s="110">
        <f t="shared" si="168"/>
        <v>0.52039999999999997</v>
      </c>
      <c r="AB202" s="111">
        <f t="shared" si="169"/>
        <v>76165420.530000001</v>
      </c>
    </row>
    <row r="203" spans="1:28" x14ac:dyDescent="0.25">
      <c r="A203" s="21">
        <v>44043</v>
      </c>
      <c r="B203" s="24">
        <f t="shared" ref="B203:B206" si="186">IF(A203&gt;A202,1+B202,"-")</f>
        <v>187</v>
      </c>
      <c r="C203" s="97" t="s">
        <v>104</v>
      </c>
      <c r="D203" s="84">
        <f t="shared" si="175"/>
        <v>5.4756</v>
      </c>
      <c r="E203" s="47">
        <f t="shared" si="176"/>
        <v>4436965.1890278244</v>
      </c>
      <c r="F203" s="112"/>
      <c r="I203" s="39"/>
      <c r="J203" s="20">
        <f t="shared" ref="J203" si="187">A203</f>
        <v>44043</v>
      </c>
      <c r="K203" s="27">
        <v>2.7678639999999999</v>
      </c>
      <c r="L203" s="46">
        <f t="shared" ref="L203" si="188">L202*K203/100+L202</f>
        <v>2797316.5342687326</v>
      </c>
      <c r="M203" s="112"/>
      <c r="N203" s="106"/>
      <c r="O203" s="39"/>
      <c r="P203" s="20">
        <f t="shared" si="28"/>
        <v>44043</v>
      </c>
      <c r="Q203" s="45">
        <v>1.3403975095785363</v>
      </c>
      <c r="R203" s="46">
        <f t="shared" ref="R203" si="189">R202*Q203/100+R202</f>
        <v>3157836.8093123911</v>
      </c>
      <c r="S203" s="112"/>
      <c r="T203" s="106"/>
      <c r="U203" s="39"/>
      <c r="W203" s="107">
        <v>5.3968249999999998</v>
      </c>
      <c r="X203" s="133">
        <v>48523553.75</v>
      </c>
      <c r="Y203" s="240">
        <v>5.44</v>
      </c>
      <c r="Z203" s="133">
        <v>32127006.960000001</v>
      </c>
      <c r="AA203" s="110">
        <f t="shared" si="168"/>
        <v>5.4756</v>
      </c>
      <c r="AB203" s="111">
        <f t="shared" si="169"/>
        <v>80650560.710000008</v>
      </c>
    </row>
    <row r="204" spans="1:28" x14ac:dyDescent="0.25">
      <c r="A204" s="21">
        <v>44074</v>
      </c>
      <c r="B204" s="24">
        <f t="shared" si="186"/>
        <v>188</v>
      </c>
      <c r="C204" s="97" t="s">
        <v>104</v>
      </c>
      <c r="D204" s="84">
        <f t="shared" si="175"/>
        <v>0.7873</v>
      </c>
      <c r="E204" s="47">
        <f t="shared" si="176"/>
        <v>4471897.4159610402</v>
      </c>
      <c r="F204" s="112"/>
      <c r="I204" s="39"/>
      <c r="J204" s="20">
        <f t="shared" ref="J204" si="190">A204</f>
        <v>44074</v>
      </c>
      <c r="K204" s="27">
        <v>5.6343430000000003</v>
      </c>
      <c r="L204" s="46">
        <f t="shared" ref="L204" si="191">L203*K204/100+L203</f>
        <v>2954926.9426051457</v>
      </c>
      <c r="M204" s="112"/>
      <c r="N204" s="106"/>
      <c r="O204" s="39"/>
      <c r="P204" s="20">
        <f t="shared" si="28"/>
        <v>44074</v>
      </c>
      <c r="Q204" s="45">
        <v>2.6831443947565896</v>
      </c>
      <c r="R204" s="46">
        <f t="shared" ref="R204" si="192">R203*Q204/100+R203</f>
        <v>3242566.1306570168</v>
      </c>
      <c r="S204" s="112"/>
      <c r="T204" s="106"/>
      <c r="U204" s="39"/>
      <c r="W204" s="107">
        <v>0.70281119999999997</v>
      </c>
      <c r="X204" s="133">
        <v>49904615.930000007</v>
      </c>
      <c r="Y204" s="240">
        <v>0.76</v>
      </c>
      <c r="Z204" s="133">
        <v>32373650.619999997</v>
      </c>
      <c r="AA204" s="110">
        <f t="shared" si="168"/>
        <v>0.7873</v>
      </c>
      <c r="AB204" s="111">
        <f t="shared" si="169"/>
        <v>82278266.550000012</v>
      </c>
    </row>
    <row r="205" spans="1:28" x14ac:dyDescent="0.25">
      <c r="A205" s="21">
        <v>44104</v>
      </c>
      <c r="B205" s="24">
        <f t="shared" si="186"/>
        <v>189</v>
      </c>
      <c r="C205" s="97" t="s">
        <v>104</v>
      </c>
      <c r="D205" s="84">
        <f t="shared" ref="D205" si="193">AA205</f>
        <v>-3.4266999999999999</v>
      </c>
      <c r="E205" s="47">
        <f t="shared" ref="E205:E211" si="194">E204*D205/100+E204</f>
        <v>4318658.907208303</v>
      </c>
      <c r="F205" s="112"/>
      <c r="G205" s="106">
        <f>(E205/E202-1)*100</f>
        <v>2.6632213747313171</v>
      </c>
      <c r="I205" s="39"/>
      <c r="J205" s="20">
        <f t="shared" ref="J205" si="195">A205</f>
        <v>44104</v>
      </c>
      <c r="K205" s="27">
        <v>-3.3404400000000001</v>
      </c>
      <c r="L205" s="46">
        <f t="shared" ref="L205" si="196">L204*K205/100+L204</f>
        <v>2856219.3810435864</v>
      </c>
      <c r="M205" s="112"/>
      <c r="N205" s="106">
        <f>(L205/L202-1)*100</f>
        <v>4.9318378200573276</v>
      </c>
      <c r="O205" s="39"/>
      <c r="P205" s="20">
        <f t="shared" si="28"/>
        <v>44104</v>
      </c>
      <c r="Q205" s="45">
        <v>-5.2812951254451397</v>
      </c>
      <c r="R205" s="46">
        <f t="shared" ref="R205" si="197">R204*Q205/100+R204</f>
        <v>3071316.6436592927</v>
      </c>
      <c r="S205" s="112"/>
      <c r="T205" s="106">
        <f>(R205/R202-1)*100</f>
        <v>-1.4361829501915779</v>
      </c>
      <c r="U205" s="39"/>
      <c r="W205" s="107">
        <v>-3.4895320000000001</v>
      </c>
      <c r="X205" s="133">
        <v>48260548.789999999</v>
      </c>
      <c r="Y205" s="240">
        <v>-3.4877435297062229</v>
      </c>
      <c r="Z205" s="133">
        <v>31223382.810000002</v>
      </c>
      <c r="AA205" s="110">
        <f t="shared" si="168"/>
        <v>-3.4266999999999999</v>
      </c>
      <c r="AB205" s="111">
        <f t="shared" si="169"/>
        <v>79483931.599999994</v>
      </c>
    </row>
    <row r="206" spans="1:28" x14ac:dyDescent="0.25">
      <c r="A206" s="21">
        <v>44135</v>
      </c>
      <c r="B206" s="24">
        <f t="shared" si="186"/>
        <v>190</v>
      </c>
      <c r="C206" s="97" t="s">
        <v>104</v>
      </c>
      <c r="D206" s="84">
        <f t="shared" ref="D206:D211" si="198">AA206</f>
        <v>1.514</v>
      </c>
      <c r="E206" s="47">
        <f t="shared" si="194"/>
        <v>4384043.403063437</v>
      </c>
      <c r="I206" s="39"/>
      <c r="J206" s="20">
        <f t="shared" ref="J206" si="199">A206</f>
        <v>44135</v>
      </c>
      <c r="K206" s="27">
        <v>2.0943360000000002</v>
      </c>
      <c r="L206" s="46">
        <f t="shared" ref="L206" si="200">L205*K206/100+L205</f>
        <v>2916038.2117797593</v>
      </c>
      <c r="M206" s="112"/>
      <c r="O206" s="39"/>
      <c r="P206" s="20">
        <f t="shared" si="28"/>
        <v>44135</v>
      </c>
      <c r="Q206" s="45">
        <v>2.0814985331721734</v>
      </c>
      <c r="R206" s="46">
        <f t="shared" ref="R206" si="201">R205*Q206/100+R205</f>
        <v>3135246.0545461336</v>
      </c>
      <c r="S206" s="112"/>
      <c r="U206" s="39"/>
      <c r="W206" s="107">
        <v>1.342975</v>
      </c>
      <c r="X206" s="133">
        <v>49411422.199999996</v>
      </c>
      <c r="Y206" s="240">
        <v>1.62</v>
      </c>
      <c r="Z206" s="133">
        <v>31743337.889999997</v>
      </c>
      <c r="AA206" s="110">
        <f t="shared" si="168"/>
        <v>1.514</v>
      </c>
      <c r="AB206" s="111">
        <f t="shared" si="169"/>
        <v>81154760.089999989</v>
      </c>
    </row>
    <row r="207" spans="1:28" x14ac:dyDescent="0.25">
      <c r="A207" s="21">
        <v>44165</v>
      </c>
      <c r="B207" s="24">
        <f t="shared" ref="B207:B210" si="202">IF(A207&gt;A206,1+B206,"-")</f>
        <v>191</v>
      </c>
      <c r="C207" s="97" t="s">
        <v>104</v>
      </c>
      <c r="D207" s="84">
        <f t="shared" si="198"/>
        <v>4.9684999999999997</v>
      </c>
      <c r="E207" s="47">
        <f t="shared" si="194"/>
        <v>4601864.5995446434</v>
      </c>
      <c r="I207" s="39"/>
      <c r="J207" s="20">
        <f t="shared" ref="J207" si="203">A207</f>
        <v>44165</v>
      </c>
      <c r="K207" s="27">
        <v>18.421068002624729</v>
      </c>
      <c r="L207" s="46">
        <f t="shared" ref="L207" si="204">L206*K207/100+L206</f>
        <v>3453203.593754231</v>
      </c>
      <c r="M207" s="112"/>
      <c r="O207" s="39"/>
      <c r="P207" s="20">
        <f t="shared" si="28"/>
        <v>44165</v>
      </c>
      <c r="Q207" s="45">
        <v>12.627626912916201</v>
      </c>
      <c r="R207" s="46">
        <f t="shared" ref="R207" si="205">R206*Q207/100+R206</f>
        <v>3531153.2291161446</v>
      </c>
      <c r="S207" s="112"/>
      <c r="U207" s="39"/>
      <c r="W207" s="107">
        <v>4.8929663608562555</v>
      </c>
      <c r="X207" s="133">
        <v>55058446.780000001</v>
      </c>
      <c r="Y207" s="240">
        <v>4.9265541526905876</v>
      </c>
      <c r="Z207" s="133">
        <v>33295628.050000001</v>
      </c>
      <c r="AA207" s="110">
        <f t="shared" si="168"/>
        <v>4.9684999999999997</v>
      </c>
      <c r="AB207" s="111">
        <f t="shared" si="169"/>
        <v>88354074.829999998</v>
      </c>
    </row>
    <row r="208" spans="1:28" x14ac:dyDescent="0.25">
      <c r="A208" s="21">
        <v>44196</v>
      </c>
      <c r="B208" s="24">
        <f t="shared" si="202"/>
        <v>192</v>
      </c>
      <c r="C208" s="97" t="s">
        <v>104</v>
      </c>
      <c r="D208" s="84">
        <f t="shared" si="198"/>
        <v>6.0671999999999997</v>
      </c>
      <c r="E208" s="47">
        <f t="shared" si="194"/>
        <v>4881068.9285282157</v>
      </c>
      <c r="F208" s="112">
        <f>(E208/E$196-1)*100</f>
        <v>-10.457342169148287</v>
      </c>
      <c r="G208" s="106">
        <f>(E208/E205-1)*100</f>
        <v>13.02279326531648</v>
      </c>
      <c r="H208" s="16">
        <f>STDEVP(D173:D208)*SQRT(12)</f>
        <v>20.40226448746742</v>
      </c>
      <c r="I208" s="39"/>
      <c r="J208" s="20">
        <f t="shared" ref="J208" si="206">A208</f>
        <v>44196</v>
      </c>
      <c r="K208" s="27">
        <v>8.6478210000000004</v>
      </c>
      <c r="L208" s="46">
        <f t="shared" ref="L208:L212" si="207">L207*K208/100+L207</f>
        <v>3751830.4593076641</v>
      </c>
      <c r="M208" s="112">
        <f>(L208/L$196-1)*100</f>
        <v>19.934306010730872</v>
      </c>
      <c r="N208" s="106">
        <f>(L208/L205-1)*100</f>
        <v>31.356522688983546</v>
      </c>
      <c r="O208" s="39"/>
      <c r="P208" s="20">
        <f t="shared" si="28"/>
        <v>44196</v>
      </c>
      <c r="Q208" s="45">
        <v>7.3711903894004447</v>
      </c>
      <c r="R208" s="46">
        <f t="shared" ref="R208" si="208">R207*Q208/100+R207</f>
        <v>3791441.2565757572</v>
      </c>
      <c r="S208" s="112">
        <f>(R208/R$196-1)*100</f>
        <v>-17.205812262456156</v>
      </c>
      <c r="T208" s="106">
        <f>(R208/R205-1)*100</f>
        <v>23.446772067710953</v>
      </c>
      <c r="U208" s="39"/>
      <c r="V208" s="61"/>
      <c r="W208" s="107">
        <v>5.8791419999999999</v>
      </c>
      <c r="X208" s="133">
        <v>55550816.420000002</v>
      </c>
      <c r="Y208" s="240">
        <v>6.2087970011467153</v>
      </c>
      <c r="Z208" s="133">
        <v>35344272.600000001</v>
      </c>
      <c r="AA208" s="110">
        <f t="shared" si="168"/>
        <v>6.0671999999999997</v>
      </c>
      <c r="AB208" s="111">
        <f t="shared" si="169"/>
        <v>90895089.020000011</v>
      </c>
    </row>
    <row r="209" spans="1:28" x14ac:dyDescent="0.25">
      <c r="A209" s="21">
        <v>44227</v>
      </c>
      <c r="B209" s="24">
        <f t="shared" si="202"/>
        <v>193</v>
      </c>
      <c r="C209" s="97" t="s">
        <v>104</v>
      </c>
      <c r="D209" s="84">
        <f t="shared" si="198"/>
        <v>2.3052000000000001</v>
      </c>
      <c r="E209" s="47">
        <f t="shared" si="194"/>
        <v>4993587.3294686479</v>
      </c>
      <c r="H209" s="49"/>
      <c r="I209" s="39"/>
      <c r="J209" s="20">
        <f t="shared" ref="J209" si="209">A209</f>
        <v>44227</v>
      </c>
      <c r="K209" s="27">
        <v>5.0320150000000003</v>
      </c>
      <c r="L209" s="46">
        <f t="shared" si="207"/>
        <v>3940623.1307945945</v>
      </c>
      <c r="O209" s="39"/>
      <c r="P209" s="20">
        <f t="shared" si="28"/>
        <v>44227</v>
      </c>
      <c r="Q209" s="45">
        <v>0.80199169471176157</v>
      </c>
      <c r="R209" s="46">
        <f t="shared" ref="R209:R212" si="210">R208*Q209/100+R208</f>
        <v>3821848.3005633699</v>
      </c>
      <c r="U209" s="39"/>
      <c r="W209" s="107">
        <v>2.2079119999999999</v>
      </c>
      <c r="X209" s="133">
        <v>56912012.320000008</v>
      </c>
      <c r="Y209" s="240">
        <v>2.2970515169999999</v>
      </c>
      <c r="Z209" s="133">
        <v>36156148.749999993</v>
      </c>
      <c r="AA209" s="110">
        <f t="shared" si="168"/>
        <v>2.3052000000000001</v>
      </c>
      <c r="AB209" s="111">
        <f t="shared" si="169"/>
        <v>93068161.069999993</v>
      </c>
    </row>
    <row r="210" spans="1:28" x14ac:dyDescent="0.25">
      <c r="A210" s="21">
        <v>44255</v>
      </c>
      <c r="B210" s="24">
        <f t="shared" si="202"/>
        <v>194</v>
      </c>
      <c r="C210" s="97" t="s">
        <v>104</v>
      </c>
      <c r="D210" s="84">
        <f t="shared" si="198"/>
        <v>1.6141000000000001</v>
      </c>
      <c r="E210" s="47">
        <f t="shared" si="194"/>
        <v>5074188.8225536011</v>
      </c>
      <c r="H210" s="49"/>
      <c r="I210" s="39"/>
      <c r="J210" s="20">
        <f t="shared" ref="J210" si="211">A210</f>
        <v>44255</v>
      </c>
      <c r="K210" s="27">
        <v>6.2316390000000004</v>
      </c>
      <c r="L210" s="46">
        <f t="shared" si="207"/>
        <v>4186188.5386562115</v>
      </c>
      <c r="M210" s="112"/>
      <c r="O210" s="39"/>
      <c r="P210" s="20">
        <f t="shared" si="28"/>
        <v>44255</v>
      </c>
      <c r="Q210" s="45">
        <v>8.4144400000000008</v>
      </c>
      <c r="R210" s="46">
        <f t="shared" si="210"/>
        <v>4143435.4327052943</v>
      </c>
      <c r="S210" s="112"/>
      <c r="U210" s="39"/>
      <c r="W210" s="107">
        <v>1.5301530000000001</v>
      </c>
      <c r="X210" s="133">
        <v>36792126.93</v>
      </c>
      <c r="Y210" s="240">
        <v>1.584998887</v>
      </c>
      <c r="Z210" s="133">
        <v>36704613.840000004</v>
      </c>
      <c r="AA210" s="110">
        <f t="shared" si="168"/>
        <v>1.6141000000000001</v>
      </c>
      <c r="AB210" s="111">
        <f t="shared" si="169"/>
        <v>73496740.770000011</v>
      </c>
    </row>
    <row r="211" spans="1:28" x14ac:dyDescent="0.25">
      <c r="A211" s="21">
        <v>44286</v>
      </c>
      <c r="B211" s="24">
        <f t="shared" ref="B211:B214" si="212">IF(A211&gt;A210,1+B210,"-")</f>
        <v>195</v>
      </c>
      <c r="C211" s="97" t="s">
        <v>104</v>
      </c>
      <c r="D211" s="84">
        <f t="shared" si="198"/>
        <v>1.0835999999999999</v>
      </c>
      <c r="E211" s="47">
        <f t="shared" si="194"/>
        <v>5129172.7326347921</v>
      </c>
      <c r="F211" s="112"/>
      <c r="G211" s="106">
        <f>(E211/E208-1)*100</f>
        <v>5.0829809564149508</v>
      </c>
      <c r="H211" s="49"/>
      <c r="I211" s="39"/>
      <c r="J211" s="20">
        <f t="shared" ref="J211" si="213">A211</f>
        <v>44286</v>
      </c>
      <c r="K211" s="27">
        <v>1.0008870000000001</v>
      </c>
      <c r="L211" s="46">
        <f t="shared" si="207"/>
        <v>4228087.5555351116</v>
      </c>
      <c r="M211" s="112"/>
      <c r="N211" s="106">
        <f>(L211/L208-1)*100</f>
        <v>12.693993009357163</v>
      </c>
      <c r="O211" s="39"/>
      <c r="P211" s="20">
        <f t="shared" si="28"/>
        <v>44286</v>
      </c>
      <c r="Q211" s="45">
        <v>3.3645040000000002</v>
      </c>
      <c r="R211" s="46">
        <f t="shared" si="210"/>
        <v>4282841.4835760817</v>
      </c>
      <c r="S211" s="112"/>
      <c r="T211" s="106">
        <f>(R211/R208-1)*100</f>
        <v>12.960776489627923</v>
      </c>
      <c r="U211" s="39"/>
      <c r="W211" s="107">
        <v>0.97517730000000002</v>
      </c>
      <c r="X211" s="133">
        <v>37752423.839999996</v>
      </c>
      <c r="Y211" s="240">
        <v>1.089618384</v>
      </c>
      <c r="Z211" s="133">
        <v>37104554.060000002</v>
      </c>
      <c r="AA211" s="110">
        <f t="shared" si="168"/>
        <v>1.0835999999999999</v>
      </c>
      <c r="AB211" s="111">
        <f t="shared" si="169"/>
        <v>74856977.900000006</v>
      </c>
    </row>
    <row r="212" spans="1:28" x14ac:dyDescent="0.25">
      <c r="A212" s="21">
        <v>44316</v>
      </c>
      <c r="B212" s="24">
        <f t="shared" si="212"/>
        <v>196</v>
      </c>
      <c r="C212" s="97" t="s">
        <v>104</v>
      </c>
      <c r="D212" s="84">
        <f t="shared" ref="D212:D214" si="214">AA212</f>
        <v>2.4963000000000002</v>
      </c>
      <c r="E212" s="47">
        <f t="shared" ref="E212:E213" si="215">E211*D212/100+E211</f>
        <v>5257212.2715595542</v>
      </c>
      <c r="I212" s="39"/>
      <c r="J212" s="20">
        <f t="shared" ref="J212" si="216">A212</f>
        <v>44316</v>
      </c>
      <c r="K212" s="27">
        <v>2.0999029999999999</v>
      </c>
      <c r="L212" s="46">
        <f t="shared" si="207"/>
        <v>4316873.2929564202</v>
      </c>
      <c r="M212" s="112"/>
      <c r="O212" s="39"/>
      <c r="P212" s="20">
        <f t="shared" si="28"/>
        <v>44316</v>
      </c>
      <c r="Q212" s="45">
        <v>0.79752250000000002</v>
      </c>
      <c r="R212" s="46">
        <f t="shared" si="210"/>
        <v>4316998.1080469349</v>
      </c>
      <c r="S212" s="112"/>
      <c r="U212" s="39"/>
      <c r="W212" s="107">
        <v>2.3704999999999998</v>
      </c>
      <c r="X212" s="133">
        <v>40464576.509999998</v>
      </c>
      <c r="Y212" s="240">
        <v>2.52</v>
      </c>
      <c r="Z212" s="133">
        <v>38038439.909999996</v>
      </c>
      <c r="AA212" s="110">
        <f t="shared" si="168"/>
        <v>2.4963000000000002</v>
      </c>
      <c r="AB212" s="111">
        <f t="shared" si="169"/>
        <v>78503016.419999987</v>
      </c>
    </row>
    <row r="213" spans="1:28" x14ac:dyDescent="0.25">
      <c r="A213" s="21">
        <v>44347</v>
      </c>
      <c r="B213" s="24">
        <f t="shared" si="212"/>
        <v>197</v>
      </c>
      <c r="C213" s="97" t="s">
        <v>104</v>
      </c>
      <c r="D213" s="84">
        <f t="shared" si="214"/>
        <v>-0.3911</v>
      </c>
      <c r="E213" s="47">
        <f t="shared" si="215"/>
        <v>5236651.3143654848</v>
      </c>
      <c r="F213" s="112"/>
      <c r="I213" s="39"/>
      <c r="J213" s="20">
        <f t="shared" ref="J213" si="217">A213</f>
        <v>44347</v>
      </c>
      <c r="K213" s="27">
        <v>0.2059976</v>
      </c>
      <c r="L213" s="46">
        <f t="shared" ref="L213:L214" si="218">L212*K213/100+L212</f>
        <v>4325765.948334951</v>
      </c>
      <c r="M213" s="112"/>
      <c r="O213" s="39"/>
      <c r="P213" s="20">
        <f t="shared" si="28"/>
        <v>44347</v>
      </c>
      <c r="Q213" s="45">
        <v>2.486421</v>
      </c>
      <c r="R213" s="46">
        <f t="shared" ref="R213" si="219">R212*Q213/100+R212</f>
        <v>4424336.8555750167</v>
      </c>
      <c r="S213" s="112"/>
      <c r="U213" s="39"/>
      <c r="W213" s="107">
        <v>-0.42881649999999999</v>
      </c>
      <c r="X213" s="133">
        <v>41098027.300000004</v>
      </c>
      <c r="Y213" s="240">
        <v>-0.46</v>
      </c>
      <c r="Z213" s="133">
        <v>37836633.870000005</v>
      </c>
      <c r="AA213" s="110">
        <f t="shared" si="168"/>
        <v>-0.3911</v>
      </c>
      <c r="AB213" s="111">
        <f t="shared" si="169"/>
        <v>78934661.170000017</v>
      </c>
    </row>
    <row r="214" spans="1:28" x14ac:dyDescent="0.25">
      <c r="A214" s="21">
        <v>44377</v>
      </c>
      <c r="B214" s="24">
        <f t="shared" si="212"/>
        <v>198</v>
      </c>
      <c r="C214" s="97" t="s">
        <v>104</v>
      </c>
      <c r="D214" s="84">
        <f t="shared" si="214"/>
        <v>0.28210000000000002</v>
      </c>
      <c r="E214" s="47">
        <f t="shared" ref="E214" si="220">E213*D214/100+E213</f>
        <v>5251423.9077233095</v>
      </c>
      <c r="F214" s="112"/>
      <c r="G214" s="106">
        <f>(E214/E211-1)*100</f>
        <v>2.3834481983943334</v>
      </c>
      <c r="I214" s="39"/>
      <c r="J214" s="20">
        <f t="shared" ref="J214" si="221">A214</f>
        <v>44377</v>
      </c>
      <c r="K214" s="27">
        <v>1.937303</v>
      </c>
      <c r="L214" s="46">
        <f t="shared" si="218"/>
        <v>4409569.1418250222</v>
      </c>
      <c r="M214" s="112"/>
      <c r="N214" s="106">
        <f>(L214/L211-1)*100</f>
        <v>4.2922854341634453</v>
      </c>
      <c r="O214" s="39"/>
      <c r="P214" s="20">
        <f t="shared" si="28"/>
        <v>44377</v>
      </c>
      <c r="Q214" s="45">
        <v>-0.68136490000000005</v>
      </c>
      <c r="R214" s="46">
        <f t="shared" ref="R214" si="222">R213*Q214/100+R213</f>
        <v>4394190.9771833653</v>
      </c>
      <c r="S214" s="112"/>
      <c r="T214" s="106">
        <f>(R214/R211-1)*100</f>
        <v>2.599897615503366</v>
      </c>
      <c r="U214" s="39"/>
      <c r="W214" s="107">
        <v>0.17226530000000001</v>
      </c>
      <c r="X214" s="133">
        <v>41255226.189999998</v>
      </c>
      <c r="Y214" s="240">
        <v>0.28999999999999998</v>
      </c>
      <c r="Z214" s="133">
        <v>37946964.829999998</v>
      </c>
      <c r="AA214" s="110">
        <f t="shared" si="168"/>
        <v>0.28210000000000002</v>
      </c>
      <c r="AB214" s="111">
        <f t="shared" si="169"/>
        <v>79202191.019999996</v>
      </c>
    </row>
    <row r="215" spans="1:28" x14ac:dyDescent="0.25">
      <c r="A215" s="21">
        <v>44408</v>
      </c>
      <c r="B215" s="24">
        <f t="shared" ref="B215:B217" si="223">IF(A215&gt;A214,1+B214,"-")</f>
        <v>199</v>
      </c>
      <c r="C215" s="97" t="s">
        <v>104</v>
      </c>
      <c r="D215" s="84">
        <f t="shared" ref="D215:D217" si="224">AA215</f>
        <v>1.8425</v>
      </c>
      <c r="E215" s="47">
        <f t="shared" ref="E215" si="225">E214*D215/100+E214</f>
        <v>5348181.3932231115</v>
      </c>
      <c r="F215" s="112"/>
      <c r="I215" s="39"/>
      <c r="J215" s="20">
        <f t="shared" ref="J215" si="226">A215</f>
        <v>44408</v>
      </c>
      <c r="K215" s="27">
        <v>-3.6109</v>
      </c>
      <c r="L215" s="46">
        <f t="shared" ref="L215" si="227">L214*K215/100+L214</f>
        <v>4250344.0096828621</v>
      </c>
      <c r="M215" s="112"/>
      <c r="O215" s="39"/>
      <c r="P215" s="20">
        <f t="shared" si="28"/>
        <v>44408</v>
      </c>
      <c r="Q215" s="45">
        <v>1.0044360000000001</v>
      </c>
      <c r="R215" s="46">
        <f t="shared" ref="R215" si="228">R214*Q215/100+R214</f>
        <v>4438327.8132669469</v>
      </c>
      <c r="S215" s="112"/>
      <c r="U215" s="39"/>
      <c r="W215" s="107">
        <v>1.7196904557179644</v>
      </c>
      <c r="X215" s="133">
        <v>33193379.449999999</v>
      </c>
      <c r="Y215" s="240">
        <v>1.8645998859999999</v>
      </c>
      <c r="Z215" s="133">
        <v>38627241.560000002</v>
      </c>
      <c r="AA215" s="110">
        <f t="shared" si="168"/>
        <v>1.8425</v>
      </c>
      <c r="AB215" s="111">
        <f t="shared" si="169"/>
        <v>71820621.010000005</v>
      </c>
    </row>
    <row r="216" spans="1:28" x14ac:dyDescent="0.25">
      <c r="A216" s="21">
        <v>44439</v>
      </c>
      <c r="B216" s="24">
        <f t="shared" si="223"/>
        <v>200</v>
      </c>
      <c r="C216" s="97" t="s">
        <v>104</v>
      </c>
      <c r="D216" s="84">
        <f t="shared" si="224"/>
        <v>0.75290000000000001</v>
      </c>
      <c r="E216" s="47">
        <f t="shared" ref="E216:E217" si="229">E215*D216/100+E215</f>
        <v>5388447.8509326885</v>
      </c>
      <c r="F216" s="112"/>
      <c r="I216" s="39"/>
      <c r="J216" s="20">
        <f t="shared" ref="J216" si="230">A216</f>
        <v>44439</v>
      </c>
      <c r="K216" s="27">
        <v>2.2345830000000002</v>
      </c>
      <c r="L216" s="46">
        <f t="shared" ref="L216" si="231">L215*K216/100+L215</f>
        <v>4345321.4743647538</v>
      </c>
      <c r="M216" s="112"/>
      <c r="O216" s="39"/>
      <c r="P216" s="20">
        <f t="shared" si="28"/>
        <v>44439</v>
      </c>
      <c r="Q216" s="45">
        <v>3.040505</v>
      </c>
      <c r="R216" s="46">
        <f t="shared" ref="R216" si="232">R215*Q216/100+R215</f>
        <v>4573275.392345719</v>
      </c>
      <c r="S216" s="112"/>
      <c r="U216" s="39"/>
      <c r="W216" s="107">
        <v>0.67624680000000004</v>
      </c>
      <c r="X216" s="133">
        <v>33564958.789999999</v>
      </c>
      <c r="Y216" s="240">
        <v>0.7306983325785259</v>
      </c>
      <c r="Z216" s="133">
        <v>38909490.170000002</v>
      </c>
      <c r="AA216" s="110">
        <f t="shared" si="168"/>
        <v>0.75290000000000001</v>
      </c>
      <c r="AB216" s="111">
        <f t="shared" si="169"/>
        <v>72474448.960000008</v>
      </c>
    </row>
    <row r="217" spans="1:28" x14ac:dyDescent="0.25">
      <c r="A217" s="21">
        <v>44469</v>
      </c>
      <c r="B217" s="24">
        <f t="shared" si="223"/>
        <v>201</v>
      </c>
      <c r="C217" s="97" t="s">
        <v>104</v>
      </c>
      <c r="D217" s="84">
        <f t="shared" si="224"/>
        <v>-3.1543000000000001</v>
      </c>
      <c r="E217" s="47">
        <f t="shared" si="229"/>
        <v>5218480.0403707186</v>
      </c>
      <c r="F217" s="112"/>
      <c r="G217" s="106">
        <f>(E217/E214-1)*100</f>
        <v>-0.62733208995259249</v>
      </c>
      <c r="I217" s="39"/>
      <c r="J217" s="20">
        <f t="shared" ref="J217" si="233">A217</f>
        <v>44469</v>
      </c>
      <c r="K217" s="27">
        <v>-2.9489740000000002</v>
      </c>
      <c r="L217" s="46">
        <f t="shared" ref="L217" si="234">L216*K217/100+L216</f>
        <v>4217179.0738693206</v>
      </c>
      <c r="M217" s="112"/>
      <c r="N217" s="106">
        <f>(L217/L214-1)*100</f>
        <v>-4.3630128424763885</v>
      </c>
      <c r="O217" s="39"/>
      <c r="P217" s="20">
        <f t="shared" si="28"/>
        <v>44469</v>
      </c>
      <c r="Q217" s="45">
        <v>-3.1253700000000002</v>
      </c>
      <c r="R217" s="46">
        <f t="shared" ref="R217" si="235">R216*Q217/100+R216</f>
        <v>4430343.6152159637</v>
      </c>
      <c r="S217" s="112"/>
      <c r="T217" s="106">
        <f>(R217/R214-1)*100</f>
        <v>0.8227370685598201</v>
      </c>
      <c r="U217" s="39"/>
      <c r="W217" s="107">
        <v>-3.274559</v>
      </c>
      <c r="X217" s="133">
        <v>32284668.359999999</v>
      </c>
      <c r="Y217" s="240">
        <v>-3.1389825327027698</v>
      </c>
      <c r="Z217" s="133">
        <v>37688128.07</v>
      </c>
      <c r="AA217" s="110">
        <f t="shared" si="168"/>
        <v>-3.1543000000000001</v>
      </c>
      <c r="AB217" s="111">
        <f t="shared" si="169"/>
        <v>69972796.430000007</v>
      </c>
    </row>
    <row r="218" spans="1:28" x14ac:dyDescent="0.25">
      <c r="A218" s="21">
        <v>44500</v>
      </c>
      <c r="B218" s="24">
        <f t="shared" ref="B218:B221" si="236">IF(A218&gt;A217,1+B217,"-")</f>
        <v>202</v>
      </c>
      <c r="C218" s="97" t="s">
        <v>104</v>
      </c>
      <c r="D218" s="84">
        <f t="shared" ref="D218:D221" si="237">AA218</f>
        <v>4.7294</v>
      </c>
      <c r="E218" s="47">
        <f t="shared" ref="E218" si="238">E217*D218/100+E217</f>
        <v>5465282.8354000114</v>
      </c>
      <c r="F218" s="112"/>
      <c r="I218" s="39"/>
      <c r="J218" s="20">
        <f t="shared" ref="J218" si="239">A218</f>
        <v>44500</v>
      </c>
      <c r="K218" s="27">
        <v>4.2539100000000003</v>
      </c>
      <c r="L218" s="46">
        <f t="shared" ref="L218" si="240">L217*K218/100+L217</f>
        <v>4396574.0762105547</v>
      </c>
      <c r="M218" s="112"/>
      <c r="O218" s="39"/>
      <c r="P218" s="20">
        <f t="shared" si="28"/>
        <v>44500</v>
      </c>
      <c r="Q218" s="45">
        <v>4.460763</v>
      </c>
      <c r="R218" s="46">
        <f t="shared" ref="R218" si="241">R217*Q218/100+R217</f>
        <v>4627970.7439763797</v>
      </c>
      <c r="S218" s="112"/>
      <c r="U218" s="39"/>
      <c r="W218" s="107">
        <v>4.600695</v>
      </c>
      <c r="X218" s="133">
        <v>33418761.400000002</v>
      </c>
      <c r="Y218" s="240">
        <v>4.7519263</v>
      </c>
      <c r="Z218" s="133">
        <v>39450738.38000001</v>
      </c>
      <c r="AA218" s="110">
        <f t="shared" ref="AA218" si="242">ROUND(X217/AB217*(W218+1.23/12)+Z217/AB217*Y218,4)</f>
        <v>4.7294</v>
      </c>
      <c r="AB218" s="111">
        <f t="shared" ref="AB218" si="243">X218+Z218</f>
        <v>72869499.780000016</v>
      </c>
    </row>
    <row r="219" spans="1:28" x14ac:dyDescent="0.25">
      <c r="A219" s="21">
        <v>44530</v>
      </c>
      <c r="B219" s="24">
        <f t="shared" si="236"/>
        <v>203</v>
      </c>
      <c r="C219" s="97" t="s">
        <v>104</v>
      </c>
      <c r="D219" s="84">
        <f t="shared" si="237"/>
        <v>-0.51949999999999996</v>
      </c>
      <c r="E219" s="47">
        <f t="shared" ref="E219" si="244">E218*D219/100+E218</f>
        <v>5436890.6910701087</v>
      </c>
      <c r="F219" s="112"/>
      <c r="I219" s="39"/>
      <c r="J219" s="20">
        <f t="shared" ref="J219" si="245">A219</f>
        <v>44530</v>
      </c>
      <c r="K219" s="27">
        <v>-4.1879010000000001</v>
      </c>
      <c r="L219" s="46">
        <f t="shared" ref="L219" si="246">L218*K219/100+L218</f>
        <v>4212449.9065071922</v>
      </c>
      <c r="M219" s="112"/>
      <c r="O219" s="39"/>
      <c r="P219" s="20">
        <f t="shared" si="28"/>
        <v>44530</v>
      </c>
      <c r="Q219" s="45">
        <v>-1.0367329999999999</v>
      </c>
      <c r="R219" s="46">
        <f t="shared" ref="R219" si="247">R218*Q219/100+R218</f>
        <v>4579991.0440432308</v>
      </c>
      <c r="S219" s="112"/>
      <c r="U219" s="39"/>
      <c r="W219" s="107">
        <v>-0.66390039999999995</v>
      </c>
      <c r="X219" s="133">
        <v>34419940.719999999</v>
      </c>
      <c r="Y219" s="240">
        <v>-0.48406047096147431</v>
      </c>
      <c r="Z219" s="133">
        <v>39259772.950000003</v>
      </c>
      <c r="AA219" s="110">
        <f t="shared" ref="AA219:AA221" si="248">ROUND(X218/AB218*(W219+1.23/12)+Z218/AB218*Y219,4)</f>
        <v>-0.51949999999999996</v>
      </c>
      <c r="AB219" s="111">
        <f t="shared" ref="AB219:AB221" si="249">X219+Z219</f>
        <v>73679713.670000002</v>
      </c>
    </row>
    <row r="220" spans="1:28" x14ac:dyDescent="0.25">
      <c r="A220" s="21">
        <v>44561</v>
      </c>
      <c r="B220" s="24">
        <f t="shared" si="236"/>
        <v>204</v>
      </c>
      <c r="C220" s="97" t="s">
        <v>104</v>
      </c>
      <c r="D220" s="84">
        <f t="shared" si="237"/>
        <v>6.8807</v>
      </c>
      <c r="E220" s="47">
        <f t="shared" ref="E220:E221" si="250">E219*D220/100+E219</f>
        <v>5810986.8288505692</v>
      </c>
      <c r="F220" s="112">
        <f t="shared" ref="F220" si="251">(E220/E$208-1)*100</f>
        <v>19.05152158141621</v>
      </c>
      <c r="G220" s="106">
        <f>(E220/E217-1)*100</f>
        <v>11.354010821084959</v>
      </c>
      <c r="I220" s="39"/>
      <c r="J220" s="20">
        <f t="shared" ref="J220" si="252">A220</f>
        <v>44561</v>
      </c>
      <c r="K220" s="27">
        <v>2.2329729999999999</v>
      </c>
      <c r="L220" s="46">
        <f t="shared" ref="L220:L222" si="253">L219*K220/100+L219</f>
        <v>4306512.7755580228</v>
      </c>
      <c r="M220" s="112">
        <f>(L220/L$208-1)*100</f>
        <v>14.784311878333533</v>
      </c>
      <c r="N220" s="106">
        <f>(L220/L217-1)*100</f>
        <v>2.1183283926033747</v>
      </c>
      <c r="O220" s="39"/>
      <c r="P220" s="20">
        <f t="shared" si="28"/>
        <v>44561</v>
      </c>
      <c r="Q220" s="45">
        <v>7.4826389999999998</v>
      </c>
      <c r="R220" s="46">
        <f t="shared" ref="R220" si="254">R219*Q220/100+R219</f>
        <v>4922695.2401013169</v>
      </c>
      <c r="S220" s="112">
        <f>(R220/R$208-1)*100</f>
        <v>29.837043672074515</v>
      </c>
      <c r="T220" s="106">
        <f>(R220/R217-1)*100</f>
        <v>11.113170165726594</v>
      </c>
      <c r="U220" s="39"/>
      <c r="V220" s="61"/>
      <c r="W220" s="107">
        <v>6.6833749999999998</v>
      </c>
      <c r="X220" s="133">
        <v>38904504.590000004</v>
      </c>
      <c r="Y220" s="240">
        <v>6.9639265450718622</v>
      </c>
      <c r="Z220" s="133">
        <v>41993794.699999996</v>
      </c>
      <c r="AA220" s="110">
        <f t="shared" si="248"/>
        <v>6.8807</v>
      </c>
      <c r="AB220" s="111">
        <f t="shared" si="249"/>
        <v>80898299.289999992</v>
      </c>
    </row>
    <row r="221" spans="1:28" x14ac:dyDescent="0.25">
      <c r="A221" s="21">
        <v>44592</v>
      </c>
      <c r="B221" s="24">
        <f t="shared" si="236"/>
        <v>205</v>
      </c>
      <c r="C221" s="97" t="s">
        <v>104</v>
      </c>
      <c r="D221" s="84">
        <f t="shared" si="237"/>
        <v>-6.7496</v>
      </c>
      <c r="E221" s="47">
        <f t="shared" si="250"/>
        <v>5418768.4618504709</v>
      </c>
      <c r="I221" s="39"/>
      <c r="J221" s="20">
        <f t="shared" ref="J221" si="255">A221</f>
        <v>44592</v>
      </c>
      <c r="K221" s="27">
        <v>-9.6280570000000001</v>
      </c>
      <c r="L221" s="46">
        <f t="shared" si="253"/>
        <v>3891879.2708150144</v>
      </c>
      <c r="O221" s="39"/>
      <c r="P221" s="20">
        <f t="shared" si="28"/>
        <v>44592</v>
      </c>
      <c r="Q221" s="45">
        <v>-6.7802009999999999</v>
      </c>
      <c r="R221" s="46">
        <f t="shared" ref="R221:R222" si="256">R220*Q221/100+R220</f>
        <v>4588926.6082050148</v>
      </c>
      <c r="U221" s="39"/>
      <c r="W221" s="107">
        <v>-6.8128419999999998</v>
      </c>
      <c r="X221" s="133">
        <v>36629934.400000006</v>
      </c>
      <c r="Y221" s="240">
        <v>-6.7859579999999999</v>
      </c>
      <c r="Z221" s="133">
        <v>39115724.100000001</v>
      </c>
      <c r="AA221" s="110">
        <f t="shared" si="248"/>
        <v>-6.7496</v>
      </c>
      <c r="AB221" s="111">
        <f t="shared" si="249"/>
        <v>75745658.5</v>
      </c>
    </row>
    <row r="222" spans="1:28" x14ac:dyDescent="0.25">
      <c r="A222" s="21">
        <v>44620</v>
      </c>
      <c r="B222" s="24">
        <f t="shared" ref="B222:B226" si="257">IF(A222&gt;A221,1+B221,"-")</f>
        <v>206</v>
      </c>
      <c r="C222" s="97" t="s">
        <v>104</v>
      </c>
      <c r="D222" s="84">
        <f t="shared" ref="D222:D224" si="258">AA222</f>
        <v>-1.4066000000000001</v>
      </c>
      <c r="E222" s="47">
        <f t="shared" ref="E222" si="259">E221*D222/100+E221</f>
        <v>5342548.0646660822</v>
      </c>
      <c r="F222" s="112"/>
      <c r="I222" s="39"/>
      <c r="J222" s="20">
        <f t="shared" ref="J222" si="260">A222</f>
        <v>44620</v>
      </c>
      <c r="K222" s="27">
        <v>1.0656110000000001</v>
      </c>
      <c r="L222" s="46">
        <f t="shared" si="253"/>
        <v>3933351.5644315388</v>
      </c>
      <c r="M222" s="112"/>
      <c r="O222" s="39"/>
      <c r="P222" s="20">
        <f t="shared" si="28"/>
        <v>44620</v>
      </c>
      <c r="Q222" s="45">
        <v>-0.55163949999999995</v>
      </c>
      <c r="R222" s="46">
        <f t="shared" si="256"/>
        <v>4563612.2764081461</v>
      </c>
      <c r="S222" s="112"/>
      <c r="U222" s="39"/>
      <c r="W222" s="107">
        <v>-1.512605</v>
      </c>
      <c r="X222" s="133">
        <v>35982677.659999996</v>
      </c>
      <c r="Y222" s="240">
        <v>-1.403319</v>
      </c>
      <c r="Z222" s="133">
        <v>38566805.660000004</v>
      </c>
      <c r="AA222" s="110">
        <f t="shared" ref="AA222:AA223" si="261">ROUND(X221/AB221*(W222+1.23/12)+Z221/AB221*Y222,4)</f>
        <v>-1.4066000000000001</v>
      </c>
      <c r="AB222" s="111">
        <f t="shared" ref="AB222:AB223" si="262">X222+Z222</f>
        <v>74549483.319999993</v>
      </c>
    </row>
    <row r="223" spans="1:28" x14ac:dyDescent="0.25">
      <c r="A223" s="21">
        <v>44651</v>
      </c>
      <c r="B223" s="24">
        <f t="shared" si="257"/>
        <v>207</v>
      </c>
      <c r="C223" s="97" t="s">
        <v>104</v>
      </c>
      <c r="D223" s="84">
        <f t="shared" si="258"/>
        <v>1.3996999999999999</v>
      </c>
      <c r="E223" s="47">
        <f t="shared" ref="E223" si="263">E222*D223/100+E222</f>
        <v>5417327.7099272134</v>
      </c>
      <c r="F223" s="112"/>
      <c r="G223" s="106">
        <f>(E223/E220-1)*100</f>
        <v>-6.7743935843892267</v>
      </c>
      <c r="I223" s="39"/>
      <c r="J223" s="20">
        <f t="shared" ref="J223" si="264">A223</f>
        <v>44651</v>
      </c>
      <c r="K223" s="27">
        <v>1.2401329999999999</v>
      </c>
      <c r="L223" s="46">
        <f t="shared" ref="L223" si="265">L222*K223/100+L222</f>
        <v>3982130.3551880708</v>
      </c>
      <c r="M223" s="112"/>
      <c r="N223" s="106">
        <f>(L223/L220-1)*100</f>
        <v>-7.5323687000538264</v>
      </c>
      <c r="O223" s="39"/>
      <c r="P223" s="20">
        <f t="shared" si="28"/>
        <v>44651</v>
      </c>
      <c r="Q223" s="45">
        <v>2.0299459999999998</v>
      </c>
      <c r="R223" s="46">
        <f t="shared" ref="R223" si="266">R222*Q223/100+R222</f>
        <v>4656251.1412686026</v>
      </c>
      <c r="S223" s="112"/>
      <c r="T223" s="106">
        <f>(R223/R220-1)*100</f>
        <v>-5.4125653902399762</v>
      </c>
      <c r="U223" s="39"/>
      <c r="W223" s="107">
        <v>1.279863</v>
      </c>
      <c r="X223" s="133">
        <v>37376250.390000001</v>
      </c>
      <c r="Y223" s="240">
        <v>1.415878</v>
      </c>
      <c r="Z223" s="133">
        <v>39112864.640000001</v>
      </c>
      <c r="AA223" s="110">
        <f t="shared" si="261"/>
        <v>1.3996999999999999</v>
      </c>
      <c r="AB223" s="111">
        <f t="shared" si="262"/>
        <v>76489115.030000001</v>
      </c>
    </row>
    <row r="224" spans="1:28" x14ac:dyDescent="0.25">
      <c r="A224" s="21">
        <v>44681</v>
      </c>
      <c r="B224" s="24">
        <f t="shared" si="257"/>
        <v>208</v>
      </c>
      <c r="C224" s="97" t="s">
        <v>104</v>
      </c>
      <c r="D224" s="84">
        <f t="shared" si="258"/>
        <v>-5.4001000000000001</v>
      </c>
      <c r="E224" s="47">
        <f t="shared" ref="E224" si="267">E223*D224/100+E223</f>
        <v>5124786.5962634338</v>
      </c>
      <c r="F224" s="112"/>
      <c r="G224" s="106"/>
      <c r="I224" s="39"/>
      <c r="J224" s="20">
        <f t="shared" ref="J224" si="268">A224</f>
        <v>44681</v>
      </c>
      <c r="K224" s="27">
        <v>-9.9109250000000007</v>
      </c>
      <c r="L224" s="46">
        <f t="shared" ref="L224" si="269">L223*K224/100+L223</f>
        <v>3587464.4022831474</v>
      </c>
      <c r="M224" s="112"/>
      <c r="N224" s="106"/>
      <c r="O224" s="39"/>
      <c r="P224" s="20">
        <f t="shared" si="28"/>
        <v>44681</v>
      </c>
      <c r="Q224" s="45">
        <v>-6.9286029999999998</v>
      </c>
      <c r="R224" s="46">
        <f t="shared" ref="R224" si="270">R223*Q224/100+R223</f>
        <v>4333637.9850071315</v>
      </c>
      <c r="S224" s="112"/>
      <c r="T224" s="106"/>
      <c r="U224" s="39"/>
      <c r="W224" s="107">
        <v>-5.4759900000000004</v>
      </c>
      <c r="X224" s="133">
        <v>36061103.850000001</v>
      </c>
      <c r="Y224" s="240">
        <v>-5.4255469999999999</v>
      </c>
      <c r="Z224" s="133">
        <v>36964324.990000002</v>
      </c>
      <c r="AA224" s="110">
        <f t="shared" ref="AA224" si="271">ROUND(X223/AB223*(W224+1.23/12)+Z223/AB223*Y224,4)</f>
        <v>-5.4001000000000001</v>
      </c>
      <c r="AB224" s="111">
        <f t="shared" ref="AB224" si="272">X224+Z224</f>
        <v>73025428.840000004</v>
      </c>
    </row>
    <row r="225" spans="1:28" x14ac:dyDescent="0.25">
      <c r="A225" s="21">
        <v>44712</v>
      </c>
      <c r="B225" s="24">
        <f t="shared" si="257"/>
        <v>209</v>
      </c>
      <c r="C225" s="97" t="s">
        <v>104</v>
      </c>
      <c r="D225" s="84">
        <f t="shared" ref="D225:D227" si="273">AA225</f>
        <v>1.7858000000000001</v>
      </c>
      <c r="E225" s="47">
        <f t="shared" ref="E225:E226" si="274">E224*D225/100+E224</f>
        <v>5216305.035299506</v>
      </c>
      <c r="F225" s="112"/>
      <c r="G225" s="106"/>
      <c r="I225" s="39"/>
      <c r="J225" s="20">
        <f t="shared" ref="J225" si="275">A225</f>
        <v>44712</v>
      </c>
      <c r="K225" s="27">
        <v>0.1437899</v>
      </c>
      <c r="L225" s="46">
        <f t="shared" ref="L225" si="276">L224*K225/100+L224</f>
        <v>3592622.813759726</v>
      </c>
      <c r="M225" s="112"/>
      <c r="N225" s="106"/>
      <c r="O225" s="39"/>
      <c r="P225" s="20">
        <f t="shared" si="28"/>
        <v>44712</v>
      </c>
      <c r="Q225" s="45">
        <v>2.3163109999999998</v>
      </c>
      <c r="R225" s="46">
        <f t="shared" ref="R225" si="277">R224*Q225/100+R224</f>
        <v>4434018.5183540303</v>
      </c>
      <c r="S225" s="112"/>
      <c r="T225" s="106"/>
      <c r="U225" s="39"/>
      <c r="W225" s="107">
        <v>1.693405</v>
      </c>
      <c r="X225" s="133">
        <v>36409887.009999998</v>
      </c>
      <c r="Y225" s="240">
        <v>1.7758731999999999</v>
      </c>
      <c r="Z225" s="133">
        <v>37620764.549999997</v>
      </c>
      <c r="AA225" s="110">
        <f t="shared" ref="AA225" si="278">ROUND(X224/AB224*(W225+1.23/12)+Z224/AB224*Y225,4)</f>
        <v>1.7858000000000001</v>
      </c>
      <c r="AB225" s="111">
        <f t="shared" ref="AB225" si="279">X225+Z225</f>
        <v>74030651.560000002</v>
      </c>
    </row>
    <row r="226" spans="1:28" x14ac:dyDescent="0.25">
      <c r="A226" s="21">
        <v>44742</v>
      </c>
      <c r="B226" s="24">
        <f t="shared" si="257"/>
        <v>210</v>
      </c>
      <c r="C226" s="97" t="s">
        <v>104</v>
      </c>
      <c r="D226" s="84">
        <f t="shared" si="273"/>
        <v>-2.3344</v>
      </c>
      <c r="E226" s="47">
        <f t="shared" si="274"/>
        <v>5094535.6105554746</v>
      </c>
      <c r="F226" s="112"/>
      <c r="G226" s="106">
        <f>(E226/E223-1)*100</f>
        <v>-5.9585115882914819</v>
      </c>
      <c r="I226" s="39"/>
      <c r="J226" s="20">
        <f t="shared" ref="J226" si="280">A226</f>
        <v>44742</v>
      </c>
      <c r="K226" s="27">
        <v>-8.2253299999999996</v>
      </c>
      <c r="L226" s="46">
        <f t="shared" ref="L226" si="281">L225*K226/100+L225</f>
        <v>3297117.7316727033</v>
      </c>
      <c r="M226" s="112"/>
      <c r="N226" s="106">
        <f>(L226/L223-1)*100</f>
        <v>-17.202164731320437</v>
      </c>
      <c r="O226" s="39"/>
      <c r="P226" s="20">
        <f t="shared" si="28"/>
        <v>44742</v>
      </c>
      <c r="Q226" s="45">
        <v>-3.7035629999999999</v>
      </c>
      <c r="R226" s="46">
        <f t="shared" ref="R226" si="282">R225*Q226/100+R225</f>
        <v>4269801.849095122</v>
      </c>
      <c r="S226" s="112"/>
      <c r="T226" s="106">
        <f>(R226/R223-1)*100</f>
        <v>-8.2995800795270682</v>
      </c>
      <c r="U226" s="39"/>
      <c r="W226" s="107">
        <v>-2.4539879999999998</v>
      </c>
      <c r="X226" s="133">
        <v>35130786.549999997</v>
      </c>
      <c r="Y226" s="240">
        <v>-2.3178847999999999</v>
      </c>
      <c r="Z226" s="133">
        <v>36748758.560000002</v>
      </c>
      <c r="AA226" s="110">
        <f t="shared" ref="AA226:AA228" si="283">ROUND(X225/AB225*(W226+1.23/12)+Z225/AB225*Y226,4)</f>
        <v>-2.3344</v>
      </c>
      <c r="AB226" s="111">
        <f t="shared" ref="AB226:AB228" si="284">X226+Z226</f>
        <v>71879545.109999999</v>
      </c>
    </row>
    <row r="227" spans="1:28" x14ac:dyDescent="0.25">
      <c r="A227" s="21">
        <v>44773</v>
      </c>
      <c r="B227" s="24">
        <f t="shared" ref="B227:B231" si="285">IF(A227&gt;A226,1+B226,"-")</f>
        <v>211</v>
      </c>
      <c r="C227" s="97" t="s">
        <v>104</v>
      </c>
      <c r="D227" s="84">
        <f t="shared" si="273"/>
        <v>5.8745000000000003</v>
      </c>
      <c r="E227" s="47">
        <f t="shared" ref="E227" si="286">E226*D227/100+E226</f>
        <v>5393814.1049975557</v>
      </c>
      <c r="F227" s="112"/>
      <c r="I227" s="39"/>
      <c r="J227" s="20">
        <f t="shared" ref="J227" si="287">A227</f>
        <v>44773</v>
      </c>
      <c r="K227" s="27">
        <v>10.440250000000001</v>
      </c>
      <c r="L227" s="46">
        <f t="shared" ref="L227" si="288">L226*K227/100+L226</f>
        <v>3641345.0656536627</v>
      </c>
      <c r="M227" s="112"/>
      <c r="O227" s="39"/>
      <c r="P227" s="20">
        <f t="shared" si="28"/>
        <v>44773</v>
      </c>
      <c r="Q227" s="45">
        <v>7.0628739999999999</v>
      </c>
      <c r="R227" s="46">
        <f t="shared" ref="R227" si="289">R226*Q227/100+R226</f>
        <v>4571372.5737463804</v>
      </c>
      <c r="S227" s="112"/>
      <c r="U227" s="39"/>
      <c r="W227" s="107">
        <v>5.7502250000000004</v>
      </c>
      <c r="X227" s="133">
        <v>37563713.759999998</v>
      </c>
      <c r="Y227" s="240">
        <v>5.8952960000000001</v>
      </c>
      <c r="Z227" s="133">
        <v>38889110.259999998</v>
      </c>
      <c r="AA227" s="110">
        <f t="shared" si="283"/>
        <v>5.8745000000000003</v>
      </c>
      <c r="AB227" s="111">
        <f t="shared" si="284"/>
        <v>76452824.019999996</v>
      </c>
    </row>
    <row r="228" spans="1:28" x14ac:dyDescent="0.25">
      <c r="A228" s="21">
        <v>44804</v>
      </c>
      <c r="B228" s="24">
        <f t="shared" si="285"/>
        <v>212</v>
      </c>
      <c r="C228" s="97" t="s">
        <v>104</v>
      </c>
      <c r="D228" s="84">
        <f t="shared" ref="D228:D229" si="290">AA228</f>
        <v>-4.0937000000000001</v>
      </c>
      <c r="E228" s="47">
        <f t="shared" ref="E228" si="291">E227*D228/100+E227</f>
        <v>5173007.5369812706</v>
      </c>
      <c r="F228" s="112"/>
      <c r="I228" s="39"/>
      <c r="J228" s="20">
        <f t="shared" ref="J228" si="292">A228</f>
        <v>44804</v>
      </c>
      <c r="K228" s="27">
        <v>-2.046306</v>
      </c>
      <c r="L228" s="46">
        <f t="shared" ref="L228" si="293">L227*K228/100+L227</f>
        <v>3566832.0030944878</v>
      </c>
      <c r="M228" s="112"/>
      <c r="O228" s="39"/>
      <c r="P228" s="20">
        <f t="shared" si="28"/>
        <v>44804</v>
      </c>
      <c r="Q228" s="45">
        <v>-5.4935049999999999</v>
      </c>
      <c r="R228" s="46">
        <f t="shared" ref="R228" si="294">R227*Q228/100+R227</f>
        <v>4320243.9928389946</v>
      </c>
      <c r="S228" s="112"/>
      <c r="U228" s="39"/>
      <c r="W228" s="107">
        <v>-4.1631260000000001</v>
      </c>
      <c r="X228" s="133">
        <v>35567049.719999999</v>
      </c>
      <c r="Y228" s="240">
        <v>-4.1255850000000001</v>
      </c>
      <c r="Z228" s="133">
        <v>37284706.869999997</v>
      </c>
      <c r="AA228" s="110">
        <f t="shared" si="283"/>
        <v>-4.0937000000000001</v>
      </c>
      <c r="AB228" s="111">
        <f t="shared" si="284"/>
        <v>72851756.590000004</v>
      </c>
    </row>
    <row r="229" spans="1:28" x14ac:dyDescent="0.25">
      <c r="A229" s="21">
        <v>44834</v>
      </c>
      <c r="B229" s="24">
        <f t="shared" si="285"/>
        <v>213</v>
      </c>
      <c r="C229" s="97" t="s">
        <v>104</v>
      </c>
      <c r="D229" s="84">
        <f t="shared" si="290"/>
        <v>-6.8723000000000001</v>
      </c>
      <c r="E229" s="47">
        <f t="shared" ref="E229" si="295">E228*D229/100+E228</f>
        <v>4817502.9400173072</v>
      </c>
      <c r="F229" s="112"/>
      <c r="G229" s="106">
        <f>(E229/E226-1)*100</f>
        <v>-5.4378395150321062</v>
      </c>
      <c r="I229" s="39"/>
      <c r="J229" s="20">
        <f t="shared" ref="J229" si="296">A229</f>
        <v>44834</v>
      </c>
      <c r="K229" s="27">
        <v>-9.5742589999999996</v>
      </c>
      <c r="L229" s="46">
        <f t="shared" ref="L229" si="297">L228*K229/100+L228</f>
        <v>3225334.2690233337</v>
      </c>
      <c r="M229" s="112"/>
      <c r="N229" s="106">
        <f>(L229/L226-1)*100</f>
        <v>-2.1771580056060724</v>
      </c>
      <c r="O229" s="39"/>
      <c r="P229" s="20">
        <f t="shared" si="28"/>
        <v>44834</v>
      </c>
      <c r="Q229" s="45">
        <v>-8.8647659999999995</v>
      </c>
      <c r="R229" s="46">
        <f t="shared" ref="R229" si="298">R228*Q229/100+R228</f>
        <v>3937264.472244761</v>
      </c>
      <c r="S229" s="112"/>
      <c r="T229" s="106">
        <f>(R229/R226-1)*100</f>
        <v>-7.788121992612707</v>
      </c>
      <c r="U229" s="39"/>
      <c r="W229" s="107">
        <v>-7.003546</v>
      </c>
      <c r="X229" s="133">
        <v>33331033.109999999</v>
      </c>
      <c r="Y229" s="240">
        <v>-6.8448943393825301</v>
      </c>
      <c r="Z229" s="133">
        <v>34732608.079999998</v>
      </c>
      <c r="AA229" s="110">
        <f t="shared" ref="AA229:AA231" si="299">ROUND(X228/AB228*(W229+1.23/12)+Z228/AB228*Y229,4)</f>
        <v>-6.8723000000000001</v>
      </c>
      <c r="AB229" s="111">
        <f t="shared" ref="AB229:AB230" si="300">X229+Z229</f>
        <v>68063641.189999998</v>
      </c>
    </row>
    <row r="230" spans="1:28" x14ac:dyDescent="0.25">
      <c r="A230" s="21">
        <v>44865</v>
      </c>
      <c r="B230" s="24">
        <f t="shared" si="285"/>
        <v>214</v>
      </c>
      <c r="C230" s="97" t="s">
        <v>104</v>
      </c>
      <c r="D230" s="84">
        <f t="shared" ref="D230" si="301">AA230</f>
        <v>10.4299</v>
      </c>
      <c r="E230" s="47">
        <f t="shared" ref="E230" si="302">E229*D230/100+E229</f>
        <v>5319963.6791581726</v>
      </c>
      <c r="F230" s="112"/>
      <c r="G230" s="106"/>
      <c r="I230" s="39"/>
      <c r="J230" s="20">
        <f t="shared" ref="J230" si="303">A230</f>
        <v>44865</v>
      </c>
      <c r="K230" s="27">
        <v>11.00892</v>
      </c>
      <c r="L230" s="46">
        <f t="shared" ref="L230" si="304">L229*K230/100+L229</f>
        <v>3580408.738432697</v>
      </c>
      <c r="M230" s="112"/>
      <c r="N230" s="106"/>
      <c r="O230" s="39"/>
      <c r="P230" s="20">
        <f t="shared" si="28"/>
        <v>44865</v>
      </c>
      <c r="Q230" s="45">
        <v>12.98677</v>
      </c>
      <c r="R230" s="46">
        <f t="shared" ref="R230" si="305">R229*Q230/100+R229</f>
        <v>4448587.9535469022</v>
      </c>
      <c r="S230" s="112"/>
      <c r="T230" s="106"/>
      <c r="U230" s="39"/>
      <c r="W230" s="107">
        <v>10.29552</v>
      </c>
      <c r="X230" s="133">
        <v>36350317.029999994</v>
      </c>
      <c r="Y230" s="240">
        <v>10.4604339</v>
      </c>
      <c r="Z230" s="133">
        <v>38337148.82</v>
      </c>
      <c r="AA230" s="110">
        <f t="shared" si="299"/>
        <v>10.4299</v>
      </c>
      <c r="AB230" s="111">
        <f t="shared" si="300"/>
        <v>74687465.849999994</v>
      </c>
    </row>
    <row r="231" spans="1:28" x14ac:dyDescent="0.25">
      <c r="A231" s="21">
        <v>44895</v>
      </c>
      <c r="B231" s="24">
        <f t="shared" si="285"/>
        <v>215</v>
      </c>
      <c r="C231" s="97" t="s">
        <v>104</v>
      </c>
      <c r="D231" s="84">
        <f t="shared" ref="D231" si="306">AA231</f>
        <v>3.1566000000000001</v>
      </c>
      <c r="E231" s="47">
        <f t="shared" ref="E231:E237" si="307">E230*D231/100+E230</f>
        <v>5487893.6526544793</v>
      </c>
      <c r="F231" s="112"/>
      <c r="G231" s="106"/>
      <c r="I231" s="39"/>
      <c r="J231" s="20">
        <f t="shared" ref="J231" si="308">A231</f>
        <v>44895</v>
      </c>
      <c r="K231" s="27">
        <v>2.3137370000000002</v>
      </c>
      <c r="L231" s="46">
        <f t="shared" ref="L231:L237" si="309">L230*K231/100+L230</f>
        <v>3663249.9801650476</v>
      </c>
      <c r="M231" s="112"/>
      <c r="N231" s="106"/>
      <c r="O231" s="39"/>
      <c r="P231" s="20">
        <f t="shared" si="28"/>
        <v>44895</v>
      </c>
      <c r="Q231" s="45">
        <v>3.35806</v>
      </c>
      <c r="R231" s="46">
        <f t="shared" ref="R231:R237" si="310">R230*Q231/100+R230</f>
        <v>4597974.206179779</v>
      </c>
      <c r="S231" s="112"/>
      <c r="T231" s="106"/>
      <c r="U231" s="39"/>
      <c r="W231" s="107">
        <v>3.1114950000000001</v>
      </c>
      <c r="X231" s="133">
        <v>37766540.520000003</v>
      </c>
      <c r="Y231" s="240">
        <v>3.1022349999999999</v>
      </c>
      <c r="Z231" s="133">
        <v>39526457.399999999</v>
      </c>
      <c r="AA231" s="110">
        <f t="shared" si="299"/>
        <v>3.1566000000000001</v>
      </c>
      <c r="AB231" s="111">
        <f t="shared" ref="AB231" si="311">X231+Z231</f>
        <v>77292997.920000002</v>
      </c>
    </row>
    <row r="232" spans="1:28" x14ac:dyDescent="0.25">
      <c r="A232" s="21">
        <v>44926</v>
      </c>
      <c r="B232" s="24">
        <f t="shared" ref="B232:B237" si="312">IF(A232&gt;A231,1+B231,"-")</f>
        <v>216</v>
      </c>
      <c r="C232" s="97" t="s">
        <v>104</v>
      </c>
      <c r="D232" s="84">
        <v>-5.6477398393485485</v>
      </c>
      <c r="E232" s="47">
        <f t="shared" si="307"/>
        <v>5177951.6964924317</v>
      </c>
      <c r="F232" s="112">
        <f>(E232/E$220-1)*100</f>
        <v>-10.893762987298905</v>
      </c>
      <c r="G232" s="106">
        <f>(E232/E229-1)*100</f>
        <v>7.482066144288213</v>
      </c>
      <c r="I232" s="39"/>
      <c r="J232" s="20">
        <f t="shared" ref="J232:J237" si="313">A232</f>
        <v>44926</v>
      </c>
      <c r="K232" s="27">
        <v>-6.4934729999999998</v>
      </c>
      <c r="L232" s="46">
        <f t="shared" si="309"/>
        <v>3425377.8317805249</v>
      </c>
      <c r="M232" s="112">
        <f>(L232/L$220-1)*100</f>
        <v>-20.46052083668377</v>
      </c>
      <c r="N232" s="106">
        <f>(L232/L229-1)*100</f>
        <v>6.2022583109739626</v>
      </c>
      <c r="O232" s="39"/>
      <c r="P232" s="20">
        <f t="shared" si="28"/>
        <v>44926</v>
      </c>
      <c r="Q232" s="45">
        <v>-5.2475059999999996</v>
      </c>
      <c r="R232" s="46">
        <f t="shared" si="310"/>
        <v>4356695.2338320427</v>
      </c>
      <c r="S232" s="112">
        <f>(R232/R$220-1)*100</f>
        <v>-11.497766541761889</v>
      </c>
      <c r="T232" s="106">
        <f>(R232/R229-1)*100</f>
        <v>10.652847034889446</v>
      </c>
      <c r="U232" s="39"/>
      <c r="V232" s="61"/>
      <c r="W232" s="107">
        <v>-5.7596530000000001</v>
      </c>
    </row>
    <row r="233" spans="1:28" x14ac:dyDescent="0.25">
      <c r="A233" s="21">
        <v>44957</v>
      </c>
      <c r="B233" s="24">
        <f t="shared" si="312"/>
        <v>217</v>
      </c>
      <c r="C233" s="97" t="s">
        <v>104</v>
      </c>
      <c r="D233" s="84">
        <v>5.0683174382068348</v>
      </c>
      <c r="E233" s="47">
        <f t="shared" si="307"/>
        <v>5440386.7252676841</v>
      </c>
      <c r="I233" s="39"/>
      <c r="J233" s="20">
        <f t="shared" si="313"/>
        <v>44957</v>
      </c>
      <c r="K233" s="27">
        <v>9.7465890000000002</v>
      </c>
      <c r="L233" s="46">
        <f t="shared" si="309"/>
        <v>3759235.3307412839</v>
      </c>
      <c r="O233" s="39"/>
      <c r="P233" s="20">
        <f t="shared" ref="P233:P244" si="314">$A233</f>
        <v>44957</v>
      </c>
      <c r="Q233" s="45">
        <v>4.7549720000000004</v>
      </c>
      <c r="R233" s="46">
        <f t="shared" si="310"/>
        <v>4563854.8723260909</v>
      </c>
      <c r="U233" s="39"/>
      <c r="W233" s="107">
        <v>4.9063330000000001</v>
      </c>
    </row>
    <row r="234" spans="1:28" x14ac:dyDescent="0.25">
      <c r="A234" s="21">
        <v>44985</v>
      </c>
      <c r="B234" s="24">
        <f t="shared" si="312"/>
        <v>218</v>
      </c>
      <c r="C234" s="97" t="s">
        <v>104</v>
      </c>
      <c r="D234" s="84">
        <v>-1.7211992568556815</v>
      </c>
      <c r="E234" s="47">
        <f t="shared" si="307"/>
        <v>5346746.8293823013</v>
      </c>
      <c r="I234" s="39"/>
      <c r="J234" s="20">
        <f t="shared" si="313"/>
        <v>44985</v>
      </c>
      <c r="K234" s="27">
        <v>-1.6926909999999999</v>
      </c>
      <c r="L234" s="46">
        <f t="shared" si="309"/>
        <v>3695603.0926290061</v>
      </c>
      <c r="O234" s="39"/>
      <c r="P234" s="20">
        <f t="shared" si="314"/>
        <v>44985</v>
      </c>
      <c r="Q234" s="45">
        <v>-0.60004089999999999</v>
      </c>
      <c r="R234" s="46">
        <f t="shared" si="310"/>
        <v>4536469.8764754916</v>
      </c>
      <c r="U234" s="39"/>
      <c r="W234" s="107">
        <v>-1.785714</v>
      </c>
    </row>
    <row r="235" spans="1:28" x14ac:dyDescent="0.25">
      <c r="A235" s="21">
        <v>45016</v>
      </c>
      <c r="B235" s="24">
        <f t="shared" si="312"/>
        <v>219</v>
      </c>
      <c r="C235" s="97" t="s">
        <v>104</v>
      </c>
      <c r="D235" s="84">
        <v>-2.1568557176685133</v>
      </c>
      <c r="E235" s="47">
        <f t="shared" si="307"/>
        <v>5231425.2146835094</v>
      </c>
      <c r="G235" s="106">
        <f>(E235/E232-1)*100</f>
        <v>1.0327156629773349</v>
      </c>
      <c r="I235" s="39"/>
      <c r="J235" s="20">
        <f t="shared" si="313"/>
        <v>45016</v>
      </c>
      <c r="K235" s="27">
        <v>-4.7829889999999997</v>
      </c>
      <c r="L235" s="46">
        <f t="shared" si="309"/>
        <v>3518842.8032249007</v>
      </c>
      <c r="N235" s="106">
        <f>(L235/L232-1)*100</f>
        <v>2.7286032675639893</v>
      </c>
      <c r="O235" s="39"/>
      <c r="P235" s="20">
        <f t="shared" si="314"/>
        <v>45016</v>
      </c>
      <c r="Q235" s="45">
        <v>-8.1971530000000001</v>
      </c>
      <c r="R235" s="46">
        <f t="shared" si="310"/>
        <v>4164608.4999018847</v>
      </c>
      <c r="T235" s="106">
        <f>(R235/R232-1)*100</f>
        <v>-4.4090009426985599</v>
      </c>
      <c r="U235" s="39"/>
      <c r="W235" s="107">
        <v>-2.2510819999999998</v>
      </c>
    </row>
    <row r="236" spans="1:28" x14ac:dyDescent="0.25">
      <c r="A236" s="21">
        <v>45046</v>
      </c>
      <c r="B236" s="24">
        <f t="shared" si="312"/>
        <v>220</v>
      </c>
      <c r="C236" s="97" t="s">
        <v>104</v>
      </c>
      <c r="D236" s="84">
        <v>-1.0251083133536065</v>
      </c>
      <c r="E236" s="47">
        <f t="shared" si="307"/>
        <v>5177797.4399009123</v>
      </c>
      <c r="I236" s="39"/>
      <c r="J236" s="20">
        <f t="shared" si="313"/>
        <v>45046</v>
      </c>
      <c r="K236" s="27">
        <v>-1.7983370000000001</v>
      </c>
      <c r="L236" s="46">
        <f t="shared" si="309"/>
        <v>3455562.1511226702</v>
      </c>
      <c r="O236" s="39"/>
      <c r="P236" s="20">
        <f t="shared" si="314"/>
        <v>45046</v>
      </c>
      <c r="Q236" s="45">
        <v>-4.158156</v>
      </c>
      <c r="R236" s="46">
        <f t="shared" si="310"/>
        <v>3991437.5816867044</v>
      </c>
      <c r="U236" s="39"/>
      <c r="W236" s="107">
        <v>-1.1514610000000001</v>
      </c>
    </row>
    <row r="237" spans="1:28" x14ac:dyDescent="0.25">
      <c r="A237" s="21">
        <v>45077</v>
      </c>
      <c r="B237" s="24">
        <f t="shared" si="312"/>
        <v>221</v>
      </c>
      <c r="C237" s="97" t="s">
        <v>104</v>
      </c>
      <c r="D237" s="84">
        <v>-2.7328037455045977</v>
      </c>
      <c r="E237" s="47">
        <f t="shared" si="307"/>
        <v>5036298.3975286586</v>
      </c>
      <c r="F237" s="112"/>
      <c r="I237" s="39"/>
      <c r="J237" s="20">
        <f t="shared" si="313"/>
        <v>45077</v>
      </c>
      <c r="K237" s="27">
        <v>-0.93249360000000003</v>
      </c>
      <c r="L237" s="46">
        <f t="shared" si="309"/>
        <v>3423339.2552194288</v>
      </c>
      <c r="M237" s="112"/>
      <c r="O237" s="39"/>
      <c r="P237" s="20">
        <f t="shared" si="314"/>
        <v>45077</v>
      </c>
      <c r="Q237" s="45">
        <v>-4.1118870000000003</v>
      </c>
      <c r="R237" s="46">
        <f t="shared" si="310"/>
        <v>3827314.1786522144</v>
      </c>
      <c r="S237" s="112"/>
      <c r="U237" s="39"/>
      <c r="W237" s="107">
        <v>-2.7777780000000001</v>
      </c>
    </row>
    <row r="238" spans="1:28" x14ac:dyDescent="0.25">
      <c r="A238" s="21">
        <v>45107</v>
      </c>
      <c r="B238" s="24">
        <f t="shared" ref="B238:B240" si="315">IF(A238&gt;A237,1+B237,"-")</f>
        <v>222</v>
      </c>
      <c r="C238" s="97" t="s">
        <v>405</v>
      </c>
      <c r="D238" s="84">
        <v>6.1854490000000002</v>
      </c>
      <c r="E238" s="47">
        <f t="shared" ref="E238" si="316">E237*D238/100+E237</f>
        <v>5347816.0663956106</v>
      </c>
      <c r="F238" s="112"/>
      <c r="G238" s="106">
        <f>(E238/E235-1)*100</f>
        <v>2.2248402096127995</v>
      </c>
      <c r="I238" s="39"/>
      <c r="J238" s="20">
        <f t="shared" ref="J238" si="317">A238</f>
        <v>45107</v>
      </c>
      <c r="K238" s="27">
        <v>8.1256939999999993</v>
      </c>
      <c r="L238" s="46">
        <f t="shared" ref="L238" si="318">L237*K238/100+L237</f>
        <v>3701509.3276804388</v>
      </c>
      <c r="M238" s="112"/>
      <c r="N238" s="106">
        <f>(L238/L235-1)*100</f>
        <v>5.1910964675128568</v>
      </c>
      <c r="O238" s="39"/>
      <c r="P238" s="20">
        <f t="shared" si="314"/>
        <v>45107</v>
      </c>
      <c r="Q238" s="45">
        <v>2.8888660000000002</v>
      </c>
      <c r="R238" s="46">
        <f t="shared" ref="R238" si="319">R237*Q238/100+R237</f>
        <v>3937880.1566724773</v>
      </c>
      <c r="S238" s="112"/>
      <c r="T238" s="106">
        <f>(R238/R235-1)*100</f>
        <v>-5.444169439570345</v>
      </c>
      <c r="U238" s="39"/>
      <c r="W238" s="107">
        <v>6.0829490000000002</v>
      </c>
    </row>
    <row r="239" spans="1:28" x14ac:dyDescent="0.25">
      <c r="A239" s="21">
        <v>45138</v>
      </c>
      <c r="B239" s="24">
        <f t="shared" si="315"/>
        <v>223</v>
      </c>
      <c r="C239" s="97" t="s">
        <v>405</v>
      </c>
      <c r="D239" s="84">
        <v>3.4908580000000002</v>
      </c>
      <c r="E239" s="47">
        <f t="shared" ref="E239" si="320">E238*D239/100+E238</f>
        <v>5534500.731374667</v>
      </c>
      <c r="F239" s="112"/>
      <c r="G239" s="106"/>
      <c r="I239" s="39"/>
      <c r="J239" s="20">
        <f t="shared" ref="J239" si="321">A239</f>
        <v>45138</v>
      </c>
      <c r="K239" s="27">
        <v>6.114903</v>
      </c>
      <c r="L239" s="46">
        <f t="shared" ref="L239" si="322">L238*K239/100+L238</f>
        <v>3927853.0326040499</v>
      </c>
      <c r="M239" s="112"/>
      <c r="N239" s="106"/>
      <c r="O239" s="39"/>
      <c r="P239" s="20">
        <f t="shared" si="314"/>
        <v>45138</v>
      </c>
      <c r="Q239" s="45">
        <v>7.1115240000000002</v>
      </c>
      <c r="R239" s="46">
        <f t="shared" ref="R239" si="323">R238*Q239/100+R238</f>
        <v>4217923.4491054779</v>
      </c>
      <c r="S239" s="112"/>
      <c r="T239" s="106"/>
      <c r="U239" s="39"/>
      <c r="W239" s="107">
        <v>3.3883580000000002</v>
      </c>
    </row>
    <row r="240" spans="1:28" x14ac:dyDescent="0.25">
      <c r="A240" s="21">
        <v>45169</v>
      </c>
      <c r="B240" s="24">
        <f t="shared" si="315"/>
        <v>224</v>
      </c>
      <c r="C240" s="97" t="s">
        <v>405</v>
      </c>
      <c r="D240" s="84">
        <v>-3.510945</v>
      </c>
      <c r="E240" s="47">
        <f t="shared" ref="E240" si="324">E239*D240/100+E239</f>
        <v>5340187.4546715049</v>
      </c>
      <c r="F240" s="112"/>
      <c r="G240" s="106"/>
      <c r="I240" s="39"/>
      <c r="J240" s="20">
        <f t="shared" ref="J240" si="325">A240</f>
        <v>45169</v>
      </c>
      <c r="K240" s="27">
        <v>-5.0064710000000003</v>
      </c>
      <c r="L240" s="46">
        <f t="shared" ref="L240" si="326">L239*K240/100+L239</f>
        <v>3731206.2096041078</v>
      </c>
      <c r="M240" s="112"/>
      <c r="N240" s="106"/>
      <c r="O240" s="39"/>
      <c r="P240" s="20">
        <f t="shared" si="314"/>
        <v>45169</v>
      </c>
      <c r="Q240" s="45">
        <v>-3.0401669999999998</v>
      </c>
      <c r="R240" s="46">
        <f t="shared" ref="R240" si="327">R239*Q240/100+R239</f>
        <v>4089691.5323205115</v>
      </c>
      <c r="S240" s="112"/>
      <c r="T240" s="106"/>
      <c r="U240" s="39"/>
      <c r="W240" s="107">
        <v>-3.613445</v>
      </c>
    </row>
    <row r="241" spans="1:23" x14ac:dyDescent="0.25">
      <c r="A241" s="21">
        <v>45199</v>
      </c>
      <c r="B241" s="24">
        <f t="shared" ref="B241:B245" si="328">IF(A241&gt;A240,1+B240,"-")</f>
        <v>225</v>
      </c>
      <c r="C241" s="97" t="s">
        <v>405</v>
      </c>
      <c r="D241" s="84">
        <v>-3.9951460000000001</v>
      </c>
      <c r="E241" s="47">
        <f t="shared" ref="E241" si="329">E240*D241/100+E240</f>
        <v>5126839.1691836948</v>
      </c>
      <c r="F241" s="112"/>
      <c r="G241" s="106">
        <f>(E241/E238-1)*100</f>
        <v>-4.132096064419299</v>
      </c>
      <c r="I241" s="39"/>
      <c r="J241" s="20">
        <f t="shared" ref="J241" si="330">A241</f>
        <v>45199</v>
      </c>
      <c r="K241" s="27">
        <v>-5.8905890000000003</v>
      </c>
      <c r="L241" s="46">
        <f t="shared" ref="L241" si="331">L240*K241/100+L240</f>
        <v>3511416.1870538513</v>
      </c>
      <c r="M241" s="112"/>
      <c r="N241" s="106">
        <f>(L241/L238-1)*100</f>
        <v>-5.1355575198755439</v>
      </c>
      <c r="O241" s="39"/>
      <c r="P241" s="20">
        <f t="shared" si="314"/>
        <v>45199</v>
      </c>
      <c r="Q241" s="45">
        <v>-4.296818</v>
      </c>
      <c r="R241" s="46">
        <f t="shared" ref="R241" si="332">R240*Q241/100+R240</f>
        <v>3913964.9304152881</v>
      </c>
      <c r="S241" s="112"/>
      <c r="T241" s="106">
        <f>(R241/R238-1)*100</f>
        <v>-0.60731219096819</v>
      </c>
      <c r="U241" s="39"/>
      <c r="V241" s="61"/>
      <c r="W241" s="107">
        <v>-4.0976460000000001</v>
      </c>
    </row>
    <row r="242" spans="1:23" x14ac:dyDescent="0.25">
      <c r="A242" s="21">
        <v>45230</v>
      </c>
      <c r="B242" s="24">
        <f t="shared" si="328"/>
        <v>226</v>
      </c>
      <c r="C242" s="97" t="s">
        <v>405</v>
      </c>
      <c r="D242" s="84">
        <f>-1.909091+(1.23/12)</f>
        <v>-1.8065910000000001</v>
      </c>
      <c r="E242" s="47">
        <f t="shared" ref="E242:E243" si="333">E241*D242/100+E241</f>
        <v>5034218.1541687474</v>
      </c>
      <c r="F242" s="112"/>
      <c r="G242" s="106"/>
      <c r="I242" s="39"/>
      <c r="J242" s="20">
        <f t="shared" ref="J242:J243" si="334">A242</f>
        <v>45230</v>
      </c>
      <c r="K242" s="27">
        <v>-6.8217509999999999</v>
      </c>
      <c r="L242" s="46">
        <f t="shared" ref="L242:L243" si="335">L241*K242/100+L241</f>
        <v>3271876.1181993433</v>
      </c>
      <c r="M242" s="112"/>
      <c r="N242" s="106"/>
      <c r="O242" s="39"/>
      <c r="P242" s="20">
        <f t="shared" si="314"/>
        <v>45230</v>
      </c>
      <c r="Q242" s="45">
        <v>-2.5646770000000001</v>
      </c>
      <c r="R242" s="46">
        <f t="shared" ref="R242:R243" si="336">R241*Q242/100+R241</f>
        <v>3813584.3720568614</v>
      </c>
      <c r="S242" s="112"/>
      <c r="T242" s="106"/>
      <c r="U242" s="39"/>
      <c r="V242" s="61"/>
      <c r="W242" s="107">
        <v>-1.9090910000000001</v>
      </c>
    </row>
    <row r="243" spans="1:23" x14ac:dyDescent="0.25">
      <c r="A243" s="21">
        <v>45260</v>
      </c>
      <c r="B243" s="24">
        <f t="shared" si="328"/>
        <v>227</v>
      </c>
      <c r="C243" s="97" t="s">
        <v>405</v>
      </c>
      <c r="D243" s="84">
        <f>6.677194+(1.23/12)</f>
        <v>6.7796940000000001</v>
      </c>
      <c r="E243" s="47">
        <f t="shared" si="333"/>
        <v>5375522.7403138364</v>
      </c>
      <c r="F243" s="112"/>
      <c r="G243" s="106"/>
      <c r="I243" s="39"/>
      <c r="J243" s="20">
        <f t="shared" si="334"/>
        <v>45260</v>
      </c>
      <c r="K243" s="27">
        <v>9.028518</v>
      </c>
      <c r="L243" s="46">
        <f t="shared" si="335"/>
        <v>3567278.0424686722</v>
      </c>
      <c r="M243" s="112"/>
      <c r="N243" s="106"/>
      <c r="O243" s="39"/>
      <c r="P243" s="20">
        <f t="shared" si="314"/>
        <v>45260</v>
      </c>
      <c r="Q243" s="45">
        <v>6.0607249999999997</v>
      </c>
      <c r="R243" s="46">
        <f t="shared" si="336"/>
        <v>4044715.2334902044</v>
      </c>
      <c r="S243" s="112"/>
      <c r="T243" s="106"/>
      <c r="U243" s="39"/>
      <c r="V243" s="61"/>
      <c r="W243" s="107">
        <v>6.6771940000000001</v>
      </c>
    </row>
    <row r="244" spans="1:23" x14ac:dyDescent="0.25">
      <c r="A244" s="21">
        <v>45291</v>
      </c>
      <c r="B244" s="24">
        <f t="shared" si="328"/>
        <v>228</v>
      </c>
      <c r="C244" s="97" t="s">
        <v>405</v>
      </c>
      <c r="D244" s="84">
        <f>9.305997+(1.23/12)</f>
        <v>9.4084969999999988</v>
      </c>
      <c r="E244" s="47">
        <f t="shared" ref="E244" si="337">E243*D244/100+E243</f>
        <v>5881278.6360705812</v>
      </c>
      <c r="F244" s="112">
        <f t="shared" ref="F244" si="338">(E244/E$232-1)*100</f>
        <v>13.583111253327962</v>
      </c>
      <c r="G244" s="106">
        <f>(E244/E241-1)*100</f>
        <v>14.715489251577395</v>
      </c>
      <c r="I244" s="39"/>
      <c r="J244" s="20">
        <f t="shared" ref="J244:J247" si="339">A244</f>
        <v>45291</v>
      </c>
      <c r="K244" s="27">
        <v>12.23072</v>
      </c>
      <c r="L244" s="46">
        <f t="shared" ref="L244:L247" si="340">L243*K244/100+L243</f>
        <v>4003581.8314644964</v>
      </c>
      <c r="M244" s="112">
        <f t="shared" ref="M244" si="341">(L244/L$232-1)*100</f>
        <v>16.880006471677866</v>
      </c>
      <c r="N244" s="106">
        <f>(L244/L241-1)*100</f>
        <v>14.01615810239749</v>
      </c>
      <c r="O244" s="39"/>
      <c r="P244" s="20">
        <f t="shared" si="314"/>
        <v>45291</v>
      </c>
      <c r="Q244" s="45">
        <v>9.2551000000000005</v>
      </c>
      <c r="R244" s="46">
        <f t="shared" ref="R244" si="342">R243*Q244/100+R243</f>
        <v>4419057.6730649564</v>
      </c>
      <c r="S244" s="112">
        <f t="shared" ref="S244" si="343">(R244/R$232-1)*100</f>
        <v>1.4314161511375989</v>
      </c>
      <c r="T244" s="106">
        <f>(R244/R241-1)*100</f>
        <v>12.904886774140722</v>
      </c>
      <c r="U244" s="39"/>
      <c r="V244" s="61">
        <f t="shared" ref="V244" si="344">STDEVP(Q209:Q244)*SQRT(12)</f>
        <v>18.249585194670555</v>
      </c>
      <c r="W244" s="107">
        <v>9.3059969999999996</v>
      </c>
    </row>
    <row r="245" spans="1:23" x14ac:dyDescent="0.25">
      <c r="A245" s="21">
        <v>45322</v>
      </c>
      <c r="B245" s="24">
        <f t="shared" si="328"/>
        <v>229</v>
      </c>
      <c r="D245" s="84"/>
      <c r="I245" s="39"/>
      <c r="J245" s="20">
        <f t="shared" si="339"/>
        <v>45322</v>
      </c>
      <c r="K245" s="27">
        <v>-3.8897680000000001</v>
      </c>
      <c r="L245" s="46">
        <f t="shared" si="340"/>
        <v>3847851.7865303764</v>
      </c>
      <c r="O245" s="39"/>
      <c r="Q245" s="27"/>
    </row>
    <row r="246" spans="1:23" x14ac:dyDescent="0.25">
      <c r="A246" s="21">
        <v>45351</v>
      </c>
      <c r="B246" s="24">
        <f t="shared" ref="B246:B250" si="345">IF(A246&gt;A245,1+B245,"-")</f>
        <v>230</v>
      </c>
      <c r="D246" s="84"/>
      <c r="I246" s="39"/>
      <c r="J246" s="20">
        <f t="shared" si="339"/>
        <v>45351</v>
      </c>
      <c r="K246" s="27">
        <v>5.6506040000000004</v>
      </c>
      <c r="L246" s="46">
        <f t="shared" si="340"/>
        <v>4065278.6534941331</v>
      </c>
      <c r="O246" s="39"/>
      <c r="Q246" s="27"/>
    </row>
    <row r="247" spans="1:23" x14ac:dyDescent="0.25">
      <c r="A247" s="21">
        <v>45382</v>
      </c>
      <c r="B247" s="24">
        <f t="shared" si="345"/>
        <v>231</v>
      </c>
      <c r="D247" s="84"/>
      <c r="I247" s="39"/>
      <c r="J247" s="20">
        <f t="shared" si="339"/>
        <v>45382</v>
      </c>
      <c r="K247" s="27">
        <v>3.5787599999999999</v>
      </c>
      <c r="L247" s="46">
        <f t="shared" si="340"/>
        <v>4210765.2198339198</v>
      </c>
      <c r="M247" s="112"/>
      <c r="N247" s="106">
        <f>(L247/L244-1)*100</f>
        <v>5.1749507588717547</v>
      </c>
      <c r="O247" s="39"/>
      <c r="Q247" s="27"/>
    </row>
    <row r="248" spans="1:23" x14ac:dyDescent="0.25">
      <c r="A248" s="21">
        <v>45412</v>
      </c>
      <c r="B248" s="24">
        <f t="shared" si="345"/>
        <v>232</v>
      </c>
      <c r="D248" s="84"/>
      <c r="I248" s="39"/>
      <c r="J248" s="20">
        <f t="shared" ref="J248:J250" si="346">A248</f>
        <v>45412</v>
      </c>
      <c r="K248" s="27">
        <v>-7.0382660000000001</v>
      </c>
      <c r="L248" s="46">
        <f t="shared" ref="L248:L256" si="347">L247*K248/100+L247</f>
        <v>3914400.363026524</v>
      </c>
      <c r="M248" s="112"/>
      <c r="N248" s="106"/>
      <c r="O248" s="39"/>
      <c r="Q248" s="27"/>
    </row>
    <row r="249" spans="1:23" x14ac:dyDescent="0.25">
      <c r="A249" s="21">
        <v>45443</v>
      </c>
      <c r="B249" s="24">
        <f t="shared" si="345"/>
        <v>233</v>
      </c>
      <c r="D249" s="84"/>
      <c r="I249" s="39"/>
      <c r="J249" s="20">
        <f t="shared" si="346"/>
        <v>45443</v>
      </c>
      <c r="K249" s="27">
        <v>5.0208769999999996</v>
      </c>
      <c r="L249" s="46">
        <f t="shared" si="347"/>
        <v>4110937.5905416394</v>
      </c>
      <c r="M249" s="112"/>
      <c r="N249" s="106"/>
      <c r="O249" s="39"/>
      <c r="Q249" s="27"/>
    </row>
    <row r="250" spans="1:23" x14ac:dyDescent="0.25">
      <c r="A250" s="21">
        <v>45473</v>
      </c>
      <c r="B250" s="24">
        <f t="shared" si="345"/>
        <v>234</v>
      </c>
      <c r="D250" s="84"/>
      <c r="I250" s="39"/>
      <c r="J250" s="20">
        <f t="shared" si="346"/>
        <v>45473</v>
      </c>
      <c r="K250" s="27">
        <v>-0.92645219999999995</v>
      </c>
      <c r="L250" s="46">
        <f t="shared" si="347"/>
        <v>4072851.7187934392</v>
      </c>
      <c r="M250" s="112"/>
      <c r="N250" s="106">
        <f t="shared" ref="N250" si="348">(L250/L247-1)*100</f>
        <v>-3.2752598124176635</v>
      </c>
      <c r="O250" s="39"/>
      <c r="Q250" s="27"/>
    </row>
    <row r="251" spans="1:23" x14ac:dyDescent="0.25">
      <c r="A251" s="21">
        <v>45504</v>
      </c>
      <c r="B251" s="24">
        <f t="shared" ref="B251:B256" si="349">IF(A251&gt;A250,1+B250,"-")</f>
        <v>235</v>
      </c>
      <c r="D251" s="84"/>
      <c r="I251" s="39"/>
      <c r="J251" s="20">
        <f t="shared" ref="J251:J256" si="350">A251</f>
        <v>45504</v>
      </c>
      <c r="K251" s="27">
        <v>10.15991</v>
      </c>
      <c r="L251" s="46">
        <f t="shared" si="347"/>
        <v>4486649.7878563059</v>
      </c>
      <c r="Q251" s="27"/>
    </row>
    <row r="252" spans="1:23" x14ac:dyDescent="0.25">
      <c r="A252" s="21">
        <v>45535</v>
      </c>
      <c r="B252" s="24">
        <f t="shared" si="349"/>
        <v>236</v>
      </c>
      <c r="I252" s="39"/>
      <c r="J252" s="20">
        <f t="shared" si="350"/>
        <v>45535</v>
      </c>
      <c r="K252" s="27">
        <v>-1.4953719999999999</v>
      </c>
      <c r="L252" s="46">
        <f t="shared" si="347"/>
        <v>4419557.6831906438</v>
      </c>
      <c r="Q252" s="27"/>
    </row>
    <row r="253" spans="1:23" x14ac:dyDescent="0.25">
      <c r="A253" s="21">
        <v>45565</v>
      </c>
      <c r="B253" s="24">
        <f t="shared" si="349"/>
        <v>237</v>
      </c>
      <c r="I253" s="39"/>
      <c r="J253" s="20">
        <f t="shared" si="350"/>
        <v>45565</v>
      </c>
      <c r="K253" s="27">
        <v>0.69889100000000004</v>
      </c>
      <c r="L253" s="46">
        <f t="shared" si="347"/>
        <v>4450445.5740782721</v>
      </c>
      <c r="N253" s="106">
        <f t="shared" ref="N253" si="351">(L253/L250-1)*100</f>
        <v>9.2709944126493582</v>
      </c>
      <c r="Q253" s="27"/>
    </row>
    <row r="254" spans="1:23" x14ac:dyDescent="0.25">
      <c r="A254" s="21">
        <v>45596</v>
      </c>
      <c r="B254" s="24">
        <f t="shared" si="349"/>
        <v>238</v>
      </c>
      <c r="I254" s="39"/>
      <c r="J254" s="20">
        <f t="shared" si="350"/>
        <v>45596</v>
      </c>
      <c r="K254" s="27">
        <v>-1.4444090000000001</v>
      </c>
      <c r="L254" s="46">
        <f t="shared" si="347"/>
        <v>4386162.9376661843</v>
      </c>
      <c r="Q254" s="27"/>
    </row>
    <row r="255" spans="1:23" x14ac:dyDescent="0.25">
      <c r="A255" s="21">
        <v>45626</v>
      </c>
      <c r="B255" s="24">
        <f t="shared" si="349"/>
        <v>239</v>
      </c>
      <c r="I255" s="39"/>
      <c r="J255" s="20">
        <f t="shared" si="350"/>
        <v>45626</v>
      </c>
      <c r="K255" s="27">
        <v>10.96611</v>
      </c>
      <c r="L255" s="46">
        <f t="shared" si="347"/>
        <v>4867154.3901898898</v>
      </c>
      <c r="Q255" s="27"/>
    </row>
    <row r="256" spans="1:23" x14ac:dyDescent="0.25">
      <c r="A256" s="21">
        <v>45657</v>
      </c>
      <c r="B256" s="24">
        <f t="shared" si="349"/>
        <v>240</v>
      </c>
      <c r="I256" s="39"/>
      <c r="J256" s="20">
        <f t="shared" si="350"/>
        <v>45657</v>
      </c>
      <c r="K256" s="27">
        <v>-8.261158</v>
      </c>
      <c r="L256" s="46">
        <f t="shared" si="347"/>
        <v>4465071.0759123666</v>
      </c>
      <c r="M256" s="112">
        <f t="shared" ref="M256" si="352">(L256/L$244-1)*100</f>
        <v>11.526909249637063</v>
      </c>
      <c r="N256" s="106">
        <f t="shared" ref="N256" si="353">(L256/L253-1)*100</f>
        <v>0.32863005716283755</v>
      </c>
      <c r="Q256" s="27"/>
    </row>
    <row r="257" spans="2:17" x14ac:dyDescent="0.25">
      <c r="B257" s="24"/>
      <c r="Q257" s="27"/>
    </row>
    <row r="258" spans="2:17" x14ac:dyDescent="0.25">
      <c r="B258" s="24"/>
      <c r="K258" s="27"/>
      <c r="Q258" s="27"/>
    </row>
    <row r="259" spans="2:17" x14ac:dyDescent="0.25">
      <c r="B259" s="24"/>
      <c r="J259" t="s">
        <v>98</v>
      </c>
      <c r="K259" s="29">
        <f>_xll.BDP(J$259&amp;" US EQUITY","cust trr return holding per","cust trr start dt",TEXT($A243,"YYYYMMDD"),"cust trr end dt",TEXT($A244,"YYYYMMDD"))</f>
        <v>9.3059969999999996</v>
      </c>
      <c r="Q259" s="27"/>
    </row>
    <row r="260" spans="2:17" x14ac:dyDescent="0.25">
      <c r="B260" s="24"/>
      <c r="J260" t="s">
        <v>105</v>
      </c>
      <c r="K260" s="29">
        <f>_xll.BDP(J$260&amp;" INDEX","cust trr return holding per","cust trr start dt",TEXT($A243,"YYYYMMDD"),"cust trr end dt",TEXT($A244,"YYYYMMDD"))</f>
        <v>12.23072</v>
      </c>
      <c r="Q260" s="27"/>
    </row>
    <row r="261" spans="2:17" x14ac:dyDescent="0.25">
      <c r="B261" s="24"/>
      <c r="J261" t="s">
        <v>328</v>
      </c>
      <c r="K261" s="29">
        <f>_xll.BDP(J$261&amp;" INDEX","cust trr return holding per","cust trr start dt",TEXT($A243,"YYYYMMDD"),"cust trr end dt",TEXT($A244,"YYYYMMDD"))</f>
        <v>9.2551000000000005</v>
      </c>
      <c r="Q261" s="27"/>
    </row>
    <row r="262" spans="2:17" x14ac:dyDescent="0.25">
      <c r="B262" s="24"/>
      <c r="K262" s="27"/>
      <c r="Q262" s="27"/>
    </row>
    <row r="263" spans="2:17" x14ac:dyDescent="0.25">
      <c r="B263" s="24"/>
      <c r="K263" s="27"/>
      <c r="Q263" s="27"/>
    </row>
    <row r="264" spans="2:17" x14ac:dyDescent="0.25">
      <c r="B264" s="24"/>
      <c r="K264" s="27"/>
      <c r="Q264" s="27"/>
    </row>
    <row r="265" spans="2:17" x14ac:dyDescent="0.25">
      <c r="B265" s="24"/>
      <c r="K265" s="27"/>
      <c r="Q265" s="27"/>
    </row>
    <row r="266" spans="2:17" x14ac:dyDescent="0.25">
      <c r="B266" s="24"/>
      <c r="K266" s="27"/>
      <c r="Q266" s="27"/>
    </row>
    <row r="267" spans="2:17" x14ac:dyDescent="0.25">
      <c r="B267" s="24"/>
      <c r="K267" s="27"/>
      <c r="Q267" s="27"/>
    </row>
    <row r="268" spans="2:17" x14ac:dyDescent="0.25">
      <c r="B268" s="24"/>
      <c r="K268" s="27"/>
      <c r="Q268" s="27"/>
    </row>
    <row r="269" spans="2:17" x14ac:dyDescent="0.25">
      <c r="B269" s="24"/>
      <c r="K269" s="27"/>
      <c r="Q269" s="27"/>
    </row>
    <row r="270" spans="2:17" x14ac:dyDescent="0.25">
      <c r="B270" s="24"/>
      <c r="K270" s="27"/>
      <c r="Q270" s="27"/>
    </row>
    <row r="271" spans="2:17" x14ac:dyDescent="0.25">
      <c r="B271" s="24"/>
      <c r="K271" s="27"/>
      <c r="Q271" s="27"/>
    </row>
    <row r="272" spans="2:17" x14ac:dyDescent="0.25">
      <c r="B272" s="24"/>
      <c r="K272" s="27"/>
      <c r="Q272" s="27"/>
    </row>
    <row r="273" spans="2:17" x14ac:dyDescent="0.25">
      <c r="B273" s="24"/>
      <c r="K273" s="27"/>
      <c r="Q273" s="27"/>
    </row>
    <row r="274" spans="2:17" x14ac:dyDescent="0.25">
      <c r="B274" s="24"/>
      <c r="K274" s="27"/>
      <c r="Q274" s="27"/>
    </row>
    <row r="275" spans="2:17" x14ac:dyDescent="0.25">
      <c r="B275" s="24"/>
      <c r="K275" s="27"/>
      <c r="Q275" s="27"/>
    </row>
    <row r="276" spans="2:17" x14ac:dyDescent="0.25">
      <c r="B276" s="24"/>
      <c r="K276" s="27"/>
      <c r="Q276" s="27"/>
    </row>
    <row r="277" spans="2:17" x14ac:dyDescent="0.25">
      <c r="B277" s="24"/>
      <c r="K277" s="27"/>
      <c r="Q277" s="27"/>
    </row>
    <row r="278" spans="2:17" x14ac:dyDescent="0.25">
      <c r="B278" s="24"/>
      <c r="K278" s="27"/>
      <c r="Q278" s="27"/>
    </row>
    <row r="279" spans="2:17" x14ac:dyDescent="0.25">
      <c r="B279" s="24"/>
      <c r="K279" s="27"/>
      <c r="Q279" s="27"/>
    </row>
    <row r="280" spans="2:17" x14ac:dyDescent="0.25">
      <c r="B280" s="24"/>
      <c r="K280" s="27"/>
      <c r="Q280" s="27"/>
    </row>
    <row r="281" spans="2:17" x14ac:dyDescent="0.25">
      <c r="B281" s="24"/>
      <c r="K281" s="27"/>
      <c r="Q281" s="27"/>
    </row>
    <row r="282" spans="2:17" x14ac:dyDescent="0.25">
      <c r="B282" s="24"/>
      <c r="K282" s="27"/>
      <c r="Q282" s="27"/>
    </row>
    <row r="283" spans="2:17" x14ac:dyDescent="0.25">
      <c r="B283" s="24"/>
      <c r="K283" s="27"/>
      <c r="Q283" s="27"/>
    </row>
    <row r="284" spans="2:17" x14ac:dyDescent="0.25">
      <c r="B284" s="24"/>
      <c r="K284" s="27"/>
      <c r="Q284" s="27"/>
    </row>
    <row r="285" spans="2:17" x14ac:dyDescent="0.25">
      <c r="B285" s="24"/>
      <c r="K285" s="27"/>
      <c r="Q285" s="27"/>
    </row>
    <row r="286" spans="2:17" x14ac:dyDescent="0.25">
      <c r="B286" s="24"/>
      <c r="K286" s="27"/>
      <c r="Q286" s="27"/>
    </row>
    <row r="287" spans="2:17" x14ac:dyDescent="0.25">
      <c r="B287" s="24"/>
      <c r="K287" s="27"/>
      <c r="Q287" s="27"/>
    </row>
    <row r="288" spans="2:17" x14ac:dyDescent="0.25">
      <c r="B288" s="24"/>
      <c r="K288" s="27"/>
      <c r="Q288" s="27"/>
    </row>
    <row r="289" spans="2:17" x14ac:dyDescent="0.25">
      <c r="B289" s="24"/>
      <c r="K289" s="27"/>
      <c r="Q289" s="27"/>
    </row>
    <row r="290" spans="2:17" x14ac:dyDescent="0.25">
      <c r="B290" s="24"/>
      <c r="K290" s="27"/>
      <c r="Q290" s="27"/>
    </row>
    <row r="291" spans="2:17" x14ac:dyDescent="0.25">
      <c r="B291" s="24"/>
      <c r="K291" s="27"/>
      <c r="Q291" s="27"/>
    </row>
    <row r="292" spans="2:17" x14ac:dyDescent="0.25">
      <c r="B292" s="24"/>
      <c r="K292" s="27"/>
      <c r="Q292" s="27"/>
    </row>
    <row r="293" spans="2:17" x14ac:dyDescent="0.25">
      <c r="B293" s="24"/>
      <c r="K293" s="27"/>
      <c r="Q293" s="27"/>
    </row>
    <row r="294" spans="2:17" x14ac:dyDescent="0.25">
      <c r="B294" s="24"/>
      <c r="K294" s="27"/>
      <c r="Q294" s="27"/>
    </row>
    <row r="295" spans="2:17" x14ac:dyDescent="0.25">
      <c r="B295" s="24"/>
      <c r="K295" s="27"/>
      <c r="Q295" s="27"/>
    </row>
    <row r="296" spans="2:17" x14ac:dyDescent="0.25">
      <c r="B296" s="24"/>
      <c r="K296" s="27"/>
      <c r="Q296" s="27"/>
    </row>
    <row r="297" spans="2:17" x14ac:dyDescent="0.25">
      <c r="B297" s="24"/>
      <c r="K297" s="27"/>
      <c r="Q297" s="27"/>
    </row>
    <row r="298" spans="2:17" x14ac:dyDescent="0.25">
      <c r="B298" s="24"/>
      <c r="K298" s="27"/>
      <c r="Q298" s="27"/>
    </row>
    <row r="299" spans="2:17" x14ac:dyDescent="0.25">
      <c r="B299" s="24"/>
      <c r="K299" s="27"/>
      <c r="Q299" s="27"/>
    </row>
    <row r="300" spans="2:17" x14ac:dyDescent="0.25">
      <c r="B300" s="24"/>
      <c r="K300" s="27"/>
      <c r="Q300" s="27"/>
    </row>
    <row r="301" spans="2:17" x14ac:dyDescent="0.25">
      <c r="B301" s="24"/>
      <c r="K301" s="27"/>
      <c r="Q301" s="27"/>
    </row>
    <row r="302" spans="2:17" x14ac:dyDescent="0.25">
      <c r="B302" s="24"/>
      <c r="K302" s="27"/>
      <c r="Q302" s="27"/>
    </row>
    <row r="303" spans="2:17" x14ac:dyDescent="0.25">
      <c r="B303" s="24"/>
      <c r="K303" s="27"/>
      <c r="Q303" s="27"/>
    </row>
    <row r="304" spans="2:17" x14ac:dyDescent="0.25">
      <c r="B304" s="24"/>
      <c r="K304" s="27"/>
      <c r="Q304" s="27"/>
    </row>
    <row r="305" spans="2:17" x14ac:dyDescent="0.25">
      <c r="B305" s="24"/>
      <c r="K305" s="27"/>
      <c r="Q305" s="27"/>
    </row>
    <row r="306" spans="2:17" x14ac:dyDescent="0.25">
      <c r="B306" s="24"/>
      <c r="K306" s="27"/>
      <c r="Q306" s="27"/>
    </row>
    <row r="307" spans="2:17" x14ac:dyDescent="0.25">
      <c r="B307" s="24"/>
      <c r="K307" s="27"/>
      <c r="Q307" s="27"/>
    </row>
    <row r="308" spans="2:17" x14ac:dyDescent="0.25">
      <c r="B308" s="24"/>
      <c r="K308" s="27"/>
      <c r="Q308" s="27"/>
    </row>
    <row r="309" spans="2:17" x14ac:dyDescent="0.25">
      <c r="B309" s="24"/>
      <c r="K309" s="27"/>
      <c r="Q309" s="27"/>
    </row>
    <row r="310" spans="2:17" x14ac:dyDescent="0.25">
      <c r="B310" s="24"/>
      <c r="K310" s="27"/>
      <c r="Q310" s="27"/>
    </row>
    <row r="311" spans="2:17" x14ac:dyDescent="0.25">
      <c r="B311" s="24"/>
      <c r="K311" s="27"/>
      <c r="Q311" s="27"/>
    </row>
    <row r="312" spans="2:17" x14ac:dyDescent="0.25">
      <c r="B312" s="24"/>
      <c r="K312" s="27"/>
      <c r="Q312" s="27"/>
    </row>
    <row r="313" spans="2:17" x14ac:dyDescent="0.25">
      <c r="B313" s="24"/>
      <c r="K313" s="27"/>
      <c r="Q313" s="27"/>
    </row>
    <row r="314" spans="2:17" x14ac:dyDescent="0.25">
      <c r="B314" s="24"/>
      <c r="K314" s="27"/>
      <c r="Q314" s="27"/>
    </row>
    <row r="315" spans="2:17" x14ac:dyDescent="0.25">
      <c r="B315" s="24"/>
      <c r="K315" s="27"/>
      <c r="Q315" s="27"/>
    </row>
    <row r="316" spans="2:17" x14ac:dyDescent="0.25">
      <c r="B316" s="24"/>
      <c r="K316" s="27"/>
      <c r="Q316" s="27"/>
    </row>
    <row r="317" spans="2:17" x14ac:dyDescent="0.25">
      <c r="B317" s="24"/>
      <c r="K317" s="27"/>
      <c r="Q317" s="27"/>
    </row>
    <row r="318" spans="2:17" x14ac:dyDescent="0.25">
      <c r="B318" s="24"/>
      <c r="K318" s="27"/>
      <c r="Q318" s="27"/>
    </row>
    <row r="319" spans="2:17" x14ac:dyDescent="0.25">
      <c r="B319" s="24"/>
      <c r="K319" s="27"/>
      <c r="Q319" s="27"/>
    </row>
    <row r="320" spans="2:17" x14ac:dyDescent="0.25">
      <c r="B320" s="24"/>
      <c r="K320" s="27"/>
      <c r="Q320" s="27"/>
    </row>
    <row r="321" spans="2:17" x14ac:dyDescent="0.25">
      <c r="B321" s="24"/>
      <c r="K321" s="27"/>
      <c r="Q321" s="27"/>
    </row>
    <row r="322" spans="2:17" x14ac:dyDescent="0.25">
      <c r="B322" s="24"/>
      <c r="K322" s="27"/>
      <c r="Q322" s="27"/>
    </row>
    <row r="323" spans="2:17" x14ac:dyDescent="0.25">
      <c r="B323" s="24"/>
      <c r="K323" s="27"/>
      <c r="Q323" s="27"/>
    </row>
    <row r="324" spans="2:17" x14ac:dyDescent="0.25">
      <c r="B324" s="24"/>
      <c r="K324" s="27"/>
      <c r="Q324" s="27"/>
    </row>
    <row r="325" spans="2:17" x14ac:dyDescent="0.25">
      <c r="B325" s="24"/>
      <c r="K325" s="27"/>
      <c r="Q325" s="27"/>
    </row>
    <row r="326" spans="2:17" x14ac:dyDescent="0.25">
      <c r="B326" s="24"/>
      <c r="K326" s="27"/>
      <c r="Q326" s="27"/>
    </row>
    <row r="327" spans="2:17" x14ac:dyDescent="0.25">
      <c r="B327" s="24"/>
      <c r="K327" s="27"/>
      <c r="Q327" s="27"/>
    </row>
    <row r="328" spans="2:17" x14ac:dyDescent="0.25">
      <c r="B328" s="24"/>
      <c r="K328" s="27"/>
      <c r="Q328" s="27"/>
    </row>
    <row r="329" spans="2:17" x14ac:dyDescent="0.25">
      <c r="B329" s="24"/>
      <c r="K329" s="27"/>
      <c r="Q329" s="27"/>
    </row>
    <row r="330" spans="2:17" x14ac:dyDescent="0.25">
      <c r="B330" s="24"/>
      <c r="K330" s="27"/>
      <c r="Q330" s="27"/>
    </row>
    <row r="331" spans="2:17" x14ac:dyDescent="0.25">
      <c r="B331" s="24"/>
      <c r="K331" s="27"/>
      <c r="Q331" s="27"/>
    </row>
    <row r="332" spans="2:17" x14ac:dyDescent="0.25">
      <c r="B332" s="24"/>
      <c r="K332" s="27"/>
      <c r="Q332" s="27"/>
    </row>
    <row r="333" spans="2:17" x14ac:dyDescent="0.25">
      <c r="B333" s="24"/>
      <c r="K333" s="27"/>
      <c r="Q333" s="27"/>
    </row>
    <row r="334" spans="2:17" x14ac:dyDescent="0.25">
      <c r="B334" s="24"/>
      <c r="K334" s="27"/>
      <c r="Q334" s="27"/>
    </row>
    <row r="335" spans="2:17" x14ac:dyDescent="0.25">
      <c r="B335" s="24"/>
      <c r="K335" s="27"/>
      <c r="Q335" s="27"/>
    </row>
    <row r="336" spans="2:17" x14ac:dyDescent="0.25">
      <c r="B336" s="24"/>
      <c r="K336" s="27"/>
      <c r="Q336" s="27"/>
    </row>
    <row r="337" spans="2:17" x14ac:dyDescent="0.25">
      <c r="B337" s="24"/>
      <c r="K337" s="27"/>
      <c r="Q337" s="27"/>
    </row>
    <row r="338" spans="2:17" x14ac:dyDescent="0.25">
      <c r="B338" s="24"/>
      <c r="K338" s="27"/>
      <c r="Q338" s="27"/>
    </row>
    <row r="339" spans="2:17" x14ac:dyDescent="0.25">
      <c r="B339" s="24"/>
      <c r="K339" s="27"/>
      <c r="Q339" s="27"/>
    </row>
    <row r="340" spans="2:17" x14ac:dyDescent="0.25">
      <c r="B340" s="24"/>
      <c r="K340" s="27"/>
      <c r="Q340" s="27"/>
    </row>
    <row r="341" spans="2:17" x14ac:dyDescent="0.25">
      <c r="B341" s="24"/>
      <c r="K341" s="27"/>
      <c r="Q341" s="27"/>
    </row>
    <row r="342" spans="2:17" x14ac:dyDescent="0.25">
      <c r="B342" s="24"/>
      <c r="K342" s="27"/>
      <c r="Q342" s="27"/>
    </row>
    <row r="343" spans="2:17" x14ac:dyDescent="0.25">
      <c r="B343" s="24"/>
      <c r="K343" s="27"/>
      <c r="Q343" s="27"/>
    </row>
    <row r="344" spans="2:17" x14ac:dyDescent="0.25">
      <c r="B344" s="24"/>
      <c r="K344" s="27"/>
      <c r="Q344" s="27"/>
    </row>
    <row r="345" spans="2:17" x14ac:dyDescent="0.25">
      <c r="B345" s="24"/>
      <c r="K345" s="27"/>
      <c r="Q345" s="27"/>
    </row>
    <row r="346" spans="2:17" x14ac:dyDescent="0.25">
      <c r="B346" s="24"/>
      <c r="K346" s="27"/>
      <c r="Q346" s="27"/>
    </row>
    <row r="347" spans="2:17" x14ac:dyDescent="0.25">
      <c r="B347" s="24"/>
      <c r="K347" s="27"/>
      <c r="Q347" s="27"/>
    </row>
    <row r="348" spans="2:17" x14ac:dyDescent="0.25">
      <c r="B348" s="24"/>
      <c r="K348" s="27"/>
      <c r="Q348" s="27"/>
    </row>
    <row r="349" spans="2:17" x14ac:dyDescent="0.25">
      <c r="B349" s="24"/>
      <c r="K349" s="27"/>
      <c r="Q349" s="27"/>
    </row>
    <row r="350" spans="2:17" x14ac:dyDescent="0.25">
      <c r="B350" s="24"/>
      <c r="K350" s="27"/>
      <c r="Q350" s="27"/>
    </row>
    <row r="351" spans="2:17" x14ac:dyDescent="0.25">
      <c r="B351" s="24"/>
      <c r="K351" s="27"/>
      <c r="Q351" s="27"/>
    </row>
    <row r="352" spans="2:17" x14ac:dyDescent="0.25">
      <c r="B352" s="24"/>
      <c r="K352" s="27"/>
      <c r="Q352" s="27"/>
    </row>
    <row r="353" spans="2:17" x14ac:dyDescent="0.25">
      <c r="B353" s="24"/>
      <c r="K353" s="27"/>
      <c r="Q353" s="27"/>
    </row>
    <row r="354" spans="2:17" x14ac:dyDescent="0.25">
      <c r="B354" s="24"/>
      <c r="K354" s="27"/>
      <c r="Q354" s="27"/>
    </row>
    <row r="355" spans="2:17" x14ac:dyDescent="0.25">
      <c r="B355" s="24"/>
      <c r="K355" s="27"/>
      <c r="Q355" s="27"/>
    </row>
    <row r="356" spans="2:17" x14ac:dyDescent="0.25">
      <c r="B356" s="24"/>
      <c r="K356" s="27"/>
      <c r="Q356" s="27"/>
    </row>
    <row r="357" spans="2:17" x14ac:dyDescent="0.25">
      <c r="B357" s="24"/>
      <c r="K357" s="27"/>
      <c r="Q357" s="27"/>
    </row>
    <row r="358" spans="2:17" x14ac:dyDescent="0.25">
      <c r="B358" s="24"/>
      <c r="K358" s="27"/>
      <c r="Q358" s="27"/>
    </row>
    <row r="359" spans="2:17" x14ac:dyDescent="0.25">
      <c r="B359" s="24"/>
      <c r="K359" s="27"/>
      <c r="Q359" s="27"/>
    </row>
    <row r="360" spans="2:17" x14ac:dyDescent="0.25">
      <c r="B360" s="24"/>
    </row>
    <row r="361" spans="2:17" x14ac:dyDescent="0.25">
      <c r="B361" s="24"/>
    </row>
    <row r="362" spans="2:17" x14ac:dyDescent="0.25">
      <c r="B362" s="24"/>
    </row>
    <row r="363" spans="2:17" x14ac:dyDescent="0.25">
      <c r="B363" s="24"/>
    </row>
    <row r="364" spans="2:17" x14ac:dyDescent="0.25">
      <c r="B364" s="24"/>
    </row>
    <row r="365" spans="2:17" x14ac:dyDescent="0.25">
      <c r="B365" s="24"/>
    </row>
    <row r="366" spans="2:17" x14ac:dyDescent="0.25">
      <c r="B366" s="24"/>
    </row>
    <row r="367" spans="2:17" x14ac:dyDescent="0.25">
      <c r="B367" s="24"/>
    </row>
    <row r="368" spans="2:17" x14ac:dyDescent="0.25">
      <c r="B368" s="24"/>
    </row>
    <row r="369" spans="2:2" x14ac:dyDescent="0.25">
      <c r="B369" s="24"/>
    </row>
    <row r="370" spans="2:2" x14ac:dyDescent="0.25">
      <c r="B370" s="24"/>
    </row>
    <row r="371" spans="2:2" x14ac:dyDescent="0.25">
      <c r="B371" s="24"/>
    </row>
    <row r="372" spans="2:2" x14ac:dyDescent="0.25">
      <c r="B372" s="24"/>
    </row>
    <row r="373" spans="2:2" x14ac:dyDescent="0.25">
      <c r="B373" s="24"/>
    </row>
    <row r="374" spans="2:2" x14ac:dyDescent="0.25">
      <c r="B374" s="24"/>
    </row>
    <row r="375" spans="2:2" x14ac:dyDescent="0.25">
      <c r="B375" s="24"/>
    </row>
    <row r="376" spans="2:2" x14ac:dyDescent="0.25">
      <c r="B376" s="24"/>
    </row>
    <row r="377" spans="2:2" x14ac:dyDescent="0.25">
      <c r="B377" s="24"/>
    </row>
    <row r="378" spans="2:2" x14ac:dyDescent="0.25">
      <c r="B378" s="24"/>
    </row>
    <row r="379" spans="2:2" x14ac:dyDescent="0.25">
      <c r="B379" s="24"/>
    </row>
    <row r="380" spans="2:2" x14ac:dyDescent="0.25">
      <c r="B380" s="24"/>
    </row>
    <row r="381" spans="2:2" x14ac:dyDescent="0.25">
      <c r="B381" s="24"/>
    </row>
    <row r="382" spans="2:2" x14ac:dyDescent="0.25">
      <c r="B382" s="24"/>
    </row>
    <row r="383" spans="2:2" x14ac:dyDescent="0.25">
      <c r="B383" s="24"/>
    </row>
    <row r="384" spans="2:2" x14ac:dyDescent="0.25">
      <c r="B384" s="24"/>
    </row>
    <row r="385" spans="2:2" x14ac:dyDescent="0.25">
      <c r="B385" s="24"/>
    </row>
    <row r="386" spans="2:2" x14ac:dyDescent="0.25">
      <c r="B386" s="24"/>
    </row>
    <row r="387" spans="2:2" x14ac:dyDescent="0.25">
      <c r="B387" s="24"/>
    </row>
    <row r="388" spans="2:2" x14ac:dyDescent="0.25">
      <c r="B388" s="24"/>
    </row>
    <row r="389" spans="2:2" x14ac:dyDescent="0.25">
      <c r="B389" s="24"/>
    </row>
    <row r="390" spans="2:2" x14ac:dyDescent="0.25">
      <c r="B390" s="24"/>
    </row>
    <row r="391" spans="2:2" x14ac:dyDescent="0.25">
      <c r="B391" s="24"/>
    </row>
    <row r="392" spans="2:2" x14ac:dyDescent="0.25">
      <c r="B392" s="24"/>
    </row>
    <row r="393" spans="2:2" x14ac:dyDescent="0.25">
      <c r="B393" s="24"/>
    </row>
    <row r="394" spans="2:2" x14ac:dyDescent="0.25">
      <c r="B394" s="24"/>
    </row>
    <row r="395" spans="2:2" x14ac:dyDescent="0.25">
      <c r="B395" s="24"/>
    </row>
    <row r="396" spans="2:2" x14ac:dyDescent="0.25">
      <c r="B396" s="24"/>
    </row>
    <row r="397" spans="2:2" x14ac:dyDescent="0.25">
      <c r="B397" s="24"/>
    </row>
    <row r="398" spans="2:2" x14ac:dyDescent="0.25">
      <c r="B398" s="24"/>
    </row>
    <row r="399" spans="2:2" x14ac:dyDescent="0.25">
      <c r="B399" s="24"/>
    </row>
    <row r="400" spans="2:2" x14ac:dyDescent="0.25">
      <c r="B400" s="24"/>
    </row>
    <row r="401" spans="2:2" x14ac:dyDescent="0.25">
      <c r="B401" s="24"/>
    </row>
    <row r="402" spans="2:2" x14ac:dyDescent="0.25">
      <c r="B402" s="24"/>
    </row>
    <row r="403" spans="2:2" x14ac:dyDescent="0.25">
      <c r="B403" s="24"/>
    </row>
    <row r="404" spans="2:2" x14ac:dyDescent="0.25">
      <c r="B404" s="24"/>
    </row>
    <row r="405" spans="2:2" x14ac:dyDescent="0.25">
      <c r="B405" s="24"/>
    </row>
    <row r="406" spans="2:2" x14ac:dyDescent="0.25">
      <c r="B406" s="24"/>
    </row>
    <row r="407" spans="2:2" x14ac:dyDescent="0.25">
      <c r="B407" s="24"/>
    </row>
    <row r="408" spans="2:2" x14ac:dyDescent="0.25">
      <c r="B408" s="24"/>
    </row>
    <row r="409" spans="2:2" x14ac:dyDescent="0.25">
      <c r="B409" s="24"/>
    </row>
    <row r="410" spans="2:2" x14ac:dyDescent="0.25">
      <c r="B410" s="24"/>
    </row>
    <row r="411" spans="2:2" x14ac:dyDescent="0.25">
      <c r="B411" s="24"/>
    </row>
    <row r="412" spans="2:2" x14ac:dyDescent="0.25">
      <c r="B412" s="24"/>
    </row>
    <row r="413" spans="2:2" x14ac:dyDescent="0.25">
      <c r="B413" s="24"/>
    </row>
    <row r="414" spans="2:2" x14ac:dyDescent="0.25">
      <c r="B414" s="24"/>
    </row>
    <row r="415" spans="2:2" x14ac:dyDescent="0.25">
      <c r="B415" s="24"/>
    </row>
    <row r="416" spans="2:2" x14ac:dyDescent="0.25">
      <c r="B416" s="24"/>
    </row>
    <row r="417" spans="2:2" x14ac:dyDescent="0.25">
      <c r="B417" s="24"/>
    </row>
    <row r="418" spans="2:2" x14ac:dyDescent="0.25">
      <c r="B418" s="24"/>
    </row>
    <row r="419" spans="2:2" x14ac:dyDescent="0.25">
      <c r="B419" s="24"/>
    </row>
    <row r="420" spans="2:2" x14ac:dyDescent="0.25">
      <c r="B420" s="24"/>
    </row>
    <row r="421" spans="2:2" x14ac:dyDescent="0.25">
      <c r="B421" s="24"/>
    </row>
    <row r="422" spans="2:2" x14ac:dyDescent="0.25">
      <c r="B422" s="24"/>
    </row>
    <row r="423" spans="2:2" x14ac:dyDescent="0.25">
      <c r="B423" s="24"/>
    </row>
    <row r="424" spans="2:2" x14ac:dyDescent="0.25">
      <c r="B424" s="24"/>
    </row>
    <row r="425" spans="2:2" x14ac:dyDescent="0.25">
      <c r="B425" s="24"/>
    </row>
    <row r="426" spans="2:2" x14ac:dyDescent="0.25">
      <c r="B426" s="24"/>
    </row>
    <row r="427" spans="2:2" x14ac:dyDescent="0.25">
      <c r="B427" s="24"/>
    </row>
    <row r="428" spans="2:2" x14ac:dyDescent="0.25">
      <c r="B428" s="24"/>
    </row>
    <row r="429" spans="2:2" x14ac:dyDescent="0.25">
      <c r="B429" s="24"/>
    </row>
    <row r="430" spans="2:2" x14ac:dyDescent="0.25">
      <c r="B430" s="24"/>
    </row>
    <row r="431" spans="2:2" x14ac:dyDescent="0.25">
      <c r="B431" s="24"/>
    </row>
    <row r="432" spans="2:2" x14ac:dyDescent="0.25">
      <c r="B432" s="24"/>
    </row>
    <row r="433" spans="2:2" x14ac:dyDescent="0.25">
      <c r="B433" s="24"/>
    </row>
    <row r="434" spans="2:2" x14ac:dyDescent="0.25">
      <c r="B434" s="24"/>
    </row>
    <row r="435" spans="2:2" x14ac:dyDescent="0.25">
      <c r="B435" s="24"/>
    </row>
    <row r="436" spans="2:2" x14ac:dyDescent="0.25">
      <c r="B436" s="24"/>
    </row>
    <row r="437" spans="2:2" x14ac:dyDescent="0.25">
      <c r="B437" s="24"/>
    </row>
    <row r="438" spans="2:2" x14ac:dyDescent="0.25">
      <c r="B438" s="24"/>
    </row>
    <row r="439" spans="2:2" x14ac:dyDescent="0.25">
      <c r="B439" s="24"/>
    </row>
    <row r="440" spans="2:2" x14ac:dyDescent="0.25">
      <c r="B440" s="24"/>
    </row>
    <row r="441" spans="2:2" x14ac:dyDescent="0.25">
      <c r="B441" s="24"/>
    </row>
    <row r="442" spans="2:2" x14ac:dyDescent="0.25">
      <c r="B442" s="24"/>
    </row>
    <row r="443" spans="2:2" x14ac:dyDescent="0.25">
      <c r="B443" s="24"/>
    </row>
    <row r="444" spans="2:2" x14ac:dyDescent="0.25">
      <c r="B444" s="24"/>
    </row>
    <row r="445" spans="2:2" x14ac:dyDescent="0.25">
      <c r="B445" s="24"/>
    </row>
    <row r="446" spans="2:2" x14ac:dyDescent="0.25">
      <c r="B446" s="24"/>
    </row>
    <row r="447" spans="2:2" x14ac:dyDescent="0.25">
      <c r="B447" s="24"/>
    </row>
    <row r="448" spans="2:2" x14ac:dyDescent="0.25">
      <c r="B448" s="24"/>
    </row>
    <row r="449" spans="2:2" x14ac:dyDescent="0.25">
      <c r="B449" s="24"/>
    </row>
    <row r="450" spans="2:2" x14ac:dyDescent="0.25">
      <c r="B450" s="24"/>
    </row>
    <row r="451" spans="2:2" x14ac:dyDescent="0.25">
      <c r="B451" s="24"/>
    </row>
    <row r="452" spans="2:2" x14ac:dyDescent="0.25">
      <c r="B452" s="24"/>
    </row>
    <row r="453" spans="2:2" x14ac:dyDescent="0.25">
      <c r="B453" s="24"/>
    </row>
    <row r="454" spans="2:2" x14ac:dyDescent="0.25">
      <c r="B454" s="24"/>
    </row>
    <row r="455" spans="2:2" x14ac:dyDescent="0.25">
      <c r="B455" s="24"/>
    </row>
    <row r="456" spans="2:2" x14ac:dyDescent="0.25">
      <c r="B456" s="24"/>
    </row>
    <row r="457" spans="2:2" x14ac:dyDescent="0.25">
      <c r="B457" s="24"/>
    </row>
    <row r="458" spans="2:2" x14ac:dyDescent="0.25">
      <c r="B458" s="24"/>
    </row>
    <row r="459" spans="2:2" x14ac:dyDescent="0.25">
      <c r="B459" s="24"/>
    </row>
    <row r="460" spans="2:2" x14ac:dyDescent="0.25">
      <c r="B460" s="24"/>
    </row>
    <row r="461" spans="2:2" x14ac:dyDescent="0.25">
      <c r="B461" s="24"/>
    </row>
    <row r="462" spans="2:2" x14ac:dyDescent="0.25">
      <c r="B462" s="24"/>
    </row>
    <row r="463" spans="2:2" x14ac:dyDescent="0.25">
      <c r="B463" s="24"/>
    </row>
    <row r="464" spans="2:2" x14ac:dyDescent="0.25">
      <c r="B464" s="24"/>
    </row>
    <row r="465" spans="2:2" x14ac:dyDescent="0.25">
      <c r="B465" s="24"/>
    </row>
    <row r="466" spans="2:2" x14ac:dyDescent="0.25">
      <c r="B466" s="24"/>
    </row>
    <row r="467" spans="2:2" x14ac:dyDescent="0.25">
      <c r="B467" s="24"/>
    </row>
    <row r="468" spans="2:2" x14ac:dyDescent="0.25">
      <c r="B468" s="24"/>
    </row>
    <row r="469" spans="2:2" x14ac:dyDescent="0.25">
      <c r="B469" s="24"/>
    </row>
    <row r="470" spans="2:2" x14ac:dyDescent="0.25">
      <c r="B470" s="24"/>
    </row>
    <row r="471" spans="2:2" x14ac:dyDescent="0.25">
      <c r="B471" s="24"/>
    </row>
    <row r="472" spans="2:2" x14ac:dyDescent="0.25">
      <c r="B472" s="24"/>
    </row>
    <row r="473" spans="2:2" x14ac:dyDescent="0.25">
      <c r="B473" s="24"/>
    </row>
    <row r="474" spans="2:2" x14ac:dyDescent="0.25">
      <c r="B474" s="24"/>
    </row>
    <row r="475" spans="2:2" x14ac:dyDescent="0.25">
      <c r="B475" s="24"/>
    </row>
    <row r="476" spans="2:2" x14ac:dyDescent="0.25">
      <c r="B476" s="24"/>
    </row>
    <row r="477" spans="2:2" x14ac:dyDescent="0.25">
      <c r="B477" s="24"/>
    </row>
    <row r="478" spans="2:2" x14ac:dyDescent="0.25">
      <c r="B478" s="24"/>
    </row>
    <row r="479" spans="2:2" x14ac:dyDescent="0.25">
      <c r="B479" s="24"/>
    </row>
    <row r="480" spans="2:2" x14ac:dyDescent="0.25">
      <c r="B480" s="24"/>
    </row>
    <row r="481" spans="2:2" x14ac:dyDescent="0.25">
      <c r="B481" s="24"/>
    </row>
    <row r="482" spans="2:2" x14ac:dyDescent="0.25">
      <c r="B482" s="24"/>
    </row>
    <row r="483" spans="2:2" x14ac:dyDescent="0.25">
      <c r="B483" s="24"/>
    </row>
    <row r="484" spans="2:2" x14ac:dyDescent="0.25">
      <c r="B484" s="24"/>
    </row>
    <row r="485" spans="2:2" x14ac:dyDescent="0.25">
      <c r="B485" s="24"/>
    </row>
    <row r="486" spans="2:2" x14ac:dyDescent="0.25">
      <c r="B486" s="24"/>
    </row>
    <row r="487" spans="2:2" x14ac:dyDescent="0.25">
      <c r="B487" s="24"/>
    </row>
    <row r="488" spans="2:2" x14ac:dyDescent="0.25">
      <c r="B488" s="24"/>
    </row>
    <row r="489" spans="2:2" x14ac:dyDescent="0.25">
      <c r="B489" s="24"/>
    </row>
    <row r="490" spans="2:2" x14ac:dyDescent="0.25">
      <c r="B490" s="24"/>
    </row>
    <row r="491" spans="2:2" x14ac:dyDescent="0.25">
      <c r="B491" s="24"/>
    </row>
    <row r="492" spans="2:2" x14ac:dyDescent="0.25">
      <c r="B492" s="24"/>
    </row>
    <row r="493" spans="2:2" x14ac:dyDescent="0.25">
      <c r="B493" s="24"/>
    </row>
    <row r="494" spans="2:2" x14ac:dyDescent="0.25">
      <c r="B494" s="24"/>
    </row>
    <row r="495" spans="2:2" x14ac:dyDescent="0.25">
      <c r="B495" s="24"/>
    </row>
    <row r="496" spans="2:2" x14ac:dyDescent="0.25">
      <c r="B496" s="24"/>
    </row>
    <row r="497" spans="2:2" x14ac:dyDescent="0.25">
      <c r="B497" s="24"/>
    </row>
    <row r="498" spans="2:2" x14ac:dyDescent="0.25">
      <c r="B498" s="24"/>
    </row>
    <row r="499" spans="2:2" x14ac:dyDescent="0.25">
      <c r="B499" s="24"/>
    </row>
    <row r="500" spans="2:2" x14ac:dyDescent="0.25">
      <c r="B500" s="24"/>
    </row>
    <row r="501" spans="2:2" x14ac:dyDescent="0.25">
      <c r="B501" s="24"/>
    </row>
    <row r="502" spans="2:2" x14ac:dyDescent="0.25">
      <c r="B502" s="24"/>
    </row>
    <row r="503" spans="2:2" x14ac:dyDescent="0.25">
      <c r="B503" s="24"/>
    </row>
    <row r="504" spans="2:2" x14ac:dyDescent="0.25">
      <c r="B504" s="24"/>
    </row>
    <row r="505" spans="2:2" x14ac:dyDescent="0.25">
      <c r="B505" s="24"/>
    </row>
    <row r="506" spans="2:2" x14ac:dyDescent="0.25">
      <c r="B506" s="24"/>
    </row>
  </sheetData>
  <mergeCells count="6">
    <mergeCell ref="W149:X149"/>
    <mergeCell ref="Y149:Z149"/>
    <mergeCell ref="AA149:AB149"/>
    <mergeCell ref="W15:X15"/>
    <mergeCell ref="Y15:Z15"/>
    <mergeCell ref="AA15:AB15"/>
  </mergeCells>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F506"/>
  <sheetViews>
    <sheetView zoomScaleNormal="100" workbookViewId="0">
      <pane xSplit="2" ySplit="15" topLeftCell="C226" activePane="bottomRight" state="frozen"/>
      <selection pane="topRight" activeCell="L16" sqref="L16:L53"/>
      <selection pane="bottomLeft" activeCell="L16" sqref="L16:L53"/>
      <selection pane="bottomRight" activeCell="B6" sqref="B6"/>
    </sheetView>
  </sheetViews>
  <sheetFormatPr defaultColWidth="11" defaultRowHeight="15.75" x14ac:dyDescent="0.25"/>
  <cols>
    <col min="1" max="1" width="12.125" customWidth="1"/>
    <col min="2" max="2" width="4.125" style="23" bestFit="1" customWidth="1"/>
    <col min="3" max="3" width="25" style="23" bestFit="1" customWidth="1"/>
    <col min="4" max="4" width="10.125" style="23" customWidth="1"/>
    <col min="5" max="5" width="14.125" style="2" bestFit="1" customWidth="1"/>
    <col min="6" max="6" width="7" bestFit="1" customWidth="1"/>
    <col min="7" max="7" width="9.125" bestFit="1" customWidth="1"/>
    <col min="8" max="8" width="10.125" bestFit="1" customWidth="1"/>
    <col min="9" max="9" width="1.625" customWidth="1"/>
    <col min="10" max="10" width="12.125" customWidth="1"/>
    <col min="11" max="11" width="10.125" bestFit="1" customWidth="1"/>
    <col min="12" max="12" width="13.625" bestFit="1" customWidth="1"/>
    <col min="13" max="13" width="7.125" bestFit="1" customWidth="1"/>
    <col min="14" max="14" width="9.125" bestFit="1" customWidth="1"/>
    <col min="15" max="15" width="1.625" customWidth="1"/>
    <col min="16" max="16" width="12" customWidth="1"/>
    <col min="17" max="17" width="10.125" bestFit="1" customWidth="1"/>
    <col min="18" max="18" width="13.625" bestFit="1" customWidth="1"/>
    <col min="19" max="19" width="7.125" bestFit="1" customWidth="1"/>
    <col min="20" max="20" width="9.125" bestFit="1" customWidth="1"/>
    <col min="21" max="21" width="2" customWidth="1"/>
    <col min="24" max="24" width="12.125" bestFit="1" customWidth="1"/>
    <col min="26" max="26" width="11.625" customWidth="1"/>
    <col min="29" max="29" width="14.125" bestFit="1" customWidth="1"/>
  </cols>
  <sheetData>
    <row r="1" spans="1:28" x14ac:dyDescent="0.25">
      <c r="C1" s="7" t="s">
        <v>106</v>
      </c>
      <c r="D1" s="13"/>
      <c r="E1" s="14"/>
      <c r="F1" s="7"/>
      <c r="I1" s="39"/>
      <c r="J1" s="7" t="s">
        <v>95</v>
      </c>
      <c r="K1" s="13"/>
      <c r="L1" s="13"/>
      <c r="M1" s="14"/>
      <c r="N1" s="15"/>
      <c r="O1" s="39"/>
      <c r="P1" s="7" t="s">
        <v>291</v>
      </c>
      <c r="Q1" s="13"/>
      <c r="R1" s="13"/>
      <c r="S1" s="14"/>
      <c r="T1" s="15"/>
      <c r="U1" s="39"/>
    </row>
    <row r="2" spans="1:28" x14ac:dyDescent="0.25">
      <c r="C2" s="7"/>
      <c r="D2" s="16"/>
      <c r="E2" s="16"/>
      <c r="F2" s="16"/>
      <c r="G2" s="16"/>
      <c r="H2" s="16"/>
      <c r="I2" s="39"/>
      <c r="K2" s="16"/>
      <c r="L2" s="36"/>
      <c r="M2" s="16"/>
      <c r="N2" s="16"/>
      <c r="O2" s="39"/>
      <c r="Q2" s="16"/>
      <c r="R2" s="36"/>
      <c r="S2" s="16"/>
      <c r="T2" s="16"/>
      <c r="U2" s="39"/>
    </row>
    <row r="3" spans="1:28" x14ac:dyDescent="0.25">
      <c r="C3" s="7"/>
      <c r="D3" s="191"/>
      <c r="E3" s="16"/>
      <c r="F3" s="16"/>
      <c r="G3" s="16"/>
      <c r="H3" s="16"/>
      <c r="I3" s="39"/>
      <c r="K3" s="16"/>
      <c r="L3" s="16"/>
      <c r="M3" s="16"/>
      <c r="N3" s="16"/>
      <c r="O3" s="39"/>
      <c r="P3" s="43"/>
      <c r="Q3" s="42"/>
      <c r="R3" s="16"/>
      <c r="S3" s="16"/>
      <c r="T3" s="16"/>
      <c r="U3" s="39"/>
    </row>
    <row r="4" spans="1:28" x14ac:dyDescent="0.25">
      <c r="C4" s="7"/>
      <c r="D4" s="16" t="s">
        <v>41</v>
      </c>
      <c r="E4" s="23" t="s">
        <v>42</v>
      </c>
      <c r="F4" s="17" t="s">
        <v>43</v>
      </c>
      <c r="G4" s="35" t="s">
        <v>44</v>
      </c>
      <c r="H4" s="17" t="s">
        <v>45</v>
      </c>
      <c r="I4" s="39"/>
      <c r="K4" s="23" t="s">
        <v>41</v>
      </c>
      <c r="L4" s="17" t="s">
        <v>43</v>
      </c>
      <c r="M4" s="17" t="s">
        <v>45</v>
      </c>
      <c r="N4" s="35"/>
      <c r="O4" s="39"/>
      <c r="Q4" s="23" t="s">
        <v>41</v>
      </c>
      <c r="R4" s="23" t="s">
        <v>42</v>
      </c>
      <c r="S4" s="17" t="s">
        <v>43</v>
      </c>
      <c r="T4" s="17" t="s">
        <v>45</v>
      </c>
      <c r="U4" s="40"/>
    </row>
    <row r="5" spans="1:28" x14ac:dyDescent="0.25">
      <c r="B5" s="23" t="e">
        <f ca="1">MAX(B16:B545)-VLOOKUP(DATE(YEAR(TODAY())-1,12,31),A:B,2,0)</f>
        <v>#N/A</v>
      </c>
      <c r="C5" s="7" t="s">
        <v>7</v>
      </c>
      <c r="D5" s="16" t="str">
        <f t="array" aca="1" ref="D5" ca="1">IFERROR((GEOMEAN(1+OFFSET(D$16,MAX($B$16:$B$506)-$B$5+1,0,$B$5,1)/100)^$B$5-1)*100,"N/A")</f>
        <v>N/A</v>
      </c>
      <c r="E5" s="36" t="str">
        <f t="shared" ref="E5:E13" ca="1" si="0">IFERROR(D5-$K5,"N/A")</f>
        <v>N/A</v>
      </c>
      <c r="F5" s="16" t="str">
        <f ca="1">IFERROR(SLOPE(OFFSET(D$16,MAX($B$16:$B$506)-$B$5+1,0,$B$5,1),OFFSET($K$16,MAX($B$16:$B$506)-$B$5+1,0,$B$5,1)),"N/A")</f>
        <v>N/A</v>
      </c>
      <c r="G5" s="16" t="str">
        <f t="array" aca="1" ref="G5" ca="1">IFERROR(INTERCEPT(OFFSET(D$16,MAX($B$16:$B$506)-$B$5+1,0,$B$5,1),OFFSET($K$16,MAX($B$16:$B$506)-$B$5+1,0,$B$5,1))*12,"N/A")</f>
        <v>N/A</v>
      </c>
      <c r="H5" s="16" t="str">
        <f ca="1">IFERROR(STDEVP(OFFSET(D$16,MAX($B$16:$B$506)-$B$5+1,0,$B$5,1))*SQRT(12),"N/A")</f>
        <v>N/A</v>
      </c>
      <c r="I5" s="39"/>
      <c r="J5" s="7" t="s">
        <v>7</v>
      </c>
      <c r="K5" s="16" t="str">
        <f t="array" aca="1" ref="K5" ca="1">IFERROR((GEOMEAN(1+OFFSET(K$16,MAX($B$16:$B$506)-$B$5+1,0,$B$5,1)/100)^$B$5-1)*100,"N/A")</f>
        <v>N/A</v>
      </c>
      <c r="L5" s="16" t="str">
        <f ca="1">IFERROR(SLOPE(OFFSET(K$16,MAX($B$16:$B$506)-$B$5+1,0,$B$5,1),OFFSET($K$16,MAX($B$16:$B$506)-$B$5+1,0,$B$5,1)),"N/A")</f>
        <v>N/A</v>
      </c>
      <c r="M5" s="16" t="str">
        <f ca="1">IFERROR(STDEVP(OFFSET(K$16,MAX($B$16:$B$506)-$B$5+1,0,$B$5,1))*SQRT(12),"N/A")</f>
        <v>N/A</v>
      </c>
      <c r="N5" s="16"/>
      <c r="O5" s="39"/>
      <c r="P5" s="7" t="s">
        <v>7</v>
      </c>
      <c r="Q5" s="16" t="str">
        <f t="array" aca="1" ref="Q5" ca="1">IFERROR((GEOMEAN(1+OFFSET(Q$16,MAX($B$16:$B$506)-$B$5+1,0,$B$5,1)/100)^$B$5-1)*100,"N/A")</f>
        <v>N/A</v>
      </c>
      <c r="R5" s="36" t="str">
        <f ca="1">IFERROR(Q5-$K5,"N/A")</f>
        <v>N/A</v>
      </c>
      <c r="S5" s="16" t="str">
        <f ca="1">IFERROR(SLOPE(OFFSET(Q$16,MAX($B$16:$B$506)-$B$5+1,0,$B$5,1),OFFSET($K$16,MAX($B$16:$B$506)-$B$5+1,0,$B$5,1)),"N/A")</f>
        <v>N/A</v>
      </c>
      <c r="T5" s="16" t="str">
        <f ca="1">IFERROR(STDEVP(OFFSET(Q$16,MAX($B$16:$B$506)-$B$5+1,0,$B$5,1))*SQRT(12),"N/A")</f>
        <v>N/A</v>
      </c>
      <c r="U5" s="40"/>
    </row>
    <row r="6" spans="1:28" x14ac:dyDescent="0.25">
      <c r="C6" s="7" t="s">
        <v>46</v>
      </c>
      <c r="D6" s="16">
        <f t="array" aca="1" ref="D6" ca="1">IFERROR((GEOMEAN(1+OFFSET(D$16,MAX($B$16:$B$506)-11,0,12,1)/100)^12-1)*100,"N/A")</f>
        <v>9.3104535382370059</v>
      </c>
      <c r="E6" s="36">
        <f t="shared" ca="1" si="0"/>
        <v>1.1496608171402958</v>
      </c>
      <c r="F6" s="16">
        <f ca="1">IFERROR(SLOPE(OFFSET(D$16,MAX($B$16:$B$506)-11,0,12,1),OFFSET(K$16,MAX($B$16:$B$506)-11,0,12,1)),"N/A")</f>
        <v>0.6524066177371084</v>
      </c>
      <c r="G6" s="16">
        <f ca="1">IFERROR(INTERCEPT(OFFSET($D$16,MAX($B$16:$B$506)-11,0,12,1),OFFSET($K$16,MAX($B$16:$B$506)-11,0,12,1))*12,"N/A")</f>
        <v>6.9043316231287326</v>
      </c>
      <c r="H6" s="16">
        <f ca="1">IFERROR(STDEVP(OFFSET(D$16,MAX($B$16:$B$506)-11,0,12,1))*SQRT(12),"N/A")</f>
        <v>17.905953909690641</v>
      </c>
      <c r="I6" s="39"/>
      <c r="J6" s="7" t="s">
        <v>46</v>
      </c>
      <c r="K6" s="16">
        <f t="array" aca="1" ref="K6" ca="1">IFERROR((GEOMEAN(1+OFFSET(K$16,MAX($B$16:$B$506)-11,0,12,1)/100)^12-1)*100,"N/A")</f>
        <v>8.1607927210967102</v>
      </c>
      <c r="L6" s="16">
        <f ca="1">IFERROR(SLOPE(OFFSET(K$16,MAX($B$16:$B$506)-11,0,12,1),OFFSET(K$16,MAX($B$16:$B$506)-11,0,12,1)),"N/A")</f>
        <v>1</v>
      </c>
      <c r="M6" s="16">
        <f ca="1">IFERROR(STDEVP(OFFSET(K$16,MAX($B$16:$B$506)-11,0,12,1))*SQRT(12),"N/A")</f>
        <v>26.805193482087738</v>
      </c>
      <c r="N6" s="16"/>
      <c r="O6" s="39"/>
      <c r="P6" s="7" t="s">
        <v>46</v>
      </c>
      <c r="Q6" s="16">
        <f t="array" aca="1" ref="Q6" ca="1">IFERROR((GEOMEAN(1+OFFSET(Q$16,MAX($B$16:$B$506)-11,0,12,1)/100)^12-1)*100,"N/A")</f>
        <v>12.219201632562271</v>
      </c>
      <c r="R6" s="36">
        <f t="shared" ref="R6:R13" ca="1" si="1">IFERROR(Q6-$K6,"N/A")</f>
        <v>4.0584089114655608</v>
      </c>
      <c r="S6" s="16">
        <f ca="1">IFERROR(SLOPE(OFFSET(Q$16,MAX($B$16:$B$506)-11,0,12,1),OFFSET($K$16,MAX($B$16:$B$506)-11,0,12,1)),"N/A")</f>
        <v>0.69385129022089465</v>
      </c>
      <c r="T6" s="16">
        <f ca="1">IFERROR(STDEVP(OFFSET(Q$16,MAX($B$16:$B$506)-11,0,12,1))*SQRT(12),"N/A")</f>
        <v>19.031398254562458</v>
      </c>
      <c r="U6" s="41"/>
    </row>
    <row r="7" spans="1:28" x14ac:dyDescent="0.25">
      <c r="C7" s="7" t="s">
        <v>47</v>
      </c>
      <c r="D7" s="16">
        <f t="array" aca="1" ref="D7" ca="1">IFERROR((GEOMEAN(1+OFFSET(D$16,MAX($B$16:$B$506)-23,0,24,1)/100)^12-1)*100,"N/A")</f>
        <v>6.7526963257599881</v>
      </c>
      <c r="E7" s="36">
        <f t="shared" ca="1" si="0"/>
        <v>-3.4410954380168057</v>
      </c>
      <c r="F7" s="16">
        <f ca="1">IFERROR(SLOPE(OFFSET(D$16,MAX($B$16:$B$506)-23,0,24,1),OFFSET($K$16,MAX($B$16:$B$506)-23,0,24,1)),"N/A")</f>
        <v>0.7047774698611976</v>
      </c>
      <c r="G7" s="16">
        <f ca="1">IFERROR(INTERCEPT(OFFSET(D$16,MAX($B$16:$B$506)-23,0,24,1),OFFSET($K$16,MAX($B$16:$B$506)-23,0,24,1))*12,"N/A")</f>
        <v>-0.91255064353287274</v>
      </c>
      <c r="H7" s="16">
        <f ca="1">IFERROR(STDEVP(OFFSET(D$16,MAX($B$16:$B$506)-23,0,24,1))*SQRT(12),"N/A")</f>
        <v>18.079494378385021</v>
      </c>
      <c r="I7" s="39"/>
      <c r="J7" s="7" t="s">
        <v>47</v>
      </c>
      <c r="K7" s="16">
        <f t="array" aca="1" ref="K7" ca="1">IFERROR((GEOMEAN(1+OFFSET(K$16,MAX($B$16:$B$506)-23,0,24,1)/100)^12-1)*100,"N/A")</f>
        <v>10.193791763776794</v>
      </c>
      <c r="L7" s="16">
        <f ca="1">IFERROR(SLOPE(OFFSET(K$16,MAX($B$16:$B$506)-23,0,24,1),OFFSET($K$16,MAX($B$16:$B$506)-23,0,24,1)),"N/A")</f>
        <v>1</v>
      </c>
      <c r="M7" s="16">
        <f ca="1">IFERROR(STDEVP(OFFSET(K$16,MAX($B$16:$B$506)-23,0,24,1))*SQRT(12),"N/A")</f>
        <v>24.59421276078945</v>
      </c>
      <c r="N7" s="16"/>
      <c r="O7" s="39"/>
      <c r="P7" s="7" t="s">
        <v>47</v>
      </c>
      <c r="Q7" s="16">
        <f t="array" aca="1" ref="Q7" ca="1">IFERROR((GEOMEAN(1+OFFSET(Q$16,MAX($B$16:$B$506)-23,0,24,1)/100)^12-1)*100,"N/A")</f>
        <v>1.7327944997397537</v>
      </c>
      <c r="R7" s="36">
        <f t="shared" ca="1" si="1"/>
        <v>-8.4609972640370401</v>
      </c>
      <c r="S7" s="16">
        <f ca="1">IFERROR(SLOPE(OFFSET(Q$16,MAX($B$16:$B$506)-23,0,24,1),OFFSET($K$16,MAX($B$16:$B$506)-23,0,24,1)),"N/A")</f>
        <v>0.8114686973402141</v>
      </c>
      <c r="T7" s="16">
        <f ca="1">IFERROR(STDEVP(OFFSET(Q$16,MAX($B$16:$B$506)-23,0,24,1))*SQRT(12),"N/A")</f>
        <v>21.655178359504632</v>
      </c>
      <c r="U7" s="41"/>
    </row>
    <row r="8" spans="1:28" s="182" customFormat="1" x14ac:dyDescent="0.25">
      <c r="B8" s="183"/>
      <c r="C8" s="85" t="s">
        <v>48</v>
      </c>
      <c r="D8" s="184">
        <f t="array" aca="1" ref="D8" ca="1">IFERROR((GEOMEAN(1+OFFSET(D$16,MAX($B$16:$B$506)-35,0,36,1)/100)^12-1)*100,"N/A")</f>
        <v>3.1475281177401282</v>
      </c>
      <c r="E8" s="185">
        <f t="shared" ca="1" si="0"/>
        <v>6.3158367740877575</v>
      </c>
      <c r="F8" s="184">
        <f ca="1">IFERROR(SLOPE(OFFSET(D$16,MAX($B$16:$B$506)-35,0,36,1),OFFSET(K$16,MAX($B$16:$B$506)-35,0,36,1)),"N/A")</f>
        <v>0.66569039454416246</v>
      </c>
      <c r="G8" s="184">
        <f ca="1">IFERROR(INTERCEPT(OFFSET($D$16,MAX($B$16:$B$506)-35,0,36,1),OFFSET($K$16,MAX($B$16:$B$506)-35,0,36,1))*12,"N/A")</f>
        <v>5.9443156684099918</v>
      </c>
      <c r="H8" s="184">
        <f ca="1">IFERROR(STDEVP(OFFSET(D$16,MAX($B$16:$B$506)-35,0,36,1))*SQRT(12),"N/A")</f>
        <v>16.373111423434203</v>
      </c>
      <c r="J8" s="85" t="s">
        <v>48</v>
      </c>
      <c r="K8" s="184">
        <f t="array" aca="1" ref="K8" ca="1">IFERROR((GEOMEAN(1+OFFSET(K$16,MAX($B$16:$B$506)-35,0,36,1)/100)^12-1)*100,"N/A")</f>
        <v>-3.1683086563476293</v>
      </c>
      <c r="L8" s="184">
        <f ca="1">IFERROR(SLOPE(OFFSET(K$16,MAX($B$16:$B$506)-35,0,36,1),OFFSET(K$16,MAX($B$16:$B$506)-35,0,36,1)),"N/A")</f>
        <v>1</v>
      </c>
      <c r="M8" s="184">
        <f ca="1">IFERROR(STDEVP(OFFSET(K$16,MAX($B$16:$B$506)-35,0,36,1))*SQRT(12),"N/A")</f>
        <v>22.516474454701605</v>
      </c>
      <c r="N8" s="184"/>
      <c r="P8" s="85" t="s">
        <v>48</v>
      </c>
      <c r="Q8" s="184">
        <f t="array" aca="1" ref="Q8" ca="1">IFERROR((GEOMEAN(1+OFFSET(Q$16,MAX($B$16:$B$506)-35,0,36,1)/100)^12-1)*100,"N/A")</f>
        <v>0.18827838925628004</v>
      </c>
      <c r="R8" s="185">
        <f t="shared" ca="1" si="1"/>
        <v>3.3565870456039093</v>
      </c>
      <c r="S8" s="184">
        <f ca="1">IFERROR(SLOPE(OFFSET(Q$16,MAX($B$16:$B$506)-35,0,36,1),OFFSET($K$16,MAX($B$16:$B$506)-35,0,36,1)),"N/A")</f>
        <v>0.76144003290476536</v>
      </c>
      <c r="T8" s="184">
        <f ca="1">IFERROR(STDEVP(OFFSET(Q$16,MAX($B$16:$B$506)-35,0,36,1))*SQRT(12),"N/A")</f>
        <v>19.17983282260785</v>
      </c>
      <c r="U8" s="186"/>
    </row>
    <row r="9" spans="1:28" x14ac:dyDescent="0.25">
      <c r="C9" s="7" t="s">
        <v>49</v>
      </c>
      <c r="D9" s="16">
        <f t="array" aca="1" ref="D9" ca="1">IFERROR((GEOMEAN(1+OFFSET(D$16,MAX($B$16:$B$506)-47,0,48,1)/100)^12-1)*100,"N/A")</f>
        <v>7.9693225199771733</v>
      </c>
      <c r="E9" s="36">
        <f t="shared" ca="1" si="0"/>
        <v>-2.1569923628794738</v>
      </c>
      <c r="F9" s="16">
        <f ca="1">IFERROR(SLOPE(OFFSET(D$16,MAX($B$16:$B$506)-47,0,48,1),OFFSET($K$16,MAX($B$16:$B$506)-47,0,48,1)),"N/A")</f>
        <v>0.57274756625493117</v>
      </c>
      <c r="G9" s="16">
        <f ca="1">IFERROR(INTERCEPT(OFFSET(D$16,MAX($B$16:$B$506)-47,0,48,1),OFFSET($K$16,MAX($B$16:$B$506)-47,0,48,1))*12,"N/A")</f>
        <v>2.126519064220278</v>
      </c>
      <c r="H9" s="16">
        <f ca="1">IFERROR(STDEVP(OFFSET(D$16,MAX($B$16:$B$506)-47,0,48,1))*SQRT(12),"N/A")</f>
        <v>14.792350537504003</v>
      </c>
      <c r="I9" s="39"/>
      <c r="J9" s="7" t="s">
        <v>49</v>
      </c>
      <c r="K9" s="16">
        <f t="array" aca="1" ref="K9" ca="1">IFERROR((GEOMEAN(1+OFFSET(K$16,MAX($B$16:$B$506)-47,0,48,1)/100)^12-1)*100,"N/A")</f>
        <v>10.126314882856647</v>
      </c>
      <c r="L9" s="16">
        <f ca="1">IFERROR(SLOPE(OFFSET(K$16,MAX($B$16:$B$506)-47,0,48,1),OFFSET($K$16,MAX($B$16:$B$506)-47,0,48,1)),"N/A")</f>
        <v>1</v>
      </c>
      <c r="M9" s="16">
        <f ca="1">IFERROR(STDEVP(OFFSET(K$16,MAX($B$16:$B$506)-47,0,48,1))*SQRT(12),"N/A")</f>
        <v>22.404615909489369</v>
      </c>
      <c r="N9" s="16"/>
      <c r="O9" s="39"/>
      <c r="P9" s="7" t="s">
        <v>49</v>
      </c>
      <c r="Q9" s="16">
        <f t="array" aca="1" ref="Q9" ca="1">IFERROR((GEOMEAN(1+OFFSET(Q$16,MAX($B$16:$B$506)-47,0,48,1)/100)^12-1)*100,"N/A")</f>
        <v>9.1266058393988381</v>
      </c>
      <c r="R9" s="36">
        <f t="shared" ca="1" si="1"/>
        <v>-0.99970904345780909</v>
      </c>
      <c r="S9" s="16">
        <f ca="1">IFERROR(SLOPE(OFFSET(Q$16,MAX($B$16:$B$506)-47,0,48,1),OFFSET($K$16,MAX($B$16:$B$506)-47,0,48,1)),"N/A")</f>
        <v>0.74908808468736832</v>
      </c>
      <c r="T9" s="16">
        <f ca="1">IFERROR(STDEVP(OFFSET(Q$16,MAX($B$16:$B$506)-47,0,48,1))*SQRT(12),"N/A")</f>
        <v>18.710888806627349</v>
      </c>
      <c r="U9" s="41"/>
    </row>
    <row r="10" spans="1:28" x14ac:dyDescent="0.25">
      <c r="C10" s="7" t="s">
        <v>50</v>
      </c>
      <c r="D10" s="16">
        <f t="array" aca="1" ref="D10" ca="1">IFERROR((GEOMEAN(1+OFFSET(D$16,MAX($B$16:$B$506)-59,0,60,1)/100)^12-1)*100,"N/A")</f>
        <v>2.2299238226671125</v>
      </c>
      <c r="E10" s="36">
        <f t="shared" ca="1" si="0"/>
        <v>-4.315505363478489</v>
      </c>
      <c r="F10" s="16">
        <f ca="1">IFERROR(SLOPE(OFFSET(D$16,MAX($B$16:$B$506)-59,0,60,1),OFFSET(K$16,MAX($B$16:$B$506)-59,0,60,1)),"N/A")</f>
        <v>0.65739759582094737</v>
      </c>
      <c r="G10" s="16">
        <f ca="1">IFERROR(INTERCEPT(OFFSET($D$16,MAX($B$16:$B$506)-59,0,60,1),OFFSET($K$16,MAX($B$16:$B$506)-59,0,60,1))*12,"N/A")</f>
        <v>-2.4691300544572101</v>
      </c>
      <c r="H10" s="16">
        <f ca="1">IFERROR(STDEVP(OFFSET(D$16,MAX($B$16:$B$506)-59,0,60,1))*SQRT(12),"N/A")</f>
        <v>17.845194185540038</v>
      </c>
      <c r="I10" s="39"/>
      <c r="J10" s="7" t="s">
        <v>50</v>
      </c>
      <c r="K10" s="16">
        <f t="array" aca="1" ref="K10" ca="1">IFERROR((GEOMEAN(1+OFFSET(K$16,MAX($B$16:$B$506)-59,0,60,1)/100)^12-1)*100,"N/A")</f>
        <v>6.5454291861456015</v>
      </c>
      <c r="L10" s="16">
        <f ca="1">IFERROR(SLOPE(OFFSET(K$16,MAX($B$16:$B$506)-59,0,60,1),OFFSET(K$16,MAX($B$16:$B$506)-59,0,60,1)),"N/A")</f>
        <v>1</v>
      </c>
      <c r="M10" s="16">
        <f ca="1">IFERROR(STDEVP(OFFSET(K$16,MAX($B$16:$B$506)-59,0,60,1))*SQRT(12),"N/A")</f>
        <v>24.178267824010224</v>
      </c>
      <c r="N10" s="16"/>
      <c r="O10" s="39"/>
      <c r="P10" s="7" t="s">
        <v>50</v>
      </c>
      <c r="Q10" s="16">
        <f t="array" aca="1" ref="Q10" ca="1">IFERROR((GEOMEAN(1+OFFSET(Q$16,MAX($B$16:$B$506)-59,0,60,1)/100)^12-1)*100,"N/A")</f>
        <v>0.76962570788077223</v>
      </c>
      <c r="R10" s="36">
        <f t="shared" ca="1" si="1"/>
        <v>-5.7758034782648293</v>
      </c>
      <c r="S10" s="16">
        <f ca="1">IFERROR(SLOPE(OFFSET(Q$16,MAX($B$16:$B$506)-59,0,60,1),OFFSET($K$16,MAX($B$16:$B$506)-59,0,60,1)),"N/A")</f>
        <v>0.78796656039868052</v>
      </c>
      <c r="T10" s="16">
        <f ca="1">IFERROR(STDEVP(OFFSET(Q$16,MAX($B$16:$B$506)-59,0,60,1))*SQRT(12),"N/A")</f>
        <v>21.468795565818954</v>
      </c>
      <c r="U10" s="41"/>
    </row>
    <row r="11" spans="1:28" x14ac:dyDescent="0.25">
      <c r="C11" s="7" t="s">
        <v>51</v>
      </c>
      <c r="D11" s="16" t="s">
        <v>411</v>
      </c>
      <c r="E11" s="36" t="str">
        <f t="shared" ca="1" si="0"/>
        <v>N/A</v>
      </c>
      <c r="F11" s="16" t="str">
        <f ca="1">IF(D11="N/A","N/A",IFERROR(SLOPE(OFFSET(D$16,MAX($B$16:$B$506)-119,0,120,1),OFFSET(K$16,MAX($B$16:$B$506)-119,0,120,1)),"N/A"))</f>
        <v>N/A</v>
      </c>
      <c r="G11" s="16" t="str">
        <f ca="1">IF(D11="N/A","N/A",IFERROR(INTERCEPT(OFFSET($D$16,MAX($B$16:$B$506)-119,0,120,1),OFFSET($K$16,MAX($B$16:$B$506)-119,0,120,1))*12,"N/A"))</f>
        <v>N/A</v>
      </c>
      <c r="H11" s="16">
        <f ca="1">IFERROR(STDEVP(OFFSET(D$16,MAX($B$16:$B$506)-119,0,120,1))*SQRT(12),"N/A")</f>
        <v>15.776783072559221</v>
      </c>
      <c r="I11" s="39"/>
      <c r="J11" s="7" t="s">
        <v>51</v>
      </c>
      <c r="K11" s="16">
        <f t="array" aca="1" ref="K11" ca="1">IFERROR((GEOMEAN(1+OFFSET(K$16,MAX($B$16:$B$506)-119,0,120,1)/100)^12-1)*100,"N/A")</f>
        <v>6.7969797302174007</v>
      </c>
      <c r="L11" s="16" t="str">
        <f ca="1">IF(D11="N/A","N/A",IFERROR(SLOPE(OFFSET(K$16,MAX($B$16:$B$506)-119,0,120,1),OFFSET(K$16,MAX($B$16:$B$506)-119,0,120,1)),"N/A"))</f>
        <v>N/A</v>
      </c>
      <c r="M11" s="16">
        <f ca="1">IFERROR(STDEVP(OFFSET(K$16,MAX($B$16:$B$506)-119,0,120,1))*SQRT(12),"N/A")</f>
        <v>20.496169857680535</v>
      </c>
      <c r="N11" s="16"/>
      <c r="O11" s="39"/>
      <c r="P11" s="7" t="s">
        <v>51</v>
      </c>
      <c r="Q11" s="16">
        <f t="array" aca="1" ref="Q11" ca="1">IFERROR((GEOMEAN(1+OFFSET(Q$16,MAX($B$16:$B$506)-119,0,120,1)/100)^12-1)*100,"N/A")</f>
        <v>5.8843433027765402</v>
      </c>
      <c r="R11" s="36">
        <f t="shared" ca="1" si="1"/>
        <v>-0.91263642744086049</v>
      </c>
      <c r="S11" s="16">
        <f ca="1">IFERROR(SLOPE(OFFSET(Q$16,MAX($B$16:$B$506)-119,0,120,1),OFFSET($K$16,MAX($B$16:$B$506)-119,0,120,1)),"N/A")</f>
        <v>0.77376371455441528</v>
      </c>
      <c r="T11" s="16">
        <f ca="1">IFERROR(STDEVP(OFFSET(Q$16,MAX($B$16:$B$506)-119,0,120,1))*SQRT(12),"N/A")</f>
        <v>17.77008522048736</v>
      </c>
      <c r="U11" s="41"/>
    </row>
    <row r="12" spans="1:28" x14ac:dyDescent="0.25">
      <c r="C12" s="7" t="s">
        <v>52</v>
      </c>
      <c r="D12" s="16">
        <f t="array" aca="1" ref="D12" ca="1">IFERROR((GEOMEAN(1+OFFSET(D$16,1,0,MAX($B$16:$B$506),1)/100)^12-1)*100,"N/A")</f>
        <v>9.1952944740260492</v>
      </c>
      <c r="E12" s="36">
        <f t="shared" ca="1" si="0"/>
        <v>1.8223641532683956</v>
      </c>
      <c r="F12" s="16">
        <f ca="1">IFERROR(SLOPE(OFFSET(D$16,1,0,MAX($B$16:$B$506),1),OFFSET(K$16,1,0,MAX($B$16:$B$506),1)),"N/A")</f>
        <v>0.67458404243775383</v>
      </c>
      <c r="G12" s="16">
        <f ca="1">IFERROR(INTERCEPT(OFFSET($D$16,1,0,MAX($B$16:$B$506),1),OFFSET($K$16,1,0,MAX($B$16:$B$506),1))*12,"N/A")</f>
        <v>3.8640344481455848</v>
      </c>
      <c r="H12" s="16">
        <f ca="1">IFERROR(STDEVP(OFFSET(D$16,1,0,MAX($B$16:$B$506),1))*SQRT(12),"N/A")</f>
        <v>14.87823050992011</v>
      </c>
      <c r="I12" s="39"/>
      <c r="J12" s="7" t="s">
        <v>52</v>
      </c>
      <c r="K12" s="16">
        <f t="array" aca="1" ref="K12" ca="1">IFERROR((GEOMEAN(1+OFFSET(K$16,1,0,MAX($B$16:$B$506),1)/100)^12-1)*100,"N/A")</f>
        <v>7.3729303207576535</v>
      </c>
      <c r="L12" s="16">
        <f ca="1">IFERROR(SLOPE(OFFSET(K$16,1,0,MAX($B$16:$B$506),1),OFFSET(K$16,1,0,MAX($B$16:$B$506),1)),"N/A")</f>
        <v>1</v>
      </c>
      <c r="M12" s="16">
        <f ca="1">IFERROR(STDEVP(OFFSET(K$16,1,0,MAX($B$16:$B$506),1))*SQRT(12),"N/A")</f>
        <v>20.144131339568503</v>
      </c>
      <c r="N12" s="16"/>
      <c r="O12" s="39"/>
      <c r="P12" s="7" t="s">
        <v>52</v>
      </c>
      <c r="Q12" s="16">
        <f t="array" aca="1" ref="Q12" ca="1">IFERROR((GEOMEAN(1+OFFSET(Q$16,1,0,MAX($B$16:$B$506),1)/100)^12-1)*100,"N/A")</f>
        <v>7.9179853568908332</v>
      </c>
      <c r="R12" s="36">
        <f t="shared" ca="1" si="1"/>
        <v>0.54505503613317963</v>
      </c>
      <c r="S12" s="16">
        <f ca="1">IFERROR(SLOPE(OFFSET(Q$16,1,0,MAX($B$16:$B$506),1),OFFSET($K$16,1,0,MAX($B$16:$B$506),1)),"N/A")</f>
        <v>0.73430980230435761</v>
      </c>
      <c r="T12" s="16">
        <f ca="1">IFERROR(STDEVP(OFFSET(Q$16,1,0,MAX($B$16:$B$506),1))*SQRT(12),"N/A")</f>
        <v>16.194668184706853</v>
      </c>
      <c r="U12" s="41"/>
    </row>
    <row r="13" spans="1:28" x14ac:dyDescent="0.25">
      <c r="C13" s="7" t="s">
        <v>96</v>
      </c>
      <c r="D13" s="16" cm="1">
        <f t="array" aca="1" ref="D13" ca="1">IFERROR((GEOMEAN(1+OFFSET(D$125,1,0,MAX($B$16:$B$506)-109,1)/100)^(MIN(COUNTA(OFFSET(D$125,1,0,MAX($B$16:$B$506)-109,1)),12))-1)*100,"N/A")</f>
        <v>7.1654269507906543</v>
      </c>
      <c r="E13" s="36">
        <f t="shared" ca="1" si="0"/>
        <v>3.9082710521176622E-2</v>
      </c>
      <c r="F13" s="16">
        <f ca="1">IFERROR(SLOPE(OFFSET(D$125,1,0,MAX($B$16:$B$506)-109,1),OFFSET($K$125,1,0,MAX($B$16:$B$506)-109,1)),"N/A")</f>
        <v>0.69009284519028025</v>
      </c>
      <c r="G13" s="16">
        <f ca="1">IFERROR(INTERCEPT(OFFSET(D$125,1,0,MAX($B$16:$B$506)-109,1),OFFSET($K$125,1,0,MAX($B$16:$B$506)-109,1))*12,"N/A")</f>
        <v>2.1171397527373026</v>
      </c>
      <c r="H13" s="16">
        <f ca="1">IFERROR(STDEVP(OFFSET(D$125,1,0,MAX($B$16:$B$506)-109,1))*SQRT(12),"N/A")</f>
        <v>15.599720907879631</v>
      </c>
      <c r="I13" s="39"/>
      <c r="J13" s="7" t="s">
        <v>96</v>
      </c>
      <c r="K13" s="16">
        <f t="array" aca="1" ref="K13" ca="1">IFERROR((GEOMEAN(1+OFFSET(K$125,1,0,MAX($B$16:$B$506)-109,1)/100)^(MIN(COUNTA(OFFSET(K$125,1,0,MAX($B$16:$B$506)-109,1)),12))-1)*100,"N/A")</f>
        <v>7.1263442402694777</v>
      </c>
      <c r="L13" s="16">
        <f ca="1">IFERROR(SLOPE(OFFSET(K$125,1,0,MAX($B$16:$B$506)-109,1),OFFSET($K$125,1,0,MAX($B$16:$B$506)-109,1)),"N/A")</f>
        <v>1</v>
      </c>
      <c r="M13" s="16">
        <f ca="1">IFERROR(STDEVP(OFFSET(K$125,1,0,MAX($B$16:$B$506)-109,1))*SQRT(12),"N/A")</f>
        <v>20.211127175504423</v>
      </c>
      <c r="N13" s="16"/>
      <c r="O13" s="39"/>
      <c r="P13" s="7" t="s">
        <v>96</v>
      </c>
      <c r="Q13" s="16">
        <f t="array" aca="1" ref="Q13" ca="1">IFERROR((GEOMEAN(1+OFFSET(Q$125,1,0,MAX($B$16:$B$506)-109,1)/100)^(MIN(COUNTA(OFFSET(Q$125,1,0,MAX($B$16:$B$506)-109,1)),12))-1)*100,"N/A")</f>
        <v>6.3405316686774293</v>
      </c>
      <c r="R13" s="36">
        <f t="shared" ca="1" si="1"/>
        <v>-0.78581257159204831</v>
      </c>
      <c r="S13" s="16">
        <f ca="1">IFERROR(SLOPE(OFFSET(Q$125,1,0,MAX($B$16:$B$506)-109,1),OFFSET($K$125,1,0,MAX($B$16:$B$506)-109,1)),"N/A")</f>
        <v>0.77176171397530735</v>
      </c>
      <c r="T13" s="16">
        <f ca="1">IFERROR(STDEVP(OFFSET(Q$125,1,0,MAX($B$16:$B$506)-109,1))*SQRT(12),"N/A")</f>
        <v>17.477889639799773</v>
      </c>
      <c r="U13" s="41"/>
    </row>
    <row r="14" spans="1:28" ht="16.5" thickBot="1" x14ac:dyDescent="0.3">
      <c r="A14" s="7"/>
      <c r="C14" s="17"/>
      <c r="D14" s="16"/>
      <c r="E14" s="36"/>
      <c r="F14" s="16"/>
      <c r="G14" s="16"/>
      <c r="H14" s="16"/>
      <c r="I14" s="39"/>
      <c r="J14" s="7"/>
      <c r="K14" s="16"/>
      <c r="L14" s="36"/>
      <c r="M14" s="16"/>
      <c r="N14" s="16"/>
      <c r="O14" s="39"/>
      <c r="P14" s="7"/>
      <c r="Q14" s="16"/>
      <c r="R14" s="36"/>
      <c r="S14" s="16"/>
      <c r="T14" s="16"/>
      <c r="U14" s="41"/>
      <c r="W14" s="101" t="s">
        <v>56</v>
      </c>
    </row>
    <row r="15" spans="1:28" x14ac:dyDescent="0.25">
      <c r="A15" s="7" t="s">
        <v>69</v>
      </c>
      <c r="B15" s="23" t="s">
        <v>70</v>
      </c>
      <c r="C15" s="13" t="s">
        <v>71</v>
      </c>
      <c r="D15" s="19" t="s">
        <v>89</v>
      </c>
      <c r="E15" s="13" t="s">
        <v>73</v>
      </c>
      <c r="F15" s="9" t="s">
        <v>74</v>
      </c>
      <c r="G15" s="9" t="s">
        <v>75</v>
      </c>
      <c r="H15" s="33"/>
      <c r="I15" s="44"/>
      <c r="J15" s="7" t="s">
        <v>69</v>
      </c>
      <c r="K15" s="33" t="s">
        <v>41</v>
      </c>
      <c r="L15" s="13" t="s">
        <v>73</v>
      </c>
      <c r="M15" s="9" t="s">
        <v>74</v>
      </c>
      <c r="N15" s="9" t="s">
        <v>75</v>
      </c>
      <c r="O15" s="44"/>
      <c r="P15" s="13" t="s">
        <v>69</v>
      </c>
      <c r="Q15" s="33" t="s">
        <v>89</v>
      </c>
      <c r="R15" s="13" t="s">
        <v>73</v>
      </c>
      <c r="S15" s="13" t="s">
        <v>74</v>
      </c>
      <c r="T15" s="13" t="s">
        <v>75</v>
      </c>
      <c r="U15" s="44"/>
      <c r="W15" s="324" t="s">
        <v>98</v>
      </c>
      <c r="X15" s="325"/>
      <c r="Y15" s="324" t="s">
        <v>99</v>
      </c>
      <c r="Z15" s="325" t="s">
        <v>81</v>
      </c>
      <c r="AA15" s="324" t="s">
        <v>68</v>
      </c>
      <c r="AB15" s="325"/>
    </row>
    <row r="16" spans="1:28" x14ac:dyDescent="0.25">
      <c r="A16" s="20">
        <v>38352</v>
      </c>
      <c r="B16" s="23">
        <v>0</v>
      </c>
      <c r="C16" s="17"/>
      <c r="D16" s="11"/>
      <c r="E16" s="48">
        <v>1000000</v>
      </c>
      <c r="F16" s="8"/>
      <c r="I16" s="39"/>
      <c r="J16" s="20">
        <f t="shared" ref="J16:J47" si="2">A16</f>
        <v>38352</v>
      </c>
      <c r="K16" s="16"/>
      <c r="L16" s="48">
        <v>1000000</v>
      </c>
      <c r="M16" s="8"/>
      <c r="O16" s="39"/>
      <c r="P16" s="20">
        <f>$A16</f>
        <v>38352</v>
      </c>
      <c r="Q16" s="16"/>
      <c r="R16" s="48">
        <v>1000000</v>
      </c>
      <c r="S16" s="8"/>
      <c r="U16" s="39"/>
    </row>
    <row r="17" spans="1:21" x14ac:dyDescent="0.25">
      <c r="A17" s="20">
        <v>38383</v>
      </c>
      <c r="B17" s="24">
        <f>IF(A17&gt;A16,1+B16,"-")</f>
        <v>1</v>
      </c>
      <c r="C17" s="17" t="s">
        <v>77</v>
      </c>
      <c r="D17" s="27">
        <v>-0.43</v>
      </c>
      <c r="E17" s="46">
        <f t="shared" ref="E17:E80" si="3">E16*D17/100+E16</f>
        <v>995700</v>
      </c>
      <c r="F17" s="10"/>
      <c r="I17" s="39"/>
      <c r="J17" s="20">
        <f t="shared" si="2"/>
        <v>38383</v>
      </c>
      <c r="K17" s="27">
        <f>'SC (Gross)'!K17</f>
        <v>-4.1749036766697643</v>
      </c>
      <c r="L17" s="46">
        <f t="shared" ref="L17:L80" si="4">L16*K17/100+L16</f>
        <v>958250.96323330235</v>
      </c>
      <c r="M17" s="10"/>
      <c r="O17" s="39"/>
      <c r="P17" s="20">
        <f t="shared" ref="P17:P80" si="5">$A17</f>
        <v>38383</v>
      </c>
      <c r="Q17" s="45">
        <f>'SC (Gross)'!Q17</f>
        <v>-2.3169048240868486</v>
      </c>
      <c r="R17" s="46">
        <f t="shared" ref="R17:R80" si="6">R16*Q17/100+R16</f>
        <v>976830.95175913151</v>
      </c>
      <c r="S17" s="10"/>
      <c r="U17" s="39"/>
    </row>
    <row r="18" spans="1:21" x14ac:dyDescent="0.25">
      <c r="A18" s="20">
        <v>38411</v>
      </c>
      <c r="B18" s="24">
        <f t="shared" ref="B18:B81" si="7">IF(A18&gt;A17,1+B17,"-")</f>
        <v>2</v>
      </c>
      <c r="C18" s="17" t="s">
        <v>77</v>
      </c>
      <c r="D18" s="27">
        <v>3.31</v>
      </c>
      <c r="E18" s="46">
        <f t="shared" si="3"/>
        <v>1028657.67</v>
      </c>
      <c r="F18" s="8"/>
      <c r="I18" s="39"/>
      <c r="J18" s="20">
        <f t="shared" si="2"/>
        <v>38411</v>
      </c>
      <c r="K18" s="27">
        <f>'SC (Gross)'!K18</f>
        <v>1.6915377945368402</v>
      </c>
      <c r="L18" s="46">
        <f t="shared" si="4"/>
        <v>974460.140442907</v>
      </c>
      <c r="M18" s="8"/>
      <c r="O18" s="39"/>
      <c r="P18" s="20">
        <f t="shared" si="5"/>
        <v>38411</v>
      </c>
      <c r="Q18" s="45">
        <f>'SC (Gross)'!Q18</f>
        <v>1.1782904285386828</v>
      </c>
      <c r="R18" s="46">
        <f t="shared" si="6"/>
        <v>988340.85736671265</v>
      </c>
      <c r="S18" s="8"/>
      <c r="U18" s="39"/>
    </row>
    <row r="19" spans="1:21" x14ac:dyDescent="0.25">
      <c r="A19" s="20">
        <v>38442</v>
      </c>
      <c r="B19" s="24">
        <f t="shared" si="7"/>
        <v>3</v>
      </c>
      <c r="C19" s="17" t="s">
        <v>77</v>
      </c>
      <c r="D19" s="27">
        <v>-0.01</v>
      </c>
      <c r="E19" s="46">
        <f t="shared" si="3"/>
        <v>1028554.804233</v>
      </c>
      <c r="F19" s="8"/>
      <c r="G19" s="5">
        <f>(E19/E16-1)*100</f>
        <v>2.8554804232999942</v>
      </c>
      <c r="H19" s="5"/>
      <c r="I19" s="39"/>
      <c r="J19" s="20">
        <f t="shared" si="2"/>
        <v>38442</v>
      </c>
      <c r="K19" s="27">
        <f>'SC (Gross)'!K19</f>
        <v>-2.8691520870784362</v>
      </c>
      <c r="L19" s="46">
        <f t="shared" si="4"/>
        <v>946501.39698564191</v>
      </c>
      <c r="M19" s="8"/>
      <c r="N19" s="5">
        <f>(L19/L16-1)*100</f>
        <v>-5.3498603014358048</v>
      </c>
      <c r="O19" s="39"/>
      <c r="P19" s="20">
        <f t="shared" si="5"/>
        <v>38442</v>
      </c>
      <c r="Q19" s="45">
        <f>'SC (Gross)'!Q19</f>
        <v>-0.9493969536248793</v>
      </c>
      <c r="R19" s="46">
        <f t="shared" si="6"/>
        <v>978957.57937544305</v>
      </c>
      <c r="S19" s="8"/>
      <c r="T19" s="5">
        <f>(R19/R16-1)*100</f>
        <v>-2.1042420624556968</v>
      </c>
      <c r="U19" s="39"/>
    </row>
    <row r="20" spans="1:21" x14ac:dyDescent="0.25">
      <c r="A20" s="20">
        <v>38472</v>
      </c>
      <c r="B20" s="24">
        <f t="shared" si="7"/>
        <v>4</v>
      </c>
      <c r="C20" s="17" t="s">
        <v>77</v>
      </c>
      <c r="D20" s="27">
        <v>-3.12</v>
      </c>
      <c r="E20" s="46">
        <f t="shared" si="3"/>
        <v>996463.89434093039</v>
      </c>
      <c r="F20" s="8"/>
      <c r="I20" s="39"/>
      <c r="J20" s="20">
        <f t="shared" si="2"/>
        <v>38472</v>
      </c>
      <c r="K20" s="27">
        <f>'SC (Gross)'!K20</f>
        <v>-5.7274516200795542</v>
      </c>
      <c r="L20" s="46">
        <f t="shared" si="4"/>
        <v>892290.98738991213</v>
      </c>
      <c r="M20" s="8"/>
      <c r="O20" s="39"/>
      <c r="P20" s="20">
        <f t="shared" si="5"/>
        <v>38472</v>
      </c>
      <c r="Q20" s="45">
        <f>'SC (Gross)'!Q20</f>
        <v>-2.6106177826898871</v>
      </c>
      <c r="R20" s="46">
        <f t="shared" si="6"/>
        <v>953400.73872327723</v>
      </c>
      <c r="S20" s="8"/>
      <c r="U20" s="39"/>
    </row>
    <row r="21" spans="1:21" x14ac:dyDescent="0.25">
      <c r="A21" s="20">
        <v>38503</v>
      </c>
      <c r="B21" s="24">
        <f t="shared" si="7"/>
        <v>5</v>
      </c>
      <c r="C21" s="17" t="s">
        <v>77</v>
      </c>
      <c r="D21" s="27">
        <v>4.51</v>
      </c>
      <c r="E21" s="46">
        <f t="shared" si="3"/>
        <v>1041404.4159757063</v>
      </c>
      <c r="F21" s="8"/>
      <c r="I21" s="39"/>
      <c r="J21" s="20">
        <f t="shared" si="2"/>
        <v>38503</v>
      </c>
      <c r="K21" s="27">
        <f>'SC (Gross)'!K21</f>
        <v>6.544957063145656</v>
      </c>
      <c r="L21" s="46">
        <f t="shared" si="4"/>
        <v>950691.04939290031</v>
      </c>
      <c r="M21" s="8"/>
      <c r="O21" s="39"/>
      <c r="P21" s="20">
        <f t="shared" si="5"/>
        <v>38503</v>
      </c>
      <c r="Q21" s="45">
        <f>'SC (Gross)'!Q21</f>
        <v>4.5981059716678514</v>
      </c>
      <c r="R21" s="46">
        <f t="shared" si="6"/>
        <v>997239.11502443766</v>
      </c>
      <c r="S21" s="8"/>
      <c r="U21" s="39"/>
    </row>
    <row r="22" spans="1:21" x14ac:dyDescent="0.25">
      <c r="A22" s="20">
        <v>38533</v>
      </c>
      <c r="B22" s="24">
        <f t="shared" si="7"/>
        <v>6</v>
      </c>
      <c r="C22" s="17" t="s">
        <v>77</v>
      </c>
      <c r="D22" s="27">
        <v>4.92</v>
      </c>
      <c r="E22" s="46">
        <f t="shared" si="3"/>
        <v>1092641.5132417111</v>
      </c>
      <c r="F22" s="8"/>
      <c r="G22" s="5">
        <f>(E22/E19-1)*100</f>
        <v>6.2307529695999841</v>
      </c>
      <c r="H22" s="5"/>
      <c r="I22" s="39"/>
      <c r="J22" s="20">
        <f t="shared" si="2"/>
        <v>38533</v>
      </c>
      <c r="K22" s="27">
        <f>'SC (Gross)'!K22</f>
        <v>3.856145917194314</v>
      </c>
      <c r="L22" s="46">
        <f t="shared" si="4"/>
        <v>987351.08347919642</v>
      </c>
      <c r="M22" s="8"/>
      <c r="N22" s="5">
        <f>(L22/L19-1)*100</f>
        <v>4.3158611940405045</v>
      </c>
      <c r="O22" s="39"/>
      <c r="P22" s="20">
        <f t="shared" si="5"/>
        <v>38533</v>
      </c>
      <c r="Q22" s="45">
        <f>'SC (Gross)'!Q22</f>
        <v>4.2369710801002611</v>
      </c>
      <c r="R22" s="46">
        <f t="shared" si="6"/>
        <v>1039491.8479274709</v>
      </c>
      <c r="S22" s="8"/>
      <c r="T22" s="5">
        <f>(R22/R19-1)*100</f>
        <v>6.1835435801669281</v>
      </c>
      <c r="U22" s="39"/>
    </row>
    <row r="23" spans="1:21" x14ac:dyDescent="0.25">
      <c r="A23" s="20">
        <v>38564</v>
      </c>
      <c r="B23" s="24">
        <f t="shared" si="7"/>
        <v>7</v>
      </c>
      <c r="C23" s="17" t="s">
        <v>77</v>
      </c>
      <c r="D23" s="27">
        <v>5.42</v>
      </c>
      <c r="E23" s="46">
        <f t="shared" si="3"/>
        <v>1151862.6832594117</v>
      </c>
      <c r="F23" s="8"/>
      <c r="I23" s="39"/>
      <c r="J23" s="20">
        <f t="shared" si="2"/>
        <v>38564</v>
      </c>
      <c r="K23" s="27">
        <f>'SC (Gross)'!K23</f>
        <v>6.3348181372920145</v>
      </c>
      <c r="L23" s="46">
        <f t="shared" si="4"/>
        <v>1049897.9789941858</v>
      </c>
      <c r="M23" s="8"/>
      <c r="O23" s="39"/>
      <c r="P23" s="20">
        <f t="shared" si="5"/>
        <v>38564</v>
      </c>
      <c r="Q23" s="45">
        <f>'SC (Gross)'!Q23</f>
        <v>3.8763167812214028</v>
      </c>
      <c r="R23" s="46">
        <f t="shared" si="6"/>
        <v>1079785.8448681119</v>
      </c>
      <c r="S23" s="8"/>
      <c r="U23" s="39"/>
    </row>
    <row r="24" spans="1:21" x14ac:dyDescent="0.25">
      <c r="A24" s="20">
        <v>38595</v>
      </c>
      <c r="B24" s="24">
        <f t="shared" si="7"/>
        <v>8</v>
      </c>
      <c r="C24" s="17" t="s">
        <v>77</v>
      </c>
      <c r="D24" s="27">
        <v>-1.06</v>
      </c>
      <c r="E24" s="46">
        <f t="shared" si="3"/>
        <v>1139652.9388168619</v>
      </c>
      <c r="F24" s="8"/>
      <c r="I24" s="39"/>
      <c r="J24" s="20">
        <f t="shared" si="2"/>
        <v>38595</v>
      </c>
      <c r="K24" s="27">
        <f>'SC (Gross)'!K24</f>
        <v>-1.8581215654396157</v>
      </c>
      <c r="L24" s="46">
        <f t="shared" si="4"/>
        <v>1030389.5982313801</v>
      </c>
      <c r="M24" s="8"/>
      <c r="O24" s="39"/>
      <c r="P24" s="20">
        <f t="shared" si="5"/>
        <v>38595</v>
      </c>
      <c r="Q24" s="45">
        <f>'SC (Gross)'!Q24</f>
        <v>-1.7068914880016577</v>
      </c>
      <c r="R24" s="46">
        <f t="shared" si="6"/>
        <v>1061355.0721934114</v>
      </c>
      <c r="S24" s="8"/>
      <c r="U24" s="39"/>
    </row>
    <row r="25" spans="1:21" x14ac:dyDescent="0.25">
      <c r="A25" s="20">
        <v>38625</v>
      </c>
      <c r="B25" s="24">
        <f t="shared" si="7"/>
        <v>9</v>
      </c>
      <c r="C25" s="17" t="s">
        <v>77</v>
      </c>
      <c r="D25" s="27">
        <v>0.55000000000000004</v>
      </c>
      <c r="E25" s="46">
        <f t="shared" si="3"/>
        <v>1145921.0299803547</v>
      </c>
      <c r="F25" s="8"/>
      <c r="G25" s="5">
        <f>(E25/E22-1)*100</f>
        <v>4.876212013999992</v>
      </c>
      <c r="H25" s="5"/>
      <c r="I25" s="39"/>
      <c r="J25" s="20">
        <f t="shared" si="2"/>
        <v>38625</v>
      </c>
      <c r="K25" s="27">
        <f>'SC (Gross)'!K25</f>
        <v>0.31673435780602038</v>
      </c>
      <c r="L25" s="46">
        <f t="shared" si="4"/>
        <v>1033653.1961082383</v>
      </c>
      <c r="M25" s="8"/>
      <c r="N25" s="5">
        <f>(L25/L22-1)*100</f>
        <v>4.6895287202080027</v>
      </c>
      <c r="O25" s="39"/>
      <c r="P25" s="20">
        <f t="shared" si="5"/>
        <v>38625</v>
      </c>
      <c r="Q25" s="45">
        <f>'SC (Gross)'!Q25</f>
        <v>0.52377186044466195</v>
      </c>
      <c r="R25" s="46">
        <f t="shared" si="6"/>
        <v>1066914.1514009626</v>
      </c>
      <c r="S25" s="8"/>
      <c r="T25" s="5">
        <f>(R25/R22-1)*100</f>
        <v>2.6380489205534374</v>
      </c>
      <c r="U25" s="39"/>
    </row>
    <row r="26" spans="1:21" x14ac:dyDescent="0.25">
      <c r="A26" s="20">
        <v>38656</v>
      </c>
      <c r="B26" s="24">
        <f t="shared" si="7"/>
        <v>10</v>
      </c>
      <c r="C26" s="17" t="s">
        <v>77</v>
      </c>
      <c r="D26" s="27">
        <v>-5.37</v>
      </c>
      <c r="E26" s="46">
        <f t="shared" si="3"/>
        <v>1084385.0706704096</v>
      </c>
      <c r="F26" s="8"/>
      <c r="I26" s="39"/>
      <c r="J26" s="20">
        <f t="shared" si="2"/>
        <v>38656</v>
      </c>
      <c r="K26" s="27">
        <f>'SC (Gross)'!K26</f>
        <v>-3.1057180650660752</v>
      </c>
      <c r="L26" s="46">
        <f t="shared" si="4"/>
        <v>1001550.8420665719</v>
      </c>
      <c r="M26" s="8"/>
      <c r="O26" s="39"/>
      <c r="P26" s="20">
        <f t="shared" si="5"/>
        <v>38656</v>
      </c>
      <c r="Q26" s="45">
        <f>'SC (Gross)'!Q26</f>
        <v>-1.3498155368663847</v>
      </c>
      <c r="R26" s="46">
        <f t="shared" si="6"/>
        <v>1052512.7784203263</v>
      </c>
      <c r="S26" s="8"/>
      <c r="U26" s="39"/>
    </row>
    <row r="27" spans="1:21" x14ac:dyDescent="0.25">
      <c r="A27" s="20">
        <v>38686</v>
      </c>
      <c r="B27" s="24">
        <f t="shared" si="7"/>
        <v>11</v>
      </c>
      <c r="C27" s="17" t="s">
        <v>77</v>
      </c>
      <c r="D27" s="27">
        <v>1.27</v>
      </c>
      <c r="E27" s="46">
        <f t="shared" si="3"/>
        <v>1098156.7610679239</v>
      </c>
      <c r="F27" s="8"/>
      <c r="I27" s="39"/>
      <c r="J27" s="20">
        <f t="shared" si="2"/>
        <v>38686</v>
      </c>
      <c r="K27" s="27">
        <f>'SC (Gross)'!K27</f>
        <v>4.8421218770686698</v>
      </c>
      <c r="L27" s="46">
        <f t="shared" si="4"/>
        <v>1050047.1545002428</v>
      </c>
      <c r="M27" s="8"/>
      <c r="O27" s="39"/>
      <c r="P27" s="20">
        <f t="shared" si="5"/>
        <v>38686</v>
      </c>
      <c r="Q27" s="45">
        <f>'SC (Gross)'!Q27</f>
        <v>3.7450594636748717</v>
      </c>
      <c r="R27" s="46">
        <f t="shared" si="6"/>
        <v>1091930.0078349442</v>
      </c>
      <c r="S27" s="8"/>
      <c r="U27" s="39"/>
    </row>
    <row r="28" spans="1:21" x14ac:dyDescent="0.25">
      <c r="A28" s="20">
        <v>38717</v>
      </c>
      <c r="B28" s="24">
        <f t="shared" si="7"/>
        <v>12</v>
      </c>
      <c r="C28" s="17" t="s">
        <v>77</v>
      </c>
      <c r="D28" s="27">
        <v>1.2</v>
      </c>
      <c r="E28" s="46">
        <f t="shared" si="3"/>
        <v>1111334.6422007389</v>
      </c>
      <c r="F28" s="11">
        <f>(E28-E16)/E16*100</f>
        <v>11.13346422007389</v>
      </c>
      <c r="G28" s="5">
        <f>(E28/E25-1)*100</f>
        <v>-3.0182173880000107</v>
      </c>
      <c r="H28" s="5"/>
      <c r="I28" s="39"/>
      <c r="J28" s="20">
        <f t="shared" si="2"/>
        <v>38717</v>
      </c>
      <c r="K28" s="27">
        <f>'SC (Gross)'!K28</f>
        <v>-0.469444729858433</v>
      </c>
      <c r="L28" s="46">
        <f t="shared" si="4"/>
        <v>1045117.7634724129</v>
      </c>
      <c r="M28" s="11">
        <f>(L28-L16)/L16*100</f>
        <v>4.5117763472412946</v>
      </c>
      <c r="N28" s="5">
        <f>(L28/L25-1)*100</f>
        <v>1.1091309355342194</v>
      </c>
      <c r="O28" s="39"/>
      <c r="P28" s="20">
        <f t="shared" si="5"/>
        <v>38717</v>
      </c>
      <c r="Q28" s="45">
        <f>'SC (Gross)'!Q28</f>
        <v>-1.1702600198175457</v>
      </c>
      <c r="R28" s="46">
        <f t="shared" si="6"/>
        <v>1079151.5875088612</v>
      </c>
      <c r="S28" s="11">
        <f>(R28-R16)/R16*100</f>
        <v>7.9151587508861212</v>
      </c>
      <c r="T28" s="5">
        <f>(R28/R25-1)*100</f>
        <v>1.1469935131921849</v>
      </c>
      <c r="U28" s="39"/>
    </row>
    <row r="29" spans="1:21" x14ac:dyDescent="0.25">
      <c r="A29" s="20">
        <v>38748</v>
      </c>
      <c r="B29" s="24">
        <f t="shared" si="7"/>
        <v>13</v>
      </c>
      <c r="C29" s="17" t="s">
        <v>77</v>
      </c>
      <c r="D29" s="27">
        <v>5.23</v>
      </c>
      <c r="E29" s="46">
        <f t="shared" si="3"/>
        <v>1169457.4439878375</v>
      </c>
      <c r="F29" s="10"/>
      <c r="I29" s="39"/>
      <c r="J29" s="20">
        <f t="shared" si="2"/>
        <v>38748</v>
      </c>
      <c r="K29" s="27">
        <f>'SC (Gross)'!K29</f>
        <v>8.9676280956516372</v>
      </c>
      <c r="L29" s="46">
        <f t="shared" si="4"/>
        <v>1138840.0376622111</v>
      </c>
      <c r="M29" s="10"/>
      <c r="O29" s="39"/>
      <c r="P29" s="20">
        <f t="shared" si="5"/>
        <v>38748</v>
      </c>
      <c r="Q29" s="45">
        <f>'SC (Gross)'!Q29</f>
        <v>5.7200643053466838</v>
      </c>
      <c r="R29" s="46">
        <f t="shared" si="6"/>
        <v>1140879.7522665376</v>
      </c>
      <c r="S29" s="10"/>
      <c r="U29" s="39"/>
    </row>
    <row r="30" spans="1:21" x14ac:dyDescent="0.25">
      <c r="A30" s="20">
        <v>38776</v>
      </c>
      <c r="B30" s="24">
        <f t="shared" si="7"/>
        <v>14</v>
      </c>
      <c r="C30" s="17" t="s">
        <v>77</v>
      </c>
      <c r="D30" s="27">
        <v>-0.22</v>
      </c>
      <c r="E30" s="46">
        <f t="shared" si="3"/>
        <v>1166884.6376110644</v>
      </c>
      <c r="F30" s="8"/>
      <c r="I30" s="39"/>
      <c r="J30" s="20">
        <f t="shared" si="2"/>
        <v>38776</v>
      </c>
      <c r="K30" s="27">
        <f>'SC (Gross)'!K30</f>
        <v>-0.27856722302398085</v>
      </c>
      <c r="L30" s="46">
        <f t="shared" si="4"/>
        <v>1135667.6025946103</v>
      </c>
      <c r="M30" s="8"/>
      <c r="O30" s="39"/>
      <c r="P30" s="20">
        <f t="shared" si="5"/>
        <v>38776</v>
      </c>
      <c r="Q30" s="45">
        <f>'SC (Gross)'!Q30</f>
        <v>0.58209882599168472</v>
      </c>
      <c r="R30" s="46">
        <f t="shared" si="6"/>
        <v>1147520.799910458</v>
      </c>
      <c r="S30" s="8"/>
      <c r="U30" s="39"/>
    </row>
    <row r="31" spans="1:21" x14ac:dyDescent="0.25">
      <c r="A31" s="20">
        <v>38807</v>
      </c>
      <c r="B31" s="24">
        <f t="shared" si="7"/>
        <v>15</v>
      </c>
      <c r="C31" s="17" t="s">
        <v>77</v>
      </c>
      <c r="D31" s="27">
        <v>5.4</v>
      </c>
      <c r="E31" s="46">
        <f t="shared" si="3"/>
        <v>1229896.4080420618</v>
      </c>
      <c r="F31" s="8"/>
      <c r="G31" s="5">
        <f>(E31/E28-1)*100</f>
        <v>10.668412676000006</v>
      </c>
      <c r="H31" s="5"/>
      <c r="I31" s="39"/>
      <c r="J31" s="20">
        <f t="shared" si="2"/>
        <v>38807</v>
      </c>
      <c r="K31" s="27">
        <f>'SC (Gross)'!K31</f>
        <v>4.8531852212221951</v>
      </c>
      <c r="L31" s="46">
        <f t="shared" si="4"/>
        <v>1190783.6548459404</v>
      </c>
      <c r="M31" s="8"/>
      <c r="N31" s="5">
        <f>(L31/L28-1)*100</f>
        <v>13.937749071410988</v>
      </c>
      <c r="O31" s="39"/>
      <c r="P31" s="20">
        <f t="shared" si="5"/>
        <v>38807</v>
      </c>
      <c r="Q31" s="45">
        <f>'SC (Gross)'!Q31</f>
        <v>4.5436811132425214</v>
      </c>
      <c r="R31" s="46">
        <f t="shared" si="6"/>
        <v>1199660.4857665191</v>
      </c>
      <c r="S31" s="8"/>
      <c r="T31" s="5">
        <f>(R31/R28-1)*100</f>
        <v>11.167003751145232</v>
      </c>
      <c r="U31" s="39"/>
    </row>
    <row r="32" spans="1:21" x14ac:dyDescent="0.25">
      <c r="A32" s="20">
        <v>38837</v>
      </c>
      <c r="B32" s="24">
        <f t="shared" si="7"/>
        <v>16</v>
      </c>
      <c r="C32" s="17" t="s">
        <v>77</v>
      </c>
      <c r="D32" s="27">
        <v>0.13</v>
      </c>
      <c r="E32" s="46">
        <f t="shared" si="3"/>
        <v>1231495.2733725165</v>
      </c>
      <c r="F32" s="8"/>
      <c r="I32" s="39"/>
      <c r="J32" s="20">
        <f t="shared" si="2"/>
        <v>38837</v>
      </c>
      <c r="K32" s="27">
        <f>'SC (Gross)'!K32</f>
        <v>-2.0389419875890716E-2</v>
      </c>
      <c r="L32" s="46">
        <f t="shared" si="4"/>
        <v>1190540.8609667404</v>
      </c>
      <c r="M32" s="8"/>
      <c r="O32" s="39"/>
      <c r="P32" s="20">
        <f t="shared" si="5"/>
        <v>38837</v>
      </c>
      <c r="Q32" s="45">
        <f>'SC (Gross)'!Q32</f>
        <v>-0.63599185184033835</v>
      </c>
      <c r="R32" s="46">
        <f t="shared" si="6"/>
        <v>1192030.7428272958</v>
      </c>
      <c r="S32" s="8"/>
      <c r="U32" s="39"/>
    </row>
    <row r="33" spans="1:21" x14ac:dyDescent="0.25">
      <c r="A33" s="20">
        <v>38868</v>
      </c>
      <c r="B33" s="24">
        <f t="shared" si="7"/>
        <v>17</v>
      </c>
      <c r="C33" s="17" t="s">
        <v>77</v>
      </c>
      <c r="D33" s="27">
        <v>-2.5</v>
      </c>
      <c r="E33" s="46">
        <f t="shared" si="3"/>
        <v>1200707.8915382037</v>
      </c>
      <c r="F33" s="8"/>
      <c r="I33" s="39"/>
      <c r="J33" s="20">
        <f t="shared" si="2"/>
        <v>38868</v>
      </c>
      <c r="K33" s="27">
        <f>'SC (Gross)'!K33</f>
        <v>-5.616961166089844</v>
      </c>
      <c r="L33" s="46">
        <f t="shared" si="4"/>
        <v>1123668.643139807</v>
      </c>
      <c r="M33" s="8"/>
      <c r="O33" s="39"/>
      <c r="P33" s="20">
        <f t="shared" si="5"/>
        <v>38868</v>
      </c>
      <c r="Q33" s="45">
        <f>'SC (Gross)'!Q33</f>
        <v>-2.1502347417840388</v>
      </c>
      <c r="R33" s="46">
        <f t="shared" si="6"/>
        <v>1166399.283662277</v>
      </c>
      <c r="S33" s="8"/>
      <c r="U33" s="39"/>
    </row>
    <row r="34" spans="1:21" x14ac:dyDescent="0.25">
      <c r="A34" s="20">
        <v>38898</v>
      </c>
      <c r="B34" s="24">
        <f t="shared" si="7"/>
        <v>18</v>
      </c>
      <c r="C34" s="17" t="s">
        <v>77</v>
      </c>
      <c r="D34" s="27">
        <v>0.65</v>
      </c>
      <c r="E34" s="46">
        <f t="shared" si="3"/>
        <v>1208512.492833202</v>
      </c>
      <c r="F34" s="8"/>
      <c r="G34" s="5">
        <f>(E34/E31-1)*100</f>
        <v>-1.7386761249999938</v>
      </c>
      <c r="H34" s="5"/>
      <c r="I34" s="39"/>
      <c r="J34" s="20">
        <f t="shared" si="2"/>
        <v>38898</v>
      </c>
      <c r="K34" s="27">
        <f>'SC (Gross)'!K34</f>
        <v>0.63946256680731062</v>
      </c>
      <c r="L34" s="46">
        <f t="shared" si="4"/>
        <v>1130854.0834876378</v>
      </c>
      <c r="M34" s="8"/>
      <c r="N34" s="5">
        <f>(L34/L31-1)*100</f>
        <v>-5.0327841765728687</v>
      </c>
      <c r="O34" s="39"/>
      <c r="P34" s="20">
        <f t="shared" si="5"/>
        <v>38898</v>
      </c>
      <c r="Q34" s="45">
        <f>'SC (Gross)'!Q34</f>
        <v>1.4729872373092852</v>
      </c>
      <c r="R34" s="46">
        <f t="shared" si="6"/>
        <v>1183580.1962466894</v>
      </c>
      <c r="S34" s="8"/>
      <c r="T34" s="5">
        <f>(R34/R31-1)*100</f>
        <v>-1.3404033650033287</v>
      </c>
      <c r="U34" s="39"/>
    </row>
    <row r="35" spans="1:21" x14ac:dyDescent="0.25">
      <c r="A35" s="20">
        <v>38929</v>
      </c>
      <c r="B35" s="24">
        <f t="shared" si="7"/>
        <v>19</v>
      </c>
      <c r="C35" s="17" t="s">
        <v>77</v>
      </c>
      <c r="D35" s="27">
        <v>0.56999999999999995</v>
      </c>
      <c r="E35" s="46">
        <f t="shared" si="3"/>
        <v>1215401.0140423512</v>
      </c>
      <c r="F35" s="8"/>
      <c r="I35" s="39"/>
      <c r="J35" s="20">
        <f t="shared" si="2"/>
        <v>38929</v>
      </c>
      <c r="K35" s="27">
        <f>'SC (Gross)'!K35</f>
        <v>-3.2571905354134869</v>
      </c>
      <c r="L35" s="46">
        <f t="shared" si="4"/>
        <v>1094020.0113109415</v>
      </c>
      <c r="M35" s="8"/>
      <c r="O35" s="39"/>
      <c r="P35" s="20">
        <f t="shared" si="5"/>
        <v>38929</v>
      </c>
      <c r="Q35" s="45">
        <f>'SC (Gross)'!Q35</f>
        <v>1.0670323261935128</v>
      </c>
      <c r="R35" s="46">
        <f t="shared" si="6"/>
        <v>1196209.3795470663</v>
      </c>
      <c r="S35" s="8"/>
      <c r="U35" s="39"/>
    </row>
    <row r="36" spans="1:21" x14ac:dyDescent="0.25">
      <c r="A36" s="20">
        <v>38960</v>
      </c>
      <c r="B36" s="24">
        <f t="shared" si="7"/>
        <v>20</v>
      </c>
      <c r="C36" s="17" t="s">
        <v>77</v>
      </c>
      <c r="D36" s="27">
        <v>2.88</v>
      </c>
      <c r="E36" s="46">
        <f t="shared" si="3"/>
        <v>1250404.5632467708</v>
      </c>
      <c r="F36" s="8"/>
      <c r="I36" s="39"/>
      <c r="J36" s="20">
        <f t="shared" si="2"/>
        <v>38960</v>
      </c>
      <c r="K36" s="27">
        <f>'SC (Gross)'!K36</f>
        <v>2.9576490313718335</v>
      </c>
      <c r="L36" s="46">
        <f t="shared" si="4"/>
        <v>1126377.2835784936</v>
      </c>
      <c r="M36" s="8"/>
      <c r="O36" s="39"/>
      <c r="P36" s="20">
        <f t="shared" si="5"/>
        <v>38960</v>
      </c>
      <c r="Q36" s="45">
        <f>'SC (Gross)'!Q36</f>
        <v>2.7805501840184705</v>
      </c>
      <c r="R36" s="46">
        <f t="shared" si="6"/>
        <v>1229470.5816513083</v>
      </c>
      <c r="S36" s="8"/>
      <c r="U36" s="39"/>
    </row>
    <row r="37" spans="1:21" x14ac:dyDescent="0.25">
      <c r="A37" s="20">
        <v>38990</v>
      </c>
      <c r="B37" s="24">
        <f t="shared" si="7"/>
        <v>21</v>
      </c>
      <c r="C37" s="17" t="s">
        <v>77</v>
      </c>
      <c r="D37" s="27">
        <v>0.99</v>
      </c>
      <c r="E37" s="46">
        <f t="shared" si="3"/>
        <v>1262783.5684229138</v>
      </c>
      <c r="F37" s="8"/>
      <c r="G37" s="5">
        <f>(E37/E34-1)*100</f>
        <v>4.4907335183999919</v>
      </c>
      <c r="H37" s="5"/>
      <c r="I37" s="39"/>
      <c r="J37" s="20">
        <f t="shared" si="2"/>
        <v>38990</v>
      </c>
      <c r="K37" s="27">
        <f>'SC (Gross)'!K37</f>
        <v>0.84129666372631351</v>
      </c>
      <c r="L37" s="46">
        <f t="shared" si="4"/>
        <v>1135853.4580862105</v>
      </c>
      <c r="M37" s="8"/>
      <c r="N37" s="5">
        <f>(L37/L34-1)*100</f>
        <v>0.44208838890640312</v>
      </c>
      <c r="O37" s="39"/>
      <c r="P37" s="20">
        <f t="shared" si="5"/>
        <v>38990</v>
      </c>
      <c r="Q37" s="45">
        <f>'SC (Gross)'!Q37</f>
        <v>1.1379671355091263</v>
      </c>
      <c r="R37" s="46">
        <f t="shared" si="6"/>
        <v>1243461.5528112531</v>
      </c>
      <c r="S37" s="8"/>
      <c r="T37" s="5">
        <f>(R37/R34-1)*100</f>
        <v>5.0593408671804729</v>
      </c>
      <c r="U37" s="39"/>
    </row>
    <row r="38" spans="1:21" x14ac:dyDescent="0.25">
      <c r="A38" s="20">
        <v>39021</v>
      </c>
      <c r="B38" s="24">
        <f t="shared" si="7"/>
        <v>22</v>
      </c>
      <c r="C38" s="17" t="s">
        <v>77</v>
      </c>
      <c r="D38" s="27">
        <v>4.62</v>
      </c>
      <c r="E38" s="46">
        <f t="shared" si="3"/>
        <v>1321124.1692840524</v>
      </c>
      <c r="F38" s="8"/>
      <c r="I38" s="39"/>
      <c r="J38" s="20">
        <f t="shared" si="2"/>
        <v>39021</v>
      </c>
      <c r="K38" s="27">
        <f>'SC (Gross)'!K38</f>
        <v>5.7571593934936693</v>
      </c>
      <c r="L38" s="46">
        <f t="shared" si="4"/>
        <v>1201246.3521447435</v>
      </c>
      <c r="M38" s="8"/>
      <c r="O38" s="39"/>
      <c r="P38" s="20">
        <f t="shared" si="5"/>
        <v>39021</v>
      </c>
      <c r="Q38" s="45">
        <f>'SC (Gross)'!Q38</f>
        <v>3.7640457866390502</v>
      </c>
      <c r="R38" s="46">
        <f t="shared" si="6"/>
        <v>1290266.0149983217</v>
      </c>
      <c r="S38" s="8"/>
      <c r="U38" s="39"/>
    </row>
    <row r="39" spans="1:21" x14ac:dyDescent="0.25">
      <c r="A39" s="20">
        <v>39051</v>
      </c>
      <c r="B39" s="24">
        <f t="shared" si="7"/>
        <v>23</v>
      </c>
      <c r="C39" s="17" t="s">
        <v>77</v>
      </c>
      <c r="D39" s="27">
        <v>2.5099999999999998</v>
      </c>
      <c r="E39" s="46">
        <f t="shared" si="3"/>
        <v>1354284.3859330821</v>
      </c>
      <c r="F39" s="8"/>
      <c r="I39" s="39"/>
      <c r="J39" s="20">
        <f t="shared" si="2"/>
        <v>39051</v>
      </c>
      <c r="K39" s="27">
        <f>'SC (Gross)'!K39</f>
        <v>2.612206642588784</v>
      </c>
      <c r="L39" s="46">
        <f t="shared" si="4"/>
        <v>1232625.389149324</v>
      </c>
      <c r="M39" s="8"/>
      <c r="O39" s="39"/>
      <c r="P39" s="20">
        <f t="shared" si="5"/>
        <v>39051</v>
      </c>
      <c r="Q39" s="45">
        <f>'SC (Gross)'!Q39</f>
        <v>2.3436370471040737</v>
      </c>
      <c r="R39" s="46">
        <f t="shared" si="6"/>
        <v>1320505.1673320157</v>
      </c>
      <c r="S39" s="8"/>
      <c r="U39" s="39"/>
    </row>
    <row r="40" spans="1:21" x14ac:dyDescent="0.25">
      <c r="A40" s="20">
        <v>39082</v>
      </c>
      <c r="B40" s="24">
        <f t="shared" si="7"/>
        <v>24</v>
      </c>
      <c r="C40" s="17" t="s">
        <v>77</v>
      </c>
      <c r="D40" s="27">
        <v>1.56</v>
      </c>
      <c r="E40" s="46">
        <f t="shared" si="3"/>
        <v>1375411.2223536381</v>
      </c>
      <c r="F40" s="11">
        <f>(E40-E28)/E28*100</f>
        <v>23.762111800092654</v>
      </c>
      <c r="G40" s="5">
        <f>(E40/E37-1)*100</f>
        <v>8.9189990071999894</v>
      </c>
      <c r="H40" s="5"/>
      <c r="I40" s="39"/>
      <c r="J40" s="20">
        <f t="shared" si="2"/>
        <v>39082</v>
      </c>
      <c r="K40" s="27">
        <f>'SC (Gross)'!K40</f>
        <v>0.32945035951302504</v>
      </c>
      <c r="L40" s="46">
        <f t="shared" si="4"/>
        <v>1236686.2779253253</v>
      </c>
      <c r="M40" s="11">
        <f>(L40-L28)/L28*100</f>
        <v>18.329849625407217</v>
      </c>
      <c r="N40" s="5">
        <f>(L40/L37-1)*100</f>
        <v>8.877273658963647</v>
      </c>
      <c r="O40" s="39"/>
      <c r="P40" s="20">
        <f t="shared" si="5"/>
        <v>39082</v>
      </c>
      <c r="Q40" s="45">
        <f>'SC (Gross)'!Q40</f>
        <v>0.75296311469620703</v>
      </c>
      <c r="R40" s="46">
        <f t="shared" si="6"/>
        <v>1330448.0841696833</v>
      </c>
      <c r="S40" s="11">
        <f>(R40-R28)/R28*100</f>
        <v>23.286487234005818</v>
      </c>
      <c r="T40" s="5">
        <f>(R40/R37-1)*100</f>
        <v>6.9955143495807004</v>
      </c>
      <c r="U40" s="39"/>
    </row>
    <row r="41" spans="1:21" x14ac:dyDescent="0.25">
      <c r="A41" s="20">
        <v>39113</v>
      </c>
      <c r="B41" s="24">
        <f t="shared" si="7"/>
        <v>25</v>
      </c>
      <c r="C41" s="17" t="s">
        <v>77</v>
      </c>
      <c r="D41" s="27">
        <v>0.49</v>
      </c>
      <c r="E41" s="46">
        <f t="shared" si="3"/>
        <v>1382150.7373431709</v>
      </c>
      <c r="F41" s="10"/>
      <c r="I41" s="39"/>
      <c r="J41" s="20">
        <f t="shared" si="2"/>
        <v>39113</v>
      </c>
      <c r="K41" s="27">
        <f>'SC (Gross)'!K41</f>
        <v>1.6727064058796588</v>
      </c>
      <c r="L41" s="46">
        <f t="shared" si="4"/>
        <v>1257372.408516817</v>
      </c>
      <c r="M41" s="10"/>
      <c r="O41" s="39"/>
      <c r="P41" s="20">
        <f t="shared" si="5"/>
        <v>39113</v>
      </c>
      <c r="Q41" s="45">
        <f>'SC (Gross)'!Q41</f>
        <v>0.97448121144138133</v>
      </c>
      <c r="R41" s="46">
        <f t="shared" si="6"/>
        <v>1343413.0507778986</v>
      </c>
      <c r="S41" s="10"/>
      <c r="U41" s="39"/>
    </row>
    <row r="42" spans="1:21" x14ac:dyDescent="0.25">
      <c r="A42" s="20">
        <v>39141</v>
      </c>
      <c r="B42" s="24">
        <f t="shared" si="7"/>
        <v>26</v>
      </c>
      <c r="C42" s="17" t="s">
        <v>77</v>
      </c>
      <c r="D42" s="27">
        <v>0.92</v>
      </c>
      <c r="E42" s="46">
        <f t="shared" si="3"/>
        <v>1394866.5241267281</v>
      </c>
      <c r="F42" s="8"/>
      <c r="I42" s="39"/>
      <c r="J42" s="20">
        <f t="shared" si="2"/>
        <v>39141</v>
      </c>
      <c r="K42" s="27">
        <f>'SC (Gross)'!K42</f>
        <v>-0.79595440194727496</v>
      </c>
      <c r="L42" s="46">
        <f t="shared" si="4"/>
        <v>1247364.2974823569</v>
      </c>
      <c r="M42" s="8"/>
      <c r="O42" s="39"/>
      <c r="P42" s="20">
        <f t="shared" si="5"/>
        <v>39141</v>
      </c>
      <c r="Q42" s="45">
        <f>'SC (Gross)'!Q42</f>
        <v>-0.81094216482677661</v>
      </c>
      <c r="R42" s="46">
        <f t="shared" si="6"/>
        <v>1332518.7479013549</v>
      </c>
      <c r="S42" s="8"/>
      <c r="U42" s="39"/>
    </row>
    <row r="43" spans="1:21" x14ac:dyDescent="0.25">
      <c r="A43" s="20">
        <v>39172</v>
      </c>
      <c r="B43" s="24">
        <f t="shared" si="7"/>
        <v>27</v>
      </c>
      <c r="C43" s="17" t="s">
        <v>77</v>
      </c>
      <c r="D43" s="27">
        <v>2.62</v>
      </c>
      <c r="E43" s="46">
        <f t="shared" si="3"/>
        <v>1431412.0270588484</v>
      </c>
      <c r="F43" s="8"/>
      <c r="G43" s="5">
        <f>(E43/E40-1)*100</f>
        <v>4.07156810960001</v>
      </c>
      <c r="H43" s="5"/>
      <c r="I43" s="39"/>
      <c r="J43" s="20">
        <f t="shared" si="2"/>
        <v>39172</v>
      </c>
      <c r="K43" s="27">
        <f>'SC (Gross)'!K43</f>
        <v>1.0712640086027962</v>
      </c>
      <c r="L43" s="46">
        <f t="shared" si="4"/>
        <v>1260726.8622574464</v>
      </c>
      <c r="M43" s="8"/>
      <c r="N43" s="5">
        <f>(L43/L40-1)*100</f>
        <v>1.94395173305002</v>
      </c>
      <c r="O43" s="39"/>
      <c r="P43" s="20">
        <f t="shared" si="5"/>
        <v>39172</v>
      </c>
      <c r="Q43" s="45">
        <f>'SC (Gross)'!Q43</f>
        <v>0.45918438773082926</v>
      </c>
      <c r="R43" s="46">
        <f t="shared" si="6"/>
        <v>1338637.4659553042</v>
      </c>
      <c r="S43" s="8"/>
      <c r="T43" s="5">
        <f>(R43/R40-1)*100</f>
        <v>0.61553561413347779</v>
      </c>
      <c r="U43" s="39"/>
    </row>
    <row r="44" spans="1:21" x14ac:dyDescent="0.25">
      <c r="A44" s="20">
        <v>39202</v>
      </c>
      <c r="B44" s="24">
        <f t="shared" si="7"/>
        <v>28</v>
      </c>
      <c r="C44" s="17" t="s">
        <v>77</v>
      </c>
      <c r="D44" s="27">
        <v>1.68</v>
      </c>
      <c r="E44" s="46">
        <f t="shared" si="3"/>
        <v>1455459.749113437</v>
      </c>
      <c r="F44" s="8"/>
      <c r="I44" s="39"/>
      <c r="J44" s="20">
        <f t="shared" si="2"/>
        <v>39202</v>
      </c>
      <c r="K44" s="27">
        <f>'SC (Gross)'!K44</f>
        <v>1.8031780488134448</v>
      </c>
      <c r="L44" s="46">
        <f t="shared" si="4"/>
        <v>1283460.0122931672</v>
      </c>
      <c r="M44" s="8"/>
      <c r="O44" s="39"/>
      <c r="P44" s="20">
        <f t="shared" si="5"/>
        <v>39202</v>
      </c>
      <c r="Q44" s="45">
        <f>'SC (Gross)'!Q44</f>
        <v>0.45847907579536551</v>
      </c>
      <c r="R44" s="46">
        <f t="shared" si="6"/>
        <v>1344774.8386374665</v>
      </c>
      <c r="S44" s="8"/>
      <c r="U44" s="39"/>
    </row>
    <row r="45" spans="1:21" x14ac:dyDescent="0.25">
      <c r="A45" s="20">
        <v>39233</v>
      </c>
      <c r="B45" s="24">
        <f t="shared" si="7"/>
        <v>29</v>
      </c>
      <c r="C45" s="17" t="s">
        <v>77</v>
      </c>
      <c r="D45" s="27">
        <v>2.66</v>
      </c>
      <c r="E45" s="46">
        <f t="shared" si="3"/>
        <v>1494174.9784398545</v>
      </c>
      <c r="F45" s="8"/>
      <c r="I45" s="39"/>
      <c r="J45" s="20">
        <f t="shared" si="2"/>
        <v>39233</v>
      </c>
      <c r="K45" s="27">
        <f>'SC (Gross)'!K45</f>
        <v>4.0958469830874584</v>
      </c>
      <c r="L45" s="46">
        <f t="shared" si="4"/>
        <v>1336028.5704858107</v>
      </c>
      <c r="M45" s="8"/>
      <c r="O45" s="39"/>
      <c r="P45" s="20">
        <f t="shared" si="5"/>
        <v>39233</v>
      </c>
      <c r="Q45" s="45">
        <f>'SC (Gross)'!Q45</f>
        <v>3.0948285428920292</v>
      </c>
      <c r="R45" s="46">
        <f t="shared" si="6"/>
        <v>1386393.3141812491</v>
      </c>
      <c r="S45" s="8"/>
      <c r="U45" s="39"/>
    </row>
    <row r="46" spans="1:21" x14ac:dyDescent="0.25">
      <c r="A46" s="20">
        <v>39263</v>
      </c>
      <c r="B46" s="24">
        <f t="shared" si="7"/>
        <v>30</v>
      </c>
      <c r="C46" s="17" t="s">
        <v>77</v>
      </c>
      <c r="D46" s="27">
        <v>-0.74</v>
      </c>
      <c r="E46" s="46">
        <f t="shared" si="3"/>
        <v>1483118.0835993995</v>
      </c>
      <c r="F46" s="8"/>
      <c r="G46" s="5">
        <f>(E46/E43-1)*100</f>
        <v>3.6122413088000016</v>
      </c>
      <c r="H46" s="5"/>
      <c r="I46" s="39"/>
      <c r="J46" s="20">
        <f t="shared" si="2"/>
        <v>39263</v>
      </c>
      <c r="K46" s="27">
        <f>'SC (Gross)'!K46</f>
        <v>-1.4472308009532144</v>
      </c>
      <c r="L46" s="46">
        <f t="shared" si="4"/>
        <v>1316693.1535042052</v>
      </c>
      <c r="M46" s="8"/>
      <c r="N46" s="5">
        <f>(L46/L43-1)*100</f>
        <v>4.439208279146678</v>
      </c>
      <c r="O46" s="39"/>
      <c r="P46" s="20">
        <f t="shared" si="5"/>
        <v>39263</v>
      </c>
      <c r="Q46" s="45">
        <f>'SC (Gross)'!Q46</f>
        <v>-3.560327776207973</v>
      </c>
      <c r="R46" s="46">
        <f t="shared" si="6"/>
        <v>1337033.1679289639</v>
      </c>
      <c r="S46" s="8"/>
      <c r="T46" s="5">
        <f>(R46/R43-1)*100</f>
        <v>-0.11984559428085406</v>
      </c>
      <c r="U46" s="39"/>
    </row>
    <row r="47" spans="1:21" x14ac:dyDescent="0.25">
      <c r="A47" s="20">
        <v>39294</v>
      </c>
      <c r="B47" s="24">
        <f t="shared" si="7"/>
        <v>31</v>
      </c>
      <c r="C47" s="17" t="s">
        <v>77</v>
      </c>
      <c r="D47" s="27">
        <v>-5.33</v>
      </c>
      <c r="E47" s="46">
        <f t="shared" si="3"/>
        <v>1404067.8897435516</v>
      </c>
      <c r="F47" s="8"/>
      <c r="I47" s="39"/>
      <c r="J47" s="20">
        <f t="shared" si="2"/>
        <v>39294</v>
      </c>
      <c r="K47" s="27">
        <f>'SC (Gross)'!K47</f>
        <v>-6.8491486921646274</v>
      </c>
      <c r="L47" s="46">
        <f t="shared" si="4"/>
        <v>1226510.8816011506</v>
      </c>
      <c r="M47" s="8"/>
      <c r="O47" s="39"/>
      <c r="P47" s="20">
        <f t="shared" si="5"/>
        <v>39294</v>
      </c>
      <c r="Q47" s="45">
        <f>'SC (Gross)'!Q47</f>
        <v>-7.2830773094470782</v>
      </c>
      <c r="R47" s="46">
        <f t="shared" si="6"/>
        <v>1239656.0086557481</v>
      </c>
      <c r="S47" s="8"/>
      <c r="U47" s="39"/>
    </row>
    <row r="48" spans="1:21" x14ac:dyDescent="0.25">
      <c r="A48" s="20">
        <v>39325</v>
      </c>
      <c r="B48" s="24">
        <f t="shared" si="7"/>
        <v>32</v>
      </c>
      <c r="C48" s="17" t="s">
        <v>77</v>
      </c>
      <c r="D48" s="27">
        <v>1.39</v>
      </c>
      <c r="E48" s="46">
        <f t="shared" si="3"/>
        <v>1423584.433410987</v>
      </c>
      <c r="F48" s="8"/>
      <c r="I48" s="39"/>
      <c r="J48" s="20">
        <f t="shared" ref="J48:J79" si="8">A48</f>
        <v>39325</v>
      </c>
      <c r="K48" s="27">
        <f>'SC (Gross)'!K48</f>
        <v>2.2606153019913986</v>
      </c>
      <c r="L48" s="46">
        <f t="shared" si="4"/>
        <v>1254237.5742712158</v>
      </c>
      <c r="M48" s="8"/>
      <c r="O48" s="39"/>
      <c r="P48" s="20">
        <f t="shared" si="5"/>
        <v>39325</v>
      </c>
      <c r="Q48" s="45">
        <f>'SC (Gross)'!Q48</f>
        <v>5.0592147833807362</v>
      </c>
      <c r="R48" s="46">
        <f t="shared" si="6"/>
        <v>1302372.8687087272</v>
      </c>
      <c r="S48" s="8"/>
      <c r="U48" s="39"/>
    </row>
    <row r="49" spans="1:21" x14ac:dyDescent="0.25">
      <c r="A49" s="20">
        <v>39355</v>
      </c>
      <c r="B49" s="24">
        <f t="shared" si="7"/>
        <v>33</v>
      </c>
      <c r="C49" s="17" t="s">
        <v>77</v>
      </c>
      <c r="D49" s="27">
        <v>-0.71</v>
      </c>
      <c r="E49" s="46">
        <f t="shared" si="3"/>
        <v>1413476.9839337689</v>
      </c>
      <c r="F49" s="8"/>
      <c r="G49" s="5">
        <f>(E49/E46-1)*100</f>
        <v>-4.6955869822999929</v>
      </c>
      <c r="H49" s="5"/>
      <c r="I49" s="39"/>
      <c r="J49" s="20">
        <f t="shared" si="8"/>
        <v>39355</v>
      </c>
      <c r="K49" s="27">
        <f>'SC (Gross)'!K49</f>
        <v>1.7155100472567253</v>
      </c>
      <c r="L49" s="46">
        <f t="shared" si="4"/>
        <v>1275754.1458743075</v>
      </c>
      <c r="M49" s="8"/>
      <c r="N49" s="5">
        <f>(L49/L46-1)*100</f>
        <v>-3.1092291716520171</v>
      </c>
      <c r="O49" s="39"/>
      <c r="P49" s="20">
        <f t="shared" si="5"/>
        <v>39355</v>
      </c>
      <c r="Q49" s="45">
        <f>'SC (Gross)'!Q49</f>
        <v>0.90668194514073497</v>
      </c>
      <c r="R49" s="46">
        <f t="shared" si="6"/>
        <v>1314181.2483677207</v>
      </c>
      <c r="S49" s="8"/>
      <c r="T49" s="5">
        <f>(R49/R46-1)*100</f>
        <v>-1.7091512843051104</v>
      </c>
      <c r="U49" s="39"/>
    </row>
    <row r="50" spans="1:21" x14ac:dyDescent="0.25">
      <c r="A50" s="20">
        <v>39386</v>
      </c>
      <c r="B50" s="24">
        <f t="shared" si="7"/>
        <v>34</v>
      </c>
      <c r="C50" s="17" t="s">
        <v>77</v>
      </c>
      <c r="D50" s="27">
        <v>0.87</v>
      </c>
      <c r="E50" s="46">
        <f t="shared" si="3"/>
        <v>1425774.2336939927</v>
      </c>
      <c r="F50" s="8"/>
      <c r="I50" s="39"/>
      <c r="J50" s="20">
        <f t="shared" si="8"/>
        <v>39386</v>
      </c>
      <c r="K50" s="27">
        <f>'SC (Gross)'!K50</f>
        <v>2.8691339798555933</v>
      </c>
      <c r="L50" s="46">
        <f t="shared" si="4"/>
        <v>1312357.2415730038</v>
      </c>
      <c r="M50" s="8"/>
      <c r="O50" s="39"/>
      <c r="P50" s="20">
        <f t="shared" si="5"/>
        <v>39386</v>
      </c>
      <c r="Q50" s="45">
        <f>'SC (Gross)'!Q50</f>
        <v>0.28389734272087214</v>
      </c>
      <c r="R50" s="46">
        <f t="shared" si="6"/>
        <v>1317912.1740103727</v>
      </c>
      <c r="S50" s="8"/>
      <c r="U50" s="39"/>
    </row>
    <row r="51" spans="1:21" x14ac:dyDescent="0.25">
      <c r="A51" s="20">
        <v>39416</v>
      </c>
      <c r="B51" s="24">
        <f t="shared" si="7"/>
        <v>35</v>
      </c>
      <c r="C51" s="17" t="s">
        <v>77</v>
      </c>
      <c r="D51" s="27">
        <v>-5.34</v>
      </c>
      <c r="E51" s="46">
        <f t="shared" si="3"/>
        <v>1349637.8896147334</v>
      </c>
      <c r="F51" s="8"/>
      <c r="I51" s="39"/>
      <c r="J51" s="20">
        <f t="shared" si="8"/>
        <v>39416</v>
      </c>
      <c r="K51" s="27">
        <f>'SC (Gross)'!K51</f>
        <v>-7.1842178476465648</v>
      </c>
      <c r="L51" s="46">
        <f t="shared" si="4"/>
        <v>1218074.6383990338</v>
      </c>
      <c r="M51" s="8"/>
      <c r="O51" s="39"/>
      <c r="P51" s="20">
        <f t="shared" si="5"/>
        <v>39416</v>
      </c>
      <c r="Q51" s="45">
        <f>'SC (Gross)'!Q51</f>
        <v>-4.9753708526780622</v>
      </c>
      <c r="R51" s="46">
        <f t="shared" si="6"/>
        <v>1252341.1558407648</v>
      </c>
      <c r="S51" s="8"/>
      <c r="U51" s="39"/>
    </row>
    <row r="52" spans="1:21" x14ac:dyDescent="0.25">
      <c r="A52" s="20">
        <v>39447</v>
      </c>
      <c r="B52" s="24">
        <f t="shared" si="7"/>
        <v>36</v>
      </c>
      <c r="C52" s="17" t="s">
        <v>77</v>
      </c>
      <c r="D52" s="27">
        <v>-0.61</v>
      </c>
      <c r="E52" s="46">
        <f t="shared" si="3"/>
        <v>1341405.0984880836</v>
      </c>
      <c r="F52" s="11">
        <f>(E52-E40)/E40*100</f>
        <v>-2.4724332121823496</v>
      </c>
      <c r="G52" s="5">
        <f>(E52/E49-1)*100</f>
        <v>-5.0989076062000098</v>
      </c>
      <c r="H52" s="5"/>
      <c r="I52" s="39"/>
      <c r="J52" s="20">
        <f t="shared" si="8"/>
        <v>39447</v>
      </c>
      <c r="K52" s="27">
        <f>'SC (Gross)'!K52</f>
        <v>-7.9516184775396917E-2</v>
      </c>
      <c r="L52" s="46">
        <f t="shared" si="4"/>
        <v>1217106.0719188622</v>
      </c>
      <c r="M52" s="11">
        <f>(L52-L40)/L40*100</f>
        <v>-1.5832799600001273</v>
      </c>
      <c r="N52" s="5">
        <f>(L52/L49-1)*100</f>
        <v>-4.597129795353494</v>
      </c>
      <c r="O52" s="39"/>
      <c r="P52" s="20">
        <f t="shared" si="5"/>
        <v>39447</v>
      </c>
      <c r="Q52" s="45">
        <f>'SC (Gross)'!Q52</f>
        <v>-1.9736940103972709</v>
      </c>
      <c r="R52" s="46">
        <f t="shared" si="6"/>
        <v>1227623.7734581956</v>
      </c>
      <c r="S52" s="11">
        <f>(R52-R40)/R40*100</f>
        <v>-7.7285473920359005</v>
      </c>
      <c r="T52" s="5">
        <f>(R52/R49-1)*100</f>
        <v>-6.5864183511242347</v>
      </c>
      <c r="U52" s="39"/>
    </row>
    <row r="53" spans="1:21" x14ac:dyDescent="0.25">
      <c r="A53" s="20">
        <v>39478</v>
      </c>
      <c r="B53" s="24">
        <f t="shared" si="7"/>
        <v>37</v>
      </c>
      <c r="C53" s="17" t="s">
        <v>77</v>
      </c>
      <c r="D53" s="27">
        <v>-4.28</v>
      </c>
      <c r="E53" s="46">
        <f t="shared" si="3"/>
        <v>1283992.9602727937</v>
      </c>
      <c r="F53" s="10"/>
      <c r="I53" s="39"/>
      <c r="J53" s="20">
        <f t="shared" si="8"/>
        <v>39478</v>
      </c>
      <c r="K53" s="27">
        <f>'SC (Gross)'!K53</f>
        <v>-6.8218300174593134</v>
      </c>
      <c r="L53" s="46">
        <f t="shared" si="4"/>
        <v>1134077.1645603813</v>
      </c>
      <c r="M53" s="10"/>
      <c r="O53" s="39"/>
      <c r="P53" s="20">
        <f t="shared" si="5"/>
        <v>39478</v>
      </c>
      <c r="Q53" s="45">
        <f>'SC (Gross)'!Q53</f>
        <v>-1.6274617067833752</v>
      </c>
      <c r="R53" s="46">
        <f t="shared" si="6"/>
        <v>1207644.6666417944</v>
      </c>
      <c r="S53" s="10"/>
      <c r="U53" s="39"/>
    </row>
    <row r="54" spans="1:21" x14ac:dyDescent="0.25">
      <c r="A54" s="20">
        <v>39507</v>
      </c>
      <c r="B54" s="24">
        <f t="shared" si="7"/>
        <v>38</v>
      </c>
      <c r="C54" s="17" t="s">
        <v>77</v>
      </c>
      <c r="D54" s="27">
        <v>-2.29</v>
      </c>
      <c r="E54" s="46">
        <f t="shared" si="3"/>
        <v>1254589.5214825466</v>
      </c>
      <c r="F54" s="8"/>
      <c r="I54" s="39"/>
      <c r="J54" s="20">
        <f t="shared" si="8"/>
        <v>39507</v>
      </c>
      <c r="K54" s="27">
        <f>'SC (Gross)'!K54</f>
        <v>-3.7078602875970117</v>
      </c>
      <c r="L54" s="46">
        <f t="shared" si="4"/>
        <v>1092027.1677449408</v>
      </c>
      <c r="M54" s="8"/>
      <c r="O54" s="39"/>
      <c r="P54" s="20">
        <f t="shared" si="5"/>
        <v>39507</v>
      </c>
      <c r="Q54" s="45">
        <f>'SC (Gross)'!Q54</f>
        <v>-3.5806416732316837</v>
      </c>
      <c r="R54" s="46">
        <f t="shared" si="6"/>
        <v>1164403.2384434585</v>
      </c>
      <c r="S54" s="8"/>
      <c r="U54" s="39"/>
    </row>
    <row r="55" spans="1:21" x14ac:dyDescent="0.25">
      <c r="A55" s="20">
        <v>39538</v>
      </c>
      <c r="B55" s="24">
        <f t="shared" si="7"/>
        <v>39</v>
      </c>
      <c r="C55" s="17" t="s">
        <v>77</v>
      </c>
      <c r="D55" s="27">
        <v>-7.0000000000000007E-2</v>
      </c>
      <c r="E55" s="46">
        <f t="shared" si="3"/>
        <v>1253711.3088175089</v>
      </c>
      <c r="F55" s="8"/>
      <c r="G55" s="5">
        <f>(E55/E52-1)*100</f>
        <v>-6.5374576083999987</v>
      </c>
      <c r="H55" s="5"/>
      <c r="I55" s="39"/>
      <c r="J55" s="20">
        <f t="shared" si="8"/>
        <v>39538</v>
      </c>
      <c r="K55" s="27">
        <f>'SC (Gross)'!K55</f>
        <v>0.41544824942129316</v>
      </c>
      <c r="L55" s="46">
        <f t="shared" si="4"/>
        <v>1096563.9754965422</v>
      </c>
      <c r="M55" s="8"/>
      <c r="N55" s="5">
        <f>(L55/L52-1)*100</f>
        <v>-9.9039926924590951</v>
      </c>
      <c r="O55" s="39"/>
      <c r="P55" s="20">
        <f t="shared" si="5"/>
        <v>39538</v>
      </c>
      <c r="Q55" s="45">
        <f>'SC (Gross)'!Q55</f>
        <v>1.0926160303753563</v>
      </c>
      <c r="R55" s="46">
        <f t="shared" si="6"/>
        <v>1177125.6948849014</v>
      </c>
      <c r="S55" s="8"/>
      <c r="T55" s="5">
        <f>(R55/R52-1)*100</f>
        <v>-4.1134816435691839</v>
      </c>
      <c r="U55" s="39"/>
    </row>
    <row r="56" spans="1:21" x14ac:dyDescent="0.25">
      <c r="A56" s="20">
        <v>39568</v>
      </c>
      <c r="B56" s="24">
        <f t="shared" si="7"/>
        <v>40</v>
      </c>
      <c r="C56" s="17" t="s">
        <v>77</v>
      </c>
      <c r="D56" s="27">
        <v>2.94</v>
      </c>
      <c r="E56" s="46">
        <f t="shared" si="3"/>
        <v>1290570.4212967437</v>
      </c>
      <c r="F56" s="8"/>
      <c r="I56" s="39"/>
      <c r="J56" s="20">
        <f t="shared" si="8"/>
        <v>39568</v>
      </c>
      <c r="K56" s="27">
        <f>'SC (Gross)'!K56</f>
        <v>4.1862234443964139</v>
      </c>
      <c r="L56" s="46">
        <f t="shared" si="4"/>
        <v>1142468.5937215837</v>
      </c>
      <c r="M56" s="8"/>
      <c r="O56" s="39"/>
      <c r="P56" s="20">
        <f t="shared" si="5"/>
        <v>39568</v>
      </c>
      <c r="Q56" s="45">
        <f>'SC (Gross)'!Q56</f>
        <v>3.1948780526457532</v>
      </c>
      <c r="R56" s="46">
        <f t="shared" si="6"/>
        <v>1214733.4253628328</v>
      </c>
      <c r="S56" s="8"/>
      <c r="U56" s="39"/>
    </row>
    <row r="57" spans="1:21" x14ac:dyDescent="0.25">
      <c r="A57" s="20">
        <v>39599</v>
      </c>
      <c r="B57" s="24">
        <f t="shared" si="7"/>
        <v>41</v>
      </c>
      <c r="C57" s="17" t="s">
        <v>77</v>
      </c>
      <c r="D57" s="27">
        <v>2.5099999999999998</v>
      </c>
      <c r="E57" s="46">
        <f t="shared" si="3"/>
        <v>1322963.738871292</v>
      </c>
      <c r="F57" s="8"/>
      <c r="I57" s="39"/>
      <c r="J57" s="20">
        <f t="shared" si="8"/>
        <v>39599</v>
      </c>
      <c r="K57" s="27">
        <f>'SC (Gross)'!K57</f>
        <v>4.5934680742395937</v>
      </c>
      <c r="L57" s="46">
        <f t="shared" si="4"/>
        <v>1194947.5238323987</v>
      </c>
      <c r="M57" s="8"/>
      <c r="O57" s="39"/>
      <c r="P57" s="20">
        <f t="shared" si="5"/>
        <v>39599</v>
      </c>
      <c r="Q57" s="45">
        <f>'SC (Gross)'!Q57</f>
        <v>3.8807070350292698</v>
      </c>
      <c r="R57" s="46">
        <f t="shared" si="6"/>
        <v>1261873.6708577403</v>
      </c>
      <c r="S57" s="8"/>
      <c r="U57" s="39"/>
    </row>
    <row r="58" spans="1:21" x14ac:dyDescent="0.25">
      <c r="A58" s="20">
        <v>39629</v>
      </c>
      <c r="B58" s="24">
        <f t="shared" si="7"/>
        <v>42</v>
      </c>
      <c r="C58" s="17" t="s">
        <v>77</v>
      </c>
      <c r="D58" s="27">
        <v>-6.86</v>
      </c>
      <c r="E58" s="46">
        <f t="shared" si="3"/>
        <v>1232208.4263847214</v>
      </c>
      <c r="F58" s="8"/>
      <c r="G58" s="5">
        <f>(E58/E55-1)*100</f>
        <v>-1.715138268399985</v>
      </c>
      <c r="H58" s="5"/>
      <c r="I58" s="39"/>
      <c r="J58" s="20">
        <f t="shared" si="8"/>
        <v>39629</v>
      </c>
      <c r="K58" s="27">
        <f>'SC (Gross)'!K58</f>
        <v>-7.6986079089839636</v>
      </c>
      <c r="L58" s="46">
        <f t="shared" si="4"/>
        <v>1102953.1992544297</v>
      </c>
      <c r="M58" s="8"/>
      <c r="N58" s="5">
        <f>(L58/L55-1)*100</f>
        <v>0.58265854985746213</v>
      </c>
      <c r="O58" s="39"/>
      <c r="P58" s="20">
        <f t="shared" si="5"/>
        <v>39629</v>
      </c>
      <c r="Q58" s="45">
        <f>'SC (Gross)'!Q58</f>
        <v>-5.6649518065164752</v>
      </c>
      <c r="R58" s="46">
        <f t="shared" si="6"/>
        <v>1190389.135544529</v>
      </c>
      <c r="S58" s="8"/>
      <c r="T58" s="5">
        <f>(R58/R55-1)*100</f>
        <v>1.126765027495602</v>
      </c>
      <c r="U58" s="39"/>
    </row>
    <row r="59" spans="1:21" x14ac:dyDescent="0.25">
      <c r="A59" s="20">
        <v>39660</v>
      </c>
      <c r="B59" s="24">
        <f t="shared" si="7"/>
        <v>43</v>
      </c>
      <c r="C59" s="17" t="s">
        <v>77</v>
      </c>
      <c r="D59" s="27">
        <v>4.62</v>
      </c>
      <c r="E59" s="46">
        <f t="shared" si="3"/>
        <v>1289136.4556836956</v>
      </c>
      <c r="F59" s="8"/>
      <c r="I59" s="39"/>
      <c r="J59" s="20">
        <f t="shared" si="8"/>
        <v>39660</v>
      </c>
      <c r="K59" s="27">
        <f>'SC (Gross)'!K59</f>
        <v>3.6993092320346128</v>
      </c>
      <c r="L59" s="46">
        <f t="shared" si="4"/>
        <v>1143754.84877947</v>
      </c>
      <c r="M59" s="8"/>
      <c r="O59" s="39"/>
      <c r="P59" s="20">
        <f t="shared" si="5"/>
        <v>39660</v>
      </c>
      <c r="Q59" s="45">
        <f>'SC (Gross)'!Q59</f>
        <v>2.9336175014103971</v>
      </c>
      <c r="R59" s="46">
        <f t="shared" si="6"/>
        <v>1225310.5995597511</v>
      </c>
      <c r="S59" s="8"/>
      <c r="U59" s="39"/>
    </row>
    <row r="60" spans="1:21" x14ac:dyDescent="0.25">
      <c r="A60" s="20">
        <v>39691</v>
      </c>
      <c r="B60" s="24">
        <f t="shared" si="7"/>
        <v>44</v>
      </c>
      <c r="C60" s="17" t="s">
        <v>77</v>
      </c>
      <c r="D60" s="27">
        <v>2.36</v>
      </c>
      <c r="E60" s="46">
        <f t="shared" si="3"/>
        <v>1319560.0760378309</v>
      </c>
      <c r="F60" s="8"/>
      <c r="I60" s="39"/>
      <c r="J60" s="20">
        <f t="shared" si="8"/>
        <v>39691</v>
      </c>
      <c r="K60" s="27">
        <f>'SC (Gross)'!K60</f>
        <v>3.6106699836766079</v>
      </c>
      <c r="L60" s="46">
        <f t="shared" si="4"/>
        <v>1185052.061791196</v>
      </c>
      <c r="M60" s="8"/>
      <c r="O60" s="39"/>
      <c r="P60" s="20">
        <f t="shared" si="5"/>
        <v>39691</v>
      </c>
      <c r="Q60" s="45">
        <f>'SC (Gross)'!Q60</f>
        <v>5.2539431216125676</v>
      </c>
      <c r="R60" s="46">
        <f t="shared" si="6"/>
        <v>1289687.7215237103</v>
      </c>
      <c r="S60" s="8"/>
      <c r="U60" s="39"/>
    </row>
    <row r="61" spans="1:21" x14ac:dyDescent="0.25">
      <c r="A61" s="20">
        <v>39721</v>
      </c>
      <c r="B61" s="24">
        <f t="shared" si="7"/>
        <v>45</v>
      </c>
      <c r="C61" s="17" t="s">
        <v>77</v>
      </c>
      <c r="D61" s="27">
        <v>-4.62</v>
      </c>
      <c r="E61" s="46">
        <f t="shared" si="3"/>
        <v>1258596.4005248831</v>
      </c>
      <c r="F61" s="8"/>
      <c r="G61" s="5">
        <f>(E61/E58-1)*100</f>
        <v>2.1415187215999998</v>
      </c>
      <c r="H61" s="5"/>
      <c r="I61" s="39"/>
      <c r="J61" s="20">
        <f t="shared" si="8"/>
        <v>39721</v>
      </c>
      <c r="K61" s="27">
        <f>'SC (Gross)'!K61</f>
        <v>-7.9685893301630051</v>
      </c>
      <c r="L61" s="46">
        <f t="shared" si="4"/>
        <v>1090620.129638426</v>
      </c>
      <c r="M61" s="8"/>
      <c r="N61" s="5">
        <f>(L61/L58-1)*100</f>
        <v>-1.1181861228872214</v>
      </c>
      <c r="O61" s="39"/>
      <c r="P61" s="20">
        <f t="shared" si="5"/>
        <v>39721</v>
      </c>
      <c r="Q61" s="45">
        <f>'SC (Gross)'!Q61</f>
        <v>-3.7810081724162847</v>
      </c>
      <c r="R61" s="46">
        <f t="shared" si="6"/>
        <v>1240924.5233742495</v>
      </c>
      <c r="S61" s="8"/>
      <c r="T61" s="5">
        <f>(R61/R58-1)*100</f>
        <v>4.2452830188679291</v>
      </c>
      <c r="U61" s="39"/>
    </row>
    <row r="62" spans="1:21" x14ac:dyDescent="0.25">
      <c r="A62" s="20">
        <v>39752</v>
      </c>
      <c r="B62" s="24">
        <f t="shared" si="7"/>
        <v>46</v>
      </c>
      <c r="C62" s="17" t="s">
        <v>77</v>
      </c>
      <c r="D62" s="27">
        <v>-10.33</v>
      </c>
      <c r="E62" s="46">
        <f t="shared" si="3"/>
        <v>1128583.3923506627</v>
      </c>
      <c r="F62" s="8"/>
      <c r="I62" s="39"/>
      <c r="J62" s="20">
        <f t="shared" si="8"/>
        <v>39752</v>
      </c>
      <c r="K62" s="27">
        <f>'SC (Gross)'!K62</f>
        <v>-20.8092308224881</v>
      </c>
      <c r="L62" s="46">
        <f t="shared" si="4"/>
        <v>863670.46946544701</v>
      </c>
      <c r="M62" s="8"/>
      <c r="O62" s="39"/>
      <c r="P62" s="20">
        <f t="shared" si="5"/>
        <v>39752</v>
      </c>
      <c r="Q62" s="45">
        <f>'SC (Gross)'!Q62</f>
        <v>-17.340388749417478</v>
      </c>
      <c r="R62" s="46">
        <f t="shared" si="6"/>
        <v>1025743.3869342987</v>
      </c>
      <c r="S62" s="8"/>
      <c r="U62" s="39"/>
    </row>
    <row r="63" spans="1:21" x14ac:dyDescent="0.25">
      <c r="A63" s="20">
        <v>39782</v>
      </c>
      <c r="B63" s="24">
        <f t="shared" si="7"/>
        <v>47</v>
      </c>
      <c r="C63" s="17" t="s">
        <v>77</v>
      </c>
      <c r="D63" s="27">
        <v>-12.67</v>
      </c>
      <c r="E63" s="46">
        <f t="shared" si="3"/>
        <v>985591.87653983373</v>
      </c>
      <c r="F63" s="8"/>
      <c r="I63" s="39"/>
      <c r="J63" s="20">
        <f t="shared" si="8"/>
        <v>39782</v>
      </c>
      <c r="K63" s="27">
        <f>'SC (Gross)'!K63</f>
        <v>-11.830901621443356</v>
      </c>
      <c r="L63" s="46">
        <f t="shared" si="4"/>
        <v>761490.465889532</v>
      </c>
      <c r="M63" s="8"/>
      <c r="O63" s="39"/>
      <c r="P63" s="20">
        <f t="shared" si="5"/>
        <v>39782</v>
      </c>
      <c r="Q63" s="45">
        <f>'SC (Gross)'!Q63</f>
        <v>-6.7562652311497429</v>
      </c>
      <c r="R63" s="46">
        <f t="shared" si="6"/>
        <v>956441.44312203885</v>
      </c>
      <c r="S63" s="8"/>
      <c r="U63" s="39"/>
    </row>
    <row r="64" spans="1:21" x14ac:dyDescent="0.25">
      <c r="A64" s="20">
        <v>39813</v>
      </c>
      <c r="B64" s="24">
        <f t="shared" si="7"/>
        <v>48</v>
      </c>
      <c r="C64" s="17" t="s">
        <v>77</v>
      </c>
      <c r="D64" s="27">
        <v>1.42</v>
      </c>
      <c r="E64" s="46">
        <f t="shared" si="3"/>
        <v>999587.2811866994</v>
      </c>
      <c r="F64" s="11">
        <f>(E64-E52)/E52*100</f>
        <v>-25.482072320036043</v>
      </c>
      <c r="G64" s="5">
        <f>(E64/E61-1)*100</f>
        <v>-20.579203883799991</v>
      </c>
      <c r="H64" s="5"/>
      <c r="I64" s="39"/>
      <c r="J64" s="20">
        <f t="shared" si="8"/>
        <v>39813</v>
      </c>
      <c r="K64" s="27">
        <f>'SC (Gross)'!K64</f>
        <v>5.7889676002185517</v>
      </c>
      <c r="L64" s="46">
        <f t="shared" si="4"/>
        <v>805572.90223863034</v>
      </c>
      <c r="M64" s="11">
        <f>(L64-L52)/L52*100</f>
        <v>-33.812432554166612</v>
      </c>
      <c r="N64" s="5">
        <f>(L64/L61-1)*100</f>
        <v>-26.13625217923472</v>
      </c>
      <c r="O64" s="39"/>
      <c r="P64" s="20">
        <f t="shared" si="5"/>
        <v>39813</v>
      </c>
      <c r="Q64" s="45">
        <f>'SC (Gross)'!Q64</f>
        <v>5.5177390727701745</v>
      </c>
      <c r="R64" s="46">
        <f t="shared" si="6"/>
        <v>1009215.3863373505</v>
      </c>
      <c r="S64" s="11">
        <f>(R64-R52)/R52*100</f>
        <v>-17.791150012156606</v>
      </c>
      <c r="T64" s="5">
        <f>(R64/R61-1)*100</f>
        <v>-18.672298973256574</v>
      </c>
      <c r="U64" s="39"/>
    </row>
    <row r="65" spans="1:21" x14ac:dyDescent="0.25">
      <c r="A65" s="20">
        <v>39844</v>
      </c>
      <c r="B65" s="24">
        <f t="shared" si="7"/>
        <v>49</v>
      </c>
      <c r="C65" s="17" t="s">
        <v>77</v>
      </c>
      <c r="D65" s="27">
        <v>-4.51</v>
      </c>
      <c r="E65" s="46">
        <f t="shared" si="3"/>
        <v>954505.89480517921</v>
      </c>
      <c r="F65" s="10"/>
      <c r="I65" s="39"/>
      <c r="J65" s="20">
        <f t="shared" si="8"/>
        <v>39844</v>
      </c>
      <c r="K65" s="27">
        <f>'SC (Gross)'!K65</f>
        <v>-11.123966557972201</v>
      </c>
      <c r="L65" s="46">
        <f t="shared" si="4"/>
        <v>715961.24199351901</v>
      </c>
      <c r="M65" s="10"/>
      <c r="O65" s="39"/>
      <c r="P65" s="20">
        <f t="shared" si="5"/>
        <v>39844</v>
      </c>
      <c r="Q65" s="45">
        <f>'SC (Gross)'!Q65</f>
        <v>-8.2920517560073979</v>
      </c>
      <c r="R65" s="46">
        <f t="shared" si="6"/>
        <v>925530.72417266737</v>
      </c>
      <c r="S65" s="10"/>
      <c r="U65" s="39"/>
    </row>
    <row r="66" spans="1:21" x14ac:dyDescent="0.25">
      <c r="A66" s="20">
        <v>39872</v>
      </c>
      <c r="B66" s="24">
        <f t="shared" si="7"/>
        <v>50</v>
      </c>
      <c r="C66" s="17" t="s">
        <v>77</v>
      </c>
      <c r="D66" s="27">
        <v>-9.59</v>
      </c>
      <c r="E66" s="46">
        <f t="shared" si="3"/>
        <v>862968.77949336253</v>
      </c>
      <c r="F66" s="8"/>
      <c r="I66" s="39"/>
      <c r="J66" s="20">
        <f t="shared" si="8"/>
        <v>39872</v>
      </c>
      <c r="K66" s="27">
        <f>'SC (Gross)'!K66</f>
        <v>-12.158807443659486</v>
      </c>
      <c r="L66" s="46">
        <f t="shared" si="4"/>
        <v>628908.89320829418</v>
      </c>
      <c r="M66" s="8"/>
      <c r="O66" s="39"/>
      <c r="P66" s="20">
        <f t="shared" si="5"/>
        <v>39872</v>
      </c>
      <c r="Q66" s="45">
        <f>'SC (Gross)'!Q66</f>
        <v>-10.289434433829163</v>
      </c>
      <c r="R66" s="46">
        <f t="shared" si="6"/>
        <v>830298.84714397648</v>
      </c>
      <c r="S66" s="8"/>
      <c r="U66" s="39"/>
    </row>
    <row r="67" spans="1:21" x14ac:dyDescent="0.25">
      <c r="A67" s="20">
        <v>39903</v>
      </c>
      <c r="B67" s="24">
        <f t="shared" si="7"/>
        <v>51</v>
      </c>
      <c r="C67" s="17" t="s">
        <v>77</v>
      </c>
      <c r="D67" s="27">
        <v>6.41</v>
      </c>
      <c r="E67" s="46">
        <f t="shared" si="3"/>
        <v>918285.07825888705</v>
      </c>
      <c r="F67" s="8"/>
      <c r="G67" s="5">
        <f>(E67/E64-1)*100</f>
        <v>-8.1335771731000044</v>
      </c>
      <c r="H67" s="5"/>
      <c r="I67" s="39"/>
      <c r="J67" s="20">
        <f t="shared" si="8"/>
        <v>39903</v>
      </c>
      <c r="K67" s="27">
        <f>'SC (Gross)'!K67</f>
        <v>8.918497340315211</v>
      </c>
      <c r="L67" s="46">
        <f t="shared" si="4"/>
        <v>684998.11612208176</v>
      </c>
      <c r="M67" s="8"/>
      <c r="N67" s="5">
        <f>(L67/L64-1)*100</f>
        <v>-14.967582174310945</v>
      </c>
      <c r="O67" s="39"/>
      <c r="P67" s="20">
        <f t="shared" si="5"/>
        <v>39903</v>
      </c>
      <c r="Q67" s="45">
        <f>'SC (Gross)'!Q67</f>
        <v>4.2980071446224475</v>
      </c>
      <c r="R67" s="46">
        <f t="shared" si="6"/>
        <v>865985.15091594239</v>
      </c>
      <c r="S67" s="8"/>
      <c r="T67" s="5">
        <f>(R67/R64-1)*100</f>
        <v>-14.19223659889094</v>
      </c>
      <c r="U67" s="39"/>
    </row>
    <row r="68" spans="1:21" x14ac:dyDescent="0.25">
      <c r="A68" s="20">
        <v>39933</v>
      </c>
      <c r="B68" s="24">
        <f t="shared" si="7"/>
        <v>52</v>
      </c>
      <c r="C68" s="17" t="s">
        <v>77</v>
      </c>
      <c r="D68" s="27">
        <v>9.33</v>
      </c>
      <c r="E68" s="46">
        <f t="shared" si="3"/>
        <v>1003961.0760604412</v>
      </c>
      <c r="F68" s="8"/>
      <c r="I68" s="39"/>
      <c r="J68" s="20">
        <f t="shared" si="8"/>
        <v>39933</v>
      </c>
      <c r="K68" s="27">
        <f>'SC (Gross)'!K68</f>
        <v>15.456920978795816</v>
      </c>
      <c r="L68" s="46">
        <f t="shared" si="4"/>
        <v>790877.73363731196</v>
      </c>
      <c r="M68" s="8"/>
      <c r="O68" s="39"/>
      <c r="P68" s="20">
        <f t="shared" si="5"/>
        <v>39933</v>
      </c>
      <c r="Q68" s="45">
        <f>'SC (Gross)'!Q68</f>
        <v>9.0668217655421941</v>
      </c>
      <c r="R68" s="46">
        <f t="shared" si="6"/>
        <v>944502.48106555245</v>
      </c>
      <c r="S68" s="8"/>
      <c r="U68" s="39"/>
    </row>
    <row r="69" spans="1:21" x14ac:dyDescent="0.25">
      <c r="A69" s="20">
        <v>39964</v>
      </c>
      <c r="B69" s="24">
        <f t="shared" si="7"/>
        <v>53</v>
      </c>
      <c r="C69" s="17" t="s">
        <v>77</v>
      </c>
      <c r="D69" s="27">
        <v>2.95</v>
      </c>
      <c r="E69" s="46">
        <f t="shared" si="3"/>
        <v>1033577.9278042242</v>
      </c>
      <c r="F69" s="8"/>
      <c r="I69" s="39"/>
      <c r="J69" s="20">
        <f t="shared" si="8"/>
        <v>39964</v>
      </c>
      <c r="K69" s="27">
        <f>'SC (Gross)'!K69</f>
        <v>3.0139448922449068</v>
      </c>
      <c r="L69" s="46">
        <f t="shared" si="4"/>
        <v>814714.35269417602</v>
      </c>
      <c r="M69" s="8"/>
      <c r="O69" s="39"/>
      <c r="P69" s="20">
        <f t="shared" si="5"/>
        <v>39964</v>
      </c>
      <c r="Q69" s="45">
        <f>'SC (Gross)'!Q69</f>
        <v>0.20343267958364888</v>
      </c>
      <c r="R69" s="46">
        <f t="shared" si="6"/>
        <v>946423.9077715181</v>
      </c>
      <c r="S69" s="8"/>
      <c r="U69" s="39"/>
    </row>
    <row r="70" spans="1:21" x14ac:dyDescent="0.25">
      <c r="A70" s="20">
        <v>39994</v>
      </c>
      <c r="B70" s="24">
        <f t="shared" si="7"/>
        <v>54</v>
      </c>
      <c r="C70" s="17" t="s">
        <v>77</v>
      </c>
      <c r="D70" s="27">
        <v>3.96</v>
      </c>
      <c r="E70" s="46">
        <f t="shared" si="3"/>
        <v>1074507.6137452715</v>
      </c>
      <c r="F70" s="8"/>
      <c r="G70" s="5">
        <f>(E70/E67-1)*100</f>
        <v>17.012422305999998</v>
      </c>
      <c r="H70" s="5"/>
      <c r="I70" s="39"/>
      <c r="J70" s="20">
        <f t="shared" si="8"/>
        <v>39994</v>
      </c>
      <c r="K70" s="27">
        <f>'SC (Gross)'!K70</f>
        <v>1.4668473068240331</v>
      </c>
      <c r="L70" s="46">
        <f t="shared" si="4"/>
        <v>826664.96823497943</v>
      </c>
      <c r="M70" s="8"/>
      <c r="N70" s="5">
        <f>(L70/L67-1)*100</f>
        <v>20.681349156827402</v>
      </c>
      <c r="O70" s="39"/>
      <c r="P70" s="20">
        <f t="shared" si="5"/>
        <v>39994</v>
      </c>
      <c r="Q70" s="45">
        <f>'SC (Gross)'!Q70</f>
        <v>4.9789096069696939</v>
      </c>
      <c r="R70" s="46">
        <f t="shared" si="6"/>
        <v>993545.49863821222</v>
      </c>
      <c r="S70" s="8"/>
      <c r="T70" s="5">
        <f>(R70/R67-1)*100</f>
        <v>14.73008487355132</v>
      </c>
      <c r="U70" s="39"/>
    </row>
    <row r="71" spans="1:21" x14ac:dyDescent="0.25">
      <c r="A71" s="20">
        <v>40025</v>
      </c>
      <c r="B71" s="24">
        <f t="shared" si="7"/>
        <v>55</v>
      </c>
      <c r="C71" s="17" t="s">
        <v>77</v>
      </c>
      <c r="D71" s="27">
        <v>7.29</v>
      </c>
      <c r="E71" s="46">
        <f t="shared" si="3"/>
        <v>1152839.2187873018</v>
      </c>
      <c r="F71" s="8"/>
      <c r="I71" s="39"/>
      <c r="J71" s="20">
        <f t="shared" si="8"/>
        <v>40025</v>
      </c>
      <c r="K71" s="27">
        <f>'SC (Gross)'!K71</f>
        <v>9.6305396038464401</v>
      </c>
      <c r="L71" s="46">
        <f t="shared" si="4"/>
        <v>906277.26539197378</v>
      </c>
      <c r="M71" s="8"/>
      <c r="O71" s="39"/>
      <c r="P71" s="20">
        <f t="shared" si="5"/>
        <v>40025</v>
      </c>
      <c r="Q71" s="45">
        <f>'SC (Gross)'!Q71</f>
        <v>7.2775065715358602</v>
      </c>
      <c r="R71" s="46">
        <f t="shared" si="6"/>
        <v>1065850.8375928069</v>
      </c>
      <c r="S71" s="8"/>
      <c r="U71" s="39"/>
    </row>
    <row r="72" spans="1:21" x14ac:dyDescent="0.25">
      <c r="A72" s="20">
        <v>40056</v>
      </c>
      <c r="B72" s="24">
        <f t="shared" si="7"/>
        <v>56</v>
      </c>
      <c r="C72" s="17" t="s">
        <v>77</v>
      </c>
      <c r="D72" s="27">
        <v>-1.65</v>
      </c>
      <c r="E72" s="46">
        <f t="shared" si="3"/>
        <v>1133817.3716773114</v>
      </c>
      <c r="F72" s="8"/>
      <c r="I72" s="39"/>
      <c r="J72" s="20">
        <f t="shared" si="8"/>
        <v>40056</v>
      </c>
      <c r="K72" s="27">
        <f>'SC (Gross)'!K72</f>
        <v>2.8673349550857035</v>
      </c>
      <c r="L72" s="46">
        <f t="shared" si="4"/>
        <v>932263.27021255263</v>
      </c>
      <c r="M72" s="8"/>
      <c r="O72" s="39"/>
      <c r="P72" s="20">
        <f t="shared" si="5"/>
        <v>40056</v>
      </c>
      <c r="Q72" s="45">
        <f>'SC (Gross)'!Q72</f>
        <v>-0.31328759451133498</v>
      </c>
      <c r="R72" s="46">
        <f t="shared" si="6"/>
        <v>1062511.6591426334</v>
      </c>
      <c r="S72" s="8"/>
      <c r="U72" s="39"/>
    </row>
    <row r="73" spans="1:21" x14ac:dyDescent="0.25">
      <c r="A73" s="20">
        <v>40086</v>
      </c>
      <c r="B73" s="24">
        <f t="shared" si="7"/>
        <v>57</v>
      </c>
      <c r="C73" s="17" t="s">
        <v>77</v>
      </c>
      <c r="D73" s="27">
        <v>3.36</v>
      </c>
      <c r="E73" s="46">
        <f t="shared" si="3"/>
        <v>1171913.6353656689</v>
      </c>
      <c r="F73" s="8"/>
      <c r="G73" s="5">
        <f>(E73/E70-1)*100</f>
        <v>9.0651774239999927</v>
      </c>
      <c r="H73" s="5"/>
      <c r="I73" s="39"/>
      <c r="J73" s="20">
        <f t="shared" si="8"/>
        <v>40086</v>
      </c>
      <c r="K73" s="27">
        <f>'SC (Gross)'!K73</f>
        <v>5.7588046993516215</v>
      </c>
      <c r="L73" s="46">
        <f t="shared" si="4"/>
        <v>985950.49122788222</v>
      </c>
      <c r="M73" s="8"/>
      <c r="N73" s="5">
        <f>(L73/L70-1)*100</f>
        <v>19.26844962754317</v>
      </c>
      <c r="O73" s="39"/>
      <c r="P73" s="20">
        <f t="shared" si="5"/>
        <v>40086</v>
      </c>
      <c r="Q73" s="45">
        <f>'SC (Gross)'!Q73</f>
        <v>4.0714925294520317</v>
      </c>
      <c r="R73" s="46">
        <f t="shared" si="6"/>
        <v>1105771.7419691826</v>
      </c>
      <c r="S73" s="8"/>
      <c r="T73" s="5">
        <f>(R73/R70-1)*100</f>
        <v>11.295531355613964</v>
      </c>
      <c r="U73" s="39"/>
    </row>
    <row r="74" spans="1:21" x14ac:dyDescent="0.25">
      <c r="A74" s="20">
        <v>40117</v>
      </c>
      <c r="B74" s="24">
        <f t="shared" si="7"/>
        <v>58</v>
      </c>
      <c r="C74" s="17" t="s">
        <v>77</v>
      </c>
      <c r="D74" s="27">
        <v>-2.89</v>
      </c>
      <c r="E74" s="46">
        <f t="shared" si="3"/>
        <v>1138045.3313036012</v>
      </c>
      <c r="F74" s="8"/>
      <c r="I74" s="39"/>
      <c r="J74" s="20">
        <f t="shared" si="8"/>
        <v>40117</v>
      </c>
      <c r="K74" s="27">
        <f>'SC (Gross)'!K74</f>
        <v>-6.7946386446026237</v>
      </c>
      <c r="L74" s="46">
        <f t="shared" si="4"/>
        <v>918958.71813426306</v>
      </c>
      <c r="M74" s="8"/>
      <c r="O74" s="39"/>
      <c r="P74" s="20">
        <f t="shared" si="5"/>
        <v>40117</v>
      </c>
      <c r="Q74" s="45">
        <f>'SC (Gross)'!Q74</f>
        <v>-3.4533369323166254</v>
      </c>
      <c r="R74" s="46">
        <f t="shared" si="6"/>
        <v>1067585.7180166401</v>
      </c>
      <c r="S74" s="8"/>
      <c r="U74" s="39"/>
    </row>
    <row r="75" spans="1:21" x14ac:dyDescent="0.25">
      <c r="A75" s="20">
        <v>40147</v>
      </c>
      <c r="B75" s="24">
        <f t="shared" si="7"/>
        <v>59</v>
      </c>
      <c r="C75" s="17" t="s">
        <v>77</v>
      </c>
      <c r="D75" s="27">
        <v>2.46</v>
      </c>
      <c r="E75" s="46">
        <f t="shared" si="3"/>
        <v>1166041.2464536699</v>
      </c>
      <c r="F75" s="8"/>
      <c r="I75" s="39"/>
      <c r="J75" s="20">
        <f t="shared" si="8"/>
        <v>40147</v>
      </c>
      <c r="K75" s="27">
        <f>'SC (Gross)'!K75</f>
        <v>3.1147681981507231</v>
      </c>
      <c r="L75" s="46">
        <f t="shared" si="4"/>
        <v>947582.15204084269</v>
      </c>
      <c r="M75" s="8"/>
      <c r="O75" s="39"/>
      <c r="P75" s="20">
        <f t="shared" si="5"/>
        <v>40147</v>
      </c>
      <c r="Q75" s="45">
        <f>'SC (Gross)'!Q75</f>
        <v>1.8294920407485764</v>
      </c>
      <c r="R75" s="46">
        <f t="shared" si="6"/>
        <v>1087117.113755923</v>
      </c>
      <c r="S75" s="8"/>
      <c r="U75" s="39"/>
    </row>
    <row r="76" spans="1:21" x14ac:dyDescent="0.25">
      <c r="A76" s="20">
        <v>40178</v>
      </c>
      <c r="B76" s="24">
        <f t="shared" si="7"/>
        <v>60</v>
      </c>
      <c r="C76" s="17" t="s">
        <v>77</v>
      </c>
      <c r="D76" s="27">
        <v>6.32</v>
      </c>
      <c r="E76" s="46">
        <f t="shared" si="3"/>
        <v>1239735.0532295418</v>
      </c>
      <c r="F76" s="11">
        <f>(E76-E64)/E64*100</f>
        <v>24.024692646923384</v>
      </c>
      <c r="G76" s="5">
        <f>(E76/E73-1)*100</f>
        <v>5.7872368592000178</v>
      </c>
      <c r="H76" s="5"/>
      <c r="I76" s="39"/>
      <c r="J76" s="20">
        <f t="shared" si="8"/>
        <v>40178</v>
      </c>
      <c r="K76" s="27">
        <f>'SC (Gross)'!K76</f>
        <v>8.0437363445395054</v>
      </c>
      <c r="L76" s="46">
        <f t="shared" si="4"/>
        <v>1023803.1619989215</v>
      </c>
      <c r="M76" s="11">
        <f>(L76-L64)/L64*100</f>
        <v>27.090069583254934</v>
      </c>
      <c r="N76" s="5">
        <f>(L76/L73-1)*100</f>
        <v>3.839206035984466</v>
      </c>
      <c r="O76" s="39"/>
      <c r="P76" s="20">
        <f t="shared" si="5"/>
        <v>40178</v>
      </c>
      <c r="Q76" s="45">
        <f>'SC (Gross)'!Q76</f>
        <v>7.2414029789278684</v>
      </c>
      <c r="R76" s="46">
        <f t="shared" si="6"/>
        <v>1165839.6448158792</v>
      </c>
      <c r="S76" s="11">
        <f>(R76-R64)/R64*100</f>
        <v>15.519408502772658</v>
      </c>
      <c r="T76" s="5">
        <f>(R76/R73-1)*100</f>
        <v>5.4322153991497757</v>
      </c>
      <c r="U76" s="39"/>
    </row>
    <row r="77" spans="1:21" x14ac:dyDescent="0.25">
      <c r="A77" s="20">
        <v>40209</v>
      </c>
      <c r="B77" s="24">
        <f t="shared" si="7"/>
        <v>61</v>
      </c>
      <c r="C77" s="17" t="s">
        <v>77</v>
      </c>
      <c r="D77" s="27">
        <v>-3.24</v>
      </c>
      <c r="E77" s="46">
        <f t="shared" si="3"/>
        <v>1199567.6375049045</v>
      </c>
      <c r="F77" s="10"/>
      <c r="I77" s="39"/>
      <c r="J77" s="20">
        <f t="shared" si="8"/>
        <v>40209</v>
      </c>
      <c r="K77" s="27">
        <f>'SC (Gross)'!K77</f>
        <v>-3.6854331161916072</v>
      </c>
      <c r="L77" s="46">
        <f t="shared" si="4"/>
        <v>986071.58122199646</v>
      </c>
      <c r="M77" s="10"/>
      <c r="O77" s="39"/>
      <c r="P77" s="20">
        <f t="shared" si="5"/>
        <v>40209</v>
      </c>
      <c r="Q77" s="45">
        <f>'SC (Gross)'!Q77</f>
        <v>-4.1170634920634948</v>
      </c>
      <c r="R77" s="46">
        <f t="shared" si="6"/>
        <v>1117841.2864231619</v>
      </c>
      <c r="S77" s="10"/>
      <c r="U77" s="39"/>
    </row>
    <row r="78" spans="1:21" x14ac:dyDescent="0.25">
      <c r="A78" s="20">
        <v>40237</v>
      </c>
      <c r="B78" s="24">
        <f t="shared" si="7"/>
        <v>62</v>
      </c>
      <c r="C78" s="17" t="s">
        <v>77</v>
      </c>
      <c r="D78" s="27">
        <v>3.9</v>
      </c>
      <c r="E78" s="46">
        <f t="shared" si="3"/>
        <v>1246350.7753675957</v>
      </c>
      <c r="F78" s="8"/>
      <c r="I78" s="39"/>
      <c r="J78" s="20">
        <f t="shared" si="8"/>
        <v>40237</v>
      </c>
      <c r="K78" s="27">
        <f>'SC (Gross)'!K78</f>
        <v>4.4992887225955993</v>
      </c>
      <c r="L78" s="46">
        <f t="shared" si="4"/>
        <v>1030437.7886726379</v>
      </c>
      <c r="M78" s="8"/>
      <c r="O78" s="39"/>
      <c r="P78" s="20">
        <f t="shared" si="5"/>
        <v>40237</v>
      </c>
      <c r="Q78" s="45">
        <f>'SC (Gross)'!Q78</f>
        <v>4.0768986866478567</v>
      </c>
      <c r="R78" s="46">
        <f t="shared" si="6"/>
        <v>1163414.5431481553</v>
      </c>
      <c r="S78" s="8"/>
      <c r="U78" s="39"/>
    </row>
    <row r="79" spans="1:21" x14ac:dyDescent="0.25">
      <c r="A79" s="20">
        <v>40268</v>
      </c>
      <c r="B79" s="24">
        <f t="shared" si="7"/>
        <v>63</v>
      </c>
      <c r="C79" s="17" t="s">
        <v>77</v>
      </c>
      <c r="D79" s="27">
        <v>5.84</v>
      </c>
      <c r="E79" s="46">
        <f t="shared" si="3"/>
        <v>1319137.6606490633</v>
      </c>
      <c r="F79" s="8"/>
      <c r="G79" s="5">
        <f>(E79/E76-1)*100</f>
        <v>6.4048045759999894</v>
      </c>
      <c r="H79" s="5"/>
      <c r="I79" s="39"/>
      <c r="J79" s="20">
        <f t="shared" si="8"/>
        <v>40268</v>
      </c>
      <c r="K79" s="27">
        <f>'SC (Gross)'!K79</f>
        <v>8.1162864890256916</v>
      </c>
      <c r="L79" s="46">
        <f t="shared" si="4"/>
        <v>1114071.0716924903</v>
      </c>
      <c r="M79" s="8"/>
      <c r="N79" s="5">
        <f>(L79/L76-1)*100</f>
        <v>8.816920385098781</v>
      </c>
      <c r="O79" s="39"/>
      <c r="P79" s="20">
        <f t="shared" si="5"/>
        <v>40268</v>
      </c>
      <c r="Q79" s="45">
        <f>'SC (Gross)'!Q79</f>
        <v>6.2870794984446716</v>
      </c>
      <c r="R79" s="46">
        <f t="shared" si="6"/>
        <v>1236559.3403723468</v>
      </c>
      <c r="S79" s="8"/>
      <c r="T79" s="5">
        <f>(R79/R76-1)*100</f>
        <v>6.0659882232462881</v>
      </c>
      <c r="U79" s="39"/>
    </row>
    <row r="80" spans="1:21" x14ac:dyDescent="0.25">
      <c r="A80" s="20">
        <v>40298</v>
      </c>
      <c r="B80" s="24">
        <f t="shared" si="7"/>
        <v>64</v>
      </c>
      <c r="C80" s="17" t="s">
        <v>77</v>
      </c>
      <c r="D80" s="27">
        <v>2.88</v>
      </c>
      <c r="E80" s="46">
        <f t="shared" si="3"/>
        <v>1357128.8252757564</v>
      </c>
      <c r="F80" s="8"/>
      <c r="I80" s="39"/>
      <c r="J80" s="20">
        <f t="shared" ref="J80:J111" si="9">A80</f>
        <v>40298</v>
      </c>
      <c r="K80" s="27">
        <f>'SC (Gross)'!K80</f>
        <v>5.6590634544510561</v>
      </c>
      <c r="L80" s="46">
        <f t="shared" si="4"/>
        <v>1177117.0605672512</v>
      </c>
      <c r="M80" s="8"/>
      <c r="O80" s="39"/>
      <c r="P80" s="20">
        <f t="shared" si="5"/>
        <v>40298</v>
      </c>
      <c r="Q80" s="45">
        <f>'SC (Gross)'!Q80</f>
        <v>3.9012174332825462</v>
      </c>
      <c r="R80" s="46">
        <f t="shared" si="6"/>
        <v>1284800.2089318365</v>
      </c>
      <c r="S80" s="8"/>
      <c r="U80" s="39"/>
    </row>
    <row r="81" spans="1:21" x14ac:dyDescent="0.25">
      <c r="A81" s="20">
        <v>40329</v>
      </c>
      <c r="B81" s="24">
        <f t="shared" si="7"/>
        <v>65</v>
      </c>
      <c r="C81" s="17" t="s">
        <v>77</v>
      </c>
      <c r="D81" s="27">
        <v>-4.47</v>
      </c>
      <c r="E81" s="46">
        <f t="shared" ref="E81:E144" si="10">E80*D81/100+E80</f>
        <v>1296465.1667859301</v>
      </c>
      <c r="F81" s="8"/>
      <c r="I81" s="39"/>
      <c r="J81" s="20">
        <f t="shared" si="9"/>
        <v>40329</v>
      </c>
      <c r="K81" s="27">
        <f>'SC (Gross)'!K81</f>
        <v>-7.586770948217298</v>
      </c>
      <c r="L81" s="46">
        <f t="shared" ref="L81:L140" si="11">L80*K81/100+L80</f>
        <v>1087811.8853896256</v>
      </c>
      <c r="M81" s="8"/>
      <c r="O81" s="39"/>
      <c r="P81" s="20">
        <f t="shared" ref="P81:P146" si="12">$A81</f>
        <v>40329</v>
      </c>
      <c r="Q81" s="45">
        <f>'SC (Gross)'!Q81</f>
        <v>-5.4143133012936797</v>
      </c>
      <c r="R81" s="46">
        <f t="shared" ref="R81:R140" si="13">R80*Q81/100+R80</f>
        <v>1215237.1003245912</v>
      </c>
      <c r="S81" s="8"/>
      <c r="U81" s="39"/>
    </row>
    <row r="82" spans="1:21" x14ac:dyDescent="0.25">
      <c r="A82" s="20">
        <v>40359</v>
      </c>
      <c r="B82" s="24">
        <f t="shared" ref="B82:B142" si="14">IF(A82&gt;A81,1+B81,"-")</f>
        <v>66</v>
      </c>
      <c r="C82" s="17" t="s">
        <v>77</v>
      </c>
      <c r="D82" s="27">
        <v>-2.88</v>
      </c>
      <c r="E82" s="46">
        <f t="shared" si="10"/>
        <v>1259126.9699824953</v>
      </c>
      <c r="F82" s="8"/>
      <c r="G82" s="5">
        <f>(E82/E79-1)*100</f>
        <v>-4.5492364031999966</v>
      </c>
      <c r="H82" s="5"/>
      <c r="I82" s="39"/>
      <c r="J82" s="20">
        <f t="shared" si="9"/>
        <v>40359</v>
      </c>
      <c r="K82" s="27">
        <f>'SC (Gross)'!K82</f>
        <v>-7.7509660367317474</v>
      </c>
      <c r="L82" s="46">
        <f t="shared" si="11"/>
        <v>1003495.9556095444</v>
      </c>
      <c r="M82" s="8"/>
      <c r="N82" s="5">
        <f>(L82/L79-1)*100</f>
        <v>-9.9253197477752302</v>
      </c>
      <c r="O82" s="39"/>
      <c r="P82" s="20">
        <f t="shared" si="12"/>
        <v>40359</v>
      </c>
      <c r="Q82" s="45">
        <f>'SC (Gross)'!Q82</f>
        <v>-2.506754267468998</v>
      </c>
      <c r="R82" s="46">
        <f t="shared" si="13"/>
        <v>1184774.092452338</v>
      </c>
      <c r="S82" s="8"/>
      <c r="T82" s="5">
        <f>(R82/R79-1)*100</f>
        <v>-4.1878498046374002</v>
      </c>
      <c r="U82" s="39"/>
    </row>
    <row r="83" spans="1:21" x14ac:dyDescent="0.25">
      <c r="A83" s="20">
        <v>40390</v>
      </c>
      <c r="B83" s="24">
        <f t="shared" si="14"/>
        <v>67</v>
      </c>
      <c r="C83" s="17" t="s">
        <v>77</v>
      </c>
      <c r="D83" s="27">
        <v>5.21</v>
      </c>
      <c r="E83" s="46">
        <f t="shared" si="10"/>
        <v>1324727.4851185833</v>
      </c>
      <c r="F83" s="8"/>
      <c r="I83" s="39"/>
      <c r="J83" s="20">
        <f t="shared" si="9"/>
        <v>40390</v>
      </c>
      <c r="K83" s="27">
        <f>'SC (Gross)'!K83</f>
        <v>6.8677914548601589</v>
      </c>
      <c r="L83" s="46">
        <f t="shared" si="11"/>
        <v>1072413.965098764</v>
      </c>
      <c r="M83" s="8"/>
      <c r="O83" s="39"/>
      <c r="P83" s="20">
        <f t="shared" si="12"/>
        <v>40390</v>
      </c>
      <c r="Q83" s="45">
        <f>'SC (Gross)'!Q83</f>
        <v>5.5738376029349208</v>
      </c>
      <c r="R83" s="46">
        <f t="shared" si="13"/>
        <v>1250811.4763272773</v>
      </c>
      <c r="S83" s="8"/>
      <c r="U83" s="39"/>
    </row>
    <row r="84" spans="1:21" x14ac:dyDescent="0.25">
      <c r="A84" s="20">
        <v>40421</v>
      </c>
      <c r="B84" s="24">
        <f t="shared" si="14"/>
        <v>68</v>
      </c>
      <c r="C84" s="17" t="s">
        <v>77</v>
      </c>
      <c r="D84" s="27">
        <v>-4.5599999999999996</v>
      </c>
      <c r="E84" s="46">
        <f t="shared" si="10"/>
        <v>1264319.9117971759</v>
      </c>
      <c r="F84" s="8"/>
      <c r="I84" s="39"/>
      <c r="J84" s="20">
        <f t="shared" si="9"/>
        <v>40421</v>
      </c>
      <c r="K84" s="27">
        <f>'SC (Gross)'!K84</f>
        <v>-7.4044482187218534</v>
      </c>
      <c r="L84" s="46">
        <f t="shared" si="11"/>
        <v>993007.62836268428</v>
      </c>
      <c r="M84" s="8"/>
      <c r="O84" s="39"/>
      <c r="P84" s="20">
        <f t="shared" si="12"/>
        <v>40421</v>
      </c>
      <c r="Q84" s="45">
        <f>'SC (Gross)'!Q84</f>
        <v>-5.8641929277713887</v>
      </c>
      <c r="R84" s="46">
        <f t="shared" si="13"/>
        <v>1177461.4781927401</v>
      </c>
      <c r="S84" s="8"/>
      <c r="U84" s="39"/>
    </row>
    <row r="85" spans="1:21" x14ac:dyDescent="0.25">
      <c r="A85" s="20">
        <v>40451</v>
      </c>
      <c r="B85" s="24">
        <f t="shared" si="14"/>
        <v>69</v>
      </c>
      <c r="C85" s="17" t="s">
        <v>77</v>
      </c>
      <c r="D85" s="27">
        <v>8.7200000000000006</v>
      </c>
      <c r="E85" s="46">
        <f t="shared" si="10"/>
        <v>1374568.6081058895</v>
      </c>
      <c r="F85" s="8"/>
      <c r="G85" s="5">
        <f>(E85/E82-1)*100</f>
        <v>9.1683873727999909</v>
      </c>
      <c r="H85" s="5"/>
      <c r="I85" s="39"/>
      <c r="J85" s="20">
        <f t="shared" si="9"/>
        <v>40451</v>
      </c>
      <c r="K85" s="27">
        <f>'SC (Gross)'!K85</f>
        <v>12.459603595160253</v>
      </c>
      <c r="L85" s="46">
        <f t="shared" si="11"/>
        <v>1116732.4425263768</v>
      </c>
      <c r="M85" s="8"/>
      <c r="N85" s="5">
        <f>(L85/L82-1)*100</f>
        <v>11.284199630685121</v>
      </c>
      <c r="O85" s="39"/>
      <c r="P85" s="20">
        <f t="shared" si="12"/>
        <v>40451</v>
      </c>
      <c r="Q85" s="45">
        <f>'SC (Gross)'!Q85</f>
        <v>8.6408213057874743</v>
      </c>
      <c r="R85" s="46">
        <f t="shared" si="13"/>
        <v>1279203.8204678586</v>
      </c>
      <c r="S85" s="8"/>
      <c r="T85" s="5">
        <f>(R85/R82-1)*100</f>
        <v>7.9702728661176669</v>
      </c>
      <c r="U85" s="39"/>
    </row>
    <row r="86" spans="1:21" x14ac:dyDescent="0.25">
      <c r="A86" s="20">
        <v>40482</v>
      </c>
      <c r="B86" s="24">
        <f t="shared" si="14"/>
        <v>70</v>
      </c>
      <c r="C86" s="17" t="s">
        <v>77</v>
      </c>
      <c r="D86" s="27">
        <v>4.8499999999999996</v>
      </c>
      <c r="E86" s="46">
        <f t="shared" si="10"/>
        <v>1441235.1855990251</v>
      </c>
      <c r="F86" s="8"/>
      <c r="I86" s="39"/>
      <c r="J86" s="20">
        <f t="shared" si="9"/>
        <v>40482</v>
      </c>
      <c r="K86" s="27">
        <f>'SC (Gross)'!K86</f>
        <v>4.0917088096319905</v>
      </c>
      <c r="L86" s="46">
        <f t="shared" si="11"/>
        <v>1162425.8822572471</v>
      </c>
      <c r="M86" s="8"/>
      <c r="O86" s="39"/>
      <c r="P86" s="20">
        <f t="shared" si="12"/>
        <v>40482</v>
      </c>
      <c r="Q86" s="45">
        <f>'SC (Gross)'!Q86</f>
        <v>3.4795035947092896</v>
      </c>
      <c r="R86" s="46">
        <f t="shared" si="13"/>
        <v>1323713.7633846963</v>
      </c>
      <c r="S86" s="8"/>
      <c r="U86" s="39"/>
    </row>
    <row r="87" spans="1:21" x14ac:dyDescent="0.25">
      <c r="A87" s="20">
        <v>40512</v>
      </c>
      <c r="B87" s="24">
        <f t="shared" si="14"/>
        <v>71</v>
      </c>
      <c r="C87" s="17" t="s">
        <v>77</v>
      </c>
      <c r="D87" s="27">
        <v>4.0599999999999996</v>
      </c>
      <c r="E87" s="46">
        <f t="shared" si="10"/>
        <v>1499749.3341343454</v>
      </c>
      <c r="F87" s="8"/>
      <c r="I87" s="39"/>
      <c r="J87" s="20">
        <f t="shared" si="9"/>
        <v>40512</v>
      </c>
      <c r="K87" s="27">
        <f>'SC (Gross)'!K87</f>
        <v>3.4682958567506987</v>
      </c>
      <c r="L87" s="46">
        <f t="shared" si="11"/>
        <v>1202742.2509693729</v>
      </c>
      <c r="M87" s="8"/>
      <c r="O87" s="39"/>
      <c r="P87" s="20">
        <f t="shared" si="12"/>
        <v>40512</v>
      </c>
      <c r="Q87" s="45">
        <f>'SC (Gross)'!Q87</f>
        <v>1.7869473921560266</v>
      </c>
      <c r="R87" s="46">
        <f t="shared" si="13"/>
        <v>1347367.8319591095</v>
      </c>
      <c r="S87" s="8"/>
      <c r="U87" s="39"/>
    </row>
    <row r="88" spans="1:21" x14ac:dyDescent="0.25">
      <c r="A88" s="20">
        <v>40543</v>
      </c>
      <c r="B88" s="24">
        <f t="shared" si="14"/>
        <v>72</v>
      </c>
      <c r="C88" s="17" t="s">
        <v>77</v>
      </c>
      <c r="D88" s="27">
        <v>5.96</v>
      </c>
      <c r="E88" s="46">
        <f t="shared" si="10"/>
        <v>1589134.3944487525</v>
      </c>
      <c r="F88" s="11">
        <f>(E88-E76)/E76*100</f>
        <v>28.183388080301231</v>
      </c>
      <c r="G88" s="5">
        <f>(E88/E85-1)*100</f>
        <v>15.609681836</v>
      </c>
      <c r="H88" s="5"/>
      <c r="I88" s="39"/>
      <c r="J88" s="20">
        <f t="shared" si="9"/>
        <v>40543</v>
      </c>
      <c r="K88" s="27">
        <f>'SC (Gross)'!K88</f>
        <v>7.9476105565938058</v>
      </c>
      <c r="L88" s="46">
        <f t="shared" si="11"/>
        <v>1298331.5210760287</v>
      </c>
      <c r="M88" s="11">
        <f>(L88-L76)/L76*100</f>
        <v>26.81456448533574</v>
      </c>
      <c r="N88" s="5">
        <f>(L88/L85-1)*100</f>
        <v>16.261646177200827</v>
      </c>
      <c r="O88" s="39"/>
      <c r="P88" s="20">
        <f t="shared" si="12"/>
        <v>40543</v>
      </c>
      <c r="Q88" s="45">
        <f>'SC (Gross)'!Q88</f>
        <v>5.7582344552591191</v>
      </c>
      <c r="R88" s="46">
        <f t="shared" si="13"/>
        <v>1424952.4306980567</v>
      </c>
      <c r="S88" s="11">
        <f>(R88-R76)/R76*100</f>
        <v>22.225422427035337</v>
      </c>
      <c r="T88" s="5">
        <f>(R88/R85-1)*100</f>
        <v>11.39369722777186</v>
      </c>
      <c r="U88" s="39"/>
    </row>
    <row r="89" spans="1:21" x14ac:dyDescent="0.25">
      <c r="A89" s="20">
        <v>40574</v>
      </c>
      <c r="B89" s="24">
        <f t="shared" si="14"/>
        <v>73</v>
      </c>
      <c r="C89" s="17" t="s">
        <v>77</v>
      </c>
      <c r="D89" s="32">
        <v>-0.93</v>
      </c>
      <c r="E89" s="46">
        <f t="shared" si="10"/>
        <v>1574355.4445803792</v>
      </c>
      <c r="F89" s="10"/>
      <c r="I89" s="39"/>
      <c r="J89" s="20">
        <f t="shared" si="9"/>
        <v>40574</v>
      </c>
      <c r="K89" s="27">
        <f>'SC (Gross)'!K89</f>
        <v>-0.25769271869127441</v>
      </c>
      <c r="L89" s="46">
        <f t="shared" si="11"/>
        <v>1294985.815281742</v>
      </c>
      <c r="M89" s="10"/>
      <c r="O89" s="39"/>
      <c r="P89" s="20">
        <f t="shared" si="12"/>
        <v>40574</v>
      </c>
      <c r="Q89" s="45">
        <f>'SC (Gross)'!Q89</f>
        <v>9.1639829288006087E-3</v>
      </c>
      <c r="R89" s="46">
        <f t="shared" si="13"/>
        <v>1425083.0130955493</v>
      </c>
      <c r="S89" s="10"/>
      <c r="U89" s="39"/>
    </row>
    <row r="90" spans="1:21" x14ac:dyDescent="0.25">
      <c r="A90" s="20">
        <v>40602</v>
      </c>
      <c r="B90" s="24">
        <f t="shared" si="14"/>
        <v>74</v>
      </c>
      <c r="C90" s="17" t="s">
        <v>77</v>
      </c>
      <c r="D90" s="27">
        <v>3.64</v>
      </c>
      <c r="E90" s="46">
        <f t="shared" si="10"/>
        <v>1631661.9827631051</v>
      </c>
      <c r="F90" s="8"/>
      <c r="I90" s="39"/>
      <c r="J90" s="20">
        <f t="shared" si="9"/>
        <v>40602</v>
      </c>
      <c r="K90" s="27">
        <f>'SC (Gross)'!K90</f>
        <v>5.4841566989274968</v>
      </c>
      <c r="L90" s="46">
        <f t="shared" si="11"/>
        <v>1366004.8666206766</v>
      </c>
      <c r="M90" s="8"/>
      <c r="O90" s="39"/>
      <c r="P90" s="20">
        <f t="shared" si="12"/>
        <v>40602</v>
      </c>
      <c r="Q90" s="45">
        <f>'SC (Gross)'!Q90</f>
        <v>4.3302396816462299</v>
      </c>
      <c r="R90" s="46">
        <f t="shared" si="13"/>
        <v>1486792.5232250125</v>
      </c>
      <c r="S90" s="8"/>
      <c r="U90" s="39"/>
    </row>
    <row r="91" spans="1:21" x14ac:dyDescent="0.25">
      <c r="A91" s="20">
        <v>40633</v>
      </c>
      <c r="B91" s="24">
        <f t="shared" si="14"/>
        <v>75</v>
      </c>
      <c r="C91" s="17" t="s">
        <v>77</v>
      </c>
      <c r="D91" s="27">
        <v>3.44</v>
      </c>
      <c r="E91" s="46">
        <f t="shared" si="10"/>
        <v>1687791.1549701558</v>
      </c>
      <c r="F91" s="8"/>
      <c r="G91" s="5">
        <f>(E91/E88-1)*100</f>
        <v>6.2082074912000129</v>
      </c>
      <c r="H91" s="5"/>
      <c r="I91" s="39"/>
      <c r="J91" s="20">
        <f t="shared" si="9"/>
        <v>40633</v>
      </c>
      <c r="K91" s="27">
        <f>'SC (Gross)'!K91</f>
        <v>2.5916016104468986</v>
      </c>
      <c r="L91" s="46">
        <f t="shared" si="11"/>
        <v>1401406.270742801</v>
      </c>
      <c r="M91" s="8"/>
      <c r="N91" s="5">
        <f>(L91/L88-1)*100</f>
        <v>7.9390161906680135</v>
      </c>
      <c r="O91" s="39"/>
      <c r="P91" s="20">
        <f t="shared" si="12"/>
        <v>40633</v>
      </c>
      <c r="Q91" s="45">
        <f>'SC (Gross)'!Q91</f>
        <v>1.9284576103185662</v>
      </c>
      <c r="R91" s="46">
        <f t="shared" si="13"/>
        <v>1515464.6867887927</v>
      </c>
      <c r="S91" s="8"/>
      <c r="T91" s="5">
        <f>(R91/R88-1)*100</f>
        <v>6.3519493100829827</v>
      </c>
      <c r="U91" s="39"/>
    </row>
    <row r="92" spans="1:21" x14ac:dyDescent="0.25">
      <c r="A92" s="20">
        <v>40663</v>
      </c>
      <c r="B92" s="24">
        <f t="shared" si="14"/>
        <v>76</v>
      </c>
      <c r="C92" s="17" t="s">
        <v>77</v>
      </c>
      <c r="D92" s="27">
        <v>2.14</v>
      </c>
      <c r="E92" s="46">
        <f t="shared" si="10"/>
        <v>1723909.8856865172</v>
      </c>
      <c r="F92" s="8"/>
      <c r="I92" s="39"/>
      <c r="J92" s="20">
        <f t="shared" si="9"/>
        <v>40663</v>
      </c>
      <c r="K92" s="27">
        <f>'SC (Gross)'!K92</f>
        <v>2.6406962247670149</v>
      </c>
      <c r="L92" s="46">
        <f t="shared" si="11"/>
        <v>1438413.1532279544</v>
      </c>
      <c r="M92" s="8"/>
      <c r="O92" s="39"/>
      <c r="P92" s="20">
        <f t="shared" si="12"/>
        <v>40663</v>
      </c>
      <c r="Q92" s="45">
        <f>'SC (Gross)'!Q92</f>
        <v>2.6883970555651335</v>
      </c>
      <c r="R92" s="46">
        <f t="shared" si="13"/>
        <v>1556206.394806552</v>
      </c>
      <c r="S92" s="8"/>
      <c r="U92" s="39"/>
    </row>
    <row r="93" spans="1:21" x14ac:dyDescent="0.25">
      <c r="A93" s="20">
        <v>40694</v>
      </c>
      <c r="B93" s="24">
        <f t="shared" si="14"/>
        <v>77</v>
      </c>
      <c r="C93" s="17" t="s">
        <v>77</v>
      </c>
      <c r="D93" s="27">
        <v>-0.35</v>
      </c>
      <c r="E93" s="46">
        <f t="shared" si="10"/>
        <v>1717876.2010866145</v>
      </c>
      <c r="F93" s="8"/>
      <c r="I93" s="39"/>
      <c r="J93" s="20">
        <f t="shared" si="9"/>
        <v>40694</v>
      </c>
      <c r="K93" s="27">
        <f>'SC (Gross)'!K93</f>
        <v>-1.8748918370617418</v>
      </c>
      <c r="L93" s="46">
        <f t="shared" si="11"/>
        <v>1411444.4624348611</v>
      </c>
      <c r="M93" s="8"/>
      <c r="O93" s="39"/>
      <c r="P93" s="20">
        <f t="shared" si="12"/>
        <v>40694</v>
      </c>
      <c r="Q93" s="45">
        <f>'SC (Gross)'!Q93</f>
        <v>-0.10548776102227175</v>
      </c>
      <c r="R93" s="46">
        <f t="shared" si="13"/>
        <v>1554564.7875237851</v>
      </c>
      <c r="S93" s="8"/>
      <c r="U93" s="39"/>
    </row>
    <row r="94" spans="1:21" x14ac:dyDescent="0.25">
      <c r="A94" s="20">
        <v>40724</v>
      </c>
      <c r="B94" s="24">
        <f t="shared" si="14"/>
        <v>78</v>
      </c>
      <c r="C94" s="17" t="s">
        <v>77</v>
      </c>
      <c r="D94" s="27">
        <v>-0.87</v>
      </c>
      <c r="E94" s="46">
        <f t="shared" si="10"/>
        <v>1702930.6781371611</v>
      </c>
      <c r="F94" s="8"/>
      <c r="G94" s="5">
        <f>(E94/E91-1)*100</f>
        <v>0.89700216300001578</v>
      </c>
      <c r="H94" s="5"/>
      <c r="I94" s="39"/>
      <c r="J94" s="20">
        <f t="shared" si="9"/>
        <v>40724</v>
      </c>
      <c r="K94" s="27">
        <f>'SC (Gross)'!K94</f>
        <v>-2.3055633693393269</v>
      </c>
      <c r="L94" s="46">
        <f t="shared" si="11"/>
        <v>1378902.7159303946</v>
      </c>
      <c r="M94" s="8"/>
      <c r="N94" s="5">
        <f>(L94/L91-1)*100</f>
        <v>-1.6057837960492871</v>
      </c>
      <c r="O94" s="39"/>
      <c r="P94" s="20">
        <f t="shared" si="12"/>
        <v>40724</v>
      </c>
      <c r="Q94" s="45">
        <f>'SC (Gross)'!Q94</f>
        <v>-1.5983872129023027</v>
      </c>
      <c r="R94" s="46">
        <f t="shared" si="13"/>
        <v>1529716.8227437232</v>
      </c>
      <c r="S94" s="8"/>
      <c r="T94" s="5">
        <f>(R94/R91-1)*100</f>
        <v>0.94044658903469358</v>
      </c>
      <c r="U94" s="39"/>
    </row>
    <row r="95" spans="1:21" x14ac:dyDescent="0.25">
      <c r="A95" s="20">
        <v>40755</v>
      </c>
      <c r="B95" s="24">
        <f t="shared" si="14"/>
        <v>79</v>
      </c>
      <c r="C95" s="17" t="s">
        <v>77</v>
      </c>
      <c r="D95" s="27">
        <v>-2.4500000000000002</v>
      </c>
      <c r="E95" s="46">
        <f t="shared" si="10"/>
        <v>1661208.8765228007</v>
      </c>
      <c r="F95" s="8"/>
      <c r="I95" s="39"/>
      <c r="J95" s="20">
        <f t="shared" si="9"/>
        <v>40755</v>
      </c>
      <c r="K95" s="27">
        <f>'SC (Gross)'!K95</f>
        <v>-3.6145213933725984</v>
      </c>
      <c r="L95" s="46">
        <f t="shared" si="11"/>
        <v>1329061.9822692948</v>
      </c>
      <c r="M95" s="8"/>
      <c r="O95" s="39"/>
      <c r="P95" s="20">
        <f t="shared" si="12"/>
        <v>40755</v>
      </c>
      <c r="Q95" s="45">
        <f>'SC (Gross)'!Q95</f>
        <v>-2.4535986927148126</v>
      </c>
      <c r="R95" s="46">
        <f t="shared" si="13"/>
        <v>1492183.7107786445</v>
      </c>
      <c r="S95" s="8"/>
      <c r="U95" s="39"/>
    </row>
    <row r="96" spans="1:21" x14ac:dyDescent="0.25">
      <c r="A96" s="20">
        <v>40786</v>
      </c>
      <c r="B96" s="24">
        <f t="shared" si="14"/>
        <v>80</v>
      </c>
      <c r="C96" s="17" t="s">
        <v>77</v>
      </c>
      <c r="D96" s="27">
        <v>-4.0999999999999996</v>
      </c>
      <c r="E96" s="46">
        <f t="shared" si="10"/>
        <v>1593099.3125853657</v>
      </c>
      <c r="F96" s="8"/>
      <c r="I96" s="39"/>
      <c r="J96" s="20">
        <f t="shared" si="9"/>
        <v>40786</v>
      </c>
      <c r="K96" s="27">
        <f>'SC (Gross)'!K96</f>
        <v>-8.700274667600933</v>
      </c>
      <c r="L96" s="46">
        <f t="shared" si="11"/>
        <v>1213429.9393092045</v>
      </c>
      <c r="M96" s="8"/>
      <c r="O96" s="39"/>
      <c r="P96" s="20">
        <f t="shared" si="12"/>
        <v>40786</v>
      </c>
      <c r="Q96" s="45">
        <f>'SC (Gross)'!Q96</f>
        <v>-2.5128141017627232</v>
      </c>
      <c r="R96" s="46">
        <f t="shared" si="13"/>
        <v>1454687.9080699924</v>
      </c>
      <c r="S96" s="8"/>
      <c r="U96" s="39"/>
    </row>
    <row r="97" spans="1:21" x14ac:dyDescent="0.25">
      <c r="A97" s="20">
        <v>40816</v>
      </c>
      <c r="B97" s="24">
        <f t="shared" si="14"/>
        <v>81</v>
      </c>
      <c r="C97" s="17" t="s">
        <v>77</v>
      </c>
      <c r="D97" s="27">
        <v>-6.11</v>
      </c>
      <c r="E97" s="46">
        <f t="shared" si="10"/>
        <v>1495760.9445863999</v>
      </c>
      <c r="F97" s="8"/>
      <c r="G97" s="5">
        <f>(E97/E94-1)*100</f>
        <v>-12.165482495000003</v>
      </c>
      <c r="H97" s="49"/>
      <c r="I97" s="39"/>
      <c r="J97" s="20">
        <f t="shared" si="9"/>
        <v>40816</v>
      </c>
      <c r="K97" s="27">
        <f>'SC (Gross)'!K97</f>
        <v>-11.210228059624475</v>
      </c>
      <c r="L97" s="46">
        <f t="shared" si="11"/>
        <v>1077401.6757688797</v>
      </c>
      <c r="M97" s="8"/>
      <c r="N97" s="5">
        <f>(L97/L94-1)*100</f>
        <v>-21.865287280842104</v>
      </c>
      <c r="O97" s="39"/>
      <c r="P97" s="20">
        <f t="shared" si="12"/>
        <v>40816</v>
      </c>
      <c r="Q97" s="45">
        <f>'SC (Gross)'!Q97</f>
        <v>-7.3070017953321251</v>
      </c>
      <c r="R97" s="46">
        <f t="shared" si="13"/>
        <v>1348393.8365108387</v>
      </c>
      <c r="S97" s="8"/>
      <c r="T97" s="5">
        <f>(R97/R94-1)*100</f>
        <v>-11.853369430013904</v>
      </c>
      <c r="U97" s="39"/>
    </row>
    <row r="98" spans="1:21" x14ac:dyDescent="0.25">
      <c r="A98" s="20">
        <v>40847</v>
      </c>
      <c r="B98" s="24">
        <f t="shared" si="14"/>
        <v>82</v>
      </c>
      <c r="C98" s="17" t="s">
        <v>77</v>
      </c>
      <c r="D98" s="27">
        <v>10.87</v>
      </c>
      <c r="E98" s="46">
        <f t="shared" si="10"/>
        <v>1658350.1592629417</v>
      </c>
      <c r="F98" s="8"/>
      <c r="H98" s="49"/>
      <c r="I98" s="39"/>
      <c r="J98" s="20">
        <f t="shared" si="9"/>
        <v>40847</v>
      </c>
      <c r="K98" s="27">
        <f>'SC (Gross)'!K98</f>
        <v>15.13580194155395</v>
      </c>
      <c r="L98" s="46">
        <f t="shared" si="11"/>
        <v>1240475.0595282405</v>
      </c>
      <c r="M98" s="8"/>
      <c r="O98" s="39"/>
      <c r="P98" s="20">
        <f t="shared" si="12"/>
        <v>40847</v>
      </c>
      <c r="Q98" s="45">
        <f>'SC (Gross)'!Q98</f>
        <v>10.728812152403082</v>
      </c>
      <c r="R98" s="46">
        <f t="shared" si="13"/>
        <v>1493060.4783046676</v>
      </c>
      <c r="S98" s="8"/>
      <c r="U98" s="39"/>
    </row>
    <row r="99" spans="1:21" x14ac:dyDescent="0.25">
      <c r="A99" s="20">
        <v>40877</v>
      </c>
      <c r="B99" s="24">
        <f t="shared" si="14"/>
        <v>83</v>
      </c>
      <c r="C99" s="17" t="s">
        <v>77</v>
      </c>
      <c r="D99" s="27">
        <v>1.1299999999999999</v>
      </c>
      <c r="E99" s="46">
        <f t="shared" si="10"/>
        <v>1677089.5160626129</v>
      </c>
      <c r="F99" s="8"/>
      <c r="H99" s="49"/>
      <c r="I99" s="39"/>
      <c r="J99" s="20">
        <f t="shared" si="9"/>
        <v>40877</v>
      </c>
      <c r="K99" s="27">
        <f>'SC (Gross)'!K99</f>
        <v>-0.36476645321503764</v>
      </c>
      <c r="L99" s="46">
        <f t="shared" si="11"/>
        <v>1235950.2226505822</v>
      </c>
      <c r="M99" s="8"/>
      <c r="O99" s="39"/>
      <c r="P99" s="20">
        <f t="shared" si="12"/>
        <v>40877</v>
      </c>
      <c r="Q99" s="45">
        <f>'SC (Gross)'!Q99</f>
        <v>0.44229543835975405</v>
      </c>
      <c r="R99" s="46">
        <f t="shared" si="13"/>
        <v>1499664.2166921615</v>
      </c>
      <c r="S99" s="8"/>
      <c r="U99" s="39"/>
    </row>
    <row r="100" spans="1:21" x14ac:dyDescent="0.25">
      <c r="A100" s="20">
        <v>40908</v>
      </c>
      <c r="B100" s="24">
        <f t="shared" si="14"/>
        <v>84</v>
      </c>
      <c r="C100" s="17" t="s">
        <v>77</v>
      </c>
      <c r="D100" s="27">
        <v>0.48</v>
      </c>
      <c r="E100" s="46">
        <f t="shared" si="10"/>
        <v>1685139.5457397134</v>
      </c>
      <c r="F100" s="11">
        <f>(E100-E88)/E88*100</f>
        <v>6.041348776184762</v>
      </c>
      <c r="G100" s="5">
        <f>(E100/E97-1)*100</f>
        <v>12.661020588799987</v>
      </c>
      <c r="H100" s="49"/>
      <c r="I100" s="39"/>
      <c r="J100" s="20">
        <f t="shared" si="9"/>
        <v>40908</v>
      </c>
      <c r="K100" s="27">
        <f>'SC (Gross)'!K100</f>
        <v>0.66069199871902062</v>
      </c>
      <c r="L100" s="46">
        <f t="shared" si="11"/>
        <v>1244116.0468797844</v>
      </c>
      <c r="M100" s="11">
        <f>(L100-L88)/L88*100</f>
        <v>-4.1757804779561747</v>
      </c>
      <c r="N100" s="5">
        <f>(L100/L97-1)*100</f>
        <v>15.473743438530496</v>
      </c>
      <c r="O100" s="39"/>
      <c r="P100" s="20">
        <f t="shared" si="12"/>
        <v>40908</v>
      </c>
      <c r="Q100" s="45">
        <f>'SC (Gross)'!Q100</f>
        <v>1.7937331293304069</v>
      </c>
      <c r="R100" s="46">
        <f t="shared" si="13"/>
        <v>1526564.1905756821</v>
      </c>
      <c r="S100" s="11">
        <f>(R100-R88)/R88*100</f>
        <v>7.1308878590317395</v>
      </c>
      <c r="T100" s="5">
        <f>(R100/R97-1)*100</f>
        <v>13.213524805622413</v>
      </c>
      <c r="U100" s="39"/>
    </row>
    <row r="101" spans="1:21" x14ac:dyDescent="0.25">
      <c r="A101" s="20">
        <v>40939</v>
      </c>
      <c r="B101" s="24">
        <f t="shared" si="14"/>
        <v>85</v>
      </c>
      <c r="C101" s="17" t="s">
        <v>77</v>
      </c>
      <c r="D101" s="27">
        <v>3.63</v>
      </c>
      <c r="E101" s="46">
        <f t="shared" si="10"/>
        <v>1746310.111250065</v>
      </c>
      <c r="F101" s="10"/>
      <c r="H101" s="49"/>
      <c r="I101" s="39"/>
      <c r="J101" s="20">
        <f t="shared" si="9"/>
        <v>40939</v>
      </c>
      <c r="K101" s="27">
        <f>'SC (Gross)'!K101</f>
        <v>7.0651692545300389</v>
      </c>
      <c r="L101" s="46">
        <f t="shared" si="11"/>
        <v>1332014.9513146095</v>
      </c>
      <c r="M101" s="10"/>
      <c r="O101" s="39"/>
      <c r="P101" s="20">
        <f t="shared" si="12"/>
        <v>40939</v>
      </c>
      <c r="Q101" s="45">
        <f>'SC (Gross)'!Q101</f>
        <v>3.7527647770459254</v>
      </c>
      <c r="R101" s="46">
        <f t="shared" si="13"/>
        <v>1583852.5538186026</v>
      </c>
      <c r="S101" s="10"/>
      <c r="U101" s="39"/>
    </row>
    <row r="102" spans="1:21" x14ac:dyDescent="0.25">
      <c r="A102" s="20">
        <v>40968</v>
      </c>
      <c r="B102" s="24">
        <f t="shared" si="14"/>
        <v>86</v>
      </c>
      <c r="C102" s="17" t="s">
        <v>77</v>
      </c>
      <c r="D102" s="27">
        <v>2.19</v>
      </c>
      <c r="E102" s="46">
        <f t="shared" si="10"/>
        <v>1784554.3026864415</v>
      </c>
      <c r="F102" s="8"/>
      <c r="H102" s="49"/>
      <c r="I102" s="39"/>
      <c r="J102" s="20">
        <f t="shared" si="9"/>
        <v>40968</v>
      </c>
      <c r="K102" s="27">
        <f>'SC (Gross)'!K102</f>
        <v>2.3932261670854693</v>
      </c>
      <c r="L102" s="46">
        <f t="shared" si="11"/>
        <v>1363893.0816789614</v>
      </c>
      <c r="M102" s="8"/>
      <c r="O102" s="39"/>
      <c r="P102" s="20">
        <f t="shared" si="12"/>
        <v>40968</v>
      </c>
      <c r="Q102" s="45">
        <f>'SC (Gross)'!Q102</f>
        <v>1.1177329690002837</v>
      </c>
      <c r="R102" s="46">
        <f t="shared" si="13"/>
        <v>1601555.7959929861</v>
      </c>
      <c r="S102" s="8"/>
      <c r="U102" s="39"/>
    </row>
    <row r="103" spans="1:21" x14ac:dyDescent="0.25">
      <c r="A103" s="20">
        <v>40999</v>
      </c>
      <c r="B103" s="24">
        <f t="shared" si="14"/>
        <v>87</v>
      </c>
      <c r="C103" s="17" t="s">
        <v>77</v>
      </c>
      <c r="D103" s="27">
        <v>1.91</v>
      </c>
      <c r="E103" s="46">
        <f t="shared" si="10"/>
        <v>1818639.2898677525</v>
      </c>
      <c r="F103" s="8"/>
      <c r="G103" s="5">
        <f>(E103/E100-1)*100</f>
        <v>7.9221773927000028</v>
      </c>
      <c r="H103" s="49"/>
      <c r="I103" s="39"/>
      <c r="J103" s="20">
        <f t="shared" si="9"/>
        <v>40999</v>
      </c>
      <c r="K103" s="27">
        <f>'SC (Gross)'!K103</f>
        <v>2.5621042267388683</v>
      </c>
      <c r="L103" s="46">
        <f t="shared" si="11"/>
        <v>1398837.443972857</v>
      </c>
      <c r="M103" s="8"/>
      <c r="N103" s="5">
        <f>(L103/L100-1)*100</f>
        <v>12.436251222794725</v>
      </c>
      <c r="O103" s="39"/>
      <c r="P103" s="20">
        <f t="shared" si="12"/>
        <v>40999</v>
      </c>
      <c r="Q103" s="45">
        <f>'SC (Gross)'!Q103</f>
        <v>2.4448767078611127</v>
      </c>
      <c r="R103" s="46">
        <f t="shared" si="13"/>
        <v>1640711.8606126183</v>
      </c>
      <c r="S103" s="8"/>
      <c r="T103" s="5">
        <f>(R103/R100-1)*100</f>
        <v>7.4774235332934147</v>
      </c>
      <c r="U103" s="39"/>
    </row>
    <row r="104" spans="1:21" x14ac:dyDescent="0.25">
      <c r="A104" s="20">
        <v>41029</v>
      </c>
      <c r="B104" s="24">
        <f t="shared" si="14"/>
        <v>88</v>
      </c>
      <c r="C104" s="17" t="s">
        <v>77</v>
      </c>
      <c r="D104" s="27">
        <v>0.82</v>
      </c>
      <c r="E104" s="46">
        <f t="shared" si="10"/>
        <v>1833552.1320446681</v>
      </c>
      <c r="F104" s="8"/>
      <c r="H104" s="49"/>
      <c r="I104" s="39"/>
      <c r="J104" s="20">
        <f t="shared" si="9"/>
        <v>41029</v>
      </c>
      <c r="K104" s="27">
        <f>'SC (Gross)'!K104</f>
        <v>-1.5447142518908705</v>
      </c>
      <c r="L104" s="46">
        <f t="shared" si="11"/>
        <v>1377229.4026150224</v>
      </c>
      <c r="M104" s="8"/>
      <c r="O104" s="39"/>
      <c r="P104" s="20">
        <f t="shared" si="12"/>
        <v>41029</v>
      </c>
      <c r="Q104" s="45">
        <f>'SC (Gross)'!Q104</f>
        <v>9.3232672366751188E-2</v>
      </c>
      <c r="R104" s="46">
        <f t="shared" si="13"/>
        <v>1642241.5401261058</v>
      </c>
      <c r="S104" s="8"/>
      <c r="U104" s="39"/>
    </row>
    <row r="105" spans="1:21" x14ac:dyDescent="0.25">
      <c r="A105" s="20">
        <v>41060</v>
      </c>
      <c r="B105" s="24">
        <f t="shared" si="14"/>
        <v>89</v>
      </c>
      <c r="C105" s="17" t="s">
        <v>77</v>
      </c>
      <c r="D105" s="27">
        <v>-3.74</v>
      </c>
      <c r="E105" s="46">
        <f t="shared" si="10"/>
        <v>1764977.2823061976</v>
      </c>
      <c r="F105" s="8"/>
      <c r="H105" s="49"/>
      <c r="I105" s="39"/>
      <c r="J105" s="20">
        <f t="shared" si="9"/>
        <v>41060</v>
      </c>
      <c r="K105" s="27">
        <f>'SC (Gross)'!K105</f>
        <v>-6.6147434991662353</v>
      </c>
      <c r="L105" s="46">
        <f t="shared" si="11"/>
        <v>1286129.2102369391</v>
      </c>
      <c r="M105" s="8"/>
      <c r="O105" s="39"/>
      <c r="P105" s="20">
        <f t="shared" si="12"/>
        <v>41060</v>
      </c>
      <c r="Q105" s="45">
        <f>'SC (Gross)'!Q105</f>
        <v>-2.7614330826726103</v>
      </c>
      <c r="R105" s="46">
        <f t="shared" si="13"/>
        <v>1596892.1389396712</v>
      </c>
      <c r="S105" s="8"/>
      <c r="U105" s="39"/>
    </row>
    <row r="106" spans="1:21" x14ac:dyDescent="0.25">
      <c r="A106" s="20">
        <v>41090</v>
      </c>
      <c r="B106" s="24">
        <f t="shared" si="14"/>
        <v>90</v>
      </c>
      <c r="C106" s="17" t="s">
        <v>77</v>
      </c>
      <c r="D106" s="27">
        <v>4.71</v>
      </c>
      <c r="E106" s="46">
        <f t="shared" si="10"/>
        <v>1848107.7123028194</v>
      </c>
      <c r="F106" s="8"/>
      <c r="G106" s="5">
        <f>(E106/E103-1)*100</f>
        <v>1.6203555371999911</v>
      </c>
      <c r="H106" s="49"/>
      <c r="I106" s="39"/>
      <c r="J106" s="20">
        <f t="shared" si="9"/>
        <v>41090</v>
      </c>
      <c r="K106" s="27">
        <f>'SC (Gross)'!K106</f>
        <v>4.9899882818746146</v>
      </c>
      <c r="L106" s="46">
        <f t="shared" si="11"/>
        <v>1350306.9071175288</v>
      </c>
      <c r="M106" s="8"/>
      <c r="N106" s="5">
        <f>(L106/L103-1)*100</f>
        <v>-3.4693478548512346</v>
      </c>
      <c r="O106" s="39"/>
      <c r="P106" s="20">
        <f t="shared" si="12"/>
        <v>41090</v>
      </c>
      <c r="Q106" s="45">
        <f>'SC (Gross)'!Q106</f>
        <v>4.2428419564734945</v>
      </c>
      <c r="R106" s="46">
        <f t="shared" si="13"/>
        <v>1664645.7486102306</v>
      </c>
      <c r="S106" s="8"/>
      <c r="T106" s="5">
        <f>(R106/R103-1)*100</f>
        <v>1.4587502273967656</v>
      </c>
      <c r="U106" s="39"/>
    </row>
    <row r="107" spans="1:21" x14ac:dyDescent="0.25">
      <c r="A107" s="20">
        <v>41121</v>
      </c>
      <c r="B107" s="24">
        <f t="shared" si="14"/>
        <v>91</v>
      </c>
      <c r="C107" s="17" t="s">
        <v>77</v>
      </c>
      <c r="D107" s="27">
        <v>0.87</v>
      </c>
      <c r="E107" s="46">
        <f t="shared" si="10"/>
        <v>1864186.2493998539</v>
      </c>
      <c r="F107" s="8"/>
      <c r="H107" s="49"/>
      <c r="I107" s="39"/>
      <c r="J107" s="20">
        <f t="shared" si="9"/>
        <v>41121</v>
      </c>
      <c r="K107" s="27">
        <f>'SC (Gross)'!K107</f>
        <v>-1.3819068348042534</v>
      </c>
      <c r="L107" s="46">
        <f t="shared" si="11"/>
        <v>1331646.9236772377</v>
      </c>
      <c r="M107" s="8"/>
      <c r="O107" s="39"/>
      <c r="P107" s="20">
        <f t="shared" si="12"/>
        <v>41121</v>
      </c>
      <c r="Q107" s="45">
        <f>'SC (Gross)'!Q107</f>
        <v>7.1720737378829641E-2</v>
      </c>
      <c r="R107" s="46">
        <f t="shared" si="13"/>
        <v>1665839.6448158792</v>
      </c>
      <c r="S107" s="8"/>
      <c r="U107" s="39"/>
    </row>
    <row r="108" spans="1:21" x14ac:dyDescent="0.25">
      <c r="A108" s="20">
        <v>41152</v>
      </c>
      <c r="B108" s="24">
        <f t="shared" si="14"/>
        <v>92</v>
      </c>
      <c r="C108" s="17" t="s">
        <v>77</v>
      </c>
      <c r="D108" s="27">
        <v>1.87</v>
      </c>
      <c r="E108" s="46">
        <f t="shared" si="10"/>
        <v>1899046.5322636312</v>
      </c>
      <c r="F108" s="8"/>
      <c r="H108" s="49"/>
      <c r="I108" s="39"/>
      <c r="J108" s="20">
        <f t="shared" si="9"/>
        <v>41152</v>
      </c>
      <c r="K108" s="27">
        <f>'SC (Gross)'!K108</f>
        <v>3.3366006800921695</v>
      </c>
      <c r="L108" s="46">
        <f t="shared" si="11"/>
        <v>1376078.663989079</v>
      </c>
      <c r="M108" s="8"/>
      <c r="O108" s="39"/>
      <c r="P108" s="20">
        <f t="shared" si="12"/>
        <v>41152</v>
      </c>
      <c r="Q108" s="45">
        <f>'SC (Gross)'!Q108</f>
        <v>1.8365267248233437</v>
      </c>
      <c r="R108" s="46">
        <f t="shared" si="13"/>
        <v>1696433.235085625</v>
      </c>
      <c r="S108" s="8"/>
      <c r="U108" s="39"/>
    </row>
    <row r="109" spans="1:21" x14ac:dyDescent="0.25">
      <c r="A109" s="20">
        <v>41182</v>
      </c>
      <c r="B109" s="24">
        <f t="shared" si="14"/>
        <v>93</v>
      </c>
      <c r="C109" s="17" t="s">
        <v>77</v>
      </c>
      <c r="D109" s="27">
        <v>3.38</v>
      </c>
      <c r="E109" s="46">
        <f t="shared" si="10"/>
        <v>1963234.3050541419</v>
      </c>
      <c r="F109" s="8"/>
      <c r="G109" s="5">
        <f>(E109/E106-1)*100</f>
        <v>6.2294308922000052</v>
      </c>
      <c r="H109" s="49"/>
      <c r="I109" s="39"/>
      <c r="J109" s="20">
        <f t="shared" si="9"/>
        <v>41182</v>
      </c>
      <c r="K109" s="27">
        <f>'SC (Gross)'!K109</f>
        <v>3.2837720551479967</v>
      </c>
      <c r="L109" s="46">
        <f t="shared" si="11"/>
        <v>1421265.9506140063</v>
      </c>
      <c r="M109" s="8"/>
      <c r="N109" s="5">
        <f>(L109/L106-1)*100</f>
        <v>5.25503077281535</v>
      </c>
      <c r="O109" s="39"/>
      <c r="P109" s="20">
        <f t="shared" si="12"/>
        <v>41182</v>
      </c>
      <c r="Q109" s="45">
        <f>'SC (Gross)'!Q109</f>
        <v>3.2428331079074995</v>
      </c>
      <c r="R109" s="46">
        <f t="shared" si="13"/>
        <v>1751445.7336865279</v>
      </c>
      <c r="S109" s="8"/>
      <c r="T109" s="5">
        <f>(R109/R106-1)*100</f>
        <v>5.2143217347453197</v>
      </c>
      <c r="U109" s="39"/>
    </row>
    <row r="110" spans="1:21" x14ac:dyDescent="0.25">
      <c r="A110" s="20">
        <v>41213</v>
      </c>
      <c r="B110" s="24">
        <f t="shared" si="14"/>
        <v>94</v>
      </c>
      <c r="C110" s="17" t="s">
        <v>77</v>
      </c>
      <c r="D110" s="27">
        <v>-1.22</v>
      </c>
      <c r="E110" s="46">
        <f t="shared" si="10"/>
        <v>1939282.8465324815</v>
      </c>
      <c r="F110" s="8"/>
      <c r="H110" s="49"/>
      <c r="I110" s="39"/>
      <c r="J110" s="20">
        <f t="shared" si="9"/>
        <v>41213</v>
      </c>
      <c r="K110" s="27">
        <f>'SC (Gross)'!K110</f>
        <v>-2.1694242318026342</v>
      </c>
      <c r="L110" s="46">
        <f t="shared" si="11"/>
        <v>1390432.6626830259</v>
      </c>
      <c r="M110" s="8"/>
      <c r="O110" s="39"/>
      <c r="P110" s="20">
        <f t="shared" si="12"/>
        <v>41213</v>
      </c>
      <c r="Q110" s="45">
        <f>'SC (Gross)'!Q110</f>
        <v>-0.97243524199045628</v>
      </c>
      <c r="R110" s="46">
        <f t="shared" si="13"/>
        <v>1734414.0581278219</v>
      </c>
      <c r="S110" s="8"/>
      <c r="U110" s="39"/>
    </row>
    <row r="111" spans="1:21" x14ac:dyDescent="0.25">
      <c r="A111" s="20">
        <v>41243</v>
      </c>
      <c r="B111" s="24">
        <f t="shared" si="14"/>
        <v>95</v>
      </c>
      <c r="C111" s="17" t="s">
        <v>77</v>
      </c>
      <c r="D111" s="27">
        <v>-0.15</v>
      </c>
      <c r="E111" s="46">
        <f t="shared" si="10"/>
        <v>1936373.9222626828</v>
      </c>
      <c r="F111" s="8"/>
      <c r="H111" s="49"/>
      <c r="I111" s="39"/>
      <c r="J111" s="20">
        <f t="shared" si="9"/>
        <v>41243</v>
      </c>
      <c r="K111" s="27">
        <f>'SC (Gross)'!K111</f>
        <v>0.53249508101832621</v>
      </c>
      <c r="L111" s="46">
        <f t="shared" si="11"/>
        <v>1397836.6482166853</v>
      </c>
      <c r="M111" s="8"/>
      <c r="O111" s="39"/>
      <c r="P111" s="20">
        <f t="shared" si="12"/>
        <v>41243</v>
      </c>
      <c r="Q111" s="45">
        <f>'SC (Gross)'!Q111</f>
        <v>0.43882764183920847</v>
      </c>
      <c r="R111" s="46">
        <f t="shared" si="13"/>
        <v>1742025.1464388319</v>
      </c>
      <c r="S111" s="8"/>
      <c r="U111" s="39"/>
    </row>
    <row r="112" spans="1:21" x14ac:dyDescent="0.25">
      <c r="A112" s="20">
        <v>41274</v>
      </c>
      <c r="B112" s="24">
        <f t="shared" si="14"/>
        <v>96</v>
      </c>
      <c r="C112" s="17" t="s">
        <v>77</v>
      </c>
      <c r="D112" s="27">
        <v>1.79</v>
      </c>
      <c r="E112" s="46">
        <f t="shared" si="10"/>
        <v>1971035.0154711849</v>
      </c>
      <c r="F112" s="11">
        <f>(E112-E100)/E100*100</f>
        <v>16.965685153746364</v>
      </c>
      <c r="G112" s="5">
        <f>(E112/E109-1)*100</f>
        <v>0.39733975700000368</v>
      </c>
      <c r="H112" s="49"/>
      <c r="I112" s="39"/>
      <c r="J112" s="20">
        <f t="shared" ref="J112:J143" si="15">A112</f>
        <v>41274</v>
      </c>
      <c r="K112" s="27">
        <f>'SC (Gross)'!K112</f>
        <v>3.5869607583186101</v>
      </c>
      <c r="L112" s="46">
        <f t="shared" si="11"/>
        <v>1447976.500253614</v>
      </c>
      <c r="M112" s="11">
        <f>(L112-L100)/L100*100</f>
        <v>16.385967682444665</v>
      </c>
      <c r="N112" s="5">
        <f>(L112/L109-1)*100</f>
        <v>1.8793491554531583</v>
      </c>
      <c r="O112" s="39"/>
      <c r="P112" s="20">
        <f t="shared" si="12"/>
        <v>41274</v>
      </c>
      <c r="Q112" s="45">
        <f>'SC (Gross)'!Q112</f>
        <v>2.2755747834188234</v>
      </c>
      <c r="R112" s="46">
        <f t="shared" si="13"/>
        <v>1781666.2313920087</v>
      </c>
      <c r="S112" s="11">
        <f>(R112-R100)/R100*100</f>
        <v>16.710862366038153</v>
      </c>
      <c r="T112" s="5">
        <f>(R112/R109-1)*100</f>
        <v>1.7254601226993849</v>
      </c>
      <c r="U112" s="39"/>
    </row>
    <row r="113" spans="1:21" x14ac:dyDescent="0.25">
      <c r="A113" s="20">
        <v>41305</v>
      </c>
      <c r="B113" s="24">
        <f t="shared" si="14"/>
        <v>97</v>
      </c>
      <c r="C113" s="17" t="s">
        <v>77</v>
      </c>
      <c r="D113" s="27">
        <v>6.68</v>
      </c>
      <c r="E113" s="46">
        <f t="shared" si="10"/>
        <v>2102700.1545046601</v>
      </c>
      <c r="F113" s="10"/>
      <c r="H113" s="49"/>
      <c r="I113" s="39"/>
      <c r="J113" s="20">
        <f t="shared" si="15"/>
        <v>41305</v>
      </c>
      <c r="K113" s="27">
        <f>'SC (Gross)'!K113</f>
        <v>6.2592775407756065</v>
      </c>
      <c r="L113" s="46">
        <f t="shared" si="11"/>
        <v>1538609.3681296972</v>
      </c>
      <c r="M113" s="10"/>
      <c r="O113" s="39"/>
      <c r="P113" s="20">
        <f t="shared" si="12"/>
        <v>41305</v>
      </c>
      <c r="Q113" s="45">
        <f>'SC (Gross)'!Q113</f>
        <v>5.2110817941952483</v>
      </c>
      <c r="R113" s="46">
        <f t="shared" si="13"/>
        <v>1874510.3160094023</v>
      </c>
      <c r="S113" s="10"/>
      <c r="U113" s="39"/>
    </row>
    <row r="114" spans="1:21" x14ac:dyDescent="0.25">
      <c r="A114" s="20">
        <v>41333</v>
      </c>
      <c r="B114" s="24">
        <f t="shared" si="14"/>
        <v>98</v>
      </c>
      <c r="C114" s="17" t="s">
        <v>77</v>
      </c>
      <c r="D114" s="27">
        <v>2.19</v>
      </c>
      <c r="E114" s="46">
        <f t="shared" si="10"/>
        <v>2148749.2878883122</v>
      </c>
      <c r="F114" s="8"/>
      <c r="H114" s="49"/>
      <c r="I114" s="39"/>
      <c r="J114" s="20">
        <f t="shared" si="15"/>
        <v>41333</v>
      </c>
      <c r="K114" s="27">
        <f>'SC (Gross)'!K114</f>
        <v>1.1030698950075635</v>
      </c>
      <c r="L114" s="46">
        <f t="shared" si="11"/>
        <v>1555581.3048713019</v>
      </c>
      <c r="M114" s="8"/>
      <c r="O114" s="39"/>
      <c r="P114" s="20">
        <f t="shared" si="12"/>
        <v>41333</v>
      </c>
      <c r="Q114" s="45">
        <f>'SC (Gross)'!Q114</f>
        <v>1.9286460665771006</v>
      </c>
      <c r="R114" s="46">
        <f t="shared" si="13"/>
        <v>1910662.9854866995</v>
      </c>
      <c r="S114" s="8"/>
      <c r="U114" s="39"/>
    </row>
    <row r="115" spans="1:21" x14ac:dyDescent="0.25">
      <c r="A115" s="20">
        <v>41364</v>
      </c>
      <c r="B115" s="24">
        <f t="shared" si="14"/>
        <v>99</v>
      </c>
      <c r="C115" s="17" t="s">
        <v>77</v>
      </c>
      <c r="D115" s="27">
        <v>5.19</v>
      </c>
      <c r="E115" s="46">
        <f t="shared" si="10"/>
        <v>2260269.3759297156</v>
      </c>
      <c r="F115" s="8"/>
      <c r="G115" s="5">
        <f>(E115/E112-1)*100</f>
        <v>14.674237554799996</v>
      </c>
      <c r="H115" s="49"/>
      <c r="I115" s="39"/>
      <c r="J115" s="20">
        <f t="shared" si="15"/>
        <v>41364</v>
      </c>
      <c r="K115" s="27">
        <f>'SC (Gross)'!K115</f>
        <v>4.6180696693330967</v>
      </c>
      <c r="L115" s="46">
        <f t="shared" si="11"/>
        <v>1627419.1332933796</v>
      </c>
      <c r="M115" s="8"/>
      <c r="N115" s="5">
        <f>(L115/L112-1)*100</f>
        <v>12.392648154741192</v>
      </c>
      <c r="O115" s="39"/>
      <c r="P115" s="20">
        <f t="shared" si="12"/>
        <v>41364</v>
      </c>
      <c r="Q115" s="45">
        <f>'SC (Gross)'!Q115</f>
        <v>4.8670708727531808</v>
      </c>
      <c r="R115" s="46">
        <f t="shared" si="13"/>
        <v>2003656.3071297989</v>
      </c>
      <c r="S115" s="8"/>
      <c r="T115" s="5">
        <f>(R115/R112-1)*100</f>
        <v>12.459689240691851</v>
      </c>
      <c r="U115" s="39"/>
    </row>
    <row r="116" spans="1:21" x14ac:dyDescent="0.25">
      <c r="A116" s="20">
        <v>41394</v>
      </c>
      <c r="B116" s="24">
        <f t="shared" si="14"/>
        <v>100</v>
      </c>
      <c r="C116" s="17" t="s">
        <v>77</v>
      </c>
      <c r="D116" s="27">
        <v>1.1299999999999999</v>
      </c>
      <c r="E116" s="46">
        <f t="shared" si="10"/>
        <v>2285810.4198777215</v>
      </c>
      <c r="F116" s="8"/>
      <c r="H116" s="49"/>
      <c r="I116" s="39"/>
      <c r="J116" s="20">
        <f t="shared" si="15"/>
        <v>41394</v>
      </c>
      <c r="K116" s="27">
        <f>'SC (Gross)'!K116</f>
        <v>-0.36743813302988854</v>
      </c>
      <c r="L116" s="46">
        <f t="shared" si="11"/>
        <v>1621439.3748134351</v>
      </c>
      <c r="M116" s="8"/>
      <c r="O116" s="39"/>
      <c r="P116" s="20">
        <f t="shared" si="12"/>
        <v>41394</v>
      </c>
      <c r="Q116" s="45">
        <f>'SC (Gross)'!Q116</f>
        <v>0.88820199612691464</v>
      </c>
      <c r="R116" s="46">
        <f t="shared" si="13"/>
        <v>2021452.8224452487</v>
      </c>
      <c r="S116" s="8"/>
      <c r="U116" s="39"/>
    </row>
    <row r="117" spans="1:21" x14ac:dyDescent="0.25">
      <c r="A117" s="20">
        <v>41425</v>
      </c>
      <c r="B117" s="24">
        <f t="shared" si="14"/>
        <v>101</v>
      </c>
      <c r="C117" s="17" t="s">
        <v>77</v>
      </c>
      <c r="D117" s="27">
        <v>1.88</v>
      </c>
      <c r="E117" s="46">
        <f t="shared" si="10"/>
        <v>2328783.6557714227</v>
      </c>
      <c r="F117" s="8"/>
      <c r="H117" s="49"/>
      <c r="I117" s="39"/>
      <c r="J117" s="20">
        <f t="shared" si="15"/>
        <v>41425</v>
      </c>
      <c r="K117" s="27">
        <f>'SC (Gross)'!K117</f>
        <v>3.9965077138199381</v>
      </c>
      <c r="L117" s="46">
        <f t="shared" si="11"/>
        <v>1686240.3245027678</v>
      </c>
      <c r="M117" s="8"/>
      <c r="O117" s="39"/>
      <c r="P117" s="20">
        <f t="shared" si="12"/>
        <v>41425</v>
      </c>
      <c r="Q117" s="45">
        <f>'SC (Gross)'!Q117</f>
        <v>0.58415311640613454</v>
      </c>
      <c r="R117" s="46">
        <f t="shared" si="13"/>
        <v>2033261.2021042425</v>
      </c>
      <c r="S117" s="8"/>
      <c r="U117" s="39"/>
    </row>
    <row r="118" spans="1:21" x14ac:dyDescent="0.25">
      <c r="A118" s="20">
        <v>41455</v>
      </c>
      <c r="B118" s="24">
        <f t="shared" si="14"/>
        <v>102</v>
      </c>
      <c r="C118" s="17" t="s">
        <v>77</v>
      </c>
      <c r="D118" s="27">
        <v>-0.23</v>
      </c>
      <c r="E118" s="46">
        <f t="shared" si="10"/>
        <v>2323427.4533631485</v>
      </c>
      <c r="F118" s="8"/>
      <c r="G118" s="5">
        <f>(E118/E115-1)*100</f>
        <v>2.7942721388000136</v>
      </c>
      <c r="H118" s="49"/>
      <c r="I118" s="39"/>
      <c r="J118" s="20">
        <f t="shared" si="15"/>
        <v>41455</v>
      </c>
      <c r="K118" s="27">
        <f>'SC (Gross)'!K118</f>
        <v>-0.51248585858309226</v>
      </c>
      <c r="L118" s="46">
        <f t="shared" si="11"/>
        <v>1677598.5812979655</v>
      </c>
      <c r="M118" s="8"/>
      <c r="N118" s="5">
        <f>(L118/L115-1)*100</f>
        <v>3.0833758174539039</v>
      </c>
      <c r="O118" s="39"/>
      <c r="P118" s="20">
        <f t="shared" si="12"/>
        <v>41455</v>
      </c>
      <c r="Q118" s="45">
        <f>'SC (Gross)'!Q118</f>
        <v>1.265195651176656</v>
      </c>
      <c r="R118" s="46">
        <f t="shared" si="13"/>
        <v>2058985.9344103276</v>
      </c>
      <c r="S118" s="8"/>
      <c r="T118" s="5">
        <f>(R118/R115-1)*100</f>
        <v>2.7614330403694431</v>
      </c>
      <c r="U118" s="39"/>
    </row>
    <row r="119" spans="1:21" x14ac:dyDescent="0.25">
      <c r="A119" s="20">
        <v>41486</v>
      </c>
      <c r="B119" s="24">
        <f t="shared" si="14"/>
        <v>103</v>
      </c>
      <c r="C119" s="17" t="s">
        <v>77</v>
      </c>
      <c r="D119" s="27">
        <v>6.85</v>
      </c>
      <c r="E119" s="46">
        <f t="shared" si="10"/>
        <v>2482582.2339185243</v>
      </c>
      <c r="F119" s="8"/>
      <c r="H119" s="49"/>
      <c r="I119" s="39"/>
      <c r="J119" s="20">
        <f t="shared" si="15"/>
        <v>41486</v>
      </c>
      <c r="K119" s="27">
        <f>'SC (Gross)'!K119</f>
        <v>6.9977537119009705</v>
      </c>
      <c r="L119" s="46">
        <f t="shared" si="11"/>
        <v>1794992.7982915419</v>
      </c>
      <c r="M119" s="8"/>
      <c r="O119" s="39"/>
      <c r="P119" s="20">
        <f t="shared" si="12"/>
        <v>41486</v>
      </c>
      <c r="Q119" s="45">
        <f>'SC (Gross)'!Q119</f>
        <v>6.3031148640078225</v>
      </c>
      <c r="R119" s="46">
        <f t="shared" si="13"/>
        <v>2188766.1828899751</v>
      </c>
      <c r="S119" s="8"/>
      <c r="U119" s="39"/>
    </row>
    <row r="120" spans="1:21" x14ac:dyDescent="0.25">
      <c r="A120" s="20">
        <v>41517</v>
      </c>
      <c r="B120" s="24">
        <f t="shared" si="14"/>
        <v>104</v>
      </c>
      <c r="C120" s="17" t="s">
        <v>77</v>
      </c>
      <c r="D120" s="27">
        <v>-4.22</v>
      </c>
      <c r="E120" s="46">
        <f t="shared" si="10"/>
        <v>2377817.2636471628</v>
      </c>
      <c r="F120" s="8"/>
      <c r="H120" s="49"/>
      <c r="I120" s="39"/>
      <c r="J120" s="20">
        <f t="shared" si="15"/>
        <v>41517</v>
      </c>
      <c r="K120" s="27">
        <f>'SC (Gross)'!K120</f>
        <v>-3.1777193277507911</v>
      </c>
      <c r="L120" s="46">
        <f t="shared" si="11"/>
        <v>1737952.9652084967</v>
      </c>
      <c r="M120" s="8"/>
      <c r="O120" s="39"/>
      <c r="P120" s="20">
        <f t="shared" si="12"/>
        <v>41517</v>
      </c>
      <c r="Q120" s="45">
        <f>'SC (Gross)'!Q120</f>
        <v>-4.7591855519854018</v>
      </c>
      <c r="R120" s="46">
        <f t="shared" si="13"/>
        <v>2084598.7389471331</v>
      </c>
      <c r="S120" s="8"/>
      <c r="U120" s="39"/>
    </row>
    <row r="121" spans="1:21" x14ac:dyDescent="0.25">
      <c r="A121" s="20">
        <v>41547</v>
      </c>
      <c r="B121" s="24">
        <f t="shared" si="14"/>
        <v>105</v>
      </c>
      <c r="C121" s="17" t="s">
        <v>77</v>
      </c>
      <c r="D121" s="27">
        <v>5.8</v>
      </c>
      <c r="E121" s="46">
        <f t="shared" si="10"/>
        <v>2515730.6649386981</v>
      </c>
      <c r="F121" s="8"/>
      <c r="G121" s="5">
        <f>(E121/E118-1)*100</f>
        <v>8.2767039400000186</v>
      </c>
      <c r="H121" s="49"/>
      <c r="I121" s="39"/>
      <c r="J121" s="20">
        <f t="shared" si="15"/>
        <v>41547</v>
      </c>
      <c r="K121" s="27">
        <f>'SC (Gross)'!K121</f>
        <v>6.3780070609969286</v>
      </c>
      <c r="L121" s="46">
        <f t="shared" si="11"/>
        <v>1848799.7280463001</v>
      </c>
      <c r="M121" s="8"/>
      <c r="N121" s="5">
        <f>(L121/L118-1)*100</f>
        <v>10.205131826940118</v>
      </c>
      <c r="O121" s="39"/>
      <c r="P121" s="20">
        <f t="shared" si="12"/>
        <v>41547</v>
      </c>
      <c r="Q121" s="45">
        <f>'SC (Gross)'!Q121</f>
        <v>5.2395142598906412</v>
      </c>
      <c r="R121" s="46">
        <f t="shared" si="13"/>
        <v>2193821.5871357685</v>
      </c>
      <c r="S121" s="8"/>
      <c r="T121" s="5">
        <f>(R121/R118-1)*100</f>
        <v>6.5486437023211774</v>
      </c>
      <c r="U121" s="39"/>
    </row>
    <row r="122" spans="1:21" x14ac:dyDescent="0.25">
      <c r="A122" s="20">
        <v>41578</v>
      </c>
      <c r="B122" s="24">
        <f t="shared" si="14"/>
        <v>106</v>
      </c>
      <c r="C122" s="17" t="s">
        <v>77</v>
      </c>
      <c r="D122" s="27">
        <v>3.36</v>
      </c>
      <c r="E122" s="46">
        <f t="shared" si="10"/>
        <v>2600259.2152806381</v>
      </c>
      <c r="F122" s="8"/>
      <c r="H122" s="49"/>
      <c r="I122" s="39"/>
      <c r="J122" s="20">
        <f t="shared" si="15"/>
        <v>41578</v>
      </c>
      <c r="K122" s="27">
        <f>'SC (Gross)'!K122</f>
        <v>2.5146190529199517</v>
      </c>
      <c r="L122" s="46">
        <f t="shared" si="11"/>
        <v>1895289.9982580845</v>
      </c>
      <c r="M122" s="8"/>
      <c r="O122" s="39"/>
      <c r="P122" s="20">
        <f t="shared" si="12"/>
        <v>41578</v>
      </c>
      <c r="Q122" s="45">
        <f>'SC (Gross)'!Q122</f>
        <v>4.2363225115219079</v>
      </c>
      <c r="R122" s="46">
        <f t="shared" si="13"/>
        <v>2286758.9448942281</v>
      </c>
      <c r="S122" s="8"/>
      <c r="U122" s="39"/>
    </row>
    <row r="123" spans="1:21" x14ac:dyDescent="0.25">
      <c r="A123" s="20">
        <v>41608</v>
      </c>
      <c r="B123" s="24">
        <f t="shared" si="14"/>
        <v>107</v>
      </c>
      <c r="C123" s="17" t="s">
        <v>77</v>
      </c>
      <c r="D123" s="27">
        <v>4.05</v>
      </c>
      <c r="E123" s="46">
        <f t="shared" si="10"/>
        <v>2705569.7134995041</v>
      </c>
      <c r="F123" s="8"/>
      <c r="H123" s="49"/>
      <c r="I123" s="39"/>
      <c r="J123" s="20">
        <f t="shared" si="15"/>
        <v>41608</v>
      </c>
      <c r="K123" s="27">
        <f>'SC (Gross)'!K123</f>
        <v>4.0068638380340351</v>
      </c>
      <c r="L123" s="46">
        <f t="shared" si="11"/>
        <v>1971231.6878241636</v>
      </c>
      <c r="M123" s="8"/>
      <c r="O123" s="39"/>
      <c r="P123" s="20">
        <f t="shared" si="12"/>
        <v>41608</v>
      </c>
      <c r="Q123" s="45">
        <f>'SC (Gross)'!Q123</f>
        <v>3.6228219017163812</v>
      </c>
      <c r="R123" s="46">
        <f t="shared" si="13"/>
        <v>2369604.1487893146</v>
      </c>
      <c r="S123" s="8"/>
      <c r="U123" s="39"/>
    </row>
    <row r="124" spans="1:21" x14ac:dyDescent="0.25">
      <c r="A124" s="20">
        <v>41639</v>
      </c>
      <c r="B124" s="24">
        <f t="shared" si="14"/>
        <v>108</v>
      </c>
      <c r="C124" s="17" t="s">
        <v>77</v>
      </c>
      <c r="D124" s="27">
        <v>1.42</v>
      </c>
      <c r="E124" s="46">
        <f t="shared" si="10"/>
        <v>2743988.8034311971</v>
      </c>
      <c r="F124" s="11">
        <f>(E124-E112)/E112*100</f>
        <v>39.215629448126982</v>
      </c>
      <c r="G124" s="5">
        <f>(E124/E121-1)*100</f>
        <v>9.0732343360000023</v>
      </c>
      <c r="H124" s="49"/>
      <c r="I124" s="39"/>
      <c r="J124" s="20">
        <f t="shared" si="15"/>
        <v>41639</v>
      </c>
      <c r="K124" s="27">
        <f>'SC (Gross)'!K124</f>
        <v>1.9722705558260061</v>
      </c>
      <c r="L124" s="46">
        <f t="shared" si="11"/>
        <v>2010109.7099902316</v>
      </c>
      <c r="M124" s="11">
        <f>(L124-L112)/L112*100</f>
        <v>38.821984309701122</v>
      </c>
      <c r="N124" s="5">
        <f>(L124/L121-1)*100</f>
        <v>8.7251193029108656</v>
      </c>
      <c r="O124" s="39"/>
      <c r="P124" s="20">
        <f t="shared" si="12"/>
        <v>41639</v>
      </c>
      <c r="Q124" s="45">
        <f>'SC (Gross)'!Q124</f>
        <v>0.99665420192876064</v>
      </c>
      <c r="R124" s="46">
        <f t="shared" si="13"/>
        <v>2393220.9081073017</v>
      </c>
      <c r="S124" s="11">
        <f>(R124-R112)/R112*100</f>
        <v>34.324873309042161</v>
      </c>
      <c r="T124" s="5">
        <f>(R124/R121-1)*100</f>
        <v>9.089131137225559</v>
      </c>
      <c r="U124" s="39"/>
    </row>
    <row r="125" spans="1:21" x14ac:dyDescent="0.25">
      <c r="A125" s="20">
        <v>41670</v>
      </c>
      <c r="B125" s="24">
        <f t="shared" si="14"/>
        <v>109</v>
      </c>
      <c r="C125" s="17" t="s">
        <v>77</v>
      </c>
      <c r="D125" s="27">
        <v>-1.48</v>
      </c>
      <c r="E125" s="46">
        <f t="shared" si="10"/>
        <v>2703377.7691404154</v>
      </c>
      <c r="F125" s="10"/>
      <c r="H125" s="49"/>
      <c r="I125" s="39"/>
      <c r="J125" s="20">
        <f t="shared" si="15"/>
        <v>41670</v>
      </c>
      <c r="K125" s="27">
        <f>'SC (Gross)'!K125</f>
        <v>-2.7679779878653212</v>
      </c>
      <c r="L125" s="46">
        <f t="shared" si="11"/>
        <v>1954470.3156857586</v>
      </c>
      <c r="M125" s="10"/>
      <c r="O125" s="39"/>
      <c r="P125" s="20">
        <f t="shared" si="12"/>
        <v>41670</v>
      </c>
      <c r="Q125" s="45">
        <f>'SC (Gross)'!Q125</f>
        <v>-2.6728297386410729</v>
      </c>
      <c r="R125" s="46">
        <f t="shared" si="13"/>
        <v>2329254.1879640338</v>
      </c>
      <c r="S125" s="10"/>
      <c r="U125" s="39"/>
    </row>
    <row r="126" spans="1:21" x14ac:dyDescent="0.25">
      <c r="A126" s="21">
        <v>41698</v>
      </c>
      <c r="B126" s="24">
        <f t="shared" si="14"/>
        <v>110</v>
      </c>
      <c r="C126" s="13" t="s">
        <v>100</v>
      </c>
      <c r="D126" s="29">
        <v>5.34</v>
      </c>
      <c r="E126" s="47">
        <f t="shared" si="10"/>
        <v>2847738.1420125137</v>
      </c>
      <c r="F126" s="76"/>
      <c r="G126" s="3"/>
      <c r="H126" s="49"/>
      <c r="I126" s="39"/>
      <c r="J126" s="20">
        <f t="shared" si="15"/>
        <v>41698</v>
      </c>
      <c r="K126" s="27">
        <f>'SC (Gross)'!K126</f>
        <v>4.7112568096957084</v>
      </c>
      <c r="L126" s="46">
        <f t="shared" si="11"/>
        <v>2046550.431526985</v>
      </c>
      <c r="M126" s="8"/>
      <c r="O126" s="39"/>
      <c r="P126" s="20">
        <f t="shared" si="12"/>
        <v>41698</v>
      </c>
      <c r="Q126" s="45">
        <f>'SC (Gross)'!Q126</f>
        <v>3.5719434255418094</v>
      </c>
      <c r="R126" s="46">
        <f t="shared" si="13"/>
        <v>2412453.8297951724</v>
      </c>
      <c r="S126" s="8"/>
      <c r="U126" s="39"/>
    </row>
    <row r="127" spans="1:21" x14ac:dyDescent="0.25">
      <c r="A127" s="21">
        <v>41729</v>
      </c>
      <c r="B127" s="24">
        <f t="shared" si="14"/>
        <v>111</v>
      </c>
      <c r="C127" s="13" t="s">
        <v>100</v>
      </c>
      <c r="D127" s="29">
        <v>2.4900000000000002</v>
      </c>
      <c r="E127" s="47">
        <f t="shared" si="10"/>
        <v>2918646.8217486255</v>
      </c>
      <c r="F127" s="76"/>
      <c r="G127" s="49">
        <f>(E127/E124-1)*100</f>
        <v>6.3651141032000202</v>
      </c>
      <c r="H127" s="49"/>
      <c r="I127" s="39"/>
      <c r="J127" s="20">
        <f t="shared" si="15"/>
        <v>41729</v>
      </c>
      <c r="K127" s="27">
        <f>'SC (Gross)'!K127</f>
        <v>-0.68078276144242911</v>
      </c>
      <c r="L127" s="46">
        <f t="shared" si="11"/>
        <v>2032617.8689849237</v>
      </c>
      <c r="M127" s="8"/>
      <c r="N127" s="5">
        <f>(L127/L124-1)*100</f>
        <v>1.1197477870400263</v>
      </c>
      <c r="O127" s="39"/>
      <c r="P127" s="20">
        <f t="shared" si="12"/>
        <v>41729</v>
      </c>
      <c r="Q127" s="45">
        <f>'SC (Gross)'!Q127</f>
        <v>1.885216745797303</v>
      </c>
      <c r="R127" s="46">
        <f t="shared" si="13"/>
        <v>2457933.8133790996</v>
      </c>
      <c r="S127" s="8"/>
      <c r="T127" s="5">
        <f>(R127/R124-1)*100</f>
        <v>2.7040088548690111</v>
      </c>
      <c r="U127" s="39"/>
    </row>
    <row r="128" spans="1:21" x14ac:dyDescent="0.25">
      <c r="A128" s="21">
        <v>41759</v>
      </c>
      <c r="B128" s="24">
        <f t="shared" si="14"/>
        <v>112</v>
      </c>
      <c r="C128" s="3" t="s">
        <v>101</v>
      </c>
      <c r="D128" s="29">
        <v>-2.99</v>
      </c>
      <c r="E128" s="47">
        <f t="shared" si="10"/>
        <v>2831379.2817783416</v>
      </c>
      <c r="F128" s="3"/>
      <c r="G128" s="54"/>
      <c r="H128" s="49"/>
      <c r="I128" s="39"/>
      <c r="J128" s="20">
        <f t="shared" si="15"/>
        <v>41759</v>
      </c>
      <c r="K128" s="27">
        <f>'SC (Gross)'!K128</f>
        <v>-3.8781162598282912</v>
      </c>
      <c r="L128" s="46">
        <f t="shared" si="11"/>
        <v>1953790.584907644</v>
      </c>
      <c r="M128" s="8"/>
      <c r="O128" s="39"/>
      <c r="P128" s="20">
        <f t="shared" si="12"/>
        <v>41759</v>
      </c>
      <c r="Q128" s="45">
        <f>'SC (Gross)'!Q128</f>
        <v>-2.7178202792956854</v>
      </c>
      <c r="R128" s="46">
        <f t="shared" si="13"/>
        <v>2391131.5897474168</v>
      </c>
      <c r="S128" s="8"/>
      <c r="T128" s="140"/>
      <c r="U128" s="39"/>
    </row>
    <row r="129" spans="1:21" x14ac:dyDescent="0.25">
      <c r="A129" s="21">
        <v>41790</v>
      </c>
      <c r="B129" s="24">
        <f t="shared" si="14"/>
        <v>113</v>
      </c>
      <c r="C129" s="3" t="s">
        <v>101</v>
      </c>
      <c r="D129" s="29">
        <v>0.69</v>
      </c>
      <c r="E129" s="47">
        <f t="shared" si="10"/>
        <v>2850915.798822612</v>
      </c>
      <c r="F129" s="3"/>
      <c r="H129" s="49"/>
      <c r="I129" s="39"/>
      <c r="J129" s="20">
        <f t="shared" si="15"/>
        <v>41790</v>
      </c>
      <c r="K129" s="27">
        <f>'SC (Gross)'!K129</f>
        <v>0.80152936191700652</v>
      </c>
      <c r="L129" s="46">
        <f t="shared" si="11"/>
        <v>1969450.7901160487</v>
      </c>
      <c r="M129" s="8"/>
      <c r="O129" s="39"/>
      <c r="P129" s="20">
        <f t="shared" si="12"/>
        <v>41790</v>
      </c>
      <c r="Q129" s="45">
        <f>'SC (Gross)'!Q129</f>
        <v>0.81448599224522389</v>
      </c>
      <c r="R129" s="46">
        <f t="shared" si="13"/>
        <v>2410607.0216020602</v>
      </c>
      <c r="S129" s="8"/>
      <c r="T129" s="140"/>
      <c r="U129" s="39"/>
    </row>
    <row r="130" spans="1:21" x14ac:dyDescent="0.25">
      <c r="A130" s="21">
        <v>41820</v>
      </c>
      <c r="B130" s="24">
        <f t="shared" si="14"/>
        <v>114</v>
      </c>
      <c r="C130" s="3" t="s">
        <v>101</v>
      </c>
      <c r="D130" s="29">
        <v>3.88</v>
      </c>
      <c r="E130" s="47">
        <f t="shared" si="10"/>
        <v>2961531.3318169294</v>
      </c>
      <c r="F130" s="4"/>
      <c r="G130" s="49">
        <f>(E130/E127-1)*100</f>
        <v>1.4693285171999859</v>
      </c>
      <c r="H130" s="49"/>
      <c r="I130" s="39"/>
      <c r="J130" s="20">
        <f t="shared" si="15"/>
        <v>41820</v>
      </c>
      <c r="K130" s="27">
        <f>'SC (Gross)'!K130</f>
        <v>5.3207317594899166</v>
      </c>
      <c r="L130" s="46">
        <f t="shared" si="11"/>
        <v>2074239.9837932782</v>
      </c>
      <c r="M130" s="8"/>
      <c r="N130" s="5">
        <f>(L130/L127-1)*100</f>
        <v>2.0477097758242246</v>
      </c>
      <c r="O130" s="39"/>
      <c r="P130" s="20">
        <f t="shared" si="12"/>
        <v>41820</v>
      </c>
      <c r="Q130" s="45">
        <f>'SC (Gross)'!Q130</f>
        <v>3.4869953491251513</v>
      </c>
      <c r="R130" s="46">
        <f t="shared" si="13"/>
        <v>2494664.7763310084</v>
      </c>
      <c r="S130" s="8"/>
      <c r="T130" s="131">
        <f>(R130/R127-1)*100</f>
        <v>1.4943837279903116</v>
      </c>
      <c r="U130" s="39"/>
    </row>
    <row r="131" spans="1:21" x14ac:dyDescent="0.25">
      <c r="A131" s="21">
        <v>41851</v>
      </c>
      <c r="B131" s="24">
        <f t="shared" si="14"/>
        <v>115</v>
      </c>
      <c r="C131" s="3" t="s">
        <v>101</v>
      </c>
      <c r="D131" s="29">
        <v>-4.12</v>
      </c>
      <c r="E131" s="47">
        <f t="shared" si="10"/>
        <v>2839516.2409460717</v>
      </c>
      <c r="F131" s="3"/>
      <c r="H131" s="49"/>
      <c r="I131" s="39"/>
      <c r="J131" s="20">
        <f t="shared" si="15"/>
        <v>41851</v>
      </c>
      <c r="K131" s="27">
        <f>'SC (Gross)'!K131</f>
        <v>-6.0529187375197528</v>
      </c>
      <c r="L131" s="46">
        <f t="shared" si="11"/>
        <v>1948687.9231531282</v>
      </c>
      <c r="M131" s="8"/>
      <c r="O131" s="39"/>
      <c r="P131" s="20">
        <f t="shared" si="12"/>
        <v>41851</v>
      </c>
      <c r="Q131" s="45">
        <f>'SC (Gross)'!Q131</f>
        <v>-4.3932131400070293</v>
      </c>
      <c r="R131" s="46">
        <f t="shared" si="13"/>
        <v>2385068.8355781077</v>
      </c>
      <c r="S131" s="8"/>
      <c r="T131" s="140"/>
      <c r="U131" s="39"/>
    </row>
    <row r="132" spans="1:21" x14ac:dyDescent="0.25">
      <c r="A132" s="21">
        <v>41882</v>
      </c>
      <c r="B132" s="24">
        <f t="shared" si="14"/>
        <v>116</v>
      </c>
      <c r="C132" s="3" t="s">
        <v>101</v>
      </c>
      <c r="D132" s="29">
        <v>4.43</v>
      </c>
      <c r="E132" s="47">
        <f t="shared" si="10"/>
        <v>2965306.8104199828</v>
      </c>
      <c r="F132" s="4"/>
      <c r="H132" s="49"/>
      <c r="I132" s="39"/>
      <c r="J132" s="20">
        <f t="shared" si="15"/>
        <v>41882</v>
      </c>
      <c r="K132" s="27">
        <f>'SC (Gross)'!K132</f>
        <v>4.958593526650164</v>
      </c>
      <c r="L132" s="46">
        <f t="shared" si="11"/>
        <v>2045315.4363652128</v>
      </c>
      <c r="M132" s="8"/>
      <c r="O132" s="39"/>
      <c r="P132" s="20">
        <f t="shared" si="12"/>
        <v>41882</v>
      </c>
      <c r="Q132" s="45">
        <f>'SC (Gross)'!Q132</f>
        <v>3.4312575281180191</v>
      </c>
      <c r="R132" s="46">
        <f t="shared" si="13"/>
        <v>2466906.6895496785</v>
      </c>
      <c r="S132" s="8"/>
      <c r="T132" s="140"/>
      <c r="U132" s="39"/>
    </row>
    <row r="133" spans="1:21" x14ac:dyDescent="0.25">
      <c r="A133" s="21">
        <v>41912</v>
      </c>
      <c r="B133" s="24">
        <f t="shared" si="14"/>
        <v>117</v>
      </c>
      <c r="C133" s="3" t="s">
        <v>101</v>
      </c>
      <c r="D133" s="29">
        <v>-3.94</v>
      </c>
      <c r="E133" s="47">
        <f t="shared" si="10"/>
        <v>2848473.7220894354</v>
      </c>
      <c r="F133" s="19"/>
      <c r="G133" s="49">
        <f>(E133/E130-1)*100</f>
        <v>-3.8175388696000012</v>
      </c>
      <c r="H133" s="49"/>
      <c r="I133" s="39"/>
      <c r="J133" s="20">
        <f t="shared" si="15"/>
        <v>41912</v>
      </c>
      <c r="K133" s="27">
        <f>'SC (Gross)'!K133</f>
        <v>-6.0493826882581736</v>
      </c>
      <c r="L133" s="46">
        <f t="shared" si="11"/>
        <v>1921586.4784374635</v>
      </c>
      <c r="M133" s="8"/>
      <c r="N133" s="131">
        <f>(L133/L130-1)*100</f>
        <v>-7.359491020737563</v>
      </c>
      <c r="O133" s="39"/>
      <c r="P133" s="20">
        <f t="shared" si="12"/>
        <v>41912</v>
      </c>
      <c r="Q133" s="45">
        <f>'SC (Gross)'!Q133</f>
        <v>-4.8691404329973382</v>
      </c>
      <c r="R133" s="46">
        <f t="shared" si="13"/>
        <v>2346789.5384844989</v>
      </c>
      <c r="S133" s="8"/>
      <c r="T133" s="131">
        <f>(R133/R130-1)*100</f>
        <v>-5.9276596699294748</v>
      </c>
      <c r="U133" s="39"/>
    </row>
    <row r="134" spans="1:21" x14ac:dyDescent="0.25">
      <c r="A134" s="21">
        <v>41943</v>
      </c>
      <c r="B134" s="24">
        <f t="shared" si="14"/>
        <v>118</v>
      </c>
      <c r="C134" s="3" t="s">
        <v>101</v>
      </c>
      <c r="D134" s="29">
        <v>10.37</v>
      </c>
      <c r="E134" s="47">
        <f t="shared" si="10"/>
        <v>3143860.4470701097</v>
      </c>
      <c r="F134" s="19"/>
      <c r="G134" s="49"/>
      <c r="H134" s="49"/>
      <c r="I134" s="39"/>
      <c r="J134" s="20">
        <f t="shared" si="15"/>
        <v>41943</v>
      </c>
      <c r="K134" s="27">
        <f>'SC (Gross)'!K134</f>
        <v>6.5919147344933187</v>
      </c>
      <c r="L134" s="46">
        <f t="shared" si="11"/>
        <v>2048255.8206456141</v>
      </c>
      <c r="M134" s="11"/>
      <c r="N134" s="140"/>
      <c r="O134" s="39"/>
      <c r="P134" s="20">
        <f t="shared" si="12"/>
        <v>41943</v>
      </c>
      <c r="Q134" s="45">
        <f>'SC (Gross)'!Q134</f>
        <v>10.01176451884708</v>
      </c>
      <c r="R134" s="46">
        <f t="shared" si="13"/>
        <v>2581744.5808305051</v>
      </c>
      <c r="S134" s="11"/>
      <c r="T134" s="140"/>
      <c r="U134" s="39"/>
    </row>
    <row r="135" spans="1:21" x14ac:dyDescent="0.25">
      <c r="A135" s="21">
        <v>41973</v>
      </c>
      <c r="B135" s="24">
        <f t="shared" si="14"/>
        <v>119</v>
      </c>
      <c r="C135" s="3" t="s">
        <v>101</v>
      </c>
      <c r="D135" s="29">
        <v>0.87</v>
      </c>
      <c r="E135" s="47">
        <f t="shared" si="10"/>
        <v>3171212.0329596195</v>
      </c>
      <c r="F135" s="19"/>
      <c r="H135" s="49"/>
      <c r="I135" s="39"/>
      <c r="J135" s="20">
        <f t="shared" si="15"/>
        <v>41973</v>
      </c>
      <c r="K135" s="27">
        <f>'SC (Gross)'!K135</f>
        <v>9.0243889280837E-2</v>
      </c>
      <c r="L135" s="46">
        <f t="shared" si="11"/>
        <v>2050104.2463605858</v>
      </c>
      <c r="M135" s="11"/>
      <c r="N135" s="140"/>
      <c r="O135" s="39"/>
      <c r="P135" s="20">
        <f t="shared" si="12"/>
        <v>41973</v>
      </c>
      <c r="Q135" s="45">
        <f>'SC (Gross)'!Q135</f>
        <v>-0.27601754373287979</v>
      </c>
      <c r="R135" s="46">
        <f t="shared" si="13"/>
        <v>2574618.5128530399</v>
      </c>
      <c r="S135" s="11"/>
      <c r="T135" s="140"/>
      <c r="U135" s="39"/>
    </row>
    <row r="136" spans="1:21" x14ac:dyDescent="0.25">
      <c r="A136" s="21">
        <v>42004</v>
      </c>
      <c r="B136" s="24">
        <f>IF(A136&gt;A135,1+B135,"-")</f>
        <v>120</v>
      </c>
      <c r="C136" s="3" t="s">
        <v>101</v>
      </c>
      <c r="D136" s="29">
        <v>3.35</v>
      </c>
      <c r="E136" s="47">
        <f t="shared" si="10"/>
        <v>3277447.6360637667</v>
      </c>
      <c r="F136" s="19">
        <f>(E136-E$124)/E$124*100</f>
        <v>19.440998883286646</v>
      </c>
      <c r="G136" s="49">
        <f>(E136/E133-1)*100</f>
        <v>15.059781336499988</v>
      </c>
      <c r="H136" s="19"/>
      <c r="I136" s="39"/>
      <c r="J136" s="20">
        <f t="shared" si="15"/>
        <v>42004</v>
      </c>
      <c r="K136" s="27">
        <f>'SC (Gross)'!K136</f>
        <v>2.8498588871171826</v>
      </c>
      <c r="L136" s="46">
        <f t="shared" si="11"/>
        <v>2108529.3244206598</v>
      </c>
      <c r="M136" s="19">
        <f>(L136-L$124)/L$124*100</f>
        <v>4.8962309838753297</v>
      </c>
      <c r="N136" s="131">
        <f>(L136/L133-1)*100</f>
        <v>9.7285679349288898</v>
      </c>
      <c r="O136" s="39"/>
      <c r="P136" s="20">
        <f t="shared" si="12"/>
        <v>42004</v>
      </c>
      <c r="Q136" s="45">
        <f>'SC (Gross)'!Q136</f>
        <v>3.3402166431184948</v>
      </c>
      <c r="R136" s="46">
        <f t="shared" si="13"/>
        <v>2660616.3489161669</v>
      </c>
      <c r="S136" s="19">
        <f>(R136-R$124)/R$124*100</f>
        <v>11.173036300286091</v>
      </c>
      <c r="T136" s="131">
        <f>(R136/R133-1)*100</f>
        <v>13.372601389485062</v>
      </c>
      <c r="U136" s="39"/>
    </row>
    <row r="137" spans="1:21" x14ac:dyDescent="0.25">
      <c r="A137" s="21">
        <v>42035</v>
      </c>
      <c r="B137" s="24">
        <f t="shared" si="14"/>
        <v>121</v>
      </c>
      <c r="C137" s="3" t="s">
        <v>101</v>
      </c>
      <c r="D137" s="29">
        <v>-2.25</v>
      </c>
      <c r="E137" s="47">
        <f t="shared" si="10"/>
        <v>3203705.0642523319</v>
      </c>
      <c r="F137" s="76"/>
      <c r="H137" s="49"/>
      <c r="I137" s="39"/>
      <c r="J137" s="20">
        <f t="shared" si="15"/>
        <v>42035</v>
      </c>
      <c r="K137" s="27">
        <f>'SC (Gross)'!K137</f>
        <v>-3.2159753259148767</v>
      </c>
      <c r="L137" s="46">
        <f t="shared" si="11"/>
        <v>2040719.5416076118</v>
      </c>
      <c r="M137" s="76"/>
      <c r="N137" s="109"/>
      <c r="O137" s="39"/>
      <c r="P137" s="20">
        <f t="shared" si="12"/>
        <v>42035</v>
      </c>
      <c r="Q137" s="45">
        <f>'SC (Gross)'!Q137</f>
        <v>-1.3917616126205019</v>
      </c>
      <c r="R137" s="46">
        <f t="shared" si="13"/>
        <v>2623586.9119128464</v>
      </c>
      <c r="S137" s="76"/>
      <c r="T137" s="109"/>
      <c r="U137" s="39"/>
    </row>
    <row r="138" spans="1:21" x14ac:dyDescent="0.25">
      <c r="A138" s="21">
        <v>42063</v>
      </c>
      <c r="B138" s="24">
        <f t="shared" si="14"/>
        <v>122</v>
      </c>
      <c r="C138" s="3" t="s">
        <v>101</v>
      </c>
      <c r="D138" s="29">
        <v>3.22</v>
      </c>
      <c r="E138" s="47">
        <f t="shared" si="10"/>
        <v>3306864.367321257</v>
      </c>
      <c r="H138" s="49"/>
      <c r="I138" s="39"/>
      <c r="J138" s="20">
        <f t="shared" si="15"/>
        <v>42063</v>
      </c>
      <c r="K138" s="27">
        <f>'SC (Gross)'!K138</f>
        <v>5.9366466793778523</v>
      </c>
      <c r="L138" s="46">
        <f t="shared" si="11"/>
        <v>2161869.850509875</v>
      </c>
      <c r="M138" s="18"/>
      <c r="N138" s="109"/>
      <c r="O138" s="39"/>
      <c r="P138" s="20">
        <f t="shared" si="12"/>
        <v>42063</v>
      </c>
      <c r="Q138" s="45">
        <f>'SC (Gross)'!Q138</f>
        <v>1.7555460750853118</v>
      </c>
      <c r="R138" s="46">
        <f t="shared" si="13"/>
        <v>2669645.1889713844</v>
      </c>
      <c r="S138" s="18"/>
      <c r="T138" s="109"/>
      <c r="U138" s="39"/>
    </row>
    <row r="139" spans="1:21" x14ac:dyDescent="0.25">
      <c r="A139" s="21">
        <v>42094</v>
      </c>
      <c r="B139" s="24">
        <f t="shared" si="14"/>
        <v>123</v>
      </c>
      <c r="C139" s="3" t="s">
        <v>101</v>
      </c>
      <c r="D139" s="29">
        <v>2.2999999999999998</v>
      </c>
      <c r="E139" s="47">
        <f t="shared" si="10"/>
        <v>3382922.2477696459</v>
      </c>
      <c r="G139" s="49">
        <f>(E139/E136-1)*100</f>
        <v>3.2181936500000008</v>
      </c>
      <c r="H139" s="49"/>
      <c r="I139" s="39"/>
      <c r="J139" s="20">
        <f t="shared" si="15"/>
        <v>42094</v>
      </c>
      <c r="K139" s="27">
        <f>'SC (Gross)'!K139</f>
        <v>1.7420488950149302</v>
      </c>
      <c r="L139" s="46">
        <f t="shared" si="11"/>
        <v>2199530.6803523432</v>
      </c>
      <c r="M139" s="18"/>
      <c r="N139" s="131">
        <f>(L139/L136-1)*100</f>
        <v>4.3158686425519344</v>
      </c>
      <c r="O139" s="39"/>
      <c r="P139" s="20">
        <f t="shared" si="12"/>
        <v>42094</v>
      </c>
      <c r="Q139" s="45">
        <f>'SC (Gross)'!Q139</f>
        <v>1.8356637248530829</v>
      </c>
      <c r="R139" s="46">
        <f t="shared" si="13"/>
        <v>2718650.8972876174</v>
      </c>
      <c r="S139" s="18"/>
      <c r="T139" s="131">
        <f>(R139/R136-1)*100</f>
        <v>2.181244522348802</v>
      </c>
      <c r="U139" s="39"/>
    </row>
    <row r="140" spans="1:21" x14ac:dyDescent="0.25">
      <c r="A140" s="21">
        <v>42124</v>
      </c>
      <c r="B140" s="24">
        <f>IF(A140&gt;A139,1+B139,"-")</f>
        <v>124</v>
      </c>
      <c r="C140" s="3" t="s">
        <v>101</v>
      </c>
      <c r="D140" s="29">
        <v>-3.67</v>
      </c>
      <c r="E140" s="47">
        <f t="shared" si="10"/>
        <v>3258769.0012765001</v>
      </c>
      <c r="G140" s="49"/>
      <c r="H140" s="49"/>
      <c r="I140" s="39"/>
      <c r="J140" s="20">
        <f t="shared" si="15"/>
        <v>42124</v>
      </c>
      <c r="K140" s="27">
        <f>'SC (Gross)'!K140</f>
        <v>-2.5502843863635616</v>
      </c>
      <c r="L140" s="46">
        <f t="shared" si="11"/>
        <v>2143436.3928380413</v>
      </c>
      <c r="M140" s="18"/>
      <c r="N140" s="131"/>
      <c r="O140" s="39"/>
      <c r="P140" s="20">
        <f t="shared" si="12"/>
        <v>42124</v>
      </c>
      <c r="Q140" s="45">
        <f>'SC (Gross)'!Q140</f>
        <v>-3.6627875061755426</v>
      </c>
      <c r="R140" s="46">
        <f t="shared" si="13"/>
        <v>2619072.4918852374</v>
      </c>
      <c r="S140" s="18"/>
      <c r="T140" s="131"/>
      <c r="U140" s="39"/>
    </row>
    <row r="141" spans="1:21" x14ac:dyDescent="0.25">
      <c r="A141" s="21">
        <v>42155</v>
      </c>
      <c r="B141" s="24">
        <f>IF(A141&gt;A140,1+B140,"-")</f>
        <v>125</v>
      </c>
      <c r="C141" s="3" t="s">
        <v>101</v>
      </c>
      <c r="D141" s="29">
        <v>1.8</v>
      </c>
      <c r="E141" s="47">
        <f t="shared" si="10"/>
        <v>3317426.8432994769</v>
      </c>
      <c r="G141" s="49"/>
      <c r="H141" s="49"/>
      <c r="I141" s="39"/>
      <c r="J141" s="20">
        <f t="shared" si="15"/>
        <v>42155</v>
      </c>
      <c r="K141" s="27">
        <f>'SC (Gross)'!K141</f>
        <v>2.2830562424304075</v>
      </c>
      <c r="L141" s="46">
        <f>L140*K141/100+L140</f>
        <v>2192372.2512072553</v>
      </c>
      <c r="M141" s="18"/>
      <c r="N141" s="131"/>
      <c r="O141" s="39"/>
      <c r="P141" s="20">
        <f t="shared" si="12"/>
        <v>42155</v>
      </c>
      <c r="Q141" s="45">
        <f>'SC (Gross)'!Q141</f>
        <v>0.45228564509465297</v>
      </c>
      <c r="R141" s="46">
        <f>R140*Q141/100+R140</f>
        <v>2630918.1808006573</v>
      </c>
      <c r="S141" s="18"/>
      <c r="T141" s="131"/>
      <c r="U141" s="39"/>
    </row>
    <row r="142" spans="1:21" x14ac:dyDescent="0.25">
      <c r="A142" s="21">
        <v>42185</v>
      </c>
      <c r="B142" s="24">
        <f t="shared" si="14"/>
        <v>126</v>
      </c>
      <c r="C142" s="3" t="s">
        <v>101</v>
      </c>
      <c r="D142" s="29">
        <v>1.1499999999999999</v>
      </c>
      <c r="E142" s="47">
        <f t="shared" si="10"/>
        <v>3355577.251997421</v>
      </c>
      <c r="G142" s="49">
        <f>(E142/E139-1)*100</f>
        <v>-0.80832468999999518</v>
      </c>
      <c r="H142" s="49"/>
      <c r="I142" s="39"/>
      <c r="J142" s="20">
        <f t="shared" si="15"/>
        <v>42185</v>
      </c>
      <c r="K142" s="27">
        <f>'SC (Gross)'!K142</f>
        <v>0.74882261871327926</v>
      </c>
      <c r="L142" s="46">
        <f>L141*K142/100+L141</f>
        <v>2208789.2305106889</v>
      </c>
      <c r="M142" s="18"/>
      <c r="N142" s="131">
        <f>(L142/L139-1)*100</f>
        <v>0.42093298543408597</v>
      </c>
      <c r="O142" s="39"/>
      <c r="P142" s="20">
        <f t="shared" si="12"/>
        <v>42185</v>
      </c>
      <c r="Q142" s="45">
        <f>'SC (Gross)'!Q142</f>
        <v>1.1330681471712307</v>
      </c>
      <c r="R142" s="46">
        <f>R141*Q142/100+R141</f>
        <v>2660728.2766854465</v>
      </c>
      <c r="S142" s="18"/>
      <c r="T142" s="131">
        <f>(R142/R139-1)*100</f>
        <v>-2.1305648570016822</v>
      </c>
      <c r="U142" s="39"/>
    </row>
    <row r="143" spans="1:21" x14ac:dyDescent="0.25">
      <c r="A143" s="21">
        <v>42216</v>
      </c>
      <c r="B143" s="24">
        <f>IF(A143&gt;A142,1+B142,"-")</f>
        <v>127</v>
      </c>
      <c r="C143" s="3" t="s">
        <v>101</v>
      </c>
      <c r="D143" s="29">
        <v>0.91</v>
      </c>
      <c r="E143" s="47">
        <f t="shared" si="10"/>
        <v>3386113.0049905977</v>
      </c>
      <c r="G143" s="49"/>
      <c r="H143" s="49"/>
      <c r="I143" s="39"/>
      <c r="J143" s="20">
        <f t="shared" si="15"/>
        <v>42216</v>
      </c>
      <c r="K143" s="27">
        <f>'SC (Gross)'!K143</f>
        <v>-1.1619530266059153</v>
      </c>
      <c r="L143" s="46">
        <f>L142*K143/100+L142</f>
        <v>2183124.1371954242</v>
      </c>
      <c r="M143" s="18"/>
      <c r="N143" s="131"/>
      <c r="O143" s="39"/>
      <c r="P143" s="20">
        <f t="shared" si="12"/>
        <v>42216</v>
      </c>
      <c r="Q143" s="45">
        <f>'SC (Gross)'!Q143</f>
        <v>1.8397122645147275</v>
      </c>
      <c r="R143" s="46">
        <f>R142*Q143/100+R142</f>
        <v>2709678.02111704</v>
      </c>
      <c r="S143" s="18"/>
      <c r="T143" s="131"/>
      <c r="U143" s="39"/>
    </row>
    <row r="144" spans="1:21" x14ac:dyDescent="0.25">
      <c r="A144" s="21">
        <v>42247</v>
      </c>
      <c r="B144" s="24">
        <f>IF(A144&gt;A143,1+B143,"-")</f>
        <v>128</v>
      </c>
      <c r="C144" s="3" t="s">
        <v>101</v>
      </c>
      <c r="D144" s="29">
        <v>-4.1399999999999997</v>
      </c>
      <c r="E144" s="47">
        <f t="shared" si="10"/>
        <v>3245927.9265839872</v>
      </c>
      <c r="G144" s="105"/>
      <c r="H144" s="49"/>
      <c r="I144" s="39"/>
      <c r="J144" s="20">
        <f t="shared" ref="J144:J178" si="16">A144</f>
        <v>42247</v>
      </c>
      <c r="K144" s="27">
        <f>'SC (Gross)'!K144</f>
        <v>-6.2840456545254346</v>
      </c>
      <c r="L144" s="46">
        <f>L143*K144/100+L143</f>
        <v>2045935.6197190993</v>
      </c>
      <c r="M144" s="18"/>
      <c r="N144" s="131"/>
      <c r="O144" s="39"/>
      <c r="P144" s="20">
        <f t="shared" si="12"/>
        <v>42247</v>
      </c>
      <c r="Q144" s="45">
        <f>'SC (Gross)'!Q144</f>
        <v>-4.876252108361153</v>
      </c>
      <c r="R144" s="46">
        <f>R143*Q144/100+R143</f>
        <v>2577547.2894825214</v>
      </c>
      <c r="S144" s="18"/>
      <c r="T144" s="131"/>
      <c r="U144" s="39"/>
    </row>
    <row r="145" spans="1:32" x14ac:dyDescent="0.25">
      <c r="A145" s="21">
        <v>42277</v>
      </c>
      <c r="B145" s="24">
        <f>IF(A145&gt;A144,1+B144,"-")</f>
        <v>129</v>
      </c>
      <c r="C145" s="3" t="s">
        <v>101</v>
      </c>
      <c r="D145" s="29">
        <v>-0.39</v>
      </c>
      <c r="E145" s="47">
        <f>E144*D145/100+E144</f>
        <v>3233268.8076703097</v>
      </c>
      <c r="F145" s="19"/>
      <c r="G145" s="49">
        <f>(E145/E142-1)*100</f>
        <v>-3.6449300713999877</v>
      </c>
      <c r="H145" s="49"/>
      <c r="I145" s="39"/>
      <c r="J145" s="20">
        <f t="shared" si="16"/>
        <v>42277</v>
      </c>
      <c r="K145" s="27">
        <f>'SC (Gross)'!K145</f>
        <v>-4.9062264035734069</v>
      </c>
      <c r="L145" s="46">
        <f>L144*K145/100+L144</f>
        <v>1945557.3861443277</v>
      </c>
      <c r="M145" s="19"/>
      <c r="N145" s="131">
        <f>(L145/L142-1)*100</f>
        <v>-11.917472284374542</v>
      </c>
      <c r="O145" s="39"/>
      <c r="P145" s="20">
        <f t="shared" si="12"/>
        <v>42277</v>
      </c>
      <c r="Q145" s="45">
        <f>'SC (Gross)'!Q145</f>
        <v>0.78814810526010137</v>
      </c>
      <c r="R145" s="46">
        <f>R144*Q145/100+R144</f>
        <v>2597862.1796067609</v>
      </c>
      <c r="S145" s="19"/>
      <c r="T145" s="131">
        <f>(R145/R142-1)*100</f>
        <v>-2.3627402177647361</v>
      </c>
      <c r="U145" s="39"/>
    </row>
    <row r="146" spans="1:32" x14ac:dyDescent="0.25">
      <c r="A146" s="21">
        <v>42308</v>
      </c>
      <c r="B146" s="24">
        <f t="shared" ref="B146:B178" si="17">IF(A146&gt;A145,1+B145,"-")</f>
        <v>130</v>
      </c>
      <c r="C146" s="3" t="s">
        <v>101</v>
      </c>
      <c r="D146" s="29">
        <v>3.81</v>
      </c>
      <c r="E146" s="47">
        <f t="shared" ref="E146:E175" si="18">E145*D146/100+E145</f>
        <v>3356456.3492425485</v>
      </c>
      <c r="F146" s="19"/>
      <c r="G146" s="49"/>
      <c r="H146" s="49"/>
      <c r="I146" s="39"/>
      <c r="J146" s="20">
        <f t="shared" si="16"/>
        <v>42308</v>
      </c>
      <c r="K146" s="27">
        <f>'SC (Gross)'!K146</f>
        <v>5.634204345986376</v>
      </c>
      <c r="L146" s="46">
        <f t="shared" ref="L146:L177" si="19">L145*K146/100+L145</f>
        <v>2055174.0649481304</v>
      </c>
      <c r="M146" s="19"/>
      <c r="N146" s="131"/>
      <c r="O146" s="39"/>
      <c r="P146" s="20">
        <f t="shared" si="12"/>
        <v>42308</v>
      </c>
      <c r="Q146" s="45">
        <f>'SC (Gross)'!Q146</f>
        <v>6.2623419334917916</v>
      </c>
      <c r="R146" s="46">
        <f t="shared" ref="R146:R177" si="20">R145*Q146/100+R145</f>
        <v>2760549.1922545987</v>
      </c>
      <c r="S146" s="19"/>
      <c r="T146" s="131"/>
      <c r="U146" s="39"/>
    </row>
    <row r="147" spans="1:32" x14ac:dyDescent="0.25">
      <c r="A147" s="21">
        <v>42338</v>
      </c>
      <c r="B147" s="24">
        <f t="shared" si="17"/>
        <v>131</v>
      </c>
      <c r="C147" s="3" t="s">
        <v>101</v>
      </c>
      <c r="D147" s="29">
        <v>1.91</v>
      </c>
      <c r="E147" s="47">
        <f t="shared" si="18"/>
        <v>3420564.665513081</v>
      </c>
      <c r="F147" s="19"/>
      <c r="G147" s="49"/>
      <c r="H147" s="49"/>
      <c r="I147" s="39"/>
      <c r="J147" s="20">
        <f t="shared" si="16"/>
        <v>42338</v>
      </c>
      <c r="K147" s="27">
        <f>'SC (Gross)'!K147</f>
        <v>3.2529358603983836</v>
      </c>
      <c r="L147" s="46">
        <f t="shared" si="19"/>
        <v>2122027.5591004351</v>
      </c>
      <c r="M147" s="19"/>
      <c r="N147" s="131"/>
      <c r="O147" s="39"/>
      <c r="P147" s="20">
        <f>$A147</f>
        <v>42338</v>
      </c>
      <c r="Q147" s="45">
        <f>'SC (Gross)'!Q147</f>
        <v>2.7361435850306126</v>
      </c>
      <c r="R147" s="46">
        <f t="shared" si="20"/>
        <v>2836081.7818900873</v>
      </c>
      <c r="S147" s="19"/>
      <c r="T147" s="131"/>
      <c r="U147" s="39"/>
    </row>
    <row r="148" spans="1:32" ht="16.5" thickBot="1" x14ac:dyDescent="0.3">
      <c r="A148" s="21">
        <v>42369</v>
      </c>
      <c r="B148" s="24">
        <f t="shared" si="17"/>
        <v>132</v>
      </c>
      <c r="C148" s="3" t="s">
        <v>101</v>
      </c>
      <c r="D148" s="29">
        <v>-1.68</v>
      </c>
      <c r="E148" s="47">
        <f t="shared" si="18"/>
        <v>3363099.1791324611</v>
      </c>
      <c r="F148" s="19">
        <f>(E148-E$136)/E$136*100</f>
        <v>2.6133611450025303</v>
      </c>
      <c r="G148" s="49">
        <f>(E148/E145-1)*100</f>
        <v>4.0154524471999853</v>
      </c>
      <c r="H148" s="49"/>
      <c r="I148" s="39"/>
      <c r="J148" s="20">
        <f t="shared" si="16"/>
        <v>42369</v>
      </c>
      <c r="K148" s="27">
        <f>'SC (Gross)'!K148</f>
        <v>-5.0212707421467879</v>
      </c>
      <c r="L148" s="46">
        <f t="shared" si="19"/>
        <v>2015474.8101350334</v>
      </c>
      <c r="M148" s="19">
        <f>(L148-L$136)/L$136*100</f>
        <v>-4.4132425955799333</v>
      </c>
      <c r="N148" s="131">
        <f>(L148/L145-1)*100</f>
        <v>3.5936963097894958</v>
      </c>
      <c r="O148" s="39"/>
      <c r="P148" s="20">
        <f>$A148</f>
        <v>42369</v>
      </c>
      <c r="Q148" s="45">
        <f>'SC (Gross)'!Q148</f>
        <v>-3.3690497332780835</v>
      </c>
      <c r="R148" s="46">
        <f t="shared" si="20"/>
        <v>2740532.776181771</v>
      </c>
      <c r="S148" s="19">
        <f>(R148-R$136)/R$136*100</f>
        <v>3.0036809815950698</v>
      </c>
      <c r="T148" s="131">
        <f>(R148/R145-1)*100</f>
        <v>5.4918462455389561</v>
      </c>
      <c r="U148" s="39"/>
      <c r="W148" s="101" t="s">
        <v>56</v>
      </c>
      <c r="AD148" t="s">
        <v>102</v>
      </c>
      <c r="AE148" s="135" t="s">
        <v>103</v>
      </c>
    </row>
    <row r="149" spans="1:32" x14ac:dyDescent="0.25">
      <c r="A149" s="21">
        <v>42400</v>
      </c>
      <c r="B149" s="24">
        <f t="shared" si="17"/>
        <v>133</v>
      </c>
      <c r="C149" s="3" t="s">
        <v>101</v>
      </c>
      <c r="D149" s="29">
        <v>-1.05</v>
      </c>
      <c r="E149" s="47">
        <f t="shared" si="18"/>
        <v>3327786.6377515704</v>
      </c>
      <c r="F149" s="19"/>
      <c r="G149" s="49"/>
      <c r="H149" s="49"/>
      <c r="I149" s="39"/>
      <c r="J149" s="20">
        <f t="shared" si="16"/>
        <v>42400</v>
      </c>
      <c r="K149" s="27">
        <f>'SC (Gross)'!K149</f>
        <v>-8.7951679430077974</v>
      </c>
      <c r="L149" s="46">
        <f t="shared" si="19"/>
        <v>1838210.4157346396</v>
      </c>
      <c r="M149" s="19"/>
      <c r="N149" s="131"/>
      <c r="O149" s="39"/>
      <c r="P149" s="20">
        <f>$A149</f>
        <v>42400</v>
      </c>
      <c r="Q149" s="45">
        <f>'SC (Gross)'!Q149</f>
        <v>-2.5818704095732623</v>
      </c>
      <c r="R149" s="46">
        <f t="shared" si="20"/>
        <v>2669775.771368877</v>
      </c>
      <c r="S149" s="19"/>
      <c r="T149" s="131"/>
      <c r="U149" s="39"/>
      <c r="V149" s="92"/>
      <c r="W149" s="324" t="s">
        <v>98</v>
      </c>
      <c r="X149" s="325"/>
      <c r="Y149" s="324" t="s">
        <v>99</v>
      </c>
      <c r="Z149" s="325" t="s">
        <v>81</v>
      </c>
      <c r="AA149" s="324" t="s">
        <v>68</v>
      </c>
      <c r="AB149" s="325"/>
      <c r="AC149" s="132">
        <f>$A149</f>
        <v>42400</v>
      </c>
      <c r="AD149" s="1">
        <v>-1.0500000000000001E-2</v>
      </c>
      <c r="AE149">
        <v>-1.03</v>
      </c>
    </row>
    <row r="150" spans="1:32" x14ac:dyDescent="0.25">
      <c r="A150" s="21">
        <v>42429</v>
      </c>
      <c r="B150" s="24">
        <f t="shared" si="17"/>
        <v>134</v>
      </c>
      <c r="C150" s="3" t="s">
        <v>101</v>
      </c>
      <c r="D150" s="29">
        <v>1.67</v>
      </c>
      <c r="E150" s="47">
        <f t="shared" si="18"/>
        <v>3383360.6746020215</v>
      </c>
      <c r="F150" s="19"/>
      <c r="G150" s="49"/>
      <c r="H150" s="49"/>
      <c r="I150" s="39"/>
      <c r="J150" s="20">
        <f t="shared" si="16"/>
        <v>42429</v>
      </c>
      <c r="K150" s="27">
        <f>'SC (Gross)'!K150</f>
        <v>-1.125449271752009E-2</v>
      </c>
      <c r="L150" s="46">
        <f t="shared" si="19"/>
        <v>1838003.5344772681</v>
      </c>
      <c r="M150" s="19"/>
      <c r="N150" s="131"/>
      <c r="O150" s="39"/>
      <c r="P150" s="20">
        <f t="shared" ref="P150:P232" si="21">$A150</f>
        <v>42429</v>
      </c>
      <c r="Q150" s="45">
        <f>'SC (Gross)'!Q150</f>
        <v>0.26831381536655008</v>
      </c>
      <c r="R150" s="46">
        <f t="shared" si="20"/>
        <v>2676939.1486027688</v>
      </c>
      <c r="S150" s="19"/>
      <c r="T150" s="131"/>
      <c r="U150" s="39"/>
      <c r="V150" s="109" t="s">
        <v>107</v>
      </c>
      <c r="W150" s="94" t="s">
        <v>41</v>
      </c>
      <c r="X150" s="93" t="s">
        <v>76</v>
      </c>
      <c r="Y150" s="94" t="s">
        <v>41</v>
      </c>
      <c r="Z150" s="93" t="s">
        <v>76</v>
      </c>
      <c r="AA150" s="94" t="s">
        <v>41</v>
      </c>
      <c r="AB150" s="93" t="s">
        <v>76</v>
      </c>
      <c r="AC150" s="132">
        <f t="shared" ref="AC150:AC158" si="22">$A150</f>
        <v>42429</v>
      </c>
      <c r="AD150" s="1">
        <v>1.67E-2</v>
      </c>
      <c r="AE150">
        <v>1.72</v>
      </c>
    </row>
    <row r="151" spans="1:32" x14ac:dyDescent="0.25">
      <c r="A151" s="21">
        <v>42460</v>
      </c>
      <c r="B151" s="24">
        <f t="shared" si="17"/>
        <v>135</v>
      </c>
      <c r="C151" s="3" t="s">
        <v>101</v>
      </c>
      <c r="D151" s="29">
        <v>5.61</v>
      </c>
      <c r="E151" s="47">
        <f t="shared" si="18"/>
        <v>3573167.2084471947</v>
      </c>
      <c r="F151" s="19"/>
      <c r="G151" s="49">
        <f>(E151/E148-1)*100</f>
        <v>6.2462632864999978</v>
      </c>
      <c r="H151" s="49"/>
      <c r="I151" s="39"/>
      <c r="J151" s="20">
        <f t="shared" si="16"/>
        <v>42460</v>
      </c>
      <c r="K151" s="27">
        <f>'SC (Gross)'!K151</f>
        <v>7.9811016800056063</v>
      </c>
      <c r="L151" s="46">
        <f t="shared" si="19"/>
        <v>1984696.4654459958</v>
      </c>
      <c r="M151" s="19"/>
      <c r="N151" s="131">
        <f>(L151/L148-1)*100</f>
        <v>-1.5271014320925924</v>
      </c>
      <c r="O151" s="39"/>
      <c r="P151" s="20">
        <f t="shared" si="21"/>
        <v>42460</v>
      </c>
      <c r="Q151" s="45">
        <f>'SC (Gross)'!Q151</f>
        <v>6.6620209059233382</v>
      </c>
      <c r="R151" s="46">
        <f t="shared" si="20"/>
        <v>2855277.3943215315</v>
      </c>
      <c r="S151" s="19"/>
      <c r="T151" s="131">
        <f>(R151/R148-1)*100</f>
        <v>4.1869456602386501</v>
      </c>
      <c r="U151" s="39"/>
      <c r="V151" s="36"/>
      <c r="W151" s="107"/>
      <c r="X151" s="108">
        <f>'SC (Gross)'!X151</f>
        <v>280000</v>
      </c>
      <c r="Y151" s="107"/>
      <c r="Z151" s="108">
        <f>'SC (Gross)'!Z151</f>
        <v>26138397.710000001</v>
      </c>
      <c r="AA151" s="95"/>
      <c r="AB151" s="111">
        <f t="shared" ref="AB151:AB175" si="23">X151+Z151</f>
        <v>26418397.710000001</v>
      </c>
      <c r="AC151" s="132">
        <f t="shared" si="22"/>
        <v>42460</v>
      </c>
      <c r="AD151" s="1">
        <v>5.6100000000000004E-2</v>
      </c>
      <c r="AE151">
        <v>5.93</v>
      </c>
    </row>
    <row r="152" spans="1:32" x14ac:dyDescent="0.25">
      <c r="A152" s="21">
        <v>42490</v>
      </c>
      <c r="B152" s="24">
        <f t="shared" si="17"/>
        <v>136</v>
      </c>
      <c r="C152" s="97" t="s">
        <v>108</v>
      </c>
      <c r="D152" s="84">
        <f>AA152</f>
        <v>1.0126999999999999</v>
      </c>
      <c r="E152" s="47">
        <f t="shared" si="18"/>
        <v>3609352.6727671395</v>
      </c>
      <c r="H152" s="49"/>
      <c r="I152" s="39"/>
      <c r="J152" s="20">
        <f t="shared" si="16"/>
        <v>42490</v>
      </c>
      <c r="K152" s="27">
        <f>'SC (Gross)'!K152</f>
        <v>1.5694968610604174</v>
      </c>
      <c r="L152" s="46">
        <f t="shared" si="19"/>
        <v>2015846.2141727477</v>
      </c>
      <c r="M152" s="18"/>
      <c r="N152" s="109"/>
      <c r="O152" s="39"/>
      <c r="P152" s="20">
        <f t="shared" si="21"/>
        <v>42490</v>
      </c>
      <c r="Q152" s="45">
        <f>'SC (Gross)'!Q152</f>
        <v>0.62916503332027374</v>
      </c>
      <c r="R152" s="46">
        <f t="shared" si="20"/>
        <v>2873241.8012909009</v>
      </c>
      <c r="S152" s="18"/>
      <c r="T152" s="109"/>
      <c r="U152" s="39"/>
      <c r="V152" s="36">
        <f>IFERROR(AA152-W152,"-")</f>
        <v>0.31269999999999709</v>
      </c>
      <c r="W152" s="107">
        <f>'SC (Gross)'!W152</f>
        <v>0.70000000000000284</v>
      </c>
      <c r="X152" s="108">
        <f>'SC (Gross)'!X152</f>
        <v>292845.33</v>
      </c>
      <c r="Y152" s="107">
        <v>1.0161</v>
      </c>
      <c r="Z152" s="108">
        <f>'SC (Gross)'!Z152</f>
        <v>26404000.289999999</v>
      </c>
      <c r="AA152" s="110">
        <f t="shared" ref="AA152:AA175" si="24">ROUND(X151/AB151*(W152)+Z151/AB151*Y152,4)</f>
        <v>1.0126999999999999</v>
      </c>
      <c r="AB152" s="111">
        <f t="shared" si="23"/>
        <v>26696845.619999997</v>
      </c>
      <c r="AC152" s="132">
        <f t="shared" si="22"/>
        <v>42490</v>
      </c>
      <c r="AD152" s="1">
        <v>9.3999999999999986E-3</v>
      </c>
      <c r="AE152">
        <v>0.91999999999999993</v>
      </c>
      <c r="AF152" s="61"/>
    </row>
    <row r="153" spans="1:32" x14ac:dyDescent="0.25">
      <c r="A153" s="21">
        <v>42521</v>
      </c>
      <c r="B153" s="24">
        <f t="shared" si="17"/>
        <v>137</v>
      </c>
      <c r="C153" s="97" t="s">
        <v>108</v>
      </c>
      <c r="D153" s="84">
        <f t="shared" ref="D153:D180" si="25">AA153</f>
        <v>2.5299</v>
      </c>
      <c r="E153" s="47">
        <f t="shared" si="18"/>
        <v>3700665.6860354752</v>
      </c>
      <c r="G153" s="138"/>
      <c r="H153" s="49"/>
      <c r="I153" s="39"/>
      <c r="J153" s="20">
        <f t="shared" si="16"/>
        <v>42521</v>
      </c>
      <c r="K153" s="27">
        <f>'SC (Gross)'!K153</f>
        <v>2.2518361605255559</v>
      </c>
      <c r="L153" s="46">
        <f t="shared" si="19"/>
        <v>2061239.768164075</v>
      </c>
      <c r="M153" s="18"/>
      <c r="N153" s="131"/>
      <c r="O153" s="39"/>
      <c r="P153" s="20">
        <f t="shared" si="21"/>
        <v>42521</v>
      </c>
      <c r="Q153" s="45">
        <f>'SC (Gross)'!Q153</f>
        <v>3.1514773767554174</v>
      </c>
      <c r="R153" s="46">
        <f t="shared" si="20"/>
        <v>2963791.3666380635</v>
      </c>
      <c r="S153" s="18"/>
      <c r="T153" s="131"/>
      <c r="U153" s="39"/>
      <c r="V153" s="36">
        <f t="shared" ref="V153:V162" si="26">IFERROR(AA153-W153,"-")</f>
        <v>0.14658321747765424</v>
      </c>
      <c r="W153" s="107">
        <f>'SC (Gross)'!W153</f>
        <v>2.3833167825223458</v>
      </c>
      <c r="X153" s="108">
        <f>'SC (Gross)'!X153</f>
        <v>11273788.789999999</v>
      </c>
      <c r="Y153" s="107">
        <v>2.5314999999999999</v>
      </c>
      <c r="Z153" s="108">
        <f>'SC (Gross)'!Z153</f>
        <v>27072405.32</v>
      </c>
      <c r="AA153" s="110">
        <f t="shared" si="24"/>
        <v>2.5299</v>
      </c>
      <c r="AB153" s="111">
        <f t="shared" si="23"/>
        <v>38346194.109999999</v>
      </c>
      <c r="AC153" s="132">
        <f t="shared" si="22"/>
        <v>42521</v>
      </c>
      <c r="AD153" s="1">
        <v>2.6200000000000001E-2</v>
      </c>
      <c r="AE153">
        <v>2.69</v>
      </c>
      <c r="AF153" s="61"/>
    </row>
    <row r="154" spans="1:32" x14ac:dyDescent="0.25">
      <c r="A154" s="21">
        <v>42551</v>
      </c>
      <c r="B154" s="24">
        <f t="shared" si="17"/>
        <v>138</v>
      </c>
      <c r="C154" s="97" t="s">
        <v>108</v>
      </c>
      <c r="D154" s="84">
        <f t="shared" si="25"/>
        <v>2.5017</v>
      </c>
      <c r="E154" s="47">
        <f t="shared" si="18"/>
        <v>3793245.2395030246</v>
      </c>
      <c r="G154" s="131">
        <f>(E154/E151-1)*100</f>
        <v>6.1591864644775507</v>
      </c>
      <c r="H154" s="49"/>
      <c r="I154" s="39"/>
      <c r="J154" s="20">
        <f t="shared" si="16"/>
        <v>42551</v>
      </c>
      <c r="K154" s="27">
        <f>'SC (Gross)'!K154</f>
        <v>-6.3906032296119186E-2</v>
      </c>
      <c r="L154" s="46">
        <f t="shared" si="19"/>
        <v>2059922.5116121315</v>
      </c>
      <c r="M154" s="18"/>
      <c r="N154" s="131">
        <f>(L154/L151-1)*100</f>
        <v>3.7903048388425065</v>
      </c>
      <c r="O154" s="39"/>
      <c r="P154" s="20">
        <f t="shared" si="21"/>
        <v>42551</v>
      </c>
      <c r="Q154" s="45">
        <f>'SC (Gross)'!Q154</f>
        <v>2.3200337367901036</v>
      </c>
      <c r="R154" s="46">
        <f t="shared" si="20"/>
        <v>3032552.326232139</v>
      </c>
      <c r="S154" s="18"/>
      <c r="T154" s="131">
        <f>(R154/R151-1)*100</f>
        <v>6.2086763360773789</v>
      </c>
      <c r="U154" s="39"/>
      <c r="V154" s="36">
        <f t="shared" si="26"/>
        <v>0.36784936954414293</v>
      </c>
      <c r="W154" s="107">
        <f>'SC (Gross)'!W154</f>
        <v>2.1338506304558571</v>
      </c>
      <c r="X154" s="108">
        <f>'SC (Gross)'!X154</f>
        <v>11434375</v>
      </c>
      <c r="Y154" s="107">
        <v>2.6549</v>
      </c>
      <c r="Z154" s="108">
        <f>'SC (Gross)'!Z154</f>
        <v>27793503.079999998</v>
      </c>
      <c r="AA154" s="110">
        <f t="shared" si="24"/>
        <v>2.5017</v>
      </c>
      <c r="AB154" s="111">
        <f t="shared" si="23"/>
        <v>39227878.079999998</v>
      </c>
      <c r="AC154" s="132">
        <f t="shared" si="22"/>
        <v>42551</v>
      </c>
      <c r="AD154" s="1">
        <v>2.3799999999999998E-2</v>
      </c>
      <c r="AE154">
        <v>2.74</v>
      </c>
      <c r="AF154" s="61"/>
    </row>
    <row r="155" spans="1:32" x14ac:dyDescent="0.25">
      <c r="A155" s="21">
        <v>42582</v>
      </c>
      <c r="B155" s="24">
        <f t="shared" si="17"/>
        <v>139</v>
      </c>
      <c r="C155" s="97" t="s">
        <v>108</v>
      </c>
      <c r="D155" s="84">
        <f t="shared" si="25"/>
        <v>2.8793000000000002</v>
      </c>
      <c r="E155" s="47">
        <f t="shared" si="18"/>
        <v>3902464.1496840352</v>
      </c>
      <c r="F155" s="104"/>
      <c r="G155" s="139"/>
      <c r="H155" s="49"/>
      <c r="I155" s="39"/>
      <c r="J155" s="20">
        <f t="shared" si="16"/>
        <v>42582</v>
      </c>
      <c r="K155" s="27">
        <f>'SC (Gross)'!K155</f>
        <v>5.9706867954982137</v>
      </c>
      <c r="L155" s="46">
        <f t="shared" si="19"/>
        <v>2182914.0330104521</v>
      </c>
      <c r="M155" s="104"/>
      <c r="N155" s="106"/>
      <c r="O155" s="39"/>
      <c r="P155" s="20">
        <f t="shared" si="21"/>
        <v>42582</v>
      </c>
      <c r="Q155" s="45">
        <f>'SC (Gross)'!Q155</f>
        <v>3.4202124714725923</v>
      </c>
      <c r="R155" s="46">
        <f t="shared" si="20"/>
        <v>3136272.0590978628</v>
      </c>
      <c r="S155" s="104"/>
      <c r="T155" s="106"/>
      <c r="U155" s="39"/>
      <c r="V155" s="36">
        <f t="shared" si="26"/>
        <v>0.12526391263057057</v>
      </c>
      <c r="W155" s="107">
        <f>'SC (Gross)'!W155</f>
        <v>2.7540360873694296</v>
      </c>
      <c r="X155" s="108">
        <f>'SC (Gross)'!X155</f>
        <v>11915017</v>
      </c>
      <c r="Y155" s="107">
        <v>2.9309000000000003</v>
      </c>
      <c r="Z155" s="108">
        <f>'SC (Gross)'!Z155</f>
        <v>28608107.93</v>
      </c>
      <c r="AA155" s="110">
        <f t="shared" si="24"/>
        <v>2.8793000000000002</v>
      </c>
      <c r="AB155" s="111">
        <f t="shared" si="23"/>
        <v>40523124.93</v>
      </c>
      <c r="AC155" s="132">
        <f t="shared" si="22"/>
        <v>42582</v>
      </c>
      <c r="AD155" s="1">
        <v>3.0800000000000001E-2</v>
      </c>
      <c r="AE155">
        <v>3.02</v>
      </c>
      <c r="AF155" s="61"/>
    </row>
    <row r="156" spans="1:32" x14ac:dyDescent="0.25">
      <c r="A156" s="21">
        <v>42613</v>
      </c>
      <c r="B156" s="24">
        <f t="shared" si="17"/>
        <v>140</v>
      </c>
      <c r="C156" s="97" t="s">
        <v>108</v>
      </c>
      <c r="D156" s="84">
        <f t="shared" si="25"/>
        <v>0.15640000000000001</v>
      </c>
      <c r="E156" s="47">
        <f t="shared" si="18"/>
        <v>3908567.6036141412</v>
      </c>
      <c r="F156" s="104"/>
      <c r="G156" s="139"/>
      <c r="H156" s="49"/>
      <c r="I156" s="39"/>
      <c r="J156" s="20">
        <f t="shared" si="16"/>
        <v>42613</v>
      </c>
      <c r="K156" s="27">
        <f>'SC (Gross)'!K156</f>
        <v>1.7677409666168633</v>
      </c>
      <c r="L156" s="46">
        <f t="shared" si="19"/>
        <v>2221502.2986380062</v>
      </c>
      <c r="M156" s="104"/>
      <c r="N156" s="106"/>
      <c r="O156" s="39"/>
      <c r="P156" s="20">
        <f t="shared" si="21"/>
        <v>42613</v>
      </c>
      <c r="Q156" s="45">
        <f>'SC (Gross)'!Q156</f>
        <v>2.0068640221742422</v>
      </c>
      <c r="R156" s="46">
        <f t="shared" si="20"/>
        <v>3199212.774689401</v>
      </c>
      <c r="S156" s="104"/>
      <c r="T156" s="106"/>
      <c r="U156" s="39"/>
      <c r="V156" s="36">
        <f t="shared" si="26"/>
        <v>6.3978558225510296E-2</v>
      </c>
      <c r="W156" s="107">
        <f>'SC (Gross)'!W156</f>
        <v>9.2421441774489715E-2</v>
      </c>
      <c r="X156" s="108">
        <f>'SC (Gross)'!X156</f>
        <v>12096875</v>
      </c>
      <c r="Y156" s="107">
        <v>0.183</v>
      </c>
      <c r="Z156" s="108">
        <f>'SC (Gross)'!Z156</f>
        <v>28660461.610000003</v>
      </c>
      <c r="AA156" s="110">
        <f t="shared" si="24"/>
        <v>0.15640000000000001</v>
      </c>
      <c r="AB156" s="111">
        <f t="shared" si="23"/>
        <v>40757336.609999999</v>
      </c>
      <c r="AC156" s="132">
        <f t="shared" si="22"/>
        <v>42613</v>
      </c>
      <c r="AD156" s="1">
        <v>3.2000000000000002E-3</v>
      </c>
      <c r="AE156">
        <v>0.26</v>
      </c>
      <c r="AF156" s="61"/>
    </row>
    <row r="157" spans="1:32" x14ac:dyDescent="0.25">
      <c r="A157" s="21">
        <v>42643</v>
      </c>
      <c r="B157" s="24">
        <f t="shared" si="17"/>
        <v>141</v>
      </c>
      <c r="C157" s="97" t="s">
        <v>108</v>
      </c>
      <c r="D157" s="84">
        <f t="shared" si="25"/>
        <v>0.48980000000000001</v>
      </c>
      <c r="E157" s="47">
        <f t="shared" si="18"/>
        <v>3927711.7677366431</v>
      </c>
      <c r="F157" s="104"/>
      <c r="G157" s="106">
        <f>(E157/E$154-1)*100</f>
        <v>3.5448941405970213</v>
      </c>
      <c r="H157" s="49"/>
      <c r="I157" s="39"/>
      <c r="J157" s="20">
        <f t="shared" si="16"/>
        <v>42643</v>
      </c>
      <c r="K157" s="27">
        <f>'SC (Gross)'!K157</f>
        <v>1.113824774447457</v>
      </c>
      <c r="L157" s="46">
        <f t="shared" si="19"/>
        <v>2246245.9416051558</v>
      </c>
      <c r="M157" s="104"/>
      <c r="N157" s="106">
        <f>(L157/L$154-1)*100</f>
        <v>9.045166939177939</v>
      </c>
      <c r="O157" s="39"/>
      <c r="P157" s="20">
        <f t="shared" si="21"/>
        <v>42643</v>
      </c>
      <c r="Q157" s="45">
        <f>'SC (Gross)'!Q157</f>
        <v>-0.33353353119879808</v>
      </c>
      <c r="R157" s="46">
        <f t="shared" si="20"/>
        <v>3188542.3273514165</v>
      </c>
      <c r="S157" s="104"/>
      <c r="T157" s="106">
        <f>(R157/R$154-1)*100</f>
        <v>5.1438519220240675</v>
      </c>
      <c r="U157" s="39"/>
      <c r="V157" s="36">
        <f t="shared" si="26"/>
        <v>0.21279168975069845</v>
      </c>
      <c r="W157" s="107">
        <f>'SC (Gross)'!W157</f>
        <v>0.27700831024930156</v>
      </c>
      <c r="X157" s="108">
        <f>'SC (Gross)'!X157</f>
        <v>12437809</v>
      </c>
      <c r="Y157" s="107">
        <v>0.5796</v>
      </c>
      <c r="Z157" s="108">
        <f>'SC (Gross)'!Z157</f>
        <v>28826566.949999999</v>
      </c>
      <c r="AA157" s="110">
        <f t="shared" si="24"/>
        <v>0.48980000000000001</v>
      </c>
      <c r="AB157" s="111">
        <f t="shared" si="23"/>
        <v>41264375.950000003</v>
      </c>
      <c r="AC157" s="132">
        <f t="shared" si="22"/>
        <v>42643</v>
      </c>
      <c r="AD157" s="1">
        <v>4.4000000000000003E-3</v>
      </c>
      <c r="AE157">
        <v>0.57999999999999996</v>
      </c>
      <c r="AF157" s="61"/>
    </row>
    <row r="158" spans="1:32" x14ac:dyDescent="0.25">
      <c r="A158" s="21">
        <v>42674</v>
      </c>
      <c r="B158" s="24">
        <f t="shared" si="17"/>
        <v>142</v>
      </c>
      <c r="C158" s="97" t="s">
        <v>108</v>
      </c>
      <c r="D158" s="84">
        <f t="shared" si="25"/>
        <v>-1.2514000000000001</v>
      </c>
      <c r="E158" s="47">
        <f t="shared" si="18"/>
        <v>3878560.3826751867</v>
      </c>
      <c r="H158" s="49"/>
      <c r="I158" s="39"/>
      <c r="J158" s="20">
        <f t="shared" si="16"/>
        <v>42674</v>
      </c>
      <c r="K158" s="27">
        <f>'SC (Gross)'!K158</f>
        <v>-4.7540048686390586</v>
      </c>
      <c r="L158" s="46">
        <f t="shared" si="19"/>
        <v>2139459.3001796394</v>
      </c>
      <c r="M158" s="18"/>
      <c r="N158" s="109"/>
      <c r="O158" s="39"/>
      <c r="P158" s="20">
        <f t="shared" si="21"/>
        <v>42674</v>
      </c>
      <c r="Q158" s="45">
        <f>'SC (Gross)'!Q158</f>
        <v>-2.0254497586660754</v>
      </c>
      <c r="R158" s="46">
        <f t="shared" si="20"/>
        <v>3123960.0044771116</v>
      </c>
      <c r="S158" s="18"/>
      <c r="T158" s="109"/>
      <c r="U158" s="39"/>
      <c r="V158" s="36">
        <f t="shared" si="26"/>
        <v>-5.434659300185074E-2</v>
      </c>
      <c r="W158" s="107">
        <f>'SC (Gross)'!W158</f>
        <v>-1.1970534069981493</v>
      </c>
      <c r="X158" s="108">
        <f>'SC (Gross)'!X158</f>
        <v>12311759</v>
      </c>
      <c r="Y158" s="107">
        <v>-1.2748999999999999</v>
      </c>
      <c r="Z158" s="108">
        <f>'SC (Gross)'!Z158</f>
        <v>28459065.789999999</v>
      </c>
      <c r="AA158" s="110">
        <f t="shared" si="24"/>
        <v>-1.2514000000000001</v>
      </c>
      <c r="AB158" s="111">
        <f t="shared" si="23"/>
        <v>40770824.789999999</v>
      </c>
      <c r="AC158" s="132">
        <f t="shared" si="22"/>
        <v>42674</v>
      </c>
      <c r="AD158" s="1">
        <v>-1.0800000000000001E-2</v>
      </c>
      <c r="AE158">
        <v>-1.35</v>
      </c>
      <c r="AF158" s="61"/>
    </row>
    <row r="159" spans="1:32" x14ac:dyDescent="0.25">
      <c r="A159" s="21">
        <v>42704</v>
      </c>
      <c r="B159" s="24">
        <f t="shared" si="17"/>
        <v>143</v>
      </c>
      <c r="C159" s="97" t="s">
        <v>108</v>
      </c>
      <c r="D159" s="84">
        <f t="shared" si="25"/>
        <v>8.6988000000000003</v>
      </c>
      <c r="E159" s="47">
        <f t="shared" si="18"/>
        <v>4215948.5932433363</v>
      </c>
      <c r="F159" s="104"/>
      <c r="G159" s="139"/>
      <c r="H159" s="49"/>
      <c r="I159" s="39"/>
      <c r="J159" s="20">
        <f t="shared" si="16"/>
        <v>42704</v>
      </c>
      <c r="K159" s="27">
        <f>'SC (Gross)'!K159</f>
        <v>11.137505370213507</v>
      </c>
      <c r="L159" s="46">
        <f t="shared" si="19"/>
        <v>2377741.6946306792</v>
      </c>
      <c r="M159" s="104"/>
      <c r="N159" s="106"/>
      <c r="O159" s="39"/>
      <c r="P159" s="20">
        <f t="shared" si="21"/>
        <v>42704</v>
      </c>
      <c r="Q159" s="45">
        <f>'SC (Gross)'!Q159</f>
        <v>10.598759128882188</v>
      </c>
      <c r="R159" s="46">
        <f t="shared" si="20"/>
        <v>3455061.0006342577</v>
      </c>
      <c r="S159" s="104"/>
      <c r="T159" s="106"/>
      <c r="U159" s="39"/>
      <c r="V159" s="36">
        <f t="shared" si="26"/>
        <v>0.21790531220876019</v>
      </c>
      <c r="W159" s="107">
        <f>'SC (Gross)'!W159</f>
        <v>8.4808946877912401</v>
      </c>
      <c r="X159" s="108">
        <f>'SC (Gross)'!X159</f>
        <v>13443511</v>
      </c>
      <c r="Y159" s="107">
        <v>8.7929999999999993</v>
      </c>
      <c r="Z159" s="108">
        <f>'SC (Gross)'!Z159</f>
        <v>30961473.949999999</v>
      </c>
      <c r="AA159" s="110">
        <f t="shared" si="24"/>
        <v>8.6988000000000003</v>
      </c>
      <c r="AB159" s="111">
        <f t="shared" si="23"/>
        <v>44404984.950000003</v>
      </c>
      <c r="AC159" s="132"/>
      <c r="AE159">
        <v>9.18</v>
      </c>
      <c r="AF159" s="61"/>
    </row>
    <row r="160" spans="1:32" x14ac:dyDescent="0.25">
      <c r="A160" s="21">
        <v>42735</v>
      </c>
      <c r="B160" s="24">
        <f t="shared" si="17"/>
        <v>144</v>
      </c>
      <c r="C160" s="97" t="s">
        <v>108</v>
      </c>
      <c r="D160" s="84">
        <f t="shared" si="25"/>
        <v>5.0644</v>
      </c>
      <c r="E160" s="47">
        <f t="shared" si="18"/>
        <v>4429461.0937995519</v>
      </c>
      <c r="F160" s="112">
        <f>(E160/E$148-1)*100</f>
        <v>31.70771535028496</v>
      </c>
      <c r="G160" s="106">
        <f>(E160/E$157-1)*100</f>
        <v>12.774596399471626</v>
      </c>
      <c r="H160" s="49"/>
      <c r="I160" s="39"/>
      <c r="J160" s="20">
        <f t="shared" si="16"/>
        <v>42735</v>
      </c>
      <c r="K160" s="27">
        <f>'SC (Gross)'!K160</f>
        <v>2.8005428284200691</v>
      </c>
      <c r="L160" s="46">
        <f t="shared" si="19"/>
        <v>2444331.3691380126</v>
      </c>
      <c r="M160" s="112">
        <f>(L160/L$148-1)*100</f>
        <v>21.278189975207205</v>
      </c>
      <c r="N160" s="106">
        <f>(L160/L$157-1)*100</f>
        <v>8.8185102024627824</v>
      </c>
      <c r="O160" s="39"/>
      <c r="P160" s="20">
        <f t="shared" si="21"/>
        <v>42735</v>
      </c>
      <c r="Q160" s="45">
        <f>'SC (Gross)'!Q160</f>
        <v>4.4813511003606683</v>
      </c>
      <c r="R160" s="46">
        <f t="shared" si="20"/>
        <v>3609894.4148043133</v>
      </c>
      <c r="S160" s="112">
        <f>(R160/R$148-1)*100</f>
        <v>31.722358739083379</v>
      </c>
      <c r="T160" s="106">
        <f>(R160/R$157-1)*100</f>
        <v>13.214567792891607</v>
      </c>
      <c r="U160" s="39"/>
      <c r="V160" s="36">
        <f t="shared" si="26"/>
        <v>9.2295000000000016E-2</v>
      </c>
      <c r="W160" s="107">
        <f>'SC (Gross)'!W160</f>
        <v>4.972105</v>
      </c>
      <c r="X160" s="108">
        <f>'SC (Gross)'!X160</f>
        <v>14332581</v>
      </c>
      <c r="Y160" s="107">
        <v>5.1044999999999998</v>
      </c>
      <c r="Z160" s="108">
        <f>'SC (Gross)'!Z160</f>
        <v>32541902.489999998</v>
      </c>
      <c r="AA160" s="110">
        <f t="shared" si="24"/>
        <v>5.0644</v>
      </c>
      <c r="AB160" s="111">
        <f t="shared" si="23"/>
        <v>46874483.489999995</v>
      </c>
      <c r="AC160" s="134"/>
      <c r="AE160" s="1"/>
    </row>
    <row r="161" spans="1:30" x14ac:dyDescent="0.25">
      <c r="A161" s="21">
        <v>42766</v>
      </c>
      <c r="B161" s="24">
        <f t="shared" si="17"/>
        <v>145</v>
      </c>
      <c r="C161" s="97" t="s">
        <v>108</v>
      </c>
      <c r="D161" s="84">
        <f t="shared" si="25"/>
        <v>-1.9701</v>
      </c>
      <c r="E161" s="47">
        <f t="shared" si="18"/>
        <v>4342196.2807906065</v>
      </c>
      <c r="H161" s="49"/>
      <c r="I161" s="39"/>
      <c r="J161" s="20">
        <f t="shared" si="16"/>
        <v>42766</v>
      </c>
      <c r="K161" s="27">
        <f>'SC (Gross)'!K161</f>
        <v>0.39328651542358017</v>
      </c>
      <c r="L161" s="46">
        <f t="shared" si="19"/>
        <v>2453944.5948051009</v>
      </c>
      <c r="M161" s="18"/>
      <c r="N161" s="10"/>
      <c r="O161" s="39"/>
      <c r="P161" s="20">
        <f t="shared" si="21"/>
        <v>42766</v>
      </c>
      <c r="Q161" s="45">
        <f>'SC (Gross)'!Q161</f>
        <v>-1.8593162181156617</v>
      </c>
      <c r="R161" s="46">
        <f t="shared" si="20"/>
        <v>3542775.0624930053</v>
      </c>
      <c r="S161" s="18"/>
      <c r="T161" s="10"/>
      <c r="U161" s="39"/>
      <c r="V161" s="36">
        <f t="shared" si="26"/>
        <v>1.9624486442086919E-3</v>
      </c>
      <c r="W161" s="107">
        <f>'SC (Gross)'!W161</f>
        <v>-1.9720624486442087</v>
      </c>
      <c r="X161" s="108">
        <f>'SC (Gross)'!X161</f>
        <v>14046649.449999999</v>
      </c>
      <c r="Y161" s="107">
        <v>-1.9692000000000001</v>
      </c>
      <c r="Z161" s="108">
        <f>'SC (Gross)'!Z161</f>
        <v>31901098.07</v>
      </c>
      <c r="AA161" s="110">
        <f t="shared" si="24"/>
        <v>-1.9701</v>
      </c>
      <c r="AB161" s="111">
        <f t="shared" si="23"/>
        <v>45947747.519999996</v>
      </c>
    </row>
    <row r="162" spans="1:30" x14ac:dyDescent="0.25">
      <c r="A162" s="21">
        <v>42794</v>
      </c>
      <c r="B162" s="24">
        <f t="shared" si="17"/>
        <v>146</v>
      </c>
      <c r="C162" s="97" t="s">
        <v>108</v>
      </c>
      <c r="D162" s="84">
        <f t="shared" si="25"/>
        <v>0.41699999999999998</v>
      </c>
      <c r="E162" s="47">
        <f t="shared" si="18"/>
        <v>4360303.2392815035</v>
      </c>
      <c r="H162" s="49"/>
      <c r="I162" s="39"/>
      <c r="J162" s="20">
        <f t="shared" si="16"/>
        <v>42794</v>
      </c>
      <c r="K162" s="27">
        <f>'SC (Gross)'!K162</f>
        <v>1.925907515637346</v>
      </c>
      <c r="L162" s="46">
        <f t="shared" si="19"/>
        <v>2501205.2981860288</v>
      </c>
      <c r="M162" s="18"/>
      <c r="N162" s="10"/>
      <c r="O162" s="39"/>
      <c r="P162" s="20">
        <f t="shared" si="21"/>
        <v>42794</v>
      </c>
      <c r="Q162" s="45">
        <f>'SC (Gross)'!Q162</f>
        <v>1.3658813989489889</v>
      </c>
      <c r="R162" s="46">
        <f t="shared" si="20"/>
        <v>3591165.1680782009</v>
      </c>
      <c r="S162" s="18"/>
      <c r="T162" s="10"/>
      <c r="U162" s="39"/>
      <c r="V162" s="36">
        <f t="shared" si="26"/>
        <v>-2.1114836546581306E-3</v>
      </c>
      <c r="W162" s="107">
        <f>'SC (Gross)'!W162</f>
        <v>0.41911148365465811</v>
      </c>
      <c r="X162" s="108">
        <f>'SC (Gross)'!X162</f>
        <v>14165872</v>
      </c>
      <c r="Y162" s="107">
        <v>0.41599999999999998</v>
      </c>
      <c r="Z162" s="108">
        <f>'SC (Gross)'!Z162</f>
        <v>32033800.360000003</v>
      </c>
      <c r="AA162" s="110">
        <f t="shared" si="24"/>
        <v>0.41699999999999998</v>
      </c>
      <c r="AB162" s="111">
        <f t="shared" si="23"/>
        <v>46199672.359999999</v>
      </c>
    </row>
    <row r="163" spans="1:30" x14ac:dyDescent="0.25">
      <c r="A163" s="21">
        <v>42825</v>
      </c>
      <c r="B163" s="24">
        <f t="shared" si="17"/>
        <v>147</v>
      </c>
      <c r="C163" s="97" t="s">
        <v>108</v>
      </c>
      <c r="D163" s="84">
        <f t="shared" si="25"/>
        <v>1.1900000000000001E-2</v>
      </c>
      <c r="E163" s="47">
        <f t="shared" si="18"/>
        <v>4360822.1153669776</v>
      </c>
      <c r="G163" s="106">
        <f>(E163/E$160-1)*100</f>
        <v>-1.5496011135227361</v>
      </c>
      <c r="H163" s="49"/>
      <c r="I163" s="39"/>
      <c r="J163" s="20">
        <f t="shared" si="16"/>
        <v>42825</v>
      </c>
      <c r="K163" s="27">
        <f>'SC (Gross)'!K163</f>
        <v>0.13084916475280836</v>
      </c>
      <c r="L163" s="46">
        <f t="shared" si="19"/>
        <v>2504478.1044274583</v>
      </c>
      <c r="M163" s="18"/>
      <c r="N163" s="106">
        <f>(L163/L$160-1)*100</f>
        <v>2.4606620873444118</v>
      </c>
      <c r="O163" s="39"/>
      <c r="P163" s="20">
        <f t="shared" si="21"/>
        <v>42825</v>
      </c>
      <c r="Q163" s="45">
        <f>'SC (Gross)'!Q163</f>
        <v>-0.52257568516632791</v>
      </c>
      <c r="R163" s="46">
        <f t="shared" si="20"/>
        <v>3572398.6120956619</v>
      </c>
      <c r="S163" s="18"/>
      <c r="T163" s="106">
        <f>(R163/R$160-1)*100</f>
        <v>-1.0386952747116318</v>
      </c>
      <c r="U163" s="39"/>
      <c r="W163" s="107">
        <f>'SC (Gross)'!W163</f>
        <v>8.3472454090148474E-2</v>
      </c>
      <c r="X163" s="108">
        <f>'SC (Gross)'!X163</f>
        <v>14155179.27</v>
      </c>
      <c r="Y163" s="107">
        <v>-1.9799999999999998E-2</v>
      </c>
      <c r="Z163" s="108">
        <f>'SC (Gross)'!Z163</f>
        <v>32027460.469999999</v>
      </c>
      <c r="AA163" s="110">
        <f t="shared" si="24"/>
        <v>1.1900000000000001E-2</v>
      </c>
      <c r="AB163" s="111">
        <f t="shared" si="23"/>
        <v>46182639.739999995</v>
      </c>
    </row>
    <row r="164" spans="1:30" x14ac:dyDescent="0.25">
      <c r="A164" s="21">
        <v>42855</v>
      </c>
      <c r="B164" s="24">
        <f t="shared" si="17"/>
        <v>148</v>
      </c>
      <c r="C164" s="97" t="s">
        <v>108</v>
      </c>
      <c r="D164" s="84">
        <f t="shared" si="25"/>
        <v>3.2252999999999998</v>
      </c>
      <c r="E164" s="47">
        <f t="shared" si="18"/>
        <v>4501471.7110539088</v>
      </c>
      <c r="H164" s="49"/>
      <c r="I164" s="39"/>
      <c r="J164" s="20">
        <f t="shared" si="16"/>
        <v>42855</v>
      </c>
      <c r="K164" s="27">
        <f>'SC (Gross)'!K164</f>
        <v>1.0966058849237992</v>
      </c>
      <c r="L164" s="46">
        <f t="shared" si="19"/>
        <v>2531942.358707238</v>
      </c>
      <c r="M164" s="18"/>
      <c r="N164" s="10"/>
      <c r="O164" s="39"/>
      <c r="P164" s="20">
        <f t="shared" si="21"/>
        <v>42855</v>
      </c>
      <c r="Q164" s="45">
        <f>'SC (Gross)'!Q164</f>
        <v>1.3858863092813634</v>
      </c>
      <c r="R164" s="46">
        <f t="shared" si="20"/>
        <v>3621907.9953736532</v>
      </c>
      <c r="S164" s="18"/>
      <c r="T164" s="10"/>
      <c r="U164" s="39"/>
      <c r="W164" s="107">
        <f>'SC (Gross)'!W164</f>
        <v>3.1693077564637115</v>
      </c>
      <c r="X164" s="108">
        <f>'SC (Gross)'!X164</f>
        <v>14002520.23</v>
      </c>
      <c r="Y164" s="107">
        <v>3.2501000000000002</v>
      </c>
      <c r="Z164" s="108">
        <f>'SC (Gross)'!Z164</f>
        <v>33068371.559999999</v>
      </c>
      <c r="AA164" s="110">
        <f t="shared" si="24"/>
        <v>3.2252999999999998</v>
      </c>
      <c r="AB164" s="111">
        <f t="shared" si="23"/>
        <v>47070891.789999999</v>
      </c>
    </row>
    <row r="165" spans="1:30" x14ac:dyDescent="0.25">
      <c r="A165" s="21">
        <v>42886</v>
      </c>
      <c r="B165" s="24">
        <f t="shared" si="17"/>
        <v>149</v>
      </c>
      <c r="C165" s="97" t="s">
        <v>108</v>
      </c>
      <c r="D165" s="84">
        <f t="shared" si="25"/>
        <v>-0.1555</v>
      </c>
      <c r="E165" s="47">
        <f t="shared" si="18"/>
        <v>4494471.9225432202</v>
      </c>
      <c r="H165" s="49"/>
      <c r="I165" s="39"/>
      <c r="J165" s="20">
        <f t="shared" si="16"/>
        <v>42886</v>
      </c>
      <c r="K165" s="27">
        <f>'SC (Gross)'!K165</f>
        <v>-2.0343905575018346</v>
      </c>
      <c r="L165" s="46">
        <f t="shared" si="19"/>
        <v>2480432.7624403089</v>
      </c>
      <c r="M165" s="18"/>
      <c r="N165" s="10"/>
      <c r="O165" s="39"/>
      <c r="P165" s="20">
        <f t="shared" si="21"/>
        <v>42886</v>
      </c>
      <c r="Q165" s="45">
        <f>'SC (Gross)'!Q165</f>
        <v>-1.2299388120892418</v>
      </c>
      <c r="R165" s="46">
        <f t="shared" si="20"/>
        <v>3577360.7432003892</v>
      </c>
      <c r="S165" s="18"/>
      <c r="T165" s="10"/>
      <c r="U165" s="39"/>
      <c r="W165" s="107">
        <f>'SC (Gross)'!W165</f>
        <v>-0.24252223120452193</v>
      </c>
      <c r="X165" s="108">
        <f>'SC (Gross)'!X165</f>
        <v>16286885.68</v>
      </c>
      <c r="Y165" s="107">
        <v>-0.11869999999999999</v>
      </c>
      <c r="Z165" s="108">
        <f>'SC (Gross)'!Z165</f>
        <v>33029125.079999998</v>
      </c>
      <c r="AA165" s="110">
        <f t="shared" si="24"/>
        <v>-0.1555</v>
      </c>
      <c r="AB165" s="111">
        <f t="shared" si="23"/>
        <v>49316010.759999998</v>
      </c>
    </row>
    <row r="166" spans="1:30" x14ac:dyDescent="0.25">
      <c r="A166" s="21">
        <v>42916</v>
      </c>
      <c r="B166" s="24">
        <f t="shared" si="17"/>
        <v>150</v>
      </c>
      <c r="C166" s="97" t="s">
        <v>108</v>
      </c>
      <c r="D166" s="84">
        <f t="shared" si="25"/>
        <v>1.3897999999999999</v>
      </c>
      <c r="E166" s="47">
        <f t="shared" si="18"/>
        <v>4556936.093322726</v>
      </c>
      <c r="F166" s="112"/>
      <c r="G166" s="106">
        <f>(E166/E$163-1)*100</f>
        <v>4.4971790356838515</v>
      </c>
      <c r="H166" s="49"/>
      <c r="I166" s="39"/>
      <c r="J166" s="20">
        <f t="shared" si="16"/>
        <v>42916</v>
      </c>
      <c r="K166" s="27">
        <f>'SC (Gross)'!K166</f>
        <v>3.4550215532803126</v>
      </c>
      <c r="L166" s="46">
        <f t="shared" si="19"/>
        <v>2566132.2489972478</v>
      </c>
      <c r="M166" s="112"/>
      <c r="N166" s="106">
        <f>(L166/L$163-1)*100</f>
        <v>2.4617561822878997</v>
      </c>
      <c r="O166" s="39"/>
      <c r="P166" s="20">
        <f t="shared" si="21"/>
        <v>42916</v>
      </c>
      <c r="Q166" s="45">
        <f>'SC (Gross)'!Q166</f>
        <v>2.2652371615702216</v>
      </c>
      <c r="R166" s="46">
        <f t="shared" si="20"/>
        <v>3658396.448158789</v>
      </c>
      <c r="S166" s="112"/>
      <c r="T166" s="106">
        <f>(R166/R$163-1)*100</f>
        <v>2.407285563597239</v>
      </c>
      <c r="U166" s="39"/>
      <c r="W166" s="107">
        <f>'SC (Gross)'!W166</f>
        <v>1.1345218800648345</v>
      </c>
      <c r="X166" s="108">
        <f>'SC (Gross)'!X166</f>
        <v>16585055.67</v>
      </c>
      <c r="Y166" s="107">
        <v>1.5157487000000001</v>
      </c>
      <c r="Z166" s="108">
        <f>'SC (Gross)'!Z166</f>
        <v>33529763.619033281</v>
      </c>
      <c r="AA166" s="110">
        <f t="shared" si="24"/>
        <v>1.3897999999999999</v>
      </c>
      <c r="AB166" s="111">
        <f t="shared" si="23"/>
        <v>50114819.289033279</v>
      </c>
    </row>
    <row r="167" spans="1:30" x14ac:dyDescent="0.25">
      <c r="A167" s="21">
        <v>42947</v>
      </c>
      <c r="B167" s="24">
        <f t="shared" si="17"/>
        <v>151</v>
      </c>
      <c r="C167" s="97" t="s">
        <v>108</v>
      </c>
      <c r="D167" s="84">
        <f t="shared" si="25"/>
        <v>1.0736000000000001</v>
      </c>
      <c r="E167" s="47">
        <f t="shared" si="18"/>
        <v>4605859.3592206389</v>
      </c>
      <c r="F167" s="112"/>
      <c r="G167" s="106"/>
      <c r="H167" s="49"/>
      <c r="I167" s="39"/>
      <c r="J167" s="20">
        <f t="shared" si="16"/>
        <v>42947</v>
      </c>
      <c r="K167" s="27">
        <f>'SC (Gross)'!K167</f>
        <v>0.74206765933175201</v>
      </c>
      <c r="L167" s="46">
        <f t="shared" si="19"/>
        <v>2585174.6865127389</v>
      </c>
      <c r="M167" s="112"/>
      <c r="N167" s="10"/>
      <c r="O167" s="39"/>
      <c r="P167" s="20">
        <f t="shared" si="21"/>
        <v>42947</v>
      </c>
      <c r="Q167" s="45">
        <f>'SC (Gross)'!Q167</f>
        <v>1.3553479644284978</v>
      </c>
      <c r="R167" s="46">
        <f t="shared" si="20"/>
        <v>3707980.4499496338</v>
      </c>
      <c r="S167" s="112"/>
      <c r="T167" s="10"/>
      <c r="U167" s="39"/>
      <c r="W167" s="107">
        <f>'SC (Gross)'!W167</f>
        <v>1.0416666666666587</v>
      </c>
      <c r="X167" s="108">
        <f>'SC (Gross)'!X167</f>
        <v>16486121.140000001</v>
      </c>
      <c r="Y167" s="107">
        <v>1.0894699999999999</v>
      </c>
      <c r="Z167" s="108">
        <f>'SC (Gross)'!Z167</f>
        <v>33895061.8997925</v>
      </c>
      <c r="AA167" s="110">
        <f t="shared" si="24"/>
        <v>1.0736000000000001</v>
      </c>
      <c r="AB167" s="111">
        <f t="shared" si="23"/>
        <v>50381183.0397925</v>
      </c>
    </row>
    <row r="168" spans="1:30" x14ac:dyDescent="0.25">
      <c r="A168" s="21">
        <v>42978</v>
      </c>
      <c r="B168" s="24">
        <f t="shared" si="17"/>
        <v>152</v>
      </c>
      <c r="C168" s="97" t="s">
        <v>108</v>
      </c>
      <c r="D168" s="84">
        <f t="shared" si="25"/>
        <v>-1.7353000000000001</v>
      </c>
      <c r="E168" s="47">
        <f t="shared" si="18"/>
        <v>4525933.8817600831</v>
      </c>
      <c r="F168" s="112"/>
      <c r="G168" s="106"/>
      <c r="H168" s="49"/>
      <c r="I168" s="39"/>
      <c r="J168" s="20">
        <f t="shared" si="16"/>
        <v>42978</v>
      </c>
      <c r="K168" s="27">
        <f>'SC (Gross)'!K168</f>
        <v>-1.2722891480434002</v>
      </c>
      <c r="L168" s="46">
        <f t="shared" si="19"/>
        <v>2552283.7895182725</v>
      </c>
      <c r="M168" s="112"/>
      <c r="N168" s="10"/>
      <c r="O168" s="39"/>
      <c r="P168" s="20">
        <f t="shared" si="21"/>
        <v>42978</v>
      </c>
      <c r="Q168" s="45">
        <f>'SC (Gross)'!Q168</f>
        <v>-1.8921366403380855</v>
      </c>
      <c r="R168" s="46">
        <f t="shared" si="20"/>
        <v>3637820.3932395638</v>
      </c>
      <c r="S168" s="112"/>
      <c r="T168" s="10"/>
      <c r="U168" s="39"/>
      <c r="W168" s="107">
        <f>'SC (Gross)'!W168</f>
        <v>-1.7446471054718389</v>
      </c>
      <c r="X168" s="108">
        <f>'SC (Gross)'!X168</f>
        <v>16223831.529999999</v>
      </c>
      <c r="Y168" s="107">
        <v>-1.7308000000000001</v>
      </c>
      <c r="Z168" s="108">
        <f>'SC (Gross)'!Z168</f>
        <v>33308405.922954392</v>
      </c>
      <c r="AA168" s="110">
        <f t="shared" si="24"/>
        <v>-1.7353000000000001</v>
      </c>
      <c r="AB168" s="111">
        <f t="shared" si="23"/>
        <v>49532237.452954389</v>
      </c>
    </row>
    <row r="169" spans="1:30" x14ac:dyDescent="0.25">
      <c r="A169" s="21">
        <v>43008</v>
      </c>
      <c r="B169" s="24">
        <f t="shared" si="17"/>
        <v>153</v>
      </c>
      <c r="C169" s="97" t="s">
        <v>108</v>
      </c>
      <c r="D169" s="84">
        <f t="shared" si="25"/>
        <v>6.0856000000000003</v>
      </c>
      <c r="E169" s="47">
        <f t="shared" si="18"/>
        <v>4801364.1140684746</v>
      </c>
      <c r="F169" s="112"/>
      <c r="G169" s="106">
        <f>(E169/E$166-1)*100</f>
        <v>5.3638676457172352</v>
      </c>
      <c r="H169" s="49"/>
      <c r="I169" s="39"/>
      <c r="J169" s="20">
        <f t="shared" si="16"/>
        <v>43008</v>
      </c>
      <c r="K169" s="27">
        <f>'SC (Gross)'!K169</f>
        <v>6.2398253684003659</v>
      </c>
      <c r="L169" s="46">
        <f t="shared" si="19"/>
        <v>2711541.8408902041</v>
      </c>
      <c r="M169" s="112"/>
      <c r="N169" s="106">
        <f>(L169/L$166-1)*100</f>
        <v>5.6664886211448051</v>
      </c>
      <c r="O169" s="39"/>
      <c r="P169" s="20">
        <f t="shared" si="21"/>
        <v>43008</v>
      </c>
      <c r="Q169" s="45">
        <f>'SC (Gross)'!Q169</f>
        <v>6.4330364239599218</v>
      </c>
      <c r="R169" s="46">
        <f t="shared" si="20"/>
        <v>3871842.7041749069</v>
      </c>
      <c r="S169" s="112"/>
      <c r="T169" s="106">
        <f>(R169/R$166-1)*100</f>
        <v>5.8344211470996221</v>
      </c>
      <c r="U169" s="39"/>
      <c r="W169" s="107">
        <f>'SC (Gross)'!W169</f>
        <v>6.053268765133172</v>
      </c>
      <c r="X169" s="108">
        <f>'SC (Gross)'!X169</f>
        <v>17491909.280000001</v>
      </c>
      <c r="Y169" s="107">
        <v>6.1013000000000002</v>
      </c>
      <c r="Z169" s="108">
        <f>'SC (Gross)'!Z169</f>
        <v>35340663.032586083</v>
      </c>
      <c r="AA169" s="110">
        <f t="shared" si="24"/>
        <v>6.0856000000000003</v>
      </c>
      <c r="AB169" s="111">
        <f t="shared" si="23"/>
        <v>52832572.312586084</v>
      </c>
    </row>
    <row r="170" spans="1:30" x14ac:dyDescent="0.25">
      <c r="A170" s="21">
        <v>43039</v>
      </c>
      <c r="B170" s="24">
        <f t="shared" si="17"/>
        <v>154</v>
      </c>
      <c r="C170" s="97" t="s">
        <v>108</v>
      </c>
      <c r="D170" s="84">
        <f t="shared" si="25"/>
        <v>1.1702999999999999</v>
      </c>
      <c r="E170" s="47">
        <f t="shared" si="18"/>
        <v>4857554.4782954184</v>
      </c>
      <c r="H170" s="49"/>
      <c r="I170" s="39"/>
      <c r="J170" s="20">
        <f t="shared" si="16"/>
        <v>43039</v>
      </c>
      <c r="K170" s="27">
        <f>'SC (Gross)'!K170</f>
        <v>0.85147616539708126</v>
      </c>
      <c r="L170" s="46">
        <f t="shared" si="19"/>
        <v>2734629.9733801535</v>
      </c>
      <c r="M170" s="18"/>
      <c r="N170" s="10"/>
      <c r="O170" s="39"/>
      <c r="P170" s="20">
        <f t="shared" si="21"/>
        <v>43039</v>
      </c>
      <c r="Q170" s="45">
        <f>'SC (Gross)'!Q170</f>
        <v>1.1052545361689032</v>
      </c>
      <c r="R170" s="46">
        <f t="shared" si="20"/>
        <v>3914636.4212961248</v>
      </c>
      <c r="S170" s="18"/>
      <c r="T170" s="10"/>
      <c r="U170" s="39"/>
      <c r="W170" s="107">
        <f>'SC (Gross)'!W170</f>
        <v>0.98934550989344738</v>
      </c>
      <c r="X170" s="108">
        <f>'SC (Gross)'!X170</f>
        <v>19931936.239999998</v>
      </c>
      <c r="Y170" s="107">
        <v>1.2599</v>
      </c>
      <c r="Z170" s="108">
        <f>'SC (Gross)'!Z170</f>
        <v>35785912.951976806</v>
      </c>
      <c r="AA170" s="110">
        <f t="shared" si="24"/>
        <v>1.1702999999999999</v>
      </c>
      <c r="AB170" s="111">
        <f t="shared" si="23"/>
        <v>55717849.191976801</v>
      </c>
    </row>
    <row r="171" spans="1:30" x14ac:dyDescent="0.25">
      <c r="A171" s="21">
        <v>43069</v>
      </c>
      <c r="B171" s="24">
        <f t="shared" si="17"/>
        <v>155</v>
      </c>
      <c r="C171" s="97" t="s">
        <v>108</v>
      </c>
      <c r="D171" s="84">
        <f t="shared" si="25"/>
        <v>1.5157</v>
      </c>
      <c r="E171" s="47">
        <f t="shared" si="18"/>
        <v>4931180.4315229421</v>
      </c>
      <c r="F171" s="112"/>
      <c r="H171" s="49"/>
      <c r="I171" s="39"/>
      <c r="J171" s="20">
        <f t="shared" si="16"/>
        <v>43069</v>
      </c>
      <c r="K171" s="27">
        <f>'SC (Gross)'!K171</f>
        <v>2.8792520157457955</v>
      </c>
      <c r="L171" s="46">
        <f t="shared" si="19"/>
        <v>2813366.8620118904</v>
      </c>
      <c r="M171" s="112"/>
      <c r="N171" s="10"/>
      <c r="O171" s="39"/>
      <c r="P171" s="20">
        <f t="shared" si="21"/>
        <v>43069</v>
      </c>
      <c r="Q171" s="45">
        <f>'SC (Gross)'!Q171</f>
        <v>3.1460866913194305</v>
      </c>
      <c r="R171" s="46">
        <f t="shared" si="20"/>
        <v>4037794.2767600655</v>
      </c>
      <c r="S171" s="112"/>
      <c r="T171" s="10"/>
      <c r="U171" s="39"/>
      <c r="W171" s="107">
        <f>'SC (Gross)'!W171</f>
        <v>1.5071590052750645</v>
      </c>
      <c r="X171" s="108">
        <f>'SC (Gross)'!X171</f>
        <v>21249097.190000001</v>
      </c>
      <c r="Y171" s="107">
        <v>1.5205</v>
      </c>
      <c r="Z171" s="108">
        <f>'SC (Gross)'!Z171</f>
        <v>36330046.707240753</v>
      </c>
      <c r="AA171" s="110">
        <f t="shared" si="24"/>
        <v>1.5157</v>
      </c>
      <c r="AB171" s="111">
        <f t="shared" si="23"/>
        <v>57579143.897240758</v>
      </c>
    </row>
    <row r="172" spans="1:30" x14ac:dyDescent="0.25">
      <c r="A172" s="21">
        <v>43100</v>
      </c>
      <c r="B172" s="24">
        <f t="shared" si="17"/>
        <v>156</v>
      </c>
      <c r="C172" s="97" t="s">
        <v>108</v>
      </c>
      <c r="D172" s="84">
        <f t="shared" si="25"/>
        <v>-1.7787999999999999</v>
      </c>
      <c r="E172" s="47">
        <f t="shared" si="18"/>
        <v>4843464.5940070124</v>
      </c>
      <c r="F172" s="112">
        <f>(E172/E$160-1)*100</f>
        <v>9.346588477478468</v>
      </c>
      <c r="G172" s="106">
        <f>(E172/E$169-1)*100</f>
        <v>0.87684414133848421</v>
      </c>
      <c r="H172" s="49"/>
      <c r="I172" s="39"/>
      <c r="J172" s="20">
        <f t="shared" si="16"/>
        <v>43100</v>
      </c>
      <c r="K172" s="27">
        <f>'SC (Gross)'!K172</f>
        <v>-0.4082453594050594</v>
      </c>
      <c r="L172" s="46">
        <f t="shared" si="19"/>
        <v>2801881.422354687</v>
      </c>
      <c r="M172" s="112">
        <f>(L172/L$160-1)*100</f>
        <v>14.627724282029874</v>
      </c>
      <c r="N172" s="106">
        <f>(L172/L$169-1)*100</f>
        <v>3.3316683556992244</v>
      </c>
      <c r="O172" s="39"/>
      <c r="P172" s="20">
        <f t="shared" si="21"/>
        <v>43100</v>
      </c>
      <c r="Q172" s="45">
        <f>'SC (Gross)'!Q172</f>
        <v>-2.6250866250866327</v>
      </c>
      <c r="R172" s="46">
        <f t="shared" si="20"/>
        <v>3931798.6792523232</v>
      </c>
      <c r="S172" s="112">
        <f>(R172/R$160-1)*100</f>
        <v>8.9172764479722222</v>
      </c>
      <c r="T172" s="106">
        <f>(R172/R$169-1)*100</f>
        <v>1.5485126762191825</v>
      </c>
      <c r="U172" s="39"/>
      <c r="W172" s="107">
        <f>'SC (Gross)'!W172</f>
        <v>-1.7828310000000001</v>
      </c>
      <c r="X172" s="108">
        <f>'SC (Gross)'!X172</f>
        <v>21152071.010000002</v>
      </c>
      <c r="Y172" s="107">
        <v>-1.7765</v>
      </c>
      <c r="Z172" s="108">
        <f>'SC (Gross)'!Z172</f>
        <v>35684633.719999999</v>
      </c>
      <c r="AA172" s="110">
        <f t="shared" si="24"/>
        <v>-1.7787999999999999</v>
      </c>
      <c r="AB172" s="111">
        <f t="shared" si="23"/>
        <v>56836704.730000004</v>
      </c>
    </row>
    <row r="173" spans="1:30" x14ac:dyDescent="0.25">
      <c r="A173" s="21">
        <v>43131</v>
      </c>
      <c r="B173" s="24">
        <f t="shared" si="17"/>
        <v>157</v>
      </c>
      <c r="C173" s="97" t="s">
        <v>108</v>
      </c>
      <c r="D173" s="84">
        <f t="shared" si="25"/>
        <v>0.56469999999999998</v>
      </c>
      <c r="E173" s="47">
        <f t="shared" si="18"/>
        <v>4870815.6385693699</v>
      </c>
      <c r="H173" s="49"/>
      <c r="I173" s="39"/>
      <c r="J173" s="20">
        <f t="shared" si="16"/>
        <v>43131</v>
      </c>
      <c r="K173" s="27">
        <f>'SC (Gross)'!K173</f>
        <v>2.6110313010553323</v>
      </c>
      <c r="L173" s="46">
        <f t="shared" si="19"/>
        <v>2875039.4233108223</v>
      </c>
      <c r="M173" s="18"/>
      <c r="N173" s="10"/>
      <c r="O173" s="39"/>
      <c r="P173" s="20">
        <f t="shared" si="21"/>
        <v>43131</v>
      </c>
      <c r="Q173" s="45">
        <f>'SC (Gross)'!Q173</f>
        <v>-0.53755788354968159</v>
      </c>
      <c r="R173" s="46">
        <f t="shared" si="20"/>
        <v>3910662.9854867002</v>
      </c>
      <c r="S173" s="18"/>
      <c r="T173" s="10"/>
      <c r="U173" s="39"/>
      <c r="W173" s="107">
        <f>'SC (Gross)'!W173</f>
        <v>0.3314001657000758</v>
      </c>
      <c r="X173" s="108">
        <f>'SC (Gross)'!X173</f>
        <v>21419695.43</v>
      </c>
      <c r="Y173" s="107">
        <v>0.70304800000000001</v>
      </c>
      <c r="Z173" s="108">
        <f>'SC (Gross)'!Z173</f>
        <v>35935513.880000003</v>
      </c>
      <c r="AA173" s="110">
        <f t="shared" si="24"/>
        <v>0.56469999999999998</v>
      </c>
      <c r="AB173" s="111">
        <f t="shared" si="23"/>
        <v>57355209.310000002</v>
      </c>
      <c r="AD173" s="188"/>
    </row>
    <row r="174" spans="1:30" x14ac:dyDescent="0.25">
      <c r="A174" s="21">
        <v>43159</v>
      </c>
      <c r="B174" s="24">
        <f t="shared" si="17"/>
        <v>158</v>
      </c>
      <c r="C174" s="97" t="s">
        <v>108</v>
      </c>
      <c r="D174" s="84">
        <f t="shared" si="25"/>
        <v>-4.2178000000000004</v>
      </c>
      <c r="E174" s="47">
        <f t="shared" si="18"/>
        <v>4665374.3765657907</v>
      </c>
      <c r="H174" s="49"/>
      <c r="I174" s="39"/>
      <c r="J174" s="20">
        <f t="shared" si="16"/>
        <v>43159</v>
      </c>
      <c r="K174" s="27">
        <f>'SC (Gross)'!K174</f>
        <v>-3.8603870929858517</v>
      </c>
      <c r="L174" s="46">
        <f t="shared" si="19"/>
        <v>2764051.7724950765</v>
      </c>
      <c r="M174" s="18"/>
      <c r="N174" s="10"/>
      <c r="O174" s="39"/>
      <c r="P174" s="20">
        <f t="shared" si="21"/>
        <v>43159</v>
      </c>
      <c r="Q174" s="45">
        <f>'SC (Gross)'!Q174</f>
        <v>-5.0788274858682856</v>
      </c>
      <c r="R174" s="46">
        <f t="shared" si="20"/>
        <v>3712047.1589001245</v>
      </c>
      <c r="S174" s="18"/>
      <c r="T174" s="10"/>
      <c r="U174" s="39"/>
      <c r="W174" s="107">
        <f>'SC (Gross)'!W174</f>
        <v>-4.1288191577208924</v>
      </c>
      <c r="X174" s="108">
        <f>'SC (Gross)'!X174</f>
        <v>20693892.500000004</v>
      </c>
      <c r="Y174" s="107">
        <v>-4.2708000000000004</v>
      </c>
      <c r="Z174" s="108">
        <f>'SC (Gross)'!Z174</f>
        <v>34400036.340000004</v>
      </c>
      <c r="AA174" s="110">
        <f t="shared" si="24"/>
        <v>-4.2178000000000004</v>
      </c>
      <c r="AB174" s="111">
        <f t="shared" si="23"/>
        <v>55093928.840000004</v>
      </c>
    </row>
    <row r="175" spans="1:30" x14ac:dyDescent="0.25">
      <c r="A175" s="21">
        <v>43190</v>
      </c>
      <c r="B175" s="24">
        <f t="shared" si="17"/>
        <v>159</v>
      </c>
      <c r="C175" s="97" t="s">
        <v>108</v>
      </c>
      <c r="D175" s="84">
        <f t="shared" si="25"/>
        <v>2.6791</v>
      </c>
      <c r="E175" s="47">
        <f t="shared" si="18"/>
        <v>4790364.4214883652</v>
      </c>
      <c r="G175" s="106">
        <f>(E175/E$172-1)*100</f>
        <v>-1.0963262245036298</v>
      </c>
      <c r="H175" s="49"/>
      <c r="I175" s="39"/>
      <c r="J175" s="20">
        <f t="shared" si="16"/>
        <v>43190</v>
      </c>
      <c r="K175" s="27">
        <f>'SC (Gross)'!K175</f>
        <v>1.2925838628987631</v>
      </c>
      <c r="L175" s="46">
        <f t="shared" si="19"/>
        <v>2799779.4596685153</v>
      </c>
      <c r="M175" s="112"/>
      <c r="N175" s="106">
        <f>(L175/L$172-1)*100</f>
        <v>-7.5019687464339402E-2</v>
      </c>
      <c r="O175" s="39"/>
      <c r="P175" s="20">
        <f t="shared" si="21"/>
        <v>43190</v>
      </c>
      <c r="Q175" s="45">
        <f>'SC (Gross)'!Q175</f>
        <v>3.4358855810400573</v>
      </c>
      <c r="R175" s="46">
        <f t="shared" si="20"/>
        <v>3839588.8519941811</v>
      </c>
      <c r="S175" s="18"/>
      <c r="T175" s="106">
        <f>(R175/R$172-1)*100</f>
        <v>-2.3452326728915063</v>
      </c>
      <c r="U175" s="39"/>
      <c r="W175" s="107">
        <f>'SC (Gross)'!W175</f>
        <v>2.4117140396210264</v>
      </c>
      <c r="X175" s="108">
        <f>'SC (Gross)'!X175</f>
        <v>22851228.93</v>
      </c>
      <c r="Y175" s="107">
        <v>2.84</v>
      </c>
      <c r="Z175" s="108">
        <f>'SC (Gross)'!Z175</f>
        <v>35377156.07</v>
      </c>
      <c r="AA175" s="110">
        <f t="shared" si="24"/>
        <v>2.6791</v>
      </c>
      <c r="AB175" s="111">
        <f t="shared" si="23"/>
        <v>58228385</v>
      </c>
    </row>
    <row r="176" spans="1:30" x14ac:dyDescent="0.25">
      <c r="A176" s="21">
        <v>43220</v>
      </c>
      <c r="B176" s="24">
        <f t="shared" si="17"/>
        <v>160</v>
      </c>
      <c r="C176" s="97" t="s">
        <v>108</v>
      </c>
      <c r="D176" s="84">
        <f t="shared" si="25"/>
        <v>1.3265</v>
      </c>
      <c r="E176" s="47">
        <f t="shared" ref="E176" si="27">E175*D176/100+E175</f>
        <v>4853908.6055394085</v>
      </c>
      <c r="F176" s="112"/>
      <c r="H176" s="49"/>
      <c r="I176" s="39"/>
      <c r="J176" s="20">
        <f t="shared" si="16"/>
        <v>43220</v>
      </c>
      <c r="K176" s="27">
        <f>'SC (Gross)'!K176</f>
        <v>0.86466776426594183</v>
      </c>
      <c r="L176" s="46">
        <f t="shared" si="19"/>
        <v>2823988.250126808</v>
      </c>
      <c r="M176" s="112"/>
      <c r="N176" s="10"/>
      <c r="O176" s="39"/>
      <c r="P176" s="20">
        <f t="shared" si="21"/>
        <v>43220</v>
      </c>
      <c r="Q176" s="45">
        <f>'SC (Gross)'!Q176</f>
        <v>0.6622130450625584</v>
      </c>
      <c r="R176" s="46">
        <f t="shared" si="20"/>
        <v>3865015.1102488544</v>
      </c>
      <c r="S176" s="112"/>
      <c r="T176" s="10"/>
      <c r="U176" s="39"/>
      <c r="W176" s="107">
        <f>'SC (Gross)'!W176</f>
        <v>1.2615643397813168</v>
      </c>
      <c r="X176" s="108">
        <f>'SC (Gross)'!X176</f>
        <v>23885529.719999999</v>
      </c>
      <c r="Y176" s="107">
        <v>1.3685130999999999</v>
      </c>
      <c r="Z176" s="108">
        <f>'SC (Gross)'!Z176</f>
        <v>35861296.960000001</v>
      </c>
      <c r="AA176" s="110">
        <f t="shared" ref="AA176" si="28">ROUND(X175/AB175*(W176)+Z175/AB175*Y176,4)</f>
        <v>1.3265</v>
      </c>
      <c r="AB176" s="111">
        <f t="shared" ref="AB176" si="29">X176+Z176</f>
        <v>59746826.68</v>
      </c>
    </row>
    <row r="177" spans="1:28" x14ac:dyDescent="0.25">
      <c r="A177" s="21">
        <v>43251</v>
      </c>
      <c r="B177" s="24">
        <f t="shared" si="17"/>
        <v>161</v>
      </c>
      <c r="C177" s="97" t="s">
        <v>108</v>
      </c>
      <c r="D177" s="84">
        <f t="shared" si="25"/>
        <v>5.1241000000000003</v>
      </c>
      <c r="E177" s="47">
        <f t="shared" ref="E177:E178" si="30">E176*D177/100+E176</f>
        <v>5102627.7363958536</v>
      </c>
      <c r="F177" s="112"/>
      <c r="H177" s="49"/>
      <c r="I177" s="39"/>
      <c r="J177" s="20">
        <f t="shared" si="16"/>
        <v>43251</v>
      </c>
      <c r="K177" s="27">
        <f>'SC (Gross)'!K177</f>
        <v>6.0699700580171658</v>
      </c>
      <c r="L177" s="46">
        <f t="shared" si="19"/>
        <v>2995403.491351428</v>
      </c>
      <c r="M177" s="112"/>
      <c r="N177" s="10"/>
      <c r="O177" s="39"/>
      <c r="P177" s="20">
        <f t="shared" si="21"/>
        <v>43251</v>
      </c>
      <c r="Q177" s="45">
        <f>'SC (Gross)'!Q177</f>
        <v>5.6108461880031655</v>
      </c>
      <c r="R177" s="46">
        <f t="shared" si="20"/>
        <v>4081875.1632279987</v>
      </c>
      <c r="S177" s="112"/>
      <c r="T177" s="10"/>
      <c r="U177" s="39"/>
      <c r="W177" s="107">
        <f>'SC (Gross)'!W177</f>
        <v>4.9833887043189486</v>
      </c>
      <c r="X177" s="108">
        <f>'SC (Gross)'!X177</f>
        <v>26602136.75</v>
      </c>
      <c r="Y177" s="107">
        <v>5.2178060000000004</v>
      </c>
      <c r="Z177" s="108">
        <f>'SC (Gross)'!Z177</f>
        <v>37732470.149999999</v>
      </c>
      <c r="AA177" s="110">
        <f t="shared" ref="AA177:AA179" si="31">ROUND(X176/AB176*(W177)+Z176/AB176*Y177,4)</f>
        <v>5.1241000000000003</v>
      </c>
      <c r="AB177" s="111">
        <f t="shared" ref="AB177:AB179" si="32">X177+Z177</f>
        <v>64334606.899999999</v>
      </c>
    </row>
    <row r="178" spans="1:28" x14ac:dyDescent="0.25">
      <c r="A178" s="21">
        <v>43281</v>
      </c>
      <c r="B178" s="24">
        <f t="shared" si="17"/>
        <v>162</v>
      </c>
      <c r="C178" s="97" t="s">
        <v>108</v>
      </c>
      <c r="D178" s="84">
        <f t="shared" si="25"/>
        <v>1.3654999999999999</v>
      </c>
      <c r="E178" s="47">
        <f t="shared" si="30"/>
        <v>5172304.1181363389</v>
      </c>
      <c r="F178" s="112"/>
      <c r="G178" s="106">
        <f>(E178/E$175-1)*100</f>
        <v>7.9730822760516684</v>
      </c>
      <c r="H178" s="49"/>
      <c r="I178" s="39"/>
      <c r="J178" s="20">
        <f t="shared" si="16"/>
        <v>43281</v>
      </c>
      <c r="K178" s="27">
        <f>'SC (Gross)'!K178</f>
        <v>0.71507127323460473</v>
      </c>
      <c r="L178" s="46">
        <f t="shared" ref="L178" si="33">L177*K178/100+L177</f>
        <v>3016822.7612355486</v>
      </c>
      <c r="M178" s="112"/>
      <c r="N178" s="106">
        <f>(L178/L$175-1)*100</f>
        <v>7.7521570785697103</v>
      </c>
      <c r="O178" s="39"/>
      <c r="P178" s="20">
        <f t="shared" si="21"/>
        <v>43281</v>
      </c>
      <c r="Q178" s="45">
        <f>'SC (Gross)'!Q178</f>
        <v>1.5680055572566505</v>
      </c>
      <c r="R178" s="46">
        <f t="shared" ref="R178" si="34">R177*Q178/100+R177</f>
        <v>4145879.1926276926</v>
      </c>
      <c r="S178" s="112"/>
      <c r="T178" s="106">
        <f>(R178/R$175-1)*100</f>
        <v>7.9771650674116401</v>
      </c>
      <c r="U178" s="39"/>
      <c r="W178" s="107">
        <f>'SC (Gross)'!W178</f>
        <v>1.1867088607594825</v>
      </c>
      <c r="X178" s="108">
        <f>'SC (Gross)'!X178</f>
        <v>28902762.780000001</v>
      </c>
      <c r="Y178" s="107">
        <v>1.4915849999999999</v>
      </c>
      <c r="Z178" s="108">
        <f>'SC (Gross)'!Z178</f>
        <v>38295282.420000002</v>
      </c>
      <c r="AA178" s="110">
        <f t="shared" si="31"/>
        <v>1.3654999999999999</v>
      </c>
      <c r="AB178" s="111">
        <f t="shared" si="32"/>
        <v>67198045.200000003</v>
      </c>
    </row>
    <row r="179" spans="1:28" x14ac:dyDescent="0.25">
      <c r="A179" s="21">
        <v>43312</v>
      </c>
      <c r="B179" s="24">
        <f t="shared" ref="B179:B183" si="35">IF(A179&gt;A178,1+B178,"-")</f>
        <v>163</v>
      </c>
      <c r="C179" s="97" t="s">
        <v>108</v>
      </c>
      <c r="D179" s="84">
        <f t="shared" si="25"/>
        <v>2.3740999999999999</v>
      </c>
      <c r="E179" s="47">
        <f t="shared" ref="E179" si="36">E178*D179/100+E178</f>
        <v>5295099.7902050139</v>
      </c>
      <c r="F179" s="112"/>
      <c r="H179" s="49"/>
      <c r="I179" s="39"/>
      <c r="J179" s="20">
        <f t="shared" ref="J179" si="37">A179</f>
        <v>43312</v>
      </c>
      <c r="K179" s="27">
        <f>'SC (Gross)'!K179</f>
        <v>1.7395888164145061</v>
      </c>
      <c r="L179" s="46">
        <f t="shared" ref="L179" si="38">L178*K179/100+L178</f>
        <v>3069303.0726010497</v>
      </c>
      <c r="M179" s="112"/>
      <c r="N179" s="10"/>
      <c r="O179" s="39"/>
      <c r="P179" s="20">
        <f t="shared" si="21"/>
        <v>43312</v>
      </c>
      <c r="Q179" s="45">
        <f>'SC (Gross)'!Q179</f>
        <v>2.7267327801875374</v>
      </c>
      <c r="R179" s="46">
        <f t="shared" ref="R179" si="39">R178*Q179/100+R178</f>
        <v>4258926.2396000465</v>
      </c>
      <c r="S179" s="112"/>
      <c r="T179" s="10"/>
      <c r="U179" s="39"/>
      <c r="W179" s="107">
        <f>'SC (Gross)'!W179</f>
        <v>2.3455819999999998</v>
      </c>
      <c r="X179" s="108">
        <f>'SC (Gross)'!X179</f>
        <v>31246169.390000001</v>
      </c>
      <c r="Y179" s="107">
        <v>2.3955907999999999</v>
      </c>
      <c r="Z179" s="108">
        <f>'SC (Gross)'!Z179</f>
        <v>39212680.260000005</v>
      </c>
      <c r="AA179" s="110">
        <f t="shared" si="31"/>
        <v>2.3740999999999999</v>
      </c>
      <c r="AB179" s="111">
        <f t="shared" si="32"/>
        <v>70458849.650000006</v>
      </c>
    </row>
    <row r="180" spans="1:28" x14ac:dyDescent="0.25">
      <c r="A180" s="21">
        <v>43343</v>
      </c>
      <c r="B180" s="24">
        <f t="shared" si="35"/>
        <v>164</v>
      </c>
      <c r="C180" s="97" t="s">
        <v>108</v>
      </c>
      <c r="D180" s="84">
        <f t="shared" si="25"/>
        <v>5.7590000000000003</v>
      </c>
      <c r="E180" s="47">
        <f t="shared" ref="E180" si="40">E179*D180/100+E179</f>
        <v>5600044.5871229209</v>
      </c>
      <c r="F180" s="112"/>
      <c r="H180" s="49"/>
      <c r="I180" s="39"/>
      <c r="J180" s="20">
        <f t="shared" ref="J180" si="41">A180</f>
        <v>43343</v>
      </c>
      <c r="K180" s="27">
        <f>'SC (Gross)'!K180</f>
        <v>4.3072100000000004</v>
      </c>
      <c r="L180" s="46">
        <f t="shared" ref="L180" si="42">L179*K180/100+L179</f>
        <v>3201504.4014744293</v>
      </c>
      <c r="M180" s="112"/>
      <c r="N180" s="10"/>
      <c r="O180" s="39"/>
      <c r="P180" s="20">
        <f t="shared" si="21"/>
        <v>43343</v>
      </c>
      <c r="Q180" s="45">
        <f>'SC (Gross)'!Q180</f>
        <v>3.0555750227766585</v>
      </c>
      <c r="R180" s="46">
        <f t="shared" ref="R180" si="43">R179*Q180/100+R179</f>
        <v>4389060.9260157468</v>
      </c>
      <c r="S180" s="112"/>
      <c r="T180" s="10"/>
      <c r="U180" s="39"/>
      <c r="W180" s="107">
        <f>'SC (Gross)'!W180</f>
        <v>5.5767759999999997</v>
      </c>
      <c r="X180" s="108">
        <f>'SC (Gross)'!X180</f>
        <v>35168761.299999997</v>
      </c>
      <c r="Y180" s="107">
        <v>5.9042000000000003</v>
      </c>
      <c r="Z180" s="108">
        <f>'SC (Gross)'!Z180</f>
        <v>41527892.689999998</v>
      </c>
      <c r="AA180" s="110">
        <f t="shared" ref="AA180" si="44">ROUND(X179/AB179*(W180)+Z179/AB179*Y180,4)</f>
        <v>5.7590000000000003</v>
      </c>
      <c r="AB180" s="111">
        <f t="shared" ref="AB180" si="45">X180+Z180</f>
        <v>76696653.989999995</v>
      </c>
    </row>
    <row r="181" spans="1:28" x14ac:dyDescent="0.25">
      <c r="A181" s="21">
        <v>43373</v>
      </c>
      <c r="B181" s="24">
        <f t="shared" si="35"/>
        <v>165</v>
      </c>
      <c r="C181" s="97" t="s">
        <v>108</v>
      </c>
      <c r="D181" s="84">
        <f t="shared" ref="D181:D182" si="46">AA181</f>
        <v>-2.3706999999999998</v>
      </c>
      <c r="E181" s="47">
        <f t="shared" ref="E181" si="47">E180*D181/100+E180</f>
        <v>5467284.330095998</v>
      </c>
      <c r="F181" s="112"/>
      <c r="G181" s="106">
        <f>(E181/E$178-1)*100</f>
        <v>5.7030716914987734</v>
      </c>
      <c r="H181" s="49"/>
      <c r="I181" s="39"/>
      <c r="J181" s="20">
        <f t="shared" ref="J181" si="48">A181</f>
        <v>43373</v>
      </c>
      <c r="K181" s="27">
        <f>'SC (Gross)'!K181</f>
        <v>-2.4049999999999998</v>
      </c>
      <c r="L181" s="46">
        <f t="shared" ref="L181" si="49">L180*K181/100+L180</f>
        <v>3124508.2206189693</v>
      </c>
      <c r="M181" s="112"/>
      <c r="N181" s="106">
        <f>(L181/L$178-1)*100</f>
        <v>3.5694990361090362</v>
      </c>
      <c r="O181" s="39"/>
      <c r="P181" s="20">
        <f t="shared" si="21"/>
        <v>43373</v>
      </c>
      <c r="Q181" s="45">
        <f>'SC (Gross)'!Q181</f>
        <v>-2.7091125467528152</v>
      </c>
      <c r="R181" s="46">
        <f t="shared" ref="R181" si="50">R180*Q181/100+R180</f>
        <v>4270156.325784429</v>
      </c>
      <c r="S181" s="112"/>
      <c r="T181" s="106">
        <f>(R181/R$178-1)*100</f>
        <v>2.9976062345890231</v>
      </c>
      <c r="U181" s="39"/>
      <c r="W181" s="107">
        <f>'SC (Gross)'!W181</f>
        <v>-2.3878400000000002</v>
      </c>
      <c r="X181" s="108">
        <f>'SC (Gross)'!X181</f>
        <v>36129214.93</v>
      </c>
      <c r="Y181" s="107">
        <v>-2.3561399999999999</v>
      </c>
      <c r="Z181" s="108">
        <f>'SC (Gross)'!Z181</f>
        <v>40549436.809999995</v>
      </c>
      <c r="AA181" s="110">
        <f t="shared" ref="AA181" si="51">ROUND(X180/AB180*(W181)+Z180/AB180*Y181,4)</f>
        <v>-2.3706999999999998</v>
      </c>
      <c r="AB181" s="111">
        <f t="shared" ref="AB181" si="52">X181+Z181</f>
        <v>76678651.739999995</v>
      </c>
    </row>
    <row r="182" spans="1:28" x14ac:dyDescent="0.25">
      <c r="A182" s="21">
        <v>43404</v>
      </c>
      <c r="B182" s="24">
        <f t="shared" si="35"/>
        <v>166</v>
      </c>
      <c r="C182" s="97" t="s">
        <v>108</v>
      </c>
      <c r="D182" s="84">
        <f t="shared" si="46"/>
        <v>-10.8636</v>
      </c>
      <c r="E182" s="47">
        <f t="shared" ref="E182" si="53">E181*D182/100+E181</f>
        <v>4873340.4296116894</v>
      </c>
      <c r="F182" s="112"/>
      <c r="H182" s="49"/>
      <c r="I182" s="39"/>
      <c r="J182" s="20">
        <f t="shared" ref="J182" si="54">A182</f>
        <v>43404</v>
      </c>
      <c r="K182" s="27">
        <f>'SC (Gross)'!K182</f>
        <v>-10.861624881516924</v>
      </c>
      <c r="L182" s="46">
        <f t="shared" ref="L182" si="55">L181*K182/100+L181</f>
        <v>2785135.8583031776</v>
      </c>
      <c r="M182" s="112"/>
      <c r="N182" s="54"/>
      <c r="O182" s="39"/>
      <c r="P182" s="20">
        <f t="shared" si="21"/>
        <v>43404</v>
      </c>
      <c r="Q182" s="45">
        <f>'SC (Gross)'!Q182</f>
        <v>-7.0435025731086132</v>
      </c>
      <c r="R182" s="46">
        <f t="shared" ref="R182" si="56">R181*Q182/100+R181</f>
        <v>3969387.7551020426</v>
      </c>
      <c r="S182" s="112"/>
      <c r="T182" s="54"/>
      <c r="U182" s="39"/>
      <c r="W182" s="107">
        <f>'SC (Gross)'!W182</f>
        <v>-10.674573758339507</v>
      </c>
      <c r="X182" s="108">
        <f>'SC (Gross)'!X182</f>
        <v>33824711.049999997</v>
      </c>
      <c r="Y182" s="107">
        <v>-11.032030212801381</v>
      </c>
      <c r="Z182" s="108">
        <f>'SC (Gross)'!Z182</f>
        <v>36075267.230000004</v>
      </c>
      <c r="AA182" s="110">
        <f t="shared" ref="AA182:AA185" si="57">ROUND(X181/AB181*(W182)+Z181/AB181*Y182,4)</f>
        <v>-10.8636</v>
      </c>
      <c r="AB182" s="111">
        <f t="shared" ref="AB182:AB185" si="58">X182+Z182</f>
        <v>69899978.280000001</v>
      </c>
    </row>
    <row r="183" spans="1:28" x14ac:dyDescent="0.25">
      <c r="A183" s="21">
        <v>43434</v>
      </c>
      <c r="B183" s="24">
        <f t="shared" si="35"/>
        <v>167</v>
      </c>
      <c r="C183" s="97" t="s">
        <v>108</v>
      </c>
      <c r="D183" s="84">
        <f t="shared" ref="D183:D187" si="59">AA183</f>
        <v>0.81520000000000004</v>
      </c>
      <c r="E183" s="47">
        <f t="shared" ref="E183" si="60">E182*D183/100+E182</f>
        <v>4913067.9007938839</v>
      </c>
      <c r="F183" s="112"/>
      <c r="H183" s="49"/>
      <c r="I183" s="39"/>
      <c r="J183" s="20">
        <f t="shared" ref="J183" si="61">A183</f>
        <v>43434</v>
      </c>
      <c r="K183" s="27">
        <f>'SC (Gross)'!K183</f>
        <v>1.5799600677700532</v>
      </c>
      <c r="L183" s="46">
        <f t="shared" ref="L183" si="62">L182*K183/100+L182</f>
        <v>2829139.8926975126</v>
      </c>
      <c r="M183" s="112"/>
      <c r="N183" s="54"/>
      <c r="O183" s="39"/>
      <c r="P183" s="20">
        <f t="shared" si="21"/>
        <v>43434</v>
      </c>
      <c r="Q183" s="45">
        <f>'SC (Gross)'!Q183</f>
        <v>3.6469078826785934</v>
      </c>
      <c r="R183" s="46">
        <f t="shared" ref="R183" si="63">R182*Q183/100+R182</f>
        <v>4114147.670036938</v>
      </c>
      <c r="S183" s="112"/>
      <c r="T183" s="54"/>
      <c r="U183" s="39"/>
      <c r="W183" s="107">
        <f>'SC (Gross)'!W183</f>
        <v>0.82987551867219622</v>
      </c>
      <c r="X183" s="108">
        <f>'SC (Gross)'!X183</f>
        <v>34434962.149999999</v>
      </c>
      <c r="Y183" s="107">
        <v>0.80140687528995613</v>
      </c>
      <c r="Z183" s="108">
        <f>'SC (Gross)'!Z183</f>
        <v>36365550.560000002</v>
      </c>
      <c r="AA183" s="110">
        <f t="shared" si="57"/>
        <v>0.81520000000000004</v>
      </c>
      <c r="AB183" s="111">
        <f t="shared" si="58"/>
        <v>70800512.710000008</v>
      </c>
    </row>
    <row r="184" spans="1:28" x14ac:dyDescent="0.25">
      <c r="A184" s="21">
        <v>43465</v>
      </c>
      <c r="B184" s="24">
        <f t="shared" ref="B184:B186" si="64">IF(A184&gt;A183,1+B183,"-")</f>
        <v>168</v>
      </c>
      <c r="C184" s="97" t="s">
        <v>108</v>
      </c>
      <c r="D184" s="84">
        <f t="shared" si="59"/>
        <v>-10.7194</v>
      </c>
      <c r="E184" s="47">
        <f t="shared" ref="E184:E186" si="65">E183*D184/100+E183</f>
        <v>4386416.5002361843</v>
      </c>
      <c r="F184" s="112">
        <f>(E184/E$172-1)*100</f>
        <v>-9.4363876291436064</v>
      </c>
      <c r="G184" s="106">
        <f>(E184/E$181-1)*100</f>
        <v>-19.769738769756561</v>
      </c>
      <c r="H184" s="49"/>
      <c r="I184" s="39"/>
      <c r="J184" s="20">
        <f t="shared" ref="J184" si="66">A184</f>
        <v>43465</v>
      </c>
      <c r="K184" s="27">
        <f>'SC (Gross)'!K184</f>
        <v>-11.88434454640741</v>
      </c>
      <c r="L184" s="46">
        <f t="shared" ref="L184:L186" si="67">L183*K184/100+L183</f>
        <v>2492915.1601494793</v>
      </c>
      <c r="M184" s="112">
        <f>(L184/L$172-1)*100</f>
        <v>-11.027099852982147</v>
      </c>
      <c r="N184" s="106">
        <f>(L184/L$181-1)*100</f>
        <v>-20.214159025139978</v>
      </c>
      <c r="O184" s="39"/>
      <c r="P184" s="20">
        <f t="shared" si="21"/>
        <v>43465</v>
      </c>
      <c r="Q184" s="45">
        <f>'SC (Gross)'!Q184</f>
        <v>-9.3306067297533701</v>
      </c>
      <c r="R184" s="46">
        <f t="shared" ref="R184:R185" si="68">R183*Q184/100+R183</f>
        <v>3730272.73066448</v>
      </c>
      <c r="S184" s="112">
        <f>(R184/R$172-1)*100</f>
        <v>-5.1255408790707886</v>
      </c>
      <c r="T184" s="106">
        <f>(R184/R$178-1)*100</f>
        <v>-10.024567592375933</v>
      </c>
      <c r="U184" s="39"/>
      <c r="W184" s="107">
        <f>'SC (Gross)'!W184</f>
        <v>-10.454219999999999</v>
      </c>
      <c r="X184" s="108">
        <f>'SC (Gross)'!X184</f>
        <v>30939369</v>
      </c>
      <c r="Y184" s="107">
        <v>-10.970416175361708</v>
      </c>
      <c r="Z184" s="108">
        <f>'SC (Gross)'!Z184</f>
        <v>32376202.100000001</v>
      </c>
      <c r="AA184" s="110">
        <f t="shared" si="57"/>
        <v>-10.7194</v>
      </c>
      <c r="AB184" s="111">
        <f t="shared" si="58"/>
        <v>63315571.100000001</v>
      </c>
    </row>
    <row r="185" spans="1:28" x14ac:dyDescent="0.25">
      <c r="A185" s="21">
        <v>43496</v>
      </c>
      <c r="B185" s="24">
        <f t="shared" si="64"/>
        <v>169</v>
      </c>
      <c r="C185" s="97" t="s">
        <v>108</v>
      </c>
      <c r="D185" s="84">
        <f t="shared" si="59"/>
        <v>8.6317000000000004</v>
      </c>
      <c r="E185" s="47">
        <f t="shared" si="65"/>
        <v>4765038.813287071</v>
      </c>
      <c r="H185" s="49"/>
      <c r="I185" s="39"/>
      <c r="J185" s="20">
        <f t="shared" ref="J185" si="69">A185</f>
        <v>43496</v>
      </c>
      <c r="K185" s="27">
        <f>'SC (Gross)'!K185</f>
        <v>11.246632927110163</v>
      </c>
      <c r="L185" s="46">
        <f t="shared" si="67"/>
        <v>2773284.1773957717</v>
      </c>
      <c r="M185" s="18"/>
      <c r="N185" s="10"/>
      <c r="O185" s="39"/>
      <c r="P185" s="20">
        <f t="shared" si="21"/>
        <v>43496</v>
      </c>
      <c r="Q185" s="45">
        <f>'SC (Gross)'!Q185</f>
        <v>8.6290100767634179</v>
      </c>
      <c r="R185" s="46">
        <f t="shared" si="68"/>
        <v>4052158.3404842759</v>
      </c>
      <c r="S185" s="18"/>
      <c r="T185" s="10"/>
      <c r="U185" s="39"/>
      <c r="W185" s="107">
        <f>'SC (Gross)'!W185</f>
        <v>8.2284607938044498</v>
      </c>
      <c r="X185" s="108">
        <f>'SC (Gross)'!X185</f>
        <v>32806928.5</v>
      </c>
      <c r="Y185" s="107">
        <v>9.0169587706307563</v>
      </c>
      <c r="Z185" s="108">
        <f>'SC (Gross)'!Z185</f>
        <v>35241050.609999999</v>
      </c>
      <c r="AA185" s="110">
        <f t="shared" si="57"/>
        <v>8.6317000000000004</v>
      </c>
      <c r="AB185" s="111">
        <f t="shared" si="58"/>
        <v>68047979.109999999</v>
      </c>
    </row>
    <row r="186" spans="1:28" x14ac:dyDescent="0.25">
      <c r="A186" s="21">
        <v>43524</v>
      </c>
      <c r="B186" s="24">
        <f t="shared" si="64"/>
        <v>170</v>
      </c>
      <c r="C186" s="97" t="s">
        <v>108</v>
      </c>
      <c r="D186" s="84">
        <f t="shared" si="59"/>
        <v>4.3859000000000004</v>
      </c>
      <c r="E186" s="47">
        <f t="shared" si="65"/>
        <v>4974028.6505990289</v>
      </c>
      <c r="H186" s="49"/>
      <c r="I186" s="39"/>
      <c r="J186" s="20">
        <f t="shared" ref="J186" si="70">A186</f>
        <v>43524</v>
      </c>
      <c r="K186" s="27">
        <f>'SC (Gross)'!K186</f>
        <v>5.1894965863048865</v>
      </c>
      <c r="L186" s="46">
        <f t="shared" si="67"/>
        <v>2917203.6651102589</v>
      </c>
      <c r="M186" s="112"/>
      <c r="N186" s="10"/>
      <c r="O186" s="39"/>
      <c r="P186" s="20">
        <f t="shared" si="21"/>
        <v>43524</v>
      </c>
      <c r="Q186" s="45">
        <f>'SC (Gross)'!Q186</f>
        <v>3.6870453917687209</v>
      </c>
      <c r="R186" s="46">
        <f t="shared" ref="R186" si="71">R185*Q186/100+R185</f>
        <v>4201563.257844273</v>
      </c>
      <c r="S186" s="18"/>
      <c r="T186" s="10"/>
      <c r="U186" s="39"/>
      <c r="W186" s="107">
        <f>'SC (Gross)'!W186</f>
        <v>4.4722719141323797</v>
      </c>
      <c r="X186" s="108">
        <f>'SC (Gross)'!X186</f>
        <v>34742654.799999997</v>
      </c>
      <c r="Y186" s="107">
        <v>4.3054363524197559</v>
      </c>
      <c r="Z186" s="108">
        <f>'SC (Gross)'!Z186</f>
        <v>36814630.879999995</v>
      </c>
      <c r="AA186" s="110">
        <f t="shared" ref="AA186" si="72">ROUND(X185/AB185*(W186)+Z185/AB185*Y186,4)</f>
        <v>4.3859000000000004</v>
      </c>
      <c r="AB186" s="111">
        <f t="shared" ref="AB186" si="73">X186+Z186</f>
        <v>71557285.679999992</v>
      </c>
    </row>
    <row r="187" spans="1:28" x14ac:dyDescent="0.25">
      <c r="A187" s="21">
        <v>43555</v>
      </c>
      <c r="B187" s="24">
        <f t="shared" ref="B187:B190" si="74">IF(A187&gt;A186,1+B186,"-")</f>
        <v>171</v>
      </c>
      <c r="C187" s="97" t="s">
        <v>108</v>
      </c>
      <c r="D187" s="84">
        <f t="shared" si="59"/>
        <v>-1.9612000000000001</v>
      </c>
      <c r="E187" s="47">
        <f t="shared" ref="E187" si="75">E186*D187/100+E186</f>
        <v>4876478.000703481</v>
      </c>
      <c r="F187" s="112"/>
      <c r="G187" s="106">
        <f>(E187/E$184-1)*100</f>
        <v>11.172251892653362</v>
      </c>
      <c r="H187" s="49"/>
      <c r="I187" s="39"/>
      <c r="J187" s="20">
        <f t="shared" ref="J187" si="76">A187</f>
        <v>43555</v>
      </c>
      <c r="K187" s="27">
        <f>'SC (Gross)'!K187</f>
        <v>-2.0937400864579221</v>
      </c>
      <c r="L187" s="46">
        <f t="shared" ref="L187" si="77">L186*K187/100+L186</f>
        <v>2856125.0025702259</v>
      </c>
      <c r="M187" s="112"/>
      <c r="N187" s="106">
        <f>(L187/L$184-1)*100</f>
        <v>14.569683245817643</v>
      </c>
      <c r="O187" s="39"/>
      <c r="P187" s="20">
        <f t="shared" si="21"/>
        <v>43555</v>
      </c>
      <c r="Q187" s="45">
        <f>'SC (Gross)'!Q187</f>
        <v>-2.0974208472265907</v>
      </c>
      <c r="R187" s="46">
        <f t="shared" ref="R187" si="78">R186*Q187/100+R186</f>
        <v>4113438.7941648345</v>
      </c>
      <c r="S187" s="112"/>
      <c r="T187" s="106">
        <f>(R187/R$184-1)*100</f>
        <v>10.271797564573792</v>
      </c>
      <c r="U187" s="39"/>
      <c r="W187" s="107">
        <f>'SC (Gross)'!W187</f>
        <v>-1.8835616438356066</v>
      </c>
      <c r="X187" s="108">
        <f>'SC (Gross)'!X187</f>
        <v>35451492.519999988</v>
      </c>
      <c r="Y187" s="107">
        <v>-2.0343837819296939</v>
      </c>
      <c r="Z187" s="108">
        <f>'SC (Gross)'!Z187</f>
        <v>36065903.580000006</v>
      </c>
      <c r="AA187" s="110">
        <f t="shared" ref="AA187:AA191" si="79">ROUND(X186/AB186*(W187)+Z186/AB186*Y187,4)</f>
        <v>-1.9612000000000001</v>
      </c>
      <c r="AB187" s="111">
        <f t="shared" ref="AB187:AB194" si="80">X187+Z187</f>
        <v>71517396.099999994</v>
      </c>
    </row>
    <row r="188" spans="1:28" x14ac:dyDescent="0.25">
      <c r="A188" s="21">
        <v>43585</v>
      </c>
      <c r="B188" s="24">
        <f t="shared" si="74"/>
        <v>172</v>
      </c>
      <c r="C188" s="97" t="s">
        <v>108</v>
      </c>
      <c r="D188" s="84">
        <f t="shared" ref="D188:D189" si="81">AA188</f>
        <v>2.9891999999999999</v>
      </c>
      <c r="E188" s="47">
        <f t="shared" ref="E188" si="82">E187*D188/100+E187</f>
        <v>5022245.6811005091</v>
      </c>
      <c r="F188" s="112"/>
      <c r="H188" s="49"/>
      <c r="I188" s="39"/>
      <c r="J188" s="20">
        <f t="shared" ref="J188" si="83">A188</f>
        <v>43585</v>
      </c>
      <c r="K188" s="27">
        <f>'SC (Gross)'!K188</f>
        <v>3.3970374167589599</v>
      </c>
      <c r="L188" s="46">
        <f t="shared" ref="L188" si="84">L187*K188/100+L187</f>
        <v>2953148.6375769442</v>
      </c>
      <c r="M188" s="112"/>
      <c r="N188" s="10"/>
      <c r="O188" s="39"/>
      <c r="P188" s="20">
        <f t="shared" si="21"/>
        <v>43585</v>
      </c>
      <c r="Q188" s="45">
        <f>'SC (Gross)'!Q188</f>
        <v>3.0248747193941097</v>
      </c>
      <c r="R188" s="46">
        <f t="shared" ref="R188" si="85">R187*Q188/100+R187</f>
        <v>4237865.1643472761</v>
      </c>
      <c r="S188" s="112"/>
      <c r="T188" s="10"/>
      <c r="U188" s="39"/>
      <c r="W188" s="107">
        <f>'SC (Gross)'!W188</f>
        <v>2.7923211169284334</v>
      </c>
      <c r="X188" s="108">
        <f>'SC (Gross)'!X188</f>
        <v>37574293.160000004</v>
      </c>
      <c r="Y188" s="107">
        <v>3.1827587612378361</v>
      </c>
      <c r="Z188" s="108">
        <f>'SC (Gross)'!Z188</f>
        <v>37213447.589999996</v>
      </c>
      <c r="AA188" s="110">
        <f t="shared" si="79"/>
        <v>2.9891999999999999</v>
      </c>
      <c r="AB188" s="111">
        <f t="shared" si="80"/>
        <v>74787740.75</v>
      </c>
    </row>
    <row r="189" spans="1:28" x14ac:dyDescent="0.25">
      <c r="A189" s="21">
        <v>43616</v>
      </c>
      <c r="B189" s="24">
        <f t="shared" si="74"/>
        <v>173</v>
      </c>
      <c r="C189" s="97" t="s">
        <v>108</v>
      </c>
      <c r="D189" s="84">
        <f t="shared" si="81"/>
        <v>-5.7957999999999998</v>
      </c>
      <c r="E189" s="47">
        <f t="shared" ref="E189" si="86">E188*D189/100+E188</f>
        <v>4731166.3659152854</v>
      </c>
      <c r="F189" s="112"/>
      <c r="G189" s="106"/>
      <c r="H189" s="49"/>
      <c r="I189" s="39"/>
      <c r="J189" s="20">
        <f t="shared" ref="J189" si="87">A189</f>
        <v>43616</v>
      </c>
      <c r="K189" s="27">
        <f>'SC (Gross)'!K189</f>
        <v>-7.7772522689384598</v>
      </c>
      <c r="L189" s="46">
        <f t="shared" ref="L189" si="88">L188*K189/100+L188</f>
        <v>2723474.8181558661</v>
      </c>
      <c r="M189" s="112"/>
      <c r="N189" s="106"/>
      <c r="O189" s="39"/>
      <c r="P189" s="20">
        <f t="shared" si="21"/>
        <v>43616</v>
      </c>
      <c r="Q189" s="45">
        <f>'SC (Gross)'!Q189</f>
        <v>-4.5374711125784053</v>
      </c>
      <c r="R189" s="46">
        <f t="shared" ref="R189" si="89">R188*Q189/100+R188</f>
        <v>4045573.2567249951</v>
      </c>
      <c r="S189" s="112"/>
      <c r="T189" s="106"/>
      <c r="U189" s="39"/>
      <c r="W189" s="107">
        <f>'SC (Gross)'!W189</f>
        <v>-5.7724957555178245</v>
      </c>
      <c r="X189" s="108">
        <f>'SC (Gross)'!X189</f>
        <v>36739947.520000003</v>
      </c>
      <c r="Y189" s="107">
        <v>-5.8193743922496655</v>
      </c>
      <c r="Z189" s="108">
        <f>'SC (Gross)'!Z189</f>
        <v>35047966.960000008</v>
      </c>
      <c r="AA189" s="110">
        <f t="shared" si="79"/>
        <v>-5.7957999999999998</v>
      </c>
      <c r="AB189" s="111">
        <f t="shared" si="80"/>
        <v>71787914.480000019</v>
      </c>
    </row>
    <row r="190" spans="1:28" x14ac:dyDescent="0.25">
      <c r="A190" s="21">
        <v>43646</v>
      </c>
      <c r="B190" s="24">
        <f t="shared" si="74"/>
        <v>174</v>
      </c>
      <c r="C190" s="97" t="s">
        <v>108</v>
      </c>
      <c r="D190" s="84">
        <f t="shared" ref="D190" si="90">AA190</f>
        <v>5.2248000000000001</v>
      </c>
      <c r="E190" s="47">
        <f t="shared" ref="E190" si="91">E189*D190/100+E189</f>
        <v>4978360.3462016275</v>
      </c>
      <c r="F190" s="112"/>
      <c r="G190" s="106">
        <f>(E190/E187-1)*100</f>
        <v>2.0892608452955042</v>
      </c>
      <c r="H190" s="49"/>
      <c r="I190" s="39"/>
      <c r="J190" s="20">
        <f t="shared" ref="J190" si="92">A190</f>
        <v>43646</v>
      </c>
      <c r="K190" s="27">
        <f>'SC (Gross)'!K190</f>
        <v>7.0659142624330968</v>
      </c>
      <c r="L190" s="46">
        <f t="shared" ref="L190" si="93">L189*K190/100+L189</f>
        <v>2915913.2137657152</v>
      </c>
      <c r="M190" s="112"/>
      <c r="N190" s="106">
        <f>(L190/L$187-1)*100</f>
        <v>2.0933331398900856</v>
      </c>
      <c r="O190" s="39"/>
      <c r="P190" s="20">
        <f t="shared" si="21"/>
        <v>43646</v>
      </c>
      <c r="Q190" s="45">
        <f>'SC (Gross)'!Q190</f>
        <v>5.123877768401826</v>
      </c>
      <c r="R190" s="46">
        <f t="shared" ref="R190" si="94">R189*Q190/100+R189</f>
        <v>4252863.485430737</v>
      </c>
      <c r="S190" s="112"/>
      <c r="T190" s="106">
        <f>(R190/R$187-1)*100</f>
        <v>3.3894923017618428</v>
      </c>
      <c r="U190" s="39"/>
      <c r="W190" s="107">
        <f>'SC (Gross)'!W190</f>
        <v>5.315315</v>
      </c>
      <c r="X190" s="108">
        <f>'SC (Gross)'!X190</f>
        <v>38576422.250000007</v>
      </c>
      <c r="Y190" s="107">
        <v>5.1299865695491054</v>
      </c>
      <c r="Z190" s="108">
        <f>'SC (Gross)'!Z190</f>
        <v>36845922.810000002</v>
      </c>
      <c r="AA190" s="110">
        <f t="shared" si="79"/>
        <v>5.2248000000000001</v>
      </c>
      <c r="AB190" s="111">
        <f t="shared" si="80"/>
        <v>75422345.060000002</v>
      </c>
    </row>
    <row r="191" spans="1:28" x14ac:dyDescent="0.25">
      <c r="A191" s="21">
        <v>43677</v>
      </c>
      <c r="B191" s="24">
        <f t="shared" ref="B191:B192" si="95">IF(A191&gt;A190,1+B190,"-")</f>
        <v>175</v>
      </c>
      <c r="C191" s="97" t="s">
        <v>108</v>
      </c>
      <c r="D191" s="84">
        <f t="shared" ref="D191" si="96">AA191</f>
        <v>2.0453000000000001</v>
      </c>
      <c r="E191" s="47">
        <f t="shared" ref="E191" si="97">E190*D191/100+E190</f>
        <v>5080182.7503624894</v>
      </c>
      <c r="F191" s="112"/>
      <c r="G191" s="106"/>
      <c r="H191" s="49"/>
      <c r="I191" s="39"/>
      <c r="J191" s="20">
        <f t="shared" ref="J191" si="98">A191</f>
        <v>43677</v>
      </c>
      <c r="K191" s="27">
        <f>'SC (Gross)'!K191</f>
        <v>0.57276328251731323</v>
      </c>
      <c r="L191" s="46">
        <f t="shared" ref="L191" si="99">L190*K191/100+L190</f>
        <v>2932614.4940042361</v>
      </c>
      <c r="M191" s="112"/>
      <c r="N191" s="106"/>
      <c r="O191" s="39"/>
      <c r="P191" s="20">
        <f t="shared" si="21"/>
        <v>43677</v>
      </c>
      <c r="Q191" s="45">
        <f>'SC (Gross)'!Q191</f>
        <v>1.6830497545826542</v>
      </c>
      <c r="R191" s="46">
        <f t="shared" ref="R191" si="100">R190*Q191/100+R190</f>
        <v>4324441.293885014</v>
      </c>
      <c r="S191" s="112"/>
      <c r="T191" s="106"/>
      <c r="U191" s="39"/>
      <c r="W191" s="107">
        <f>'SC (Gross)'!W191</f>
        <v>1.88195</v>
      </c>
      <c r="X191" s="108">
        <f>'SC (Gross)'!X191</f>
        <v>39239673.284799993</v>
      </c>
      <c r="Y191" s="227">
        <v>2.2163671676782126</v>
      </c>
      <c r="Z191" s="108">
        <f>'SC (Gross)'!Z191</f>
        <v>37585797.079999998</v>
      </c>
      <c r="AA191" s="110">
        <f t="shared" si="79"/>
        <v>2.0453000000000001</v>
      </c>
      <c r="AB191" s="111">
        <f t="shared" si="80"/>
        <v>76825470.364799991</v>
      </c>
    </row>
    <row r="192" spans="1:28" x14ac:dyDescent="0.25">
      <c r="A192" s="21">
        <v>43708</v>
      </c>
      <c r="B192" s="24">
        <f t="shared" si="95"/>
        <v>176</v>
      </c>
      <c r="C192" s="97" t="s">
        <v>108</v>
      </c>
      <c r="D192" s="84">
        <f t="shared" ref="D192:D194" si="101">AA192</f>
        <v>-3.5467</v>
      </c>
      <c r="E192" s="47">
        <f t="shared" ref="E192" si="102">E191*D192/100+E191</f>
        <v>4900003.9087553825</v>
      </c>
      <c r="F192" s="112"/>
      <c r="H192" s="49"/>
      <c r="I192" s="39"/>
      <c r="J192" s="20">
        <f t="shared" ref="J192" si="103">A192</f>
        <v>43708</v>
      </c>
      <c r="K192" s="27">
        <f>'SC (Gross)'!K192</f>
        <v>-4.9388228429049992</v>
      </c>
      <c r="L192" s="46">
        <f t="shared" ref="L192" si="104">L191*K192/100+L191</f>
        <v>2787777.8594800122</v>
      </c>
      <c r="M192" s="112"/>
      <c r="N192" s="54"/>
      <c r="O192" s="39"/>
      <c r="P192" s="20">
        <f t="shared" si="21"/>
        <v>43708</v>
      </c>
      <c r="Q192" s="45">
        <f>'SC (Gross)'!Q192</f>
        <v>-2.5231217862442534</v>
      </c>
      <c r="R192" s="46">
        <f t="shared" ref="R192" si="105">R191*Q192/100+R191</f>
        <v>4215330.3734656582</v>
      </c>
      <c r="S192" s="112"/>
      <c r="T192" s="54"/>
      <c r="U192" s="39"/>
      <c r="W192" s="107">
        <f>'SC (Gross)'!W192</f>
        <v>-3.5264479999999998</v>
      </c>
      <c r="X192" s="108">
        <f>'SC (Gross)'!X192</f>
        <v>37375528.920000002</v>
      </c>
      <c r="Y192" s="107">
        <v>-3.5679300595168106</v>
      </c>
      <c r="Z192" s="108">
        <f>'SC (Gross)'!Z192</f>
        <v>36318789.799999997</v>
      </c>
      <c r="AA192" s="110">
        <f t="shared" ref="AA192:AA194" si="106">ROUND(X191/AB191*(W192)+Z191/AB191*Y192,4)</f>
        <v>-3.5467</v>
      </c>
      <c r="AB192" s="111">
        <f t="shared" si="80"/>
        <v>73694318.719999999</v>
      </c>
    </row>
    <row r="193" spans="1:28" x14ac:dyDescent="0.25">
      <c r="A193" s="21">
        <v>43738</v>
      </c>
      <c r="B193" s="24">
        <f t="shared" ref="B193:B194" si="107">IF(A193&gt;A192,1+B192,"-")</f>
        <v>177</v>
      </c>
      <c r="C193" s="97" t="s">
        <v>108</v>
      </c>
      <c r="D193" s="84">
        <f t="shared" si="101"/>
        <v>4.0861999999999998</v>
      </c>
      <c r="E193" s="47">
        <f t="shared" ref="E193" si="108">E192*D193/100+E192</f>
        <v>5100227.8684749445</v>
      </c>
      <c r="F193" s="112"/>
      <c r="G193" s="106">
        <f>(E193/E190-1)*100</f>
        <v>2.44794498185128</v>
      </c>
      <c r="H193" s="49"/>
      <c r="I193" s="39"/>
      <c r="J193" s="20">
        <f t="shared" ref="J193" si="109">A193</f>
        <v>43738</v>
      </c>
      <c r="K193" s="27">
        <f>'SC (Gross)'!K193</f>
        <v>2.0805680904424926</v>
      </c>
      <c r="L193" s="46">
        <f t="shared" ref="L193" si="110">L192*K193/100+L192</f>
        <v>2845779.4760567741</v>
      </c>
      <c r="M193" s="112"/>
      <c r="N193" s="106">
        <f>(L193/L190-1)*100</f>
        <v>-2.4052066219888535</v>
      </c>
      <c r="O193" s="39"/>
      <c r="P193" s="20">
        <f t="shared" si="21"/>
        <v>43738</v>
      </c>
      <c r="Q193" s="45">
        <f>'SC (Gross)'!Q193</f>
        <v>3.3730588979806697</v>
      </c>
      <c r="R193" s="46">
        <f t="shared" ref="R193" si="111">R192*Q193/100+R192</f>
        <v>4357515.9497071235</v>
      </c>
      <c r="S193" s="112"/>
      <c r="T193" s="106">
        <f>(R193/R190-1)*100</f>
        <v>2.460752964088786</v>
      </c>
      <c r="U193" s="39"/>
      <c r="W193" s="107">
        <f>'SC (Gross)'!W193</f>
        <v>4.0034809999999998</v>
      </c>
      <c r="X193" s="108">
        <f>'SC (Gross)'!X193</f>
        <v>40887730.059999995</v>
      </c>
      <c r="Y193" s="227">
        <v>4.1713752027531692</v>
      </c>
      <c r="Z193" s="108">
        <f>'SC (Gross)'!Z193</f>
        <v>37833782.740000002</v>
      </c>
      <c r="AA193" s="110">
        <f t="shared" si="106"/>
        <v>4.0861999999999998</v>
      </c>
      <c r="AB193" s="111">
        <f t="shared" si="80"/>
        <v>78721512.799999997</v>
      </c>
    </row>
    <row r="194" spans="1:28" x14ac:dyDescent="0.25">
      <c r="A194" s="21">
        <v>43769</v>
      </c>
      <c r="B194" s="24">
        <f t="shared" si="107"/>
        <v>178</v>
      </c>
      <c r="C194" s="97" t="s">
        <v>108</v>
      </c>
      <c r="D194" s="84">
        <f t="shared" si="101"/>
        <v>1.5745</v>
      </c>
      <c r="E194" s="47">
        <f t="shared" ref="E194" si="112">E193*D194/100+E193</f>
        <v>5180530.9562640823</v>
      </c>
      <c r="F194" s="112"/>
      <c r="G194" s="106"/>
      <c r="H194" s="49"/>
      <c r="I194" s="39"/>
      <c r="J194" s="20">
        <f t="shared" ref="J194" si="113">A194</f>
        <v>43769</v>
      </c>
      <c r="K194" s="27">
        <f>'SC (Gross)'!K194</f>
        <v>2.6336339999999998</v>
      </c>
      <c r="L194" s="46">
        <f t="shared" ref="L194" si="114">L193*K194/100+L193</f>
        <v>2920726.8919032272</v>
      </c>
      <c r="M194" s="112"/>
      <c r="N194" s="106"/>
      <c r="O194" s="39"/>
      <c r="P194" s="20">
        <f t="shared" si="21"/>
        <v>43769</v>
      </c>
      <c r="Q194" s="45">
        <f>'SC (Gross)'!Q194</f>
        <v>2.6747834872361294</v>
      </c>
      <c r="R194" s="46">
        <f t="shared" ref="R194" si="115">R193*Q194/100+R193</f>
        <v>4474070.0667835698</v>
      </c>
      <c r="S194" s="112"/>
      <c r="T194" s="106"/>
      <c r="U194" s="39"/>
      <c r="W194" s="107">
        <f>'SC (Gross)'!W194</f>
        <v>1.4225939999999999</v>
      </c>
      <c r="X194" s="108">
        <f>'SC (Gross)'!X194</f>
        <v>42644166.770000003</v>
      </c>
      <c r="Y194" s="227">
        <v>1.7387634749609804</v>
      </c>
      <c r="Z194" s="108">
        <f>'SC (Gross)'!Z194</f>
        <v>38491622.799999997</v>
      </c>
      <c r="AA194" s="110">
        <f t="shared" si="106"/>
        <v>1.5745</v>
      </c>
      <c r="AB194" s="111">
        <f t="shared" si="80"/>
        <v>81135789.569999993</v>
      </c>
    </row>
    <row r="195" spans="1:28" x14ac:dyDescent="0.25">
      <c r="A195" s="21">
        <v>43799</v>
      </c>
      <c r="B195" s="24">
        <f t="shared" ref="B195:B202" si="116">IF(A195&gt;A194,1+B194,"-")</f>
        <v>179</v>
      </c>
      <c r="C195" s="97" t="s">
        <v>108</v>
      </c>
      <c r="D195" s="84">
        <f t="shared" ref="D195" si="117">AA195</f>
        <v>1.1524000000000001</v>
      </c>
      <c r="E195" s="47">
        <f t="shared" ref="E195" si="118">E194*D195/100+E194</f>
        <v>5240231.3950040694</v>
      </c>
      <c r="F195" s="112"/>
      <c r="G195" s="106"/>
      <c r="H195" s="49"/>
      <c r="I195" s="39"/>
      <c r="J195" s="20">
        <f t="shared" ref="J195" si="119">A195</f>
        <v>43799</v>
      </c>
      <c r="K195" s="27">
        <f>'SC (Gross)'!K195</f>
        <v>4.1039970911143833</v>
      </c>
      <c r="L195" s="46">
        <f t="shared" ref="L195" si="120">L194*K195/100+L194</f>
        <v>3040593.438586331</v>
      </c>
      <c r="M195" s="112"/>
      <c r="N195" s="106"/>
      <c r="O195" s="39"/>
      <c r="P195" s="20">
        <f t="shared" si="21"/>
        <v>43799</v>
      </c>
      <c r="Q195" s="45">
        <f>'SC (Gross)'!Q195</f>
        <v>0.74425547350908783</v>
      </c>
      <c r="R195" s="46">
        <f t="shared" ref="R195" si="121">R194*Q195/100+R194</f>
        <v>4507368.5781442383</v>
      </c>
      <c r="S195" s="112"/>
      <c r="T195" s="106"/>
      <c r="U195" s="39"/>
      <c r="W195" s="107">
        <f>'SC (Gross)'!W195</f>
        <v>1.15511551155116</v>
      </c>
      <c r="X195" s="108">
        <f>'SC (Gross)'!X195</f>
        <v>45117689.009999998</v>
      </c>
      <c r="Y195" s="227">
        <v>1.1494293186857796</v>
      </c>
      <c r="Z195" s="108">
        <f>'SC (Gross)'!Z195</f>
        <v>38934057.420000002</v>
      </c>
      <c r="AA195" s="110">
        <f t="shared" ref="AA195:AA196" si="122">ROUND(X194/AB194*(W195)+Z194/AB194*Y195,4)</f>
        <v>1.1524000000000001</v>
      </c>
      <c r="AB195" s="111">
        <f t="shared" ref="AB195:AB196" si="123">X195+Z195</f>
        <v>84051746.430000007</v>
      </c>
    </row>
    <row r="196" spans="1:28" x14ac:dyDescent="0.25">
      <c r="A196" s="21">
        <v>43830</v>
      </c>
      <c r="B196" s="24">
        <f t="shared" si="116"/>
        <v>180</v>
      </c>
      <c r="C196" s="97" t="s">
        <v>108</v>
      </c>
      <c r="D196" s="84">
        <f t="shared" ref="D196" si="124">AA196</f>
        <v>1.5955999999999999</v>
      </c>
      <c r="E196" s="47">
        <f t="shared" ref="E196" si="125">E195*D196/100+E195</f>
        <v>5323844.5271427548</v>
      </c>
      <c r="F196" s="112">
        <f>(E196/E$184-1)*100</f>
        <v>21.371158595087692</v>
      </c>
      <c r="G196" s="106">
        <f>(E196/E193-1)*100</f>
        <v>4.3844444686483186</v>
      </c>
      <c r="H196" s="49"/>
      <c r="I196" s="39"/>
      <c r="J196" s="20">
        <f t="shared" ref="J196" si="126">A196</f>
        <v>43830</v>
      </c>
      <c r="K196" s="27">
        <f>'SC (Gross)'!K196</f>
        <v>2.8824800000000002</v>
      </c>
      <c r="L196" s="46">
        <f t="shared" ref="L196" si="127">L195*K196/100+L195</f>
        <v>3128237.936334894</v>
      </c>
      <c r="M196" s="112">
        <f>(L196/L$184-1)*100</f>
        <v>25.485134285409039</v>
      </c>
      <c r="N196" s="106">
        <f>(L196/L193-1)*100</f>
        <v>9.9255217297970599</v>
      </c>
      <c r="O196" s="39"/>
      <c r="P196" s="20">
        <f t="shared" si="21"/>
        <v>43830</v>
      </c>
      <c r="Q196" s="45">
        <f>'SC (Gross)'!Q196</f>
        <v>1.5971227785549391</v>
      </c>
      <c r="R196" s="46">
        <f t="shared" ref="R196" si="128">R195*Q196/100+R195</f>
        <v>4579356.7884192076</v>
      </c>
      <c r="S196" s="112">
        <f>(R196/R$184-1)*100</f>
        <v>22.761983347085678</v>
      </c>
      <c r="T196" s="106">
        <f>(R196/R193-1)*100</f>
        <v>5.0909931546434084</v>
      </c>
      <c r="U196" s="39"/>
      <c r="W196" s="107">
        <f>'SC (Gross)'!W196</f>
        <v>1.669171</v>
      </c>
      <c r="X196" s="108">
        <f>'SC (Gross)'!X196</f>
        <v>47470285.57</v>
      </c>
      <c r="Y196" s="107">
        <v>1.5103075438555047</v>
      </c>
      <c r="Z196" s="108">
        <f>'SC (Gross)'!Z196</f>
        <v>39522080.510000005</v>
      </c>
      <c r="AA196" s="110">
        <f t="shared" si="122"/>
        <v>1.5955999999999999</v>
      </c>
      <c r="AB196" s="111">
        <f t="shared" si="123"/>
        <v>86992366.080000013</v>
      </c>
    </row>
    <row r="197" spans="1:28" x14ac:dyDescent="0.25">
      <c r="A197" s="21">
        <v>43861</v>
      </c>
      <c r="B197" s="24">
        <f t="shared" si="116"/>
        <v>181</v>
      </c>
      <c r="C197" s="97" t="s">
        <v>108</v>
      </c>
      <c r="D197" s="84">
        <f t="shared" ref="D197:D199" si="129">AA197</f>
        <v>-3.0787</v>
      </c>
      <c r="E197" s="47">
        <f t="shared" ref="E197:E199" si="130">E196*D197/100+E196</f>
        <v>5159939.325685611</v>
      </c>
      <c r="F197" s="112"/>
      <c r="G197" s="106"/>
      <c r="H197" s="49"/>
      <c r="I197" s="39"/>
      <c r="J197" s="20">
        <f t="shared" ref="J197:J198" si="131">A197</f>
        <v>43861</v>
      </c>
      <c r="K197" s="27">
        <f>'SC (Gross)'!K197</f>
        <v>-3.2096710000000002</v>
      </c>
      <c r="L197" s="46">
        <f t="shared" ref="L197:L198" si="132">L196*K197/100+L196</f>
        <v>3027831.7904813546</v>
      </c>
      <c r="M197" s="112"/>
      <c r="N197" s="106"/>
      <c r="O197" s="39"/>
      <c r="P197" s="20">
        <f t="shared" si="21"/>
        <v>43861</v>
      </c>
      <c r="Q197" s="45">
        <f>'SC (Gross)'!Q197</f>
        <v>-2.4641418276770821</v>
      </c>
      <c r="R197" s="46">
        <f t="shared" ref="R197:R198" si="133">R196*Q197/100+R196</f>
        <v>4466514.9423572002</v>
      </c>
      <c r="S197" s="112"/>
      <c r="T197" s="106"/>
      <c r="U197" s="39"/>
      <c r="W197" s="107">
        <f>'SC (Gross)'!W197</f>
        <v>-3.2441200000000001</v>
      </c>
      <c r="X197" s="108">
        <f>'SC (Gross)'!X197</f>
        <v>50030491.480000004</v>
      </c>
      <c r="Y197" s="227">
        <v>-2.88</v>
      </c>
      <c r="Z197" s="108">
        <f>'SC (Gross)'!Z197</f>
        <v>38384529.159999996</v>
      </c>
      <c r="AA197" s="110">
        <f t="shared" ref="AA197:AA205" si="134">ROUND(X196/AB196*(W197)+Z196/AB196*Y197,4)</f>
        <v>-3.0787</v>
      </c>
      <c r="AB197" s="111">
        <f t="shared" ref="AB197:AB205" si="135">X197+Z197</f>
        <v>88415020.640000001</v>
      </c>
    </row>
    <row r="198" spans="1:28" x14ac:dyDescent="0.25">
      <c r="A198" s="21">
        <v>43890</v>
      </c>
      <c r="B198" s="24">
        <f t="shared" si="116"/>
        <v>182</v>
      </c>
      <c r="C198" s="97" t="s">
        <v>108</v>
      </c>
      <c r="D198" s="84">
        <f t="shared" si="129"/>
        <v>-9.8003999999999998</v>
      </c>
      <c r="E198" s="47">
        <f t="shared" si="130"/>
        <v>4654244.6320111183</v>
      </c>
      <c r="F198" s="112"/>
      <c r="G198" s="106"/>
      <c r="H198" s="49"/>
      <c r="I198" s="39"/>
      <c r="J198" s="20">
        <f t="shared" si="131"/>
        <v>43890</v>
      </c>
      <c r="K198" s="27">
        <f>'SC (Gross)'!K198</f>
        <v>-8.4235100000000003</v>
      </c>
      <c r="L198" s="46">
        <f t="shared" si="132"/>
        <v>2772782.0768269785</v>
      </c>
      <c r="M198" s="112"/>
      <c r="O198" s="39"/>
      <c r="P198" s="20">
        <f t="shared" si="21"/>
        <v>43890</v>
      </c>
      <c r="Q198" s="45">
        <f>'SC (Gross)'!Q198</f>
        <v>-8.7916402151759154</v>
      </c>
      <c r="R198" s="46">
        <f t="shared" si="133"/>
        <v>4073835.0184680833</v>
      </c>
      <c r="S198" s="112"/>
      <c r="U198" s="39"/>
      <c r="W198" s="107">
        <f>'SC (Gross)'!W198</f>
        <v>-9.6395649999999993</v>
      </c>
      <c r="X198" s="108">
        <f>'SC (Gross)'!X198</f>
        <v>45438868.680000007</v>
      </c>
      <c r="Y198" s="227">
        <v>-10.01</v>
      </c>
      <c r="Z198" s="108">
        <f>'SC (Gross)'!Z198</f>
        <v>34647497.219999999</v>
      </c>
      <c r="AA198" s="110">
        <f t="shared" si="134"/>
        <v>-9.8003999999999998</v>
      </c>
      <c r="AB198" s="111">
        <f t="shared" si="135"/>
        <v>80086365.900000006</v>
      </c>
    </row>
    <row r="199" spans="1:28" x14ac:dyDescent="0.25">
      <c r="A199" s="21">
        <v>43921</v>
      </c>
      <c r="B199" s="24">
        <f t="shared" si="116"/>
        <v>183</v>
      </c>
      <c r="C199" s="97" t="s">
        <v>108</v>
      </c>
      <c r="D199" s="84">
        <f t="shared" si="129"/>
        <v>-21.0672</v>
      </c>
      <c r="E199" s="47">
        <f t="shared" si="130"/>
        <v>3673725.6068960722</v>
      </c>
      <c r="F199" s="112"/>
      <c r="G199" s="106">
        <f t="shared" ref="G199" si="136">(E199/E196-1)*100</f>
        <v>-30.994874321250741</v>
      </c>
      <c r="H199" s="49"/>
      <c r="I199" s="39"/>
      <c r="J199" s="20">
        <f t="shared" ref="J199" si="137">A199</f>
        <v>43921</v>
      </c>
      <c r="K199" s="27">
        <f>'SC (Gross)'!K199</f>
        <v>-21.728459999999998</v>
      </c>
      <c r="L199" s="46">
        <f t="shared" ref="L199" si="138">L198*K199/100+L198</f>
        <v>2170299.2323764591</v>
      </c>
      <c r="M199" s="112"/>
      <c r="N199" s="106">
        <f>(L199/L196-1)*100</f>
        <v>-30.622309538281954</v>
      </c>
      <c r="O199" s="39"/>
      <c r="P199" s="20">
        <f t="shared" si="21"/>
        <v>43921</v>
      </c>
      <c r="Q199" s="45">
        <f>'SC (Gross)'!Q199</f>
        <v>-25.378923171323652</v>
      </c>
      <c r="R199" s="46">
        <f t="shared" ref="R199" si="139">R198*Q199/100+R198</f>
        <v>3039939.5590045899</v>
      </c>
      <c r="S199" s="112"/>
      <c r="T199" s="106">
        <f>(R199/R196-1)*100</f>
        <v>-33.616450967691989</v>
      </c>
      <c r="U199" s="39"/>
      <c r="W199" s="107">
        <f>'SC (Gross)'!W199</f>
        <v>-21.057510000000001</v>
      </c>
      <c r="X199" s="108">
        <f>'SC (Gross)'!X199</f>
        <v>35990238.039999992</v>
      </c>
      <c r="Y199" s="227">
        <v>-21.08</v>
      </c>
      <c r="Z199" s="108">
        <f>'SC (Gross)'!Z199</f>
        <v>27259879.199999999</v>
      </c>
      <c r="AA199" s="110">
        <f t="shared" si="134"/>
        <v>-21.0672</v>
      </c>
      <c r="AB199" s="111">
        <f t="shared" si="135"/>
        <v>63250117.239999995</v>
      </c>
    </row>
    <row r="200" spans="1:28" x14ac:dyDescent="0.25">
      <c r="A200" s="21">
        <v>43951</v>
      </c>
      <c r="B200" s="24">
        <f t="shared" si="116"/>
        <v>184</v>
      </c>
      <c r="C200" s="97" t="s">
        <v>108</v>
      </c>
      <c r="D200" s="84">
        <f t="shared" ref="D200:D202" si="140">AA200</f>
        <v>5.3211000000000004</v>
      </c>
      <c r="E200" s="47">
        <f t="shared" ref="E200:E202" si="141">E199*D200/100+E199</f>
        <v>3869208.2201646189</v>
      </c>
      <c r="H200" s="49"/>
      <c r="I200" s="39"/>
      <c r="J200" s="20">
        <f t="shared" ref="J200" si="142">A200</f>
        <v>43951</v>
      </c>
      <c r="K200" s="27">
        <f>'SC (Gross)'!K200</f>
        <v>13.736280000000001</v>
      </c>
      <c r="L200" s="46">
        <f t="shared" ref="L200" si="143">L199*K200/100+L199</f>
        <v>2468417.6117735403</v>
      </c>
      <c r="M200" s="112"/>
      <c r="N200" s="106"/>
      <c r="O200" s="39"/>
      <c r="P200" s="20">
        <f t="shared" si="21"/>
        <v>43951</v>
      </c>
      <c r="Q200" s="45">
        <f>'SC (Gross)'!Q200</f>
        <v>5.6627740720058402</v>
      </c>
      <c r="R200" s="46">
        <f t="shared" ref="R200" si="144">R199*Q200/100+R199</f>
        <v>3212084.4681565505</v>
      </c>
      <c r="S200" s="112"/>
      <c r="T200" s="106"/>
      <c r="U200" s="39"/>
      <c r="W200" s="107">
        <f>'SC (Gross)'!W200</f>
        <v>5.170388</v>
      </c>
      <c r="X200" s="108">
        <f>'SC (Gross)'!X200</f>
        <v>40620810.289999999</v>
      </c>
      <c r="Y200" s="241">
        <v>5.52</v>
      </c>
      <c r="Z200" s="108">
        <f>'SC (Gross)'!Z200</f>
        <v>28793197.400000002</v>
      </c>
      <c r="AA200" s="110">
        <f t="shared" si="134"/>
        <v>5.3211000000000004</v>
      </c>
      <c r="AB200" s="111">
        <f t="shared" si="135"/>
        <v>69414007.689999998</v>
      </c>
    </row>
    <row r="201" spans="1:28" x14ac:dyDescent="0.25">
      <c r="A201" s="21">
        <v>43982</v>
      </c>
      <c r="B201" s="24">
        <f t="shared" si="116"/>
        <v>185</v>
      </c>
      <c r="C201" s="97" t="s">
        <v>108</v>
      </c>
      <c r="D201" s="84">
        <f t="shared" si="140"/>
        <v>5.2351999999999999</v>
      </c>
      <c r="E201" s="47">
        <f t="shared" si="141"/>
        <v>4071769.0089066769</v>
      </c>
      <c r="H201" s="49"/>
      <c r="I201" s="39"/>
      <c r="J201" s="20">
        <f t="shared" ref="J201" si="145">A201</f>
        <v>43982</v>
      </c>
      <c r="K201" s="27">
        <f>'SC (Gross)'!K201</f>
        <v>6.507466</v>
      </c>
      <c r="L201" s="46">
        <f t="shared" ref="L201" si="146">L200*K201/100+L200</f>
        <v>2629049.0485977153</v>
      </c>
      <c r="M201" s="112"/>
      <c r="N201" s="106"/>
      <c r="O201" s="39"/>
      <c r="P201" s="20">
        <f t="shared" si="21"/>
        <v>43982</v>
      </c>
      <c r="Q201" s="45">
        <f>'SC (Gross)'!Q201</f>
        <v>-4.4532978680155786</v>
      </c>
      <c r="R201" s="46">
        <f t="shared" ref="R201" si="147">R200*Q201/100+R200</f>
        <v>3069040.7790172752</v>
      </c>
      <c r="S201" s="112"/>
      <c r="T201" s="106"/>
      <c r="U201" s="39"/>
      <c r="W201" s="107">
        <f>'SC (Gross)'!W201</f>
        <v>5.1396649999999999</v>
      </c>
      <c r="X201" s="108">
        <f>'SC (Gross)'!X201</f>
        <v>44066075.479999997</v>
      </c>
      <c r="Y201" s="241">
        <v>5.37</v>
      </c>
      <c r="Z201" s="108">
        <f>'SC (Gross)'!Z201</f>
        <v>30315837.530000001</v>
      </c>
      <c r="AA201" s="110">
        <f t="shared" si="134"/>
        <v>5.2351999999999999</v>
      </c>
      <c r="AB201" s="111">
        <f t="shared" si="135"/>
        <v>74381913.00999999</v>
      </c>
    </row>
    <row r="202" spans="1:28" x14ac:dyDescent="0.25">
      <c r="A202" s="21">
        <v>44012</v>
      </c>
      <c r="B202" s="24">
        <f t="shared" si="116"/>
        <v>186</v>
      </c>
      <c r="C202" s="97" t="s">
        <v>108</v>
      </c>
      <c r="D202" s="84">
        <f t="shared" si="140"/>
        <v>0.4597</v>
      </c>
      <c r="E202" s="47">
        <f t="shared" si="141"/>
        <v>4090486.9310406209</v>
      </c>
      <c r="F202" s="112"/>
      <c r="G202" s="106">
        <f>(E202/E199-1)*100</f>
        <v>11.344378125634424</v>
      </c>
      <c r="H202" s="49"/>
      <c r="I202" s="39"/>
      <c r="J202" s="20">
        <f t="shared" ref="J202" si="148">A202</f>
        <v>44012</v>
      </c>
      <c r="K202" s="27">
        <f>'SC (Gross)'!K202</f>
        <v>3.5346199999999999</v>
      </c>
      <c r="L202" s="46">
        <f t="shared" ref="L202" si="149">L201*K202/100+L201</f>
        <v>2721975.94207926</v>
      </c>
      <c r="M202" s="112"/>
      <c r="N202" s="106">
        <f>(L202/L199-1)*100</f>
        <v>25.419384639357755</v>
      </c>
      <c r="O202" s="39"/>
      <c r="P202" s="20">
        <f t="shared" si="21"/>
        <v>44012</v>
      </c>
      <c r="Q202" s="45">
        <f>'SC (Gross)'!Q202</f>
        <v>1.5323458080829591</v>
      </c>
      <c r="R202" s="46">
        <f t="shared" ref="R202" si="150">R201*Q202/100+R201</f>
        <v>3116069.0967429029</v>
      </c>
      <c r="S202" s="112"/>
      <c r="T202" s="106">
        <f>(R202/R199-1)*100</f>
        <v>2.5043109002877983</v>
      </c>
      <c r="U202" s="39"/>
      <c r="W202" s="107">
        <f>'SC (Gross)'!W202</f>
        <v>0.4250797</v>
      </c>
      <c r="X202" s="108">
        <f>'SC (Gross)'!X202</f>
        <v>45700701.699999996</v>
      </c>
      <c r="Y202" s="241">
        <v>0.51</v>
      </c>
      <c r="Z202" s="108">
        <f>'SC (Gross)'!Z202</f>
        <v>30464718.829999998</v>
      </c>
      <c r="AA202" s="110">
        <f t="shared" si="134"/>
        <v>0.4597</v>
      </c>
      <c r="AB202" s="111">
        <f t="shared" si="135"/>
        <v>76165420.530000001</v>
      </c>
    </row>
    <row r="203" spans="1:28" x14ac:dyDescent="0.25">
      <c r="A203" s="21">
        <v>44043</v>
      </c>
      <c r="B203" s="24">
        <f t="shared" ref="B203:B206" si="151">IF(A203&gt;A202,1+B202,"-")</f>
        <v>187</v>
      </c>
      <c r="C203" s="97" t="s">
        <v>108</v>
      </c>
      <c r="D203" s="84">
        <f t="shared" ref="D203:D204" si="152">AA203</f>
        <v>5.4141000000000004</v>
      </c>
      <c r="E203" s="47">
        <f t="shared" ref="E203:E204" si="153">E202*D203/100+E202</f>
        <v>4311949.9839740908</v>
      </c>
      <c r="H203" s="49"/>
      <c r="I203" s="39"/>
      <c r="J203" s="20">
        <f t="shared" ref="J203" si="154">A203</f>
        <v>44043</v>
      </c>
      <c r="K203" s="27">
        <f>'SC (Gross)'!K203</f>
        <v>2.7678639999999999</v>
      </c>
      <c r="L203" s="46">
        <f t="shared" ref="L203" si="155">L202*K203/100+L202</f>
        <v>2797316.5342687326</v>
      </c>
      <c r="M203" s="112"/>
      <c r="N203" s="106"/>
      <c r="O203" s="39"/>
      <c r="P203" s="20">
        <f t="shared" si="21"/>
        <v>44043</v>
      </c>
      <c r="Q203" s="45">
        <f>'SC (Gross)'!Q203</f>
        <v>1.3403975095785363</v>
      </c>
      <c r="R203" s="46">
        <f t="shared" ref="R203" si="156">R202*Q203/100+R202</f>
        <v>3157836.8093123911</v>
      </c>
      <c r="S203" s="112"/>
      <c r="T203" s="106"/>
      <c r="U203" s="39"/>
      <c r="W203" s="107">
        <f>'SC (Gross)'!W203</f>
        <v>5.3968249999999998</v>
      </c>
      <c r="X203" s="108">
        <f>'SC (Gross)'!X203</f>
        <v>48523553.75</v>
      </c>
      <c r="Y203" s="241">
        <v>5.44</v>
      </c>
      <c r="Z203" s="108">
        <f>'SC (Gross)'!Z203</f>
        <v>32127006.960000001</v>
      </c>
      <c r="AA203" s="110">
        <f t="shared" si="134"/>
        <v>5.4141000000000004</v>
      </c>
      <c r="AB203" s="111">
        <f t="shared" si="135"/>
        <v>80650560.710000008</v>
      </c>
    </row>
    <row r="204" spans="1:28" x14ac:dyDescent="0.25">
      <c r="A204" s="21">
        <v>44074</v>
      </c>
      <c r="B204" s="24">
        <f t="shared" si="151"/>
        <v>188</v>
      </c>
      <c r="C204" s="97" t="s">
        <v>108</v>
      </c>
      <c r="D204" s="84">
        <f t="shared" si="152"/>
        <v>0.72560000000000002</v>
      </c>
      <c r="E204" s="47">
        <f t="shared" si="153"/>
        <v>4343237.493057807</v>
      </c>
      <c r="F204" s="112"/>
      <c r="H204" s="49"/>
      <c r="I204" s="39"/>
      <c r="J204" s="20">
        <f t="shared" ref="J204" si="157">A204</f>
        <v>44074</v>
      </c>
      <c r="K204" s="27">
        <f>'SC (Gross)'!K204</f>
        <v>5.6343430000000003</v>
      </c>
      <c r="L204" s="46">
        <f t="shared" ref="L204" si="158">L203*K204/100+L203</f>
        <v>2954926.9426051457</v>
      </c>
      <c r="M204" s="112"/>
      <c r="N204" s="106"/>
      <c r="O204" s="39"/>
      <c r="P204" s="20">
        <f t="shared" si="21"/>
        <v>44074</v>
      </c>
      <c r="Q204" s="45">
        <f>'SC (Gross)'!Q204</f>
        <v>2.6831443947565896</v>
      </c>
      <c r="R204" s="46">
        <f t="shared" ref="R204" si="159">R203*Q204/100+R203</f>
        <v>3242566.1306570168</v>
      </c>
      <c r="S204" s="112"/>
      <c r="T204" s="106"/>
      <c r="U204" s="39"/>
      <c r="W204" s="107">
        <f>'SC (Gross)'!W204</f>
        <v>0.70281119999999997</v>
      </c>
      <c r="X204" s="108">
        <f>'SC (Gross)'!X204</f>
        <v>49904615.930000007</v>
      </c>
      <c r="Y204" s="241">
        <v>0.76</v>
      </c>
      <c r="Z204" s="108">
        <f>'SC (Gross)'!Z204</f>
        <v>32373650.619999997</v>
      </c>
      <c r="AA204" s="110">
        <f t="shared" si="134"/>
        <v>0.72560000000000002</v>
      </c>
      <c r="AB204" s="111">
        <f t="shared" si="135"/>
        <v>82278266.550000012</v>
      </c>
    </row>
    <row r="205" spans="1:28" x14ac:dyDescent="0.25">
      <c r="A205" s="21">
        <v>44104</v>
      </c>
      <c r="B205" s="24">
        <f t="shared" si="151"/>
        <v>189</v>
      </c>
      <c r="C205" s="97" t="s">
        <v>108</v>
      </c>
      <c r="D205" s="84">
        <f t="shared" ref="D205:D211" si="160">AA205</f>
        <v>-3.5145</v>
      </c>
      <c r="E205" s="47">
        <f t="shared" ref="E205:E211" si="161">E204*D205/100+E204</f>
        <v>4190594.4113642904</v>
      </c>
      <c r="F205" s="112"/>
      <c r="G205" s="106">
        <f>(E205/E202-1)*100</f>
        <v>2.4473242919811122</v>
      </c>
      <c r="H205" s="49"/>
      <c r="I205" s="39"/>
      <c r="J205" s="20">
        <f t="shared" ref="J205" si="162">A205</f>
        <v>44104</v>
      </c>
      <c r="K205" s="27">
        <f>'SC (Gross)'!K205</f>
        <v>-3.3404400000000001</v>
      </c>
      <c r="L205" s="46">
        <f t="shared" ref="L205" si="163">L204*K205/100+L204</f>
        <v>2856219.3810435864</v>
      </c>
      <c r="M205" s="112"/>
      <c r="N205" s="106">
        <f>(L205/L202-1)*100</f>
        <v>4.9318378200573276</v>
      </c>
      <c r="O205" s="39"/>
      <c r="P205" s="20">
        <f t="shared" si="21"/>
        <v>44104</v>
      </c>
      <c r="Q205" s="45">
        <f>'SC (Gross)'!Q205</f>
        <v>-5.2812951254451397</v>
      </c>
      <c r="R205" s="46">
        <f t="shared" ref="R205" si="164">R204*Q205/100+R204</f>
        <v>3071316.6436592927</v>
      </c>
      <c r="S205" s="112"/>
      <c r="T205" s="106">
        <f>(R205/R202-1)*100</f>
        <v>-1.4361829501915779</v>
      </c>
      <c r="U205" s="39"/>
      <c r="W205" s="107">
        <f>'SC (Gross)'!W205</f>
        <v>-3.4895320000000001</v>
      </c>
      <c r="X205" s="108">
        <f>'SC (Gross)'!X205</f>
        <v>48260548.789999999</v>
      </c>
      <c r="Y205" s="240">
        <v>-3.5530988565416073</v>
      </c>
      <c r="Z205" s="108">
        <f>'SC (Gross)'!Z205</f>
        <v>31223382.810000002</v>
      </c>
      <c r="AA205" s="110">
        <f t="shared" si="134"/>
        <v>-3.5145</v>
      </c>
      <c r="AB205" s="111">
        <f t="shared" si="135"/>
        <v>79483931.599999994</v>
      </c>
    </row>
    <row r="206" spans="1:28" x14ac:dyDescent="0.25">
      <c r="A206" s="21">
        <v>44135</v>
      </c>
      <c r="B206" s="24">
        <f t="shared" si="151"/>
        <v>190</v>
      </c>
      <c r="C206" s="97" t="s">
        <v>108</v>
      </c>
      <c r="D206" s="84">
        <f t="shared" si="160"/>
        <v>1.4518</v>
      </c>
      <c r="E206" s="47">
        <f t="shared" si="161"/>
        <v>4251433.4610284772</v>
      </c>
      <c r="H206" s="49"/>
      <c r="I206" s="39"/>
      <c r="J206" s="20">
        <f t="shared" ref="J206" si="165">A206</f>
        <v>44135</v>
      </c>
      <c r="K206" s="27">
        <f>'SC (Gross)'!K206</f>
        <v>2.0943360000000002</v>
      </c>
      <c r="L206" s="46">
        <f t="shared" ref="L206" si="166">L205*K206/100+L205</f>
        <v>2916038.2117797593</v>
      </c>
      <c r="M206" s="112"/>
      <c r="O206" s="39"/>
      <c r="P206" s="20">
        <f t="shared" si="21"/>
        <v>44135</v>
      </c>
      <c r="Q206" s="45">
        <f>'SC (Gross)'!Q206</f>
        <v>2.0814985331721734</v>
      </c>
      <c r="R206" s="46">
        <f t="shared" ref="R206" si="167">R205*Q206/100+R205</f>
        <v>3135246.0545461336</v>
      </c>
      <c r="S206" s="112"/>
      <c r="U206" s="39"/>
      <c r="W206" s="107">
        <f>'SC (Gross)'!W206</f>
        <v>1.342975</v>
      </c>
      <c r="X206" s="108">
        <f>'SC (Gross)'!X206</f>
        <v>49411422.199999996</v>
      </c>
      <c r="Y206" s="240">
        <v>1.62</v>
      </c>
      <c r="Z206" s="108">
        <f>'SC (Gross)'!Z206</f>
        <v>31743337.889999997</v>
      </c>
      <c r="AA206" s="110">
        <f t="shared" ref="AA206:AA211" si="168">ROUND(X205/AB205*(W206)+Z205/AB205*Y206,4)</f>
        <v>1.4518</v>
      </c>
      <c r="AB206" s="111">
        <f t="shared" ref="AB206:AB211" si="169">X206+Z206</f>
        <v>81154760.089999989</v>
      </c>
    </row>
    <row r="207" spans="1:28" x14ac:dyDescent="0.25">
      <c r="A207" s="21">
        <v>44165</v>
      </c>
      <c r="B207" s="24">
        <f t="shared" ref="B207:B210" si="170">IF(A207&gt;A206,1+B206,"-")</f>
        <v>191</v>
      </c>
      <c r="C207" s="97" t="s">
        <v>108</v>
      </c>
      <c r="D207" s="84">
        <f t="shared" si="160"/>
        <v>4.8765999999999998</v>
      </c>
      <c r="E207" s="47">
        <f t="shared" si="161"/>
        <v>4458758.8651889917</v>
      </c>
      <c r="H207" s="49"/>
      <c r="I207" s="39"/>
      <c r="J207" s="20">
        <f t="shared" ref="J207" si="171">A207</f>
        <v>44165</v>
      </c>
      <c r="K207" s="27">
        <f>'SC (Gross)'!K207</f>
        <v>18.421068002624729</v>
      </c>
      <c r="L207" s="46">
        <f t="shared" ref="L207:L208" si="172">L206*K207/100+L206</f>
        <v>3453203.593754231</v>
      </c>
      <c r="M207" s="112"/>
      <c r="O207" s="39"/>
      <c r="P207" s="20">
        <f t="shared" si="21"/>
        <v>44165</v>
      </c>
      <c r="Q207" s="45">
        <f>'SC (Gross)'!Q207</f>
        <v>12.627626912916201</v>
      </c>
      <c r="R207" s="46">
        <f t="shared" ref="R207" si="173">R206*Q207/100+R206</f>
        <v>3531153.2291161446</v>
      </c>
      <c r="S207" s="112"/>
      <c r="U207" s="39"/>
      <c r="W207" s="107">
        <f>'SC (Gross)'!W207</f>
        <v>4.8929663608562555</v>
      </c>
      <c r="X207" s="108">
        <f>'SC (Gross)'!X207</f>
        <v>55058446.780000001</v>
      </c>
      <c r="Y207" s="240">
        <v>4.8510143376707733</v>
      </c>
      <c r="Z207" s="108">
        <f>'SC (Gross)'!Z207</f>
        <v>33295628.050000001</v>
      </c>
      <c r="AA207" s="110">
        <f t="shared" si="168"/>
        <v>4.8765999999999998</v>
      </c>
      <c r="AB207" s="111">
        <f t="shared" si="169"/>
        <v>88354074.829999998</v>
      </c>
    </row>
    <row r="208" spans="1:28" x14ac:dyDescent="0.25">
      <c r="A208" s="21">
        <v>44196</v>
      </c>
      <c r="B208" s="24">
        <f t="shared" si="170"/>
        <v>192</v>
      </c>
      <c r="C208" s="97" t="s">
        <v>108</v>
      </c>
      <c r="D208" s="84">
        <f t="shared" si="160"/>
        <v>6.0034000000000001</v>
      </c>
      <c r="E208" s="47">
        <f t="shared" si="161"/>
        <v>4726435.9949017474</v>
      </c>
      <c r="F208" s="112">
        <f>(E208/E$196-1)*100</f>
        <v>-11.221374500987347</v>
      </c>
      <c r="G208" s="106">
        <f>(E208/E205-1)*100</f>
        <v>12.786767960276268</v>
      </c>
      <c r="H208" s="49"/>
      <c r="I208" s="39"/>
      <c r="J208" s="20">
        <f t="shared" ref="J208" si="174">A208</f>
        <v>44196</v>
      </c>
      <c r="K208" s="27">
        <f>'SC (Gross)'!K208</f>
        <v>8.6478210000000004</v>
      </c>
      <c r="L208" s="46">
        <f t="shared" si="172"/>
        <v>3751830.4593076641</v>
      </c>
      <c r="M208" s="112">
        <f>(L208/L$196-1)*100</f>
        <v>19.934306010730872</v>
      </c>
      <c r="N208" s="106">
        <f>(L208/L205-1)*100</f>
        <v>31.356522688983546</v>
      </c>
      <c r="O208" s="39"/>
      <c r="P208" s="20">
        <f t="shared" si="21"/>
        <v>44196</v>
      </c>
      <c r="Q208" s="45">
        <f>'SC (Gross)'!Q208</f>
        <v>7.3711903894004447</v>
      </c>
      <c r="R208" s="46">
        <f t="shared" ref="R208" si="175">R207*Q208/100+R207</f>
        <v>3791441.2565757572</v>
      </c>
      <c r="S208" s="112">
        <f>(R208/R$196-1)*100</f>
        <v>-17.205812262456156</v>
      </c>
      <c r="T208" s="106">
        <f>(R208/R205-1)*100</f>
        <v>23.446772067710953</v>
      </c>
      <c r="U208" s="39"/>
      <c r="W208" s="107">
        <f>'SC (Gross)'!W208</f>
        <v>5.8791419999999999</v>
      </c>
      <c r="X208" s="108">
        <f>'SC (Gross)'!X208</f>
        <v>55550816.420000002</v>
      </c>
      <c r="Y208" s="240">
        <v>6.2087970011467153</v>
      </c>
      <c r="Z208" s="108">
        <f>'SC (Gross)'!Z208</f>
        <v>35344272.600000001</v>
      </c>
      <c r="AA208" s="110">
        <f t="shared" si="168"/>
        <v>6.0034000000000001</v>
      </c>
      <c r="AB208" s="111">
        <f t="shared" si="169"/>
        <v>90895089.020000011</v>
      </c>
    </row>
    <row r="209" spans="1:28" x14ac:dyDescent="0.25">
      <c r="A209" s="21">
        <v>44227</v>
      </c>
      <c r="B209" s="24">
        <f t="shared" si="170"/>
        <v>193</v>
      </c>
      <c r="C209" s="97" t="s">
        <v>108</v>
      </c>
      <c r="D209" s="84">
        <f t="shared" si="160"/>
        <v>2.2425999999999999</v>
      </c>
      <c r="E209" s="47">
        <f t="shared" si="161"/>
        <v>4832431.0485234139</v>
      </c>
      <c r="H209" s="49"/>
      <c r="I209" s="39"/>
      <c r="J209" s="20">
        <f t="shared" ref="J209" si="176">A209</f>
        <v>44227</v>
      </c>
      <c r="K209" s="27">
        <f>'SC (Gross)'!K209</f>
        <v>5.0320150000000003</v>
      </c>
      <c r="L209" s="46">
        <f t="shared" ref="L209" si="177">L208*K209/100+L208</f>
        <v>3940623.1307945945</v>
      </c>
      <c r="O209" s="39"/>
      <c r="P209" s="20">
        <f t="shared" si="21"/>
        <v>44227</v>
      </c>
      <c r="Q209" s="45">
        <f>'SC (Gross)'!Q209</f>
        <v>0.80199169471176157</v>
      </c>
      <c r="R209" s="46">
        <f t="shared" ref="R209" si="178">R208*Q209/100+R208</f>
        <v>3821848.3005633699</v>
      </c>
      <c r="U209" s="39"/>
      <c r="W209" s="107">
        <f>'SC (Gross)'!W209</f>
        <v>2.2079119999999999</v>
      </c>
      <c r="X209" s="108">
        <f>'SC (Gross)'!X209</f>
        <v>56912012.320000008</v>
      </c>
      <c r="Y209" s="240">
        <v>2.2970515169999999</v>
      </c>
      <c r="Z209" s="108">
        <f>'SC (Gross)'!Z209</f>
        <v>36156148.749999993</v>
      </c>
      <c r="AA209" s="110">
        <f t="shared" si="168"/>
        <v>2.2425999999999999</v>
      </c>
      <c r="AB209" s="111">
        <f t="shared" si="169"/>
        <v>93068161.069999993</v>
      </c>
    </row>
    <row r="210" spans="1:28" x14ac:dyDescent="0.25">
      <c r="A210" s="21">
        <v>44255</v>
      </c>
      <c r="B210" s="24">
        <f t="shared" si="170"/>
        <v>194</v>
      </c>
      <c r="C210" s="97" t="s">
        <v>108</v>
      </c>
      <c r="D210" s="84">
        <f t="shared" si="160"/>
        <v>1.5249999999999999</v>
      </c>
      <c r="E210" s="47">
        <f t="shared" si="161"/>
        <v>4906125.6220133957</v>
      </c>
      <c r="H210" s="49"/>
      <c r="I210" s="39"/>
      <c r="J210" s="20">
        <f t="shared" ref="J210" si="179">A210</f>
        <v>44255</v>
      </c>
      <c r="K210" s="27">
        <f>'SC (Gross)'!K210</f>
        <v>6.2316390000000004</v>
      </c>
      <c r="L210" s="46">
        <f t="shared" ref="L210" si="180">L209*K210/100+L209</f>
        <v>4186188.5386562115</v>
      </c>
      <c r="M210" s="112"/>
      <c r="O210" s="39"/>
      <c r="P210" s="20">
        <f t="shared" si="21"/>
        <v>44255</v>
      </c>
      <c r="Q210" s="45">
        <f>'SC (Gross)'!Q210</f>
        <v>8.4144400000000008</v>
      </c>
      <c r="R210" s="46">
        <f t="shared" ref="R210" si="181">R209*Q210/100+R209</f>
        <v>4143435.4327052943</v>
      </c>
      <c r="S210" s="112"/>
      <c r="U210" s="39"/>
      <c r="W210" s="107">
        <f>'SC (Gross)'!W210</f>
        <v>1.5301530000000001</v>
      </c>
      <c r="X210" s="108">
        <f>'SC (Gross)'!X210</f>
        <v>36792126.93</v>
      </c>
      <c r="Y210" s="240">
        <v>1.5169344882175899</v>
      </c>
      <c r="Z210" s="108">
        <f>'SC (Gross)'!Z210</f>
        <v>36704613.840000004</v>
      </c>
      <c r="AA210" s="110">
        <f t="shared" si="168"/>
        <v>1.5249999999999999</v>
      </c>
      <c r="AB210" s="111">
        <f t="shared" si="169"/>
        <v>73496740.770000011</v>
      </c>
    </row>
    <row r="211" spans="1:28" x14ac:dyDescent="0.25">
      <c r="A211" s="21">
        <v>44286</v>
      </c>
      <c r="B211" s="24">
        <f t="shared" ref="B211:B212" si="182">IF(A211&gt;A210,1+B210,"-")</f>
        <v>195</v>
      </c>
      <c r="C211" s="97" t="s">
        <v>108</v>
      </c>
      <c r="D211" s="84">
        <f t="shared" si="160"/>
        <v>1.0323</v>
      </c>
      <c r="E211" s="47">
        <f t="shared" si="161"/>
        <v>4956771.5568094403</v>
      </c>
      <c r="F211" s="112"/>
      <c r="G211" s="106">
        <f>(E211/E208-1)*100</f>
        <v>4.8733456277869402</v>
      </c>
      <c r="H211" s="49"/>
      <c r="I211" s="39"/>
      <c r="J211" s="20">
        <f t="shared" ref="J211" si="183">A211</f>
        <v>44286</v>
      </c>
      <c r="K211" s="27">
        <f>'SC (Gross)'!K211</f>
        <v>1.0008870000000001</v>
      </c>
      <c r="L211" s="46">
        <f t="shared" ref="L211" si="184">L210*K211/100+L210</f>
        <v>4228087.5555351116</v>
      </c>
      <c r="M211" s="112"/>
      <c r="N211" s="106">
        <f>(L211/L208-1)*100</f>
        <v>12.693993009357163</v>
      </c>
      <c r="O211" s="39"/>
      <c r="P211" s="20">
        <f t="shared" si="21"/>
        <v>44286</v>
      </c>
      <c r="Q211" s="45">
        <f>'SC (Gross)'!Q211</f>
        <v>3.3645040000000002</v>
      </c>
      <c r="R211" s="46">
        <f t="shared" ref="R211" si="185">R210*Q211/100+R210</f>
        <v>4282841.4835760817</v>
      </c>
      <c r="S211" s="112"/>
      <c r="T211" s="106">
        <f>(R211/R208-1)*100</f>
        <v>12.960776489627923</v>
      </c>
      <c r="U211" s="39"/>
      <c r="W211" s="107">
        <f>'SC (Gross)'!W211</f>
        <v>0.97517730000000002</v>
      </c>
      <c r="X211" s="108">
        <f>'SC (Gross)'!X211</f>
        <v>37752423.839999996</v>
      </c>
      <c r="Y211" s="240">
        <v>1.089618384</v>
      </c>
      <c r="Z211" s="108">
        <f>'SC (Gross)'!Z211</f>
        <v>37104554.060000002</v>
      </c>
      <c r="AA211" s="110">
        <f t="shared" si="168"/>
        <v>1.0323</v>
      </c>
      <c r="AB211" s="111">
        <f t="shared" si="169"/>
        <v>74856977.900000006</v>
      </c>
    </row>
    <row r="212" spans="1:28" x14ac:dyDescent="0.25">
      <c r="A212" s="21">
        <v>44316</v>
      </c>
      <c r="B212" s="24">
        <f t="shared" si="182"/>
        <v>196</v>
      </c>
      <c r="C212" s="97" t="s">
        <v>108</v>
      </c>
      <c r="D212" s="84">
        <f t="shared" ref="D212:D213" si="186">AA212</f>
        <v>2.4445999999999999</v>
      </c>
      <c r="E212" s="47">
        <f t="shared" ref="E212:E213" si="187">E211*D212/100+E211</f>
        <v>5077944.7942872038</v>
      </c>
      <c r="I212" s="39"/>
      <c r="J212" s="20">
        <f t="shared" ref="J212:J213" si="188">A212</f>
        <v>44316</v>
      </c>
      <c r="K212" s="27">
        <f>'SC (Gross)'!K212</f>
        <v>2.0999029999999999</v>
      </c>
      <c r="L212" s="46">
        <f t="shared" ref="L212:L213" si="189">L211*K212/100+L211</f>
        <v>4316873.2929564202</v>
      </c>
      <c r="M212" s="112"/>
      <c r="O212" s="39"/>
      <c r="P212" s="20">
        <f t="shared" si="21"/>
        <v>44316</v>
      </c>
      <c r="Q212" s="45">
        <f>'SC (Gross)'!Q212</f>
        <v>0.79752250000000002</v>
      </c>
      <c r="R212" s="46">
        <f t="shared" ref="R212:R213" si="190">R211*Q212/100+R211</f>
        <v>4316998.1080469349</v>
      </c>
      <c r="S212" s="112"/>
      <c r="U212" s="39"/>
      <c r="W212" s="107">
        <f>'SC (Gross)'!W212</f>
        <v>2.3704999999999998</v>
      </c>
      <c r="X212" s="108">
        <f>'SC (Gross)'!X212</f>
        <v>40464576.509999998</v>
      </c>
      <c r="Y212" s="240">
        <v>2.52</v>
      </c>
      <c r="Z212" s="108">
        <f>'SC (Gross)'!Z212</f>
        <v>38038439.909999996</v>
      </c>
      <c r="AA212" s="110">
        <f t="shared" ref="AA212:AA217" si="191">ROUND(X211/AB211*(W212)+Z211/AB211*Y212,4)</f>
        <v>2.4445999999999999</v>
      </c>
      <c r="AB212" s="111">
        <f t="shared" ref="AB212:AB217" si="192">X212+Z212</f>
        <v>78503016.419999987</v>
      </c>
    </row>
    <row r="213" spans="1:28" x14ac:dyDescent="0.25">
      <c r="A213" s="21">
        <v>44347</v>
      </c>
      <c r="B213" s="24">
        <f t="shared" ref="B213:B217" si="193">IF(A213&gt;A212,1+B212,"-")</f>
        <v>197</v>
      </c>
      <c r="C213" s="97" t="s">
        <v>108</v>
      </c>
      <c r="D213" s="84">
        <f t="shared" si="186"/>
        <v>-0.4778</v>
      </c>
      <c r="E213" s="47">
        <f t="shared" si="187"/>
        <v>5053682.3740600999</v>
      </c>
      <c r="F213" s="112"/>
      <c r="I213" s="39"/>
      <c r="J213" s="20">
        <f t="shared" si="188"/>
        <v>44347</v>
      </c>
      <c r="K213" s="27">
        <f>'SC (Gross)'!K213</f>
        <v>0.2059976</v>
      </c>
      <c r="L213" s="46">
        <f t="shared" si="189"/>
        <v>4325765.948334951</v>
      </c>
      <c r="M213" s="112"/>
      <c r="O213" s="39"/>
      <c r="P213" s="20">
        <f t="shared" si="21"/>
        <v>44347</v>
      </c>
      <c r="Q213" s="45">
        <f>'SC (Gross)'!Q213</f>
        <v>2.486421</v>
      </c>
      <c r="R213" s="46">
        <f t="shared" si="190"/>
        <v>4424336.8555750167</v>
      </c>
      <c r="S213" s="112"/>
      <c r="U213" s="39"/>
      <c r="W213" s="107">
        <f>'SC (Gross)'!W213</f>
        <v>-0.42881649999999999</v>
      </c>
      <c r="X213" s="108">
        <f>'SC (Gross)'!X213</f>
        <v>41098027.300000004</v>
      </c>
      <c r="Y213" s="240">
        <v>-0.53</v>
      </c>
      <c r="Z213" s="108">
        <f>'SC (Gross)'!Z213</f>
        <v>37836633.870000005</v>
      </c>
      <c r="AA213" s="110">
        <f t="shared" si="191"/>
        <v>-0.4778</v>
      </c>
      <c r="AB213" s="111">
        <f t="shared" si="192"/>
        <v>78934661.170000017</v>
      </c>
    </row>
    <row r="214" spans="1:28" x14ac:dyDescent="0.25">
      <c r="A214" s="21">
        <v>44377</v>
      </c>
      <c r="B214" s="24">
        <f t="shared" si="193"/>
        <v>198</v>
      </c>
      <c r="C214" s="97" t="s">
        <v>108</v>
      </c>
      <c r="D214" s="84">
        <f t="shared" ref="D214" si="194">AA214</f>
        <v>0.22869999999999999</v>
      </c>
      <c r="E214" s="47">
        <f t="shared" ref="E214" si="195">E213*D214/100+E213</f>
        <v>5065240.1456495756</v>
      </c>
      <c r="F214" s="112"/>
      <c r="G214" s="106">
        <f>(E214/E211-1)*100</f>
        <v>2.1882910599566596</v>
      </c>
      <c r="I214" s="39"/>
      <c r="J214" s="20">
        <f t="shared" ref="J214" si="196">A214</f>
        <v>44377</v>
      </c>
      <c r="K214" s="27">
        <f>'SC (Gross)'!K214</f>
        <v>1.937303</v>
      </c>
      <c r="L214" s="46">
        <f t="shared" ref="L214" si="197">L213*K214/100+L213</f>
        <v>4409569.1418250222</v>
      </c>
      <c r="M214" s="112"/>
      <c r="N214" s="106">
        <f>(L214/L211-1)*100</f>
        <v>4.2922854341634453</v>
      </c>
      <c r="O214" s="39"/>
      <c r="P214" s="20">
        <f t="shared" si="21"/>
        <v>44377</v>
      </c>
      <c r="Q214" s="45">
        <f>'SC (Gross)'!Q214</f>
        <v>-0.68136490000000005</v>
      </c>
      <c r="R214" s="46">
        <f t="shared" ref="R214" si="198">R213*Q214/100+R213</f>
        <v>4394190.9771833653</v>
      </c>
      <c r="S214" s="112"/>
      <c r="T214" s="106">
        <f>(R214/R211-1)*100</f>
        <v>2.599897615503366</v>
      </c>
      <c r="U214" s="39"/>
      <c r="W214" s="107">
        <f>'SC (Gross)'!W214</f>
        <v>0.17226530000000001</v>
      </c>
      <c r="X214" s="108">
        <f>'SC (Gross)'!X214</f>
        <v>41255226.189999998</v>
      </c>
      <c r="Y214" s="240">
        <v>0.28999999999999998</v>
      </c>
      <c r="Z214" s="108">
        <f>'SC (Gross)'!Z214</f>
        <v>37946964.829999998</v>
      </c>
      <c r="AA214" s="110">
        <f t="shared" si="191"/>
        <v>0.22869999999999999</v>
      </c>
      <c r="AB214" s="111">
        <f t="shared" si="192"/>
        <v>79202191.019999996</v>
      </c>
    </row>
    <row r="215" spans="1:28" x14ac:dyDescent="0.25">
      <c r="A215" s="21">
        <v>44408</v>
      </c>
      <c r="B215" s="24">
        <f t="shared" si="193"/>
        <v>199</v>
      </c>
      <c r="C215" s="97" t="s">
        <v>108</v>
      </c>
      <c r="D215" s="84">
        <f t="shared" ref="D215:D217" si="199">AA215</f>
        <v>1.7546999999999999</v>
      </c>
      <c r="E215" s="47">
        <f t="shared" ref="E215" si="200">E214*D215/100+E214</f>
        <v>5154119.9144852888</v>
      </c>
      <c r="F215" s="112"/>
      <c r="I215" s="39"/>
      <c r="J215" s="20">
        <f t="shared" ref="J215" si="201">A215</f>
        <v>44408</v>
      </c>
      <c r="K215" s="27">
        <f>'SC (Gross)'!K215</f>
        <v>-3.6109</v>
      </c>
      <c r="L215" s="46">
        <f t="shared" ref="L215" si="202">L214*K215/100+L214</f>
        <v>4250344.0096828621</v>
      </c>
      <c r="M215" s="112"/>
      <c r="N215" s="106"/>
      <c r="O215" s="39"/>
      <c r="P215" s="20">
        <f t="shared" si="21"/>
        <v>44408</v>
      </c>
      <c r="Q215" s="45">
        <f>'SC (Gross)'!Q215</f>
        <v>1.0044360000000001</v>
      </c>
      <c r="R215" s="46">
        <f t="shared" ref="R215" si="203">R214*Q215/100+R214</f>
        <v>4438327.8132669469</v>
      </c>
      <c r="S215" s="112"/>
      <c r="T215" s="106"/>
      <c r="U215" s="39"/>
      <c r="W215" s="107">
        <f>'SC (Gross)'!W215</f>
        <v>1.7196904557179644</v>
      </c>
      <c r="X215" s="108">
        <f>'SC (Gross)'!X215</f>
        <v>33193379.449999999</v>
      </c>
      <c r="Y215" s="240">
        <v>1.7927039300000001</v>
      </c>
      <c r="Z215" s="108">
        <f>'SC (Gross)'!Z215</f>
        <v>38627241.560000002</v>
      </c>
      <c r="AA215" s="110">
        <f t="shared" si="191"/>
        <v>1.7546999999999999</v>
      </c>
      <c r="AB215" s="111">
        <f t="shared" si="192"/>
        <v>71820621.010000005</v>
      </c>
    </row>
    <row r="216" spans="1:28" x14ac:dyDescent="0.25">
      <c r="A216" s="21">
        <v>44439</v>
      </c>
      <c r="B216" s="24">
        <f t="shared" si="193"/>
        <v>200</v>
      </c>
      <c r="C216" s="97" t="s">
        <v>108</v>
      </c>
      <c r="D216" s="84">
        <f t="shared" si="199"/>
        <v>0.70550000000000002</v>
      </c>
      <c r="E216" s="47">
        <f t="shared" ref="E216:E217" si="204">E215*D216/100+E215</f>
        <v>5190482.2304819822</v>
      </c>
      <c r="F216" s="112"/>
      <c r="I216" s="39"/>
      <c r="J216" s="20">
        <f t="shared" ref="J216:J217" si="205">A216</f>
        <v>44439</v>
      </c>
      <c r="K216" s="27">
        <f>'SC (Gross)'!K216</f>
        <v>2.2345830000000002</v>
      </c>
      <c r="L216" s="46">
        <f t="shared" ref="L216" si="206">L215*K216/100+L215</f>
        <v>4345321.4743647538</v>
      </c>
      <c r="M216" s="112"/>
      <c r="N216" s="106"/>
      <c r="O216" s="39"/>
      <c r="P216" s="20">
        <f t="shared" si="21"/>
        <v>44439</v>
      </c>
      <c r="Q216" s="45">
        <f>'SC (Gross)'!Q216</f>
        <v>3.040505</v>
      </c>
      <c r="R216" s="46">
        <f t="shared" ref="R216" si="207">R215*Q216/100+R215</f>
        <v>4573275.392345719</v>
      </c>
      <c r="S216" s="112"/>
      <c r="T216" s="106"/>
      <c r="U216" s="39"/>
      <c r="W216" s="107">
        <f>'SC (Gross)'!W216</f>
        <v>0.67624680000000004</v>
      </c>
      <c r="X216" s="108">
        <f>'SC (Gross)'!X216</f>
        <v>33564958.789999999</v>
      </c>
      <c r="Y216" s="240">
        <v>0.7306983325785259</v>
      </c>
      <c r="Z216" s="108">
        <f>'SC (Gross)'!Z216</f>
        <v>38909490.170000002</v>
      </c>
      <c r="AA216" s="110">
        <f t="shared" si="191"/>
        <v>0.70550000000000002</v>
      </c>
      <c r="AB216" s="111">
        <f t="shared" si="192"/>
        <v>72474448.960000008</v>
      </c>
    </row>
    <row r="217" spans="1:28" x14ac:dyDescent="0.25">
      <c r="A217" s="21">
        <v>44469</v>
      </c>
      <c r="B217" s="24">
        <f t="shared" si="193"/>
        <v>201</v>
      </c>
      <c r="C217" s="97" t="s">
        <v>108</v>
      </c>
      <c r="D217" s="84">
        <f t="shared" si="199"/>
        <v>-3.2018</v>
      </c>
      <c r="E217" s="47">
        <f t="shared" si="204"/>
        <v>5024293.3704264099</v>
      </c>
      <c r="F217" s="112"/>
      <c r="G217" s="106">
        <f>(E217/E214-1)*100</f>
        <v>-0.80838763900136223</v>
      </c>
      <c r="I217" s="39"/>
      <c r="J217" s="20">
        <f t="shared" si="205"/>
        <v>44469</v>
      </c>
      <c r="K217" s="27">
        <f>'SC (Gross)'!K217</f>
        <v>-2.9489740000000002</v>
      </c>
      <c r="L217" s="46">
        <f t="shared" ref="L217" si="208">L216*K217/100+L216</f>
        <v>4217179.0738693206</v>
      </c>
      <c r="M217" s="112"/>
      <c r="N217" s="106">
        <f>(L217/L214-1)*100</f>
        <v>-4.3630128424763885</v>
      </c>
      <c r="O217" s="39"/>
      <c r="P217" s="20">
        <f t="shared" si="21"/>
        <v>44469</v>
      </c>
      <c r="Q217" s="45">
        <f>'SC (Gross)'!Q217</f>
        <v>-3.1253700000000002</v>
      </c>
      <c r="R217" s="46">
        <f t="shared" ref="R217" si="209">R216*Q217/100+R216</f>
        <v>4430343.6152159637</v>
      </c>
      <c r="S217" s="112"/>
      <c r="T217" s="106">
        <f>(R217/R214-1)*100</f>
        <v>0.8227370685598201</v>
      </c>
      <c r="U217" s="39"/>
      <c r="W217" s="107">
        <f>'SC (Gross)'!W217</f>
        <v>-3.274559</v>
      </c>
      <c r="X217" s="108">
        <f>'SC (Gross)'!X217</f>
        <v>32284668.359999999</v>
      </c>
      <c r="Y217" s="240">
        <v>-3.1389825327027698</v>
      </c>
      <c r="Z217" s="108">
        <f>'SC (Gross)'!Z217</f>
        <v>37688128.07</v>
      </c>
      <c r="AA217" s="110">
        <f t="shared" si="191"/>
        <v>-3.2018</v>
      </c>
      <c r="AB217" s="111">
        <f t="shared" si="192"/>
        <v>69972796.430000007</v>
      </c>
    </row>
    <row r="218" spans="1:28" x14ac:dyDescent="0.25">
      <c r="A218" s="21">
        <v>44500</v>
      </c>
      <c r="B218" s="24">
        <f t="shared" ref="B218:B221" si="210">IF(A218&gt;A217,1+B217,"-")</f>
        <v>202</v>
      </c>
      <c r="C218" s="97" t="s">
        <v>108</v>
      </c>
      <c r="D218" s="84">
        <f t="shared" ref="D218:D221" si="211">AA218</f>
        <v>4.6417000000000002</v>
      </c>
      <c r="E218" s="47">
        <f t="shared" ref="E218" si="212">E217*D218/100+E217</f>
        <v>5257505.9958014926</v>
      </c>
      <c r="F218" s="112"/>
      <c r="I218" s="39"/>
      <c r="J218" s="20">
        <f t="shared" ref="J218" si="213">A218</f>
        <v>44500</v>
      </c>
      <c r="K218" s="27">
        <f>'SC (Gross)'!K218</f>
        <v>4.2539100000000003</v>
      </c>
      <c r="L218" s="46">
        <f t="shared" ref="L218" si="214">L217*K218/100+L217</f>
        <v>4396574.0762105547</v>
      </c>
      <c r="M218" s="112"/>
      <c r="O218" s="39"/>
      <c r="P218" s="20">
        <f t="shared" si="21"/>
        <v>44500</v>
      </c>
      <c r="Q218" s="45">
        <f>'SC (Gross)'!Q218</f>
        <v>4.460763</v>
      </c>
      <c r="R218" s="46">
        <f t="shared" ref="R218" si="215">R217*Q218/100+R217</f>
        <v>4627970.7439763797</v>
      </c>
      <c r="S218" s="112"/>
      <c r="U218" s="39"/>
      <c r="W218" s="107">
        <f>'SC (Gross)'!W218</f>
        <v>4.600695</v>
      </c>
      <c r="X218" s="108">
        <f>'SC (Gross)'!X218</f>
        <v>33418761.400000002</v>
      </c>
      <c r="Y218" s="240">
        <v>4.6768316999999993</v>
      </c>
      <c r="Z218" s="108">
        <f>'SC (Gross)'!Z218</f>
        <v>39450738.38000001</v>
      </c>
      <c r="AA218" s="110">
        <f t="shared" ref="AA218:AA221" si="216">ROUND(X217/AB217*(W218)+Z217/AB217*Y218,4)</f>
        <v>4.6417000000000002</v>
      </c>
      <c r="AB218" s="111">
        <f t="shared" ref="AB218:AB221" si="217">X218+Z218</f>
        <v>72869499.780000016</v>
      </c>
    </row>
    <row r="219" spans="1:28" x14ac:dyDescent="0.25">
      <c r="A219" s="21">
        <v>44530</v>
      </c>
      <c r="B219" s="24">
        <f t="shared" si="210"/>
        <v>203</v>
      </c>
      <c r="C219" s="97" t="s">
        <v>108</v>
      </c>
      <c r="D219" s="84">
        <f t="shared" si="211"/>
        <v>-0.5665</v>
      </c>
      <c r="E219" s="47">
        <f t="shared" ref="E219" si="218">E218*D219/100+E218</f>
        <v>5227722.2243352775</v>
      </c>
      <c r="F219" s="112"/>
      <c r="I219" s="39"/>
      <c r="J219" s="20">
        <f t="shared" ref="J219" si="219">A219</f>
        <v>44530</v>
      </c>
      <c r="K219" s="27">
        <f>'SC (Gross)'!K219</f>
        <v>-4.1879010000000001</v>
      </c>
      <c r="L219" s="46">
        <f t="shared" ref="L219" si="220">L218*K219/100+L218</f>
        <v>4212449.9065071922</v>
      </c>
      <c r="M219" s="112"/>
      <c r="O219" s="39"/>
      <c r="P219" s="20">
        <f t="shared" si="21"/>
        <v>44530</v>
      </c>
      <c r="Q219" s="45">
        <f>'SC (Gross)'!Q219</f>
        <v>-1.0367329999999999</v>
      </c>
      <c r="R219" s="46">
        <f t="shared" ref="R219" si="221">R218*Q219/100+R218</f>
        <v>4579991.0440432308</v>
      </c>
      <c r="S219" s="112"/>
      <c r="U219" s="39"/>
      <c r="W219" s="107">
        <f>'SC (Gross)'!W219</f>
        <v>-0.66390039999999995</v>
      </c>
      <c r="X219" s="108">
        <f>'SC (Gross)'!X219</f>
        <v>34419940.719999999</v>
      </c>
      <c r="Y219" s="240">
        <v>-0.48406047096147431</v>
      </c>
      <c r="Z219" s="108">
        <f>'SC (Gross)'!Z219</f>
        <v>39259772.950000003</v>
      </c>
      <c r="AA219" s="110">
        <f t="shared" si="216"/>
        <v>-0.5665</v>
      </c>
      <c r="AB219" s="111">
        <f t="shared" si="217"/>
        <v>73679713.670000002</v>
      </c>
    </row>
    <row r="220" spans="1:28" x14ac:dyDescent="0.25">
      <c r="A220" s="21">
        <v>44561</v>
      </c>
      <c r="B220" s="24">
        <f t="shared" si="210"/>
        <v>204</v>
      </c>
      <c r="C220" s="97" t="s">
        <v>108</v>
      </c>
      <c r="D220" s="84">
        <f t="shared" si="211"/>
        <v>6.8329000000000004</v>
      </c>
      <c r="E220" s="47">
        <f t="shared" ref="E220:E221" si="222">E219*D220/100+E219</f>
        <v>5584927.2562018828</v>
      </c>
      <c r="F220" s="112">
        <f t="shared" ref="F220" si="223">(E220/E$208-1)*100</f>
        <v>18.163607044000219</v>
      </c>
      <c r="G220" s="106">
        <f>(E220/E217-1)*100</f>
        <v>11.158462383495182</v>
      </c>
      <c r="I220" s="39"/>
      <c r="J220" s="20">
        <f t="shared" ref="J220" si="224">A220</f>
        <v>44561</v>
      </c>
      <c r="K220" s="27">
        <f>'SC (Gross)'!K220</f>
        <v>2.2329729999999999</v>
      </c>
      <c r="L220" s="46">
        <f t="shared" ref="L220" si="225">L219*K220/100+L219</f>
        <v>4306512.7755580228</v>
      </c>
      <c r="M220" s="112">
        <f t="shared" ref="M220" si="226">(L220/L$208-1)*100</f>
        <v>14.784311878333533</v>
      </c>
      <c r="N220" s="106">
        <f>(L220/L217-1)*100</f>
        <v>2.1183283926033747</v>
      </c>
      <c r="O220" s="39"/>
      <c r="P220" s="20">
        <f t="shared" si="21"/>
        <v>44561</v>
      </c>
      <c r="Q220" s="45">
        <f>'SC (Gross)'!Q220</f>
        <v>7.4826389999999998</v>
      </c>
      <c r="R220" s="46">
        <f t="shared" ref="R220" si="227">R219*Q220/100+R219</f>
        <v>4922695.2401013169</v>
      </c>
      <c r="S220" s="112">
        <f t="shared" ref="S220" si="228">(R220/R$208-1)*100</f>
        <v>29.837043672074515</v>
      </c>
      <c r="T220" s="106">
        <f>(R220/R217-1)*100</f>
        <v>11.113170165726594</v>
      </c>
      <c r="U220" s="39"/>
      <c r="W220" s="107">
        <f>'SC (Gross)'!W220</f>
        <v>6.6833749999999998</v>
      </c>
      <c r="X220" s="108">
        <f>'SC (Gross)'!X220</f>
        <v>38904504.590000004</v>
      </c>
      <c r="Y220" s="240">
        <v>6.9639265450718622</v>
      </c>
      <c r="Z220" s="108">
        <f>'SC (Gross)'!Z220</f>
        <v>41993794.699999996</v>
      </c>
      <c r="AA220" s="110">
        <f t="shared" si="216"/>
        <v>6.8329000000000004</v>
      </c>
      <c r="AB220" s="111">
        <f t="shared" si="217"/>
        <v>80898299.289999992</v>
      </c>
    </row>
    <row r="221" spans="1:28" x14ac:dyDescent="0.25">
      <c r="A221" s="21">
        <v>44592</v>
      </c>
      <c r="B221" s="24">
        <f t="shared" si="210"/>
        <v>205</v>
      </c>
      <c r="C221" s="97" t="s">
        <v>108</v>
      </c>
      <c r="D221" s="84">
        <f t="shared" si="211"/>
        <v>-6.8339999999999996</v>
      </c>
      <c r="E221" s="47">
        <f t="shared" si="222"/>
        <v>5203253.3275130466</v>
      </c>
      <c r="I221" s="39"/>
      <c r="J221" s="20">
        <f t="shared" ref="J221" si="229">A221</f>
        <v>44592</v>
      </c>
      <c r="K221" s="27">
        <f>'SC (Gross)'!K221</f>
        <v>-9.6280570000000001</v>
      </c>
      <c r="L221" s="46">
        <f t="shared" ref="L221" si="230">L220*K221/100+L220</f>
        <v>3891879.2708150144</v>
      </c>
      <c r="O221" s="39"/>
      <c r="P221" s="20">
        <f t="shared" si="21"/>
        <v>44592</v>
      </c>
      <c r="Q221" s="45">
        <f>'SC (Gross)'!Q221</f>
        <v>-6.7802009999999999</v>
      </c>
      <c r="R221" s="46">
        <f t="shared" ref="R221" si="231">R220*Q221/100+R220</f>
        <v>4588926.6082050148</v>
      </c>
      <c r="U221" s="39"/>
      <c r="W221" s="107">
        <f>'SC (Gross)'!W221</f>
        <v>-6.8128419999999998</v>
      </c>
      <c r="X221" s="108">
        <f>'SC (Gross)'!X221</f>
        <v>36629934.400000006</v>
      </c>
      <c r="Y221" s="240">
        <v>-6.8535620000000002</v>
      </c>
      <c r="Z221" s="108">
        <f>'SC (Gross)'!Z221</f>
        <v>39115724.100000001</v>
      </c>
      <c r="AA221" s="110">
        <f t="shared" si="216"/>
        <v>-6.8339999999999996</v>
      </c>
      <c r="AB221" s="111">
        <f t="shared" si="217"/>
        <v>75745658.5</v>
      </c>
    </row>
    <row r="222" spans="1:28" x14ac:dyDescent="0.25">
      <c r="A222" s="21">
        <v>44620</v>
      </c>
      <c r="B222" s="24">
        <f t="shared" ref="B222:B225" si="232">IF(A222&gt;A221,1+B221,"-")</f>
        <v>206</v>
      </c>
      <c r="C222" s="97" t="s">
        <v>108</v>
      </c>
      <c r="D222" s="84">
        <f t="shared" ref="D222:D227" si="233">AA222</f>
        <v>-1.4561999999999999</v>
      </c>
      <c r="E222" s="47">
        <f t="shared" ref="E222" si="234">E221*D222/100+E221</f>
        <v>5127483.5525578018</v>
      </c>
      <c r="F222" s="112"/>
      <c r="I222" s="39"/>
      <c r="J222" s="20">
        <f t="shared" ref="J222" si="235">A222</f>
        <v>44620</v>
      </c>
      <c r="K222" s="27">
        <f>'SC (Gross)'!K222</f>
        <v>1.0656110000000001</v>
      </c>
      <c r="L222" s="46">
        <f t="shared" ref="L222" si="236">L221*K222/100+L221</f>
        <v>3933351.5644315388</v>
      </c>
      <c r="M222" s="112"/>
      <c r="O222" s="39"/>
      <c r="P222" s="20">
        <f t="shared" si="21"/>
        <v>44620</v>
      </c>
      <c r="Q222" s="45">
        <f>'SC (Gross)'!Q222</f>
        <v>-0.55163949999999995</v>
      </c>
      <c r="R222" s="46">
        <f t="shared" ref="R222" si="237">R221*Q222/100+R221</f>
        <v>4563612.2764081461</v>
      </c>
      <c r="S222" s="112"/>
      <c r="U222" s="39"/>
      <c r="W222" s="107">
        <f>'SC (Gross)'!W222</f>
        <v>-1.512605</v>
      </c>
      <c r="X222" s="108">
        <f>'SC (Gross)'!X222</f>
        <v>35982677.659999996</v>
      </c>
      <c r="Y222" s="240">
        <v>-1.403319</v>
      </c>
      <c r="Z222" s="108">
        <f>'SC (Gross)'!Z222</f>
        <v>38566805.660000004</v>
      </c>
      <c r="AA222" s="110">
        <f t="shared" ref="AA222:AA223" si="238">ROUND(X221/AB221*(W222)+Z221/AB221*Y222,4)</f>
        <v>-1.4561999999999999</v>
      </c>
      <c r="AB222" s="111">
        <f t="shared" ref="AB222:AB223" si="239">X222+Z222</f>
        <v>74549483.319999993</v>
      </c>
    </row>
    <row r="223" spans="1:28" x14ac:dyDescent="0.25">
      <c r="A223" s="21">
        <v>44651</v>
      </c>
      <c r="B223" s="24">
        <f t="shared" si="232"/>
        <v>207</v>
      </c>
      <c r="C223" s="97" t="s">
        <v>108</v>
      </c>
      <c r="D223" s="84">
        <f t="shared" si="233"/>
        <v>1.3502000000000001</v>
      </c>
      <c r="E223" s="47">
        <f t="shared" ref="E223" si="240">E222*D223/100+E222</f>
        <v>5196714.8354844376</v>
      </c>
      <c r="F223" s="112"/>
      <c r="G223" s="106">
        <f>(E223/E220-1)*100</f>
        <v>-6.951073897808568</v>
      </c>
      <c r="I223" s="39"/>
      <c r="J223" s="20">
        <f t="shared" ref="J223" si="241">A223</f>
        <v>44651</v>
      </c>
      <c r="K223" s="27">
        <f>'SC (Gross)'!K223</f>
        <v>1.2401329999999999</v>
      </c>
      <c r="L223" s="46">
        <f t="shared" ref="L223" si="242">L222*K223/100+L222</f>
        <v>3982130.3551880708</v>
      </c>
      <c r="M223" s="112"/>
      <c r="N223" s="106">
        <f>(L223/L220-1)*100</f>
        <v>-7.5323687000538264</v>
      </c>
      <c r="O223" s="39"/>
      <c r="P223" s="20">
        <f t="shared" si="21"/>
        <v>44651</v>
      </c>
      <c r="Q223" s="45">
        <f>'SC (Gross)'!Q223</f>
        <v>2.0299459999999998</v>
      </c>
      <c r="R223" s="46">
        <f t="shared" ref="R223" si="243">R222*Q223/100+R222</f>
        <v>4656251.1412686026</v>
      </c>
      <c r="S223" s="112"/>
      <c r="T223" s="106">
        <f>(R223/R220-1)*100</f>
        <v>-5.4125653902399762</v>
      </c>
      <c r="U223" s="39"/>
      <c r="W223" s="107">
        <f>'SC (Gross)'!W223</f>
        <v>1.279863</v>
      </c>
      <c r="X223" s="108">
        <f>'SC (Gross)'!X223</f>
        <v>37376250.390000001</v>
      </c>
      <c r="Y223" s="240">
        <v>1.415878</v>
      </c>
      <c r="Z223" s="108">
        <f>'SC (Gross)'!Z223</f>
        <v>39112864.640000001</v>
      </c>
      <c r="AA223" s="110">
        <f t="shared" si="238"/>
        <v>1.3502000000000001</v>
      </c>
      <c r="AB223" s="111">
        <f t="shared" si="239"/>
        <v>76489115.030000001</v>
      </c>
    </row>
    <row r="224" spans="1:28" x14ac:dyDescent="0.25">
      <c r="A224" s="21">
        <v>44681</v>
      </c>
      <c r="B224" s="24">
        <f t="shared" si="232"/>
        <v>208</v>
      </c>
      <c r="C224" s="97" t="s">
        <v>108</v>
      </c>
      <c r="D224" s="84">
        <f t="shared" si="233"/>
        <v>-5.4847999999999999</v>
      </c>
      <c r="E224" s="47">
        <f t="shared" ref="E224" si="244">E223*D224/100+E223</f>
        <v>4911685.4201877872</v>
      </c>
      <c r="F224" s="112"/>
      <c r="G224" s="106"/>
      <c r="I224" s="39"/>
      <c r="J224" s="20">
        <f t="shared" ref="J224" si="245">A224</f>
        <v>44681</v>
      </c>
      <c r="K224" s="27">
        <f>'SC (Gross)'!K224</f>
        <v>-9.9109250000000007</v>
      </c>
      <c r="L224" s="46">
        <f t="shared" ref="L224" si="246">L223*K224/100+L223</f>
        <v>3587464.4022831474</v>
      </c>
      <c r="M224" s="112"/>
      <c r="N224" s="106"/>
      <c r="O224" s="39"/>
      <c r="P224" s="20">
        <f t="shared" si="21"/>
        <v>44681</v>
      </c>
      <c r="Q224" s="45">
        <f>'SC (Gross)'!Q224</f>
        <v>-6.9286029999999998</v>
      </c>
      <c r="R224" s="46">
        <f t="shared" ref="R224" si="247">R223*Q224/100+R223</f>
        <v>4333637.9850071315</v>
      </c>
      <c r="S224" s="112"/>
      <c r="T224" s="106"/>
      <c r="U224" s="39"/>
      <c r="W224" s="107">
        <f>'SC (Gross)'!W224</f>
        <v>-5.4759900000000004</v>
      </c>
      <c r="X224" s="108">
        <f>'SC (Gross)'!X224</f>
        <v>36061103.850000001</v>
      </c>
      <c r="Y224" s="240">
        <v>-5.4931789000000002</v>
      </c>
      <c r="Z224" s="108">
        <f>'SC (Gross)'!Z224</f>
        <v>36964324.990000002</v>
      </c>
      <c r="AA224" s="110">
        <f t="shared" ref="AA224:AA225" si="248">ROUND(X223/AB223*(W224)+Z223/AB223*Y224,4)</f>
        <v>-5.4847999999999999</v>
      </c>
      <c r="AB224" s="111">
        <f t="shared" ref="AB224:AB225" si="249">X224+Z224</f>
        <v>73025428.840000004</v>
      </c>
    </row>
    <row r="225" spans="1:28" x14ac:dyDescent="0.25">
      <c r="A225" s="21">
        <v>44712</v>
      </c>
      <c r="B225" s="24">
        <f t="shared" si="232"/>
        <v>209</v>
      </c>
      <c r="C225" s="97" t="s">
        <v>108</v>
      </c>
      <c r="D225" s="84">
        <f t="shared" si="233"/>
        <v>1.7351000000000001</v>
      </c>
      <c r="E225" s="47">
        <f t="shared" ref="E225:E226" si="250">E224*D225/100+E224</f>
        <v>4996908.0739134653</v>
      </c>
      <c r="F225" s="112"/>
      <c r="G225" s="106"/>
      <c r="I225" s="39"/>
      <c r="J225" s="20">
        <f t="shared" ref="J225" si="251">A225</f>
        <v>44712</v>
      </c>
      <c r="K225" s="27">
        <f>'SC (Gross)'!K225</f>
        <v>0.1437899</v>
      </c>
      <c r="L225" s="46">
        <f t="shared" ref="L225" si="252">L224*K225/100+L224</f>
        <v>3592622.813759726</v>
      </c>
      <c r="M225" s="112"/>
      <c r="N225" s="106"/>
      <c r="O225" s="39"/>
      <c r="P225" s="20">
        <f t="shared" si="21"/>
        <v>44712</v>
      </c>
      <c r="Q225" s="45">
        <f>'SC (Gross)'!Q225</f>
        <v>2.3163109999999998</v>
      </c>
      <c r="R225" s="46">
        <f t="shared" ref="R225" si="253">R224*Q225/100+R224</f>
        <v>4434018.5183540303</v>
      </c>
      <c r="S225" s="112"/>
      <c r="T225" s="106"/>
      <c r="U225" s="39"/>
      <c r="W225" s="107">
        <f>'SC (Gross)'!W225</f>
        <v>1.693405</v>
      </c>
      <c r="X225" s="108">
        <f>'SC (Gross)'!X225</f>
        <v>36409887.009999998</v>
      </c>
      <c r="Y225" s="240">
        <v>1.7758731999999999</v>
      </c>
      <c r="Z225" s="108">
        <f>'SC (Gross)'!Z225</f>
        <v>37620764.549999997</v>
      </c>
      <c r="AA225" s="110">
        <f t="shared" si="248"/>
        <v>1.7351000000000001</v>
      </c>
      <c r="AB225" s="111">
        <f t="shared" si="249"/>
        <v>74030651.560000002</v>
      </c>
    </row>
    <row r="226" spans="1:28" x14ac:dyDescent="0.25">
      <c r="A226" s="21">
        <v>44742</v>
      </c>
      <c r="B226" s="24">
        <f t="shared" ref="B226:B231" si="254">IF(A226&gt;A225,1+B225,"-")</f>
        <v>210</v>
      </c>
      <c r="C226" s="97" t="s">
        <v>108</v>
      </c>
      <c r="D226" s="84">
        <f t="shared" si="233"/>
        <v>-2.3847999999999998</v>
      </c>
      <c r="E226" s="47">
        <f t="shared" si="250"/>
        <v>4877741.8101667771</v>
      </c>
      <c r="F226" s="112"/>
      <c r="G226" s="106">
        <f>(E226/E223-1)*100</f>
        <v>-6.137974382193045</v>
      </c>
      <c r="I226" s="39"/>
      <c r="J226" s="20">
        <f t="shared" ref="J226" si="255">A226</f>
        <v>44742</v>
      </c>
      <c r="K226" s="27">
        <f>'SC (Gross)'!K226</f>
        <v>-8.2253299999999996</v>
      </c>
      <c r="L226" s="46">
        <f t="shared" ref="L226" si="256">L225*K226/100+L225</f>
        <v>3297117.7316727033</v>
      </c>
      <c r="M226" s="112"/>
      <c r="N226" s="106">
        <f>(L226/L223-1)*100</f>
        <v>-17.202164731320437</v>
      </c>
      <c r="O226" s="39"/>
      <c r="P226" s="20">
        <f t="shared" si="21"/>
        <v>44742</v>
      </c>
      <c r="Q226" s="45">
        <f>'SC (Gross)'!Q226</f>
        <v>-3.7035629999999999</v>
      </c>
      <c r="R226" s="46">
        <f t="shared" ref="R226" si="257">R225*Q226/100+R225</f>
        <v>4269801.849095122</v>
      </c>
      <c r="S226" s="112"/>
      <c r="T226" s="106">
        <f>(R226/R223-1)*100</f>
        <v>-8.2995800795270682</v>
      </c>
      <c r="U226" s="39"/>
      <c r="W226" s="107">
        <f>'SC (Gross)'!W226</f>
        <v>-2.4539879999999998</v>
      </c>
      <c r="X226" s="108">
        <f>'SC (Gross)'!X226</f>
        <v>35130786.549999997</v>
      </c>
      <c r="Y226" s="240">
        <v>-2.3178847999999999</v>
      </c>
      <c r="Z226" s="108">
        <f>'SC (Gross)'!Z226</f>
        <v>36748758.560000002</v>
      </c>
      <c r="AA226" s="110">
        <f t="shared" ref="AA226" si="258">ROUND(X225/AB225*(W226)+Z225/AB225*Y226,4)</f>
        <v>-2.3847999999999998</v>
      </c>
      <c r="AB226" s="111">
        <f t="shared" ref="AB226" si="259">X226+Z226</f>
        <v>71879545.109999999</v>
      </c>
    </row>
    <row r="227" spans="1:28" x14ac:dyDescent="0.25">
      <c r="A227" s="21">
        <v>44773</v>
      </c>
      <c r="B227" s="24">
        <f t="shared" si="254"/>
        <v>211</v>
      </c>
      <c r="C227" s="97" t="s">
        <v>108</v>
      </c>
      <c r="D227" s="84">
        <f t="shared" si="233"/>
        <v>5.7869999999999999</v>
      </c>
      <c r="E227" s="47">
        <f t="shared" ref="E227" si="260">E226*D227/100+E226</f>
        <v>5160016.7287211288</v>
      </c>
      <c r="F227" s="112"/>
      <c r="I227" s="39"/>
      <c r="J227" s="20">
        <f t="shared" ref="J227" si="261">A227</f>
        <v>44773</v>
      </c>
      <c r="K227" s="27">
        <f>'SC (Gross)'!K227</f>
        <v>10.440250000000001</v>
      </c>
      <c r="L227" s="46">
        <f t="shared" ref="L227" si="262">L226*K227/100+L226</f>
        <v>3641345.0656536627</v>
      </c>
      <c r="M227" s="112"/>
      <c r="O227" s="39"/>
      <c r="P227" s="20">
        <f t="shared" si="21"/>
        <v>44773</v>
      </c>
      <c r="Q227" s="45">
        <f>'SC (Gross)'!Q227</f>
        <v>7.0628739999999999</v>
      </c>
      <c r="R227" s="46">
        <f t="shared" ref="R227" si="263">R226*Q227/100+R226</f>
        <v>4571372.5737463804</v>
      </c>
      <c r="S227" s="112"/>
      <c r="U227" s="39"/>
      <c r="W227" s="107">
        <f>'SC (Gross)'!W227</f>
        <v>5.7502250000000004</v>
      </c>
      <c r="X227" s="108">
        <f>'SC (Gross)'!X227</f>
        <v>37563713.759999998</v>
      </c>
      <c r="Y227" s="240">
        <v>5.8221606000000001</v>
      </c>
      <c r="Z227" s="108">
        <f>'SC (Gross)'!Z227</f>
        <v>38889110.259999998</v>
      </c>
      <c r="AA227" s="110">
        <f t="shared" ref="AA227" si="264">ROUND(X226/AB226*(W227)+Z226/AB226*Y227,4)</f>
        <v>5.7869999999999999</v>
      </c>
      <c r="AB227" s="111">
        <f t="shared" ref="AB227" si="265">X227+Z227</f>
        <v>76452824.019999996</v>
      </c>
    </row>
    <row r="228" spans="1:28" x14ac:dyDescent="0.25">
      <c r="A228" s="21">
        <v>44804</v>
      </c>
      <c r="B228" s="24">
        <f t="shared" si="254"/>
        <v>212</v>
      </c>
      <c r="C228" s="97" t="s">
        <v>108</v>
      </c>
      <c r="D228" s="84">
        <f t="shared" ref="D228:D229" si="266">AA228</f>
        <v>-4.1440000000000001</v>
      </c>
      <c r="E228" s="47">
        <f t="shared" ref="E228" si="267">E227*D228/100+E227</f>
        <v>4946185.635482925</v>
      </c>
      <c r="F228" s="112"/>
      <c r="I228" s="39"/>
      <c r="J228" s="20">
        <f t="shared" ref="J228" si="268">A228</f>
        <v>44804</v>
      </c>
      <c r="K228" s="27">
        <f>'SC (Gross)'!K228</f>
        <v>-2.046306</v>
      </c>
      <c r="L228" s="46">
        <f t="shared" ref="L228" si="269">L227*K228/100+L227</f>
        <v>3566832.0030944878</v>
      </c>
      <c r="M228" s="112"/>
      <c r="O228" s="39"/>
      <c r="P228" s="20">
        <f t="shared" si="21"/>
        <v>44804</v>
      </c>
      <c r="Q228" s="45">
        <f>'SC (Gross)'!Q228</f>
        <v>-5.4935049999999999</v>
      </c>
      <c r="R228" s="46">
        <f t="shared" ref="R228" si="270">R227*Q228/100+R227</f>
        <v>4320243.9928389946</v>
      </c>
      <c r="S228" s="112"/>
      <c r="U228" s="39"/>
      <c r="W228" s="107">
        <f>'SC (Gross)'!W228</f>
        <v>-4.1631260000000001</v>
      </c>
      <c r="X228" s="108">
        <f>'SC (Gross)'!X228</f>
        <v>35567049.719999999</v>
      </c>
      <c r="Y228" s="240">
        <v>-4.1255850000000001</v>
      </c>
      <c r="Z228" s="108">
        <f>'SC (Gross)'!Z228</f>
        <v>37284706.869999997</v>
      </c>
      <c r="AA228" s="110">
        <f t="shared" ref="AA228" si="271">ROUND(X227/AB227*(W228)+Z227/AB227*Y228,4)</f>
        <v>-4.1440000000000001</v>
      </c>
      <c r="AB228" s="111">
        <f t="shared" ref="AB228" si="272">X228+Z228</f>
        <v>72851756.590000004</v>
      </c>
    </row>
    <row r="229" spans="1:28" x14ac:dyDescent="0.25">
      <c r="A229" s="21">
        <v>44834</v>
      </c>
      <c r="B229" s="24">
        <f t="shared" si="254"/>
        <v>213</v>
      </c>
      <c r="C229" s="97" t="s">
        <v>108</v>
      </c>
      <c r="D229" s="84">
        <f t="shared" si="266"/>
        <v>-6.9222999999999999</v>
      </c>
      <c r="E229" s="47">
        <f t="shared" ref="E229" si="273">E228*D229/100+E228</f>
        <v>4603795.8272378901</v>
      </c>
      <c r="F229" s="112"/>
      <c r="G229" s="106">
        <f>(E229/E226-1)*100</f>
        <v>-5.6162460743185649</v>
      </c>
      <c r="I229" s="39"/>
      <c r="J229" s="20">
        <f t="shared" ref="J229" si="274">A229</f>
        <v>44834</v>
      </c>
      <c r="K229" s="27">
        <f>'SC (Gross)'!K229</f>
        <v>-9.5742589999999996</v>
      </c>
      <c r="L229" s="46">
        <f t="shared" ref="L229" si="275">L228*K229/100+L228</f>
        <v>3225334.2690233337</v>
      </c>
      <c r="M229" s="112"/>
      <c r="N229" s="106">
        <f>(L229/L226-1)*100</f>
        <v>-2.1771580056060724</v>
      </c>
      <c r="O229" s="39"/>
      <c r="P229" s="20">
        <f t="shared" si="21"/>
        <v>44834</v>
      </c>
      <c r="Q229" s="45">
        <f>'SC (Gross)'!Q229</f>
        <v>-8.8647659999999995</v>
      </c>
      <c r="R229" s="46">
        <f t="shared" ref="R229" si="276">R228*Q229/100+R228</f>
        <v>3937264.472244761</v>
      </c>
      <c r="S229" s="112"/>
      <c r="T229" s="106">
        <f>(R229/R226-1)*100</f>
        <v>-7.788121992612707</v>
      </c>
      <c r="U229" s="39"/>
      <c r="W229" s="107">
        <f>'SC (Gross)'!W229</f>
        <v>-7.003546</v>
      </c>
      <c r="X229" s="108">
        <f>'SC (Gross)'!X229</f>
        <v>33331033.109999999</v>
      </c>
      <c r="Y229" s="240">
        <v>-6.8448943393825301</v>
      </c>
      <c r="Z229" s="108">
        <f>'SC (Gross)'!Z229</f>
        <v>34732608.079999998</v>
      </c>
      <c r="AA229" s="110">
        <f t="shared" ref="AA229:AA231" si="277">ROUND(X228/AB228*(W229)+Z228/AB228*Y229,4)</f>
        <v>-6.9222999999999999</v>
      </c>
      <c r="AB229" s="111">
        <f t="shared" ref="AB229:AB230" si="278">X229+Z229</f>
        <v>68063641.189999998</v>
      </c>
    </row>
    <row r="230" spans="1:28" x14ac:dyDescent="0.25">
      <c r="A230" s="21">
        <v>44865</v>
      </c>
      <c r="B230" s="24">
        <f t="shared" si="254"/>
        <v>214</v>
      </c>
      <c r="C230" s="97" t="s">
        <v>108</v>
      </c>
      <c r="D230" s="84">
        <f t="shared" ref="D230" si="279">AA230</f>
        <v>10.3797</v>
      </c>
      <c r="E230" s="47">
        <f t="shared" ref="E230" si="280">E229*D230/100+E229</f>
        <v>5081656.0227177013</v>
      </c>
      <c r="F230" s="112"/>
      <c r="G230" s="106"/>
      <c r="I230" s="39"/>
      <c r="J230" s="20">
        <f t="shared" ref="J230" si="281">A230</f>
        <v>44865</v>
      </c>
      <c r="K230" s="27">
        <f>'SC (Gross)'!K230</f>
        <v>11.00892</v>
      </c>
      <c r="L230" s="46">
        <f t="shared" ref="L230" si="282">L229*K230/100+L229</f>
        <v>3580408.738432697</v>
      </c>
      <c r="M230" s="112"/>
      <c r="N230" s="106"/>
      <c r="O230" s="39"/>
      <c r="P230" s="20">
        <f t="shared" si="21"/>
        <v>44865</v>
      </c>
      <c r="Q230" s="45">
        <f>'SC (Gross)'!Q230</f>
        <v>12.98677</v>
      </c>
      <c r="R230" s="46">
        <f t="shared" ref="R230" si="283">R229*Q230/100+R229</f>
        <v>4448587.9535469022</v>
      </c>
      <c r="S230" s="112"/>
      <c r="T230" s="106"/>
      <c r="U230" s="39"/>
      <c r="W230" s="107">
        <f>'SC (Gross)'!W230</f>
        <v>10.29552</v>
      </c>
      <c r="X230" s="108">
        <f>'SC (Gross)'!X230</f>
        <v>36350317.029999994</v>
      </c>
      <c r="Y230" s="240">
        <v>10.4604339</v>
      </c>
      <c r="Z230" s="108">
        <f>'SC (Gross)'!Z230</f>
        <v>38337148.82</v>
      </c>
      <c r="AA230" s="110">
        <f t="shared" si="277"/>
        <v>10.3797</v>
      </c>
      <c r="AB230" s="111">
        <f t="shared" si="278"/>
        <v>74687465.849999994</v>
      </c>
    </row>
    <row r="231" spans="1:28" x14ac:dyDescent="0.25">
      <c r="A231" s="21">
        <v>44895</v>
      </c>
      <c r="B231" s="24">
        <f t="shared" si="254"/>
        <v>215</v>
      </c>
      <c r="C231" s="97" t="s">
        <v>108</v>
      </c>
      <c r="D231" s="84">
        <f t="shared" ref="D231" si="284">AA231</f>
        <v>3.1067</v>
      </c>
      <c r="E231" s="47">
        <f t="shared" ref="E231:E237" si="285">E230*D231/100+E230</f>
        <v>5239527.8303754721</v>
      </c>
      <c r="F231" s="112"/>
      <c r="G231" s="106"/>
      <c r="I231" s="39"/>
      <c r="J231" s="20">
        <f t="shared" ref="J231" si="286">A231</f>
        <v>44895</v>
      </c>
      <c r="K231" s="27">
        <f>'SC (Gross)'!K231</f>
        <v>2.3137370000000002</v>
      </c>
      <c r="L231" s="46">
        <f t="shared" ref="L231:L237" si="287">L230*K231/100+L230</f>
        <v>3663249.9801650476</v>
      </c>
      <c r="M231" s="112"/>
      <c r="N231" s="106"/>
      <c r="O231" s="39"/>
      <c r="P231" s="20">
        <f t="shared" si="21"/>
        <v>44895</v>
      </c>
      <c r="Q231" s="45">
        <f>'SC (Gross)'!Q231</f>
        <v>3.35806</v>
      </c>
      <c r="R231" s="46">
        <f t="shared" ref="R231:R237" si="288">R230*Q231/100+R230</f>
        <v>4597974.206179779</v>
      </c>
      <c r="S231" s="112"/>
      <c r="T231" s="106"/>
      <c r="U231" s="39"/>
      <c r="W231" s="107">
        <f>'SC (Gross)'!W231</f>
        <v>3.1114950000000001</v>
      </c>
      <c r="X231" s="108">
        <f>'SC (Gross)'!X231</f>
        <v>37766540.520000003</v>
      </c>
      <c r="Y231" s="240">
        <v>3.1022349999999999</v>
      </c>
      <c r="Z231" s="108">
        <f>'SC (Gross)'!Z231</f>
        <v>39526457.399999999</v>
      </c>
      <c r="AA231" s="110">
        <f t="shared" si="277"/>
        <v>3.1067</v>
      </c>
      <c r="AB231" s="111">
        <f t="shared" ref="AB231" si="289">X231+Z231</f>
        <v>77292997.920000002</v>
      </c>
    </row>
    <row r="232" spans="1:28" x14ac:dyDescent="0.25">
      <c r="A232" s="21">
        <v>44926</v>
      </c>
      <c r="B232" s="24">
        <f t="shared" ref="B232:B237" si="290">IF(A232&gt;A231,1+B231,"-")</f>
        <v>216</v>
      </c>
      <c r="C232" s="97" t="s">
        <v>108</v>
      </c>
      <c r="D232" s="84">
        <v>-5.6978229064758796</v>
      </c>
      <c r="E232" s="47">
        <f t="shared" si="285"/>
        <v>4940988.8134651594</v>
      </c>
      <c r="F232" s="112">
        <f>(E232/E$220-1)*100</f>
        <v>-11.529934289146748</v>
      </c>
      <c r="G232" s="106">
        <f>(E232/E229-1)*100</f>
        <v>7.3242384953802864</v>
      </c>
      <c r="I232" s="39"/>
      <c r="J232" s="20">
        <f t="shared" ref="J232:J237" si="291">A232</f>
        <v>44926</v>
      </c>
      <c r="K232" s="27">
        <f>'SC (Gross)'!K232</f>
        <v>-6.4934729999999998</v>
      </c>
      <c r="L232" s="46">
        <f t="shared" si="287"/>
        <v>3425377.8317805249</v>
      </c>
      <c r="M232" s="112">
        <f>(L232/L$220-1)*100</f>
        <v>-20.46052083668377</v>
      </c>
      <c r="N232" s="106">
        <f>(L232/L229-1)*100</f>
        <v>6.2022583109739626</v>
      </c>
      <c r="O232" s="39"/>
      <c r="P232" s="20">
        <f t="shared" si="21"/>
        <v>44926</v>
      </c>
      <c r="Q232" s="45">
        <f>'SC (Gross)'!Q232</f>
        <v>-5.2475059999999996</v>
      </c>
      <c r="R232" s="46">
        <f t="shared" si="288"/>
        <v>4356695.2338320427</v>
      </c>
      <c r="S232" s="112">
        <f>(R232/R$220-1)*100</f>
        <v>-11.497766541761889</v>
      </c>
      <c r="T232" s="106">
        <f>(R232/R229-1)*100</f>
        <v>10.652847034889446</v>
      </c>
      <c r="U232" s="39"/>
      <c r="W232" s="107">
        <f>'SC (Gross)'!W232</f>
        <v>-5.7596530000000001</v>
      </c>
    </row>
    <row r="233" spans="1:28" x14ac:dyDescent="0.25">
      <c r="A233" s="21">
        <v>44957</v>
      </c>
      <c r="B233" s="24">
        <f t="shared" si="290"/>
        <v>217</v>
      </c>
      <c r="C233" s="97" t="s">
        <v>108</v>
      </c>
      <c r="D233" s="84">
        <v>5.0181820262223038</v>
      </c>
      <c r="E233" s="47">
        <f t="shared" si="285"/>
        <v>5188936.6260201223</v>
      </c>
      <c r="I233" s="39"/>
      <c r="J233" s="20">
        <f t="shared" si="291"/>
        <v>44957</v>
      </c>
      <c r="K233" s="27">
        <f>'SC (Gross)'!K233</f>
        <v>9.7465890000000002</v>
      </c>
      <c r="L233" s="46">
        <f t="shared" si="287"/>
        <v>3759235.3307412839</v>
      </c>
      <c r="O233" s="39"/>
      <c r="P233" s="20">
        <f t="shared" ref="P233:P244" si="292">$A233</f>
        <v>44957</v>
      </c>
      <c r="Q233" s="45">
        <f>'SC (Gross)'!Q233</f>
        <v>4.7549720000000004</v>
      </c>
      <c r="R233" s="46">
        <f t="shared" si="288"/>
        <v>4563854.8723260909</v>
      </c>
      <c r="U233" s="39"/>
      <c r="W233" s="107">
        <f>'SC (Gross)'!W233</f>
        <v>4.9063330000000001</v>
      </c>
    </row>
    <row r="234" spans="1:28" x14ac:dyDescent="0.25">
      <c r="A234" s="21">
        <v>44985</v>
      </c>
      <c r="B234" s="24">
        <f t="shared" si="290"/>
        <v>218</v>
      </c>
      <c r="C234" s="97" t="s">
        <v>108</v>
      </c>
      <c r="D234" s="84">
        <v>-1.7713006518090983</v>
      </c>
      <c r="E234" s="47">
        <f t="shared" si="285"/>
        <v>5097024.9577414673</v>
      </c>
      <c r="I234" s="39"/>
      <c r="J234" s="20">
        <f t="shared" si="291"/>
        <v>44985</v>
      </c>
      <c r="K234" s="27">
        <f>'SC (Gross)'!K234</f>
        <v>-1.6926909999999999</v>
      </c>
      <c r="L234" s="46">
        <f t="shared" si="287"/>
        <v>3695603.0926290061</v>
      </c>
      <c r="O234" s="39"/>
      <c r="P234" s="20">
        <f t="shared" si="292"/>
        <v>44985</v>
      </c>
      <c r="Q234" s="45">
        <f>'SC (Gross)'!Q234</f>
        <v>-0.60004089999999999</v>
      </c>
      <c r="R234" s="46">
        <f t="shared" si="288"/>
        <v>4536469.8764754916</v>
      </c>
      <c r="U234" s="39"/>
      <c r="W234" s="107">
        <f>'SC (Gross)'!W234</f>
        <v>-1.785714</v>
      </c>
    </row>
    <row r="235" spans="1:28" x14ac:dyDescent="0.25">
      <c r="A235" s="21">
        <v>45016</v>
      </c>
      <c r="B235" s="24">
        <f t="shared" si="290"/>
        <v>219</v>
      </c>
      <c r="C235" s="97" t="s">
        <v>108</v>
      </c>
      <c r="D235" s="84">
        <v>-2.2071729154978472</v>
      </c>
      <c r="E235" s="47">
        <f t="shared" si="285"/>
        <v>4984524.8033780316</v>
      </c>
      <c r="G235" s="106">
        <f>(E235/E232-1)*100</f>
        <v>0.88111897347811219</v>
      </c>
      <c r="I235" s="39"/>
      <c r="J235" s="20">
        <f t="shared" si="291"/>
        <v>45016</v>
      </c>
      <c r="K235" s="27">
        <f>'SC (Gross)'!K235</f>
        <v>-4.7829889999999997</v>
      </c>
      <c r="L235" s="46">
        <f t="shared" si="287"/>
        <v>3518842.8032249007</v>
      </c>
      <c r="N235" s="106">
        <f>(L235/L232-1)*100</f>
        <v>2.7286032675639893</v>
      </c>
      <c r="O235" s="39"/>
      <c r="P235" s="20">
        <f t="shared" si="292"/>
        <v>45016</v>
      </c>
      <c r="Q235" s="45">
        <f>'SC (Gross)'!Q235</f>
        <v>-8.1971530000000001</v>
      </c>
      <c r="R235" s="46">
        <f t="shared" si="288"/>
        <v>4164608.4999018847</v>
      </c>
      <c r="T235" s="106">
        <f>(R235/R232-1)*100</f>
        <v>-4.4090009426985599</v>
      </c>
      <c r="U235" s="39"/>
      <c r="W235" s="107">
        <f>'SC (Gross)'!W235</f>
        <v>-2.2510819999999998</v>
      </c>
    </row>
    <row r="236" spans="1:28" x14ac:dyDescent="0.25">
      <c r="A236" s="21">
        <v>45046</v>
      </c>
      <c r="B236" s="24">
        <f t="shared" si="290"/>
        <v>220</v>
      </c>
      <c r="C236" s="97" t="s">
        <v>108</v>
      </c>
      <c r="D236" s="84">
        <v>-1.0752694708132025</v>
      </c>
      <c r="E236" s="47">
        <f t="shared" si="285"/>
        <v>4930927.7299021957</v>
      </c>
      <c r="I236" s="39"/>
      <c r="J236" s="20">
        <f t="shared" si="291"/>
        <v>45046</v>
      </c>
      <c r="K236" s="27">
        <f>'SC (Gross)'!K236</f>
        <v>-1.7983370000000001</v>
      </c>
      <c r="L236" s="46">
        <f t="shared" si="287"/>
        <v>3455562.1511226702</v>
      </c>
      <c r="O236" s="39"/>
      <c r="P236" s="20">
        <f t="shared" si="292"/>
        <v>45046</v>
      </c>
      <c r="Q236" s="45">
        <f>'SC (Gross)'!Q236</f>
        <v>-4.158156</v>
      </c>
      <c r="R236" s="46">
        <f t="shared" si="288"/>
        <v>3991437.5816867044</v>
      </c>
      <c r="U236" s="39"/>
      <c r="W236" s="107">
        <f>'SC (Gross)'!W236</f>
        <v>-1.1514610000000001</v>
      </c>
    </row>
    <row r="237" spans="1:28" x14ac:dyDescent="0.25">
      <c r="A237" s="21">
        <v>45077</v>
      </c>
      <c r="B237" s="24">
        <f t="shared" si="290"/>
        <v>221</v>
      </c>
      <c r="C237" s="97" t="s">
        <v>108</v>
      </c>
      <c r="D237" s="84">
        <v>-2.7833622509883171</v>
      </c>
      <c r="E237" s="47">
        <f t="shared" si="285"/>
        <v>4793682.148844583</v>
      </c>
      <c r="F237" s="112"/>
      <c r="I237" s="39"/>
      <c r="J237" s="20">
        <f t="shared" si="291"/>
        <v>45077</v>
      </c>
      <c r="K237" s="27">
        <f>'SC (Gross)'!K237</f>
        <v>-0.93249360000000003</v>
      </c>
      <c r="L237" s="46">
        <f t="shared" si="287"/>
        <v>3423339.2552194288</v>
      </c>
      <c r="M237" s="112"/>
      <c r="O237" s="39"/>
      <c r="P237" s="20">
        <f t="shared" si="292"/>
        <v>45077</v>
      </c>
      <c r="Q237" s="45">
        <f>'SC (Gross)'!Q237</f>
        <v>-4.1118870000000003</v>
      </c>
      <c r="R237" s="46">
        <f t="shared" si="288"/>
        <v>3827314.1786522144</v>
      </c>
      <c r="S237" s="112"/>
      <c r="U237" s="39"/>
      <c r="W237" s="107">
        <f>'SC (Gross)'!W237</f>
        <v>-2.7777780000000001</v>
      </c>
    </row>
    <row r="238" spans="1:28" x14ac:dyDescent="0.25">
      <c r="A238" s="21">
        <v>45107</v>
      </c>
      <c r="B238" s="24">
        <f t="shared" ref="B238:B242" si="293">IF(A238&gt;A237,1+B237,"-")</f>
        <v>222</v>
      </c>
      <c r="C238" s="97" t="s">
        <v>98</v>
      </c>
      <c r="D238" s="84">
        <v>6.0829490000000002</v>
      </c>
      <c r="E238" s="47">
        <f t="shared" ref="E238" si="294">E237*D238/100+E237</f>
        <v>5085279.3891809033</v>
      </c>
      <c r="F238" s="112"/>
      <c r="G238" s="106">
        <f>(E238/E235-1)*100</f>
        <v>2.0213478671946783</v>
      </c>
      <c r="I238" s="39"/>
      <c r="J238" s="20">
        <f t="shared" ref="J238" si="295">A238</f>
        <v>45107</v>
      </c>
      <c r="K238" s="27">
        <f>'SC (Gross)'!K238</f>
        <v>8.1256939999999993</v>
      </c>
      <c r="L238" s="46">
        <f t="shared" ref="L238" si="296">L237*K238/100+L237</f>
        <v>3701509.3276804388</v>
      </c>
      <c r="M238" s="112"/>
      <c r="N238" s="106">
        <f>(L238/L235-1)*100</f>
        <v>5.1910964675128568</v>
      </c>
      <c r="O238" s="39"/>
      <c r="P238" s="20">
        <f t="shared" si="292"/>
        <v>45107</v>
      </c>
      <c r="Q238" s="45">
        <f>'SC (Gross)'!Q238</f>
        <v>2.8888660000000002</v>
      </c>
      <c r="R238" s="46">
        <f t="shared" ref="R238" si="297">R237*Q238/100+R237</f>
        <v>3937880.1566724773</v>
      </c>
      <c r="S238" s="112"/>
      <c r="T238" s="106">
        <f>(R238/R235-1)*100</f>
        <v>-5.444169439570345</v>
      </c>
      <c r="U238" s="39"/>
      <c r="W238" s="107">
        <f>'SC (Gross)'!W238</f>
        <v>6.0829490000000002</v>
      </c>
    </row>
    <row r="239" spans="1:28" x14ac:dyDescent="0.25">
      <c r="A239" s="21">
        <v>45138</v>
      </c>
      <c r="B239" s="24">
        <f t="shared" si="293"/>
        <v>223</v>
      </c>
      <c r="C239" s="97" t="s">
        <v>98</v>
      </c>
      <c r="D239" s="84">
        <v>3.3883580000000002</v>
      </c>
      <c r="E239" s="47">
        <f t="shared" ref="E239" si="298">E238*D239/100+E238</f>
        <v>5257586.8601865657</v>
      </c>
      <c r="F239" s="112"/>
      <c r="G239" s="106"/>
      <c r="I239" s="39"/>
      <c r="J239" s="20">
        <f t="shared" ref="J239" si="299">A239</f>
        <v>45138</v>
      </c>
      <c r="K239" s="27">
        <f>'SC (Gross)'!K239</f>
        <v>6.114903</v>
      </c>
      <c r="L239" s="46">
        <f t="shared" ref="L239" si="300">L238*K239/100+L238</f>
        <v>3927853.0326040499</v>
      </c>
      <c r="M239" s="112"/>
      <c r="N239" s="106"/>
      <c r="O239" s="39"/>
      <c r="P239" s="20">
        <f t="shared" si="292"/>
        <v>45138</v>
      </c>
      <c r="Q239" s="45">
        <f>'SC (Gross)'!Q239</f>
        <v>7.1115240000000002</v>
      </c>
      <c r="R239" s="46">
        <f t="shared" ref="R239" si="301">R238*Q239/100+R238</f>
        <v>4217923.4491054779</v>
      </c>
      <c r="S239" s="112"/>
      <c r="T239" s="106"/>
      <c r="U239" s="39"/>
      <c r="W239" s="107">
        <f>'SC (Gross)'!W239</f>
        <v>3.3883580000000002</v>
      </c>
    </row>
    <row r="240" spans="1:28" x14ac:dyDescent="0.25">
      <c r="A240" s="21">
        <v>45169</v>
      </c>
      <c r="B240" s="24">
        <f t="shared" si="293"/>
        <v>224</v>
      </c>
      <c r="C240" s="97" t="s">
        <v>98</v>
      </c>
      <c r="D240" s="84">
        <v>-3.613445</v>
      </c>
      <c r="E240" s="47">
        <f t="shared" ref="E240" si="302">E239*D240/100+E239</f>
        <v>5067606.8506664969</v>
      </c>
      <c r="F240" s="112"/>
      <c r="G240" s="106"/>
      <c r="I240" s="39"/>
      <c r="J240" s="20">
        <f t="shared" ref="J240" si="303">A240</f>
        <v>45169</v>
      </c>
      <c r="K240" s="27">
        <f>'SC (Gross)'!K240</f>
        <v>-5.0064710000000003</v>
      </c>
      <c r="L240" s="46">
        <f t="shared" ref="L240" si="304">L239*K240/100+L239</f>
        <v>3731206.2096041078</v>
      </c>
      <c r="M240" s="112"/>
      <c r="N240" s="106"/>
      <c r="O240" s="39"/>
      <c r="P240" s="20">
        <f t="shared" si="292"/>
        <v>45169</v>
      </c>
      <c r="Q240" s="45">
        <f>'SC (Gross)'!Q240</f>
        <v>-3.0401669999999998</v>
      </c>
      <c r="R240" s="46">
        <f t="shared" ref="R240" si="305">R239*Q240/100+R239</f>
        <v>4089691.5323205115</v>
      </c>
      <c r="S240" s="112"/>
      <c r="T240" s="106"/>
      <c r="U240" s="39"/>
      <c r="W240" s="107">
        <f>'SC (Gross)'!W240</f>
        <v>-3.613445</v>
      </c>
    </row>
    <row r="241" spans="1:23" x14ac:dyDescent="0.25">
      <c r="A241" s="21">
        <v>45199</v>
      </c>
      <c r="B241" s="24">
        <f t="shared" si="293"/>
        <v>225</v>
      </c>
      <c r="C241" s="97" t="s">
        <v>98</v>
      </c>
      <c r="D241" s="84">
        <v>-4.0976460000000001</v>
      </c>
      <c r="E241" s="47">
        <f t="shared" ref="E241" si="306">E240*D241/100+E240</f>
        <v>4859954.2612544354</v>
      </c>
      <c r="F241" s="112"/>
      <c r="G241" s="106">
        <f>(E241/E238-1)*100</f>
        <v>-4.430929171873121</v>
      </c>
      <c r="I241" s="39"/>
      <c r="J241" s="20">
        <f t="shared" ref="J241" si="307">A241</f>
        <v>45199</v>
      </c>
      <c r="K241" s="27">
        <f>'SC (Gross)'!K241</f>
        <v>-5.8905890000000003</v>
      </c>
      <c r="L241" s="46">
        <f t="shared" ref="L241" si="308">L240*K241/100+L240</f>
        <v>3511416.1870538513</v>
      </c>
      <c r="M241" s="112"/>
      <c r="N241" s="106">
        <f>(L241/L238-1)*100</f>
        <v>-5.1355575198755439</v>
      </c>
      <c r="O241" s="39"/>
      <c r="P241" s="20">
        <f t="shared" si="292"/>
        <v>45199</v>
      </c>
      <c r="Q241" s="45">
        <f>'SC (Gross)'!Q241</f>
        <v>-4.296818</v>
      </c>
      <c r="R241" s="46">
        <f t="shared" ref="R241" si="309">R240*Q241/100+R240</f>
        <v>3913964.9304152881</v>
      </c>
      <c r="S241" s="112"/>
      <c r="T241" s="106">
        <f>(R241/R238-1)*100</f>
        <v>-0.60731219096819</v>
      </c>
      <c r="U241" s="39"/>
      <c r="W241" s="107">
        <f>'SC (Gross)'!W241</f>
        <v>-4.0976460000000001</v>
      </c>
    </row>
    <row r="242" spans="1:23" x14ac:dyDescent="0.25">
      <c r="A242" s="21">
        <v>45230</v>
      </c>
      <c r="B242" s="24">
        <f t="shared" si="293"/>
        <v>226</v>
      </c>
      <c r="C242" s="97" t="s">
        <v>98</v>
      </c>
      <c r="D242" s="84">
        <v>-1.9090910000000001</v>
      </c>
      <c r="E242" s="47">
        <f t="shared" ref="E242:E243" si="310">E241*D242/100+E241</f>
        <v>4767173.3118487103</v>
      </c>
      <c r="F242" s="112"/>
      <c r="G242" s="106"/>
      <c r="I242" s="39"/>
      <c r="J242" s="20">
        <f t="shared" ref="J242:J243" si="311">A242</f>
        <v>45230</v>
      </c>
      <c r="K242" s="27">
        <f>'SC (Gross)'!K242</f>
        <v>-6.8217509999999999</v>
      </c>
      <c r="L242" s="46">
        <f t="shared" ref="L242:L243" si="312">L241*K242/100+L241</f>
        <v>3271876.1181993433</v>
      </c>
      <c r="M242" s="112"/>
      <c r="N242" s="106"/>
      <c r="O242" s="39"/>
      <c r="P242" s="20">
        <f t="shared" si="292"/>
        <v>45230</v>
      </c>
      <c r="Q242" s="45">
        <f>'SC (Gross)'!Q242</f>
        <v>-2.5646770000000001</v>
      </c>
      <c r="R242" s="46">
        <f t="shared" ref="R242:R243" si="313">R241*Q242/100+R241</f>
        <v>3813584.3720568614</v>
      </c>
      <c r="S242" s="112"/>
      <c r="T242" s="106"/>
      <c r="U242" s="39"/>
      <c r="W242" s="107">
        <f>'SC (Gross)'!W242</f>
        <v>-1.9090910000000001</v>
      </c>
    </row>
    <row r="243" spans="1:23" x14ac:dyDescent="0.25">
      <c r="A243" s="21">
        <v>45260</v>
      </c>
      <c r="B243" s="24">
        <f t="shared" ref="B243:B247" si="314">IF(A243&gt;A242,1+B242,"-")</f>
        <v>227</v>
      </c>
      <c r="C243" s="97" t="s">
        <v>98</v>
      </c>
      <c r="D243" s="84">
        <v>6.6771940000000001</v>
      </c>
      <c r="E243" s="47">
        <f t="shared" si="310"/>
        <v>5085486.7221970735</v>
      </c>
      <c r="F243" s="112"/>
      <c r="G243" s="106"/>
      <c r="I243" s="39"/>
      <c r="J243" s="20">
        <f t="shared" si="311"/>
        <v>45260</v>
      </c>
      <c r="K243" s="27">
        <f>'SC (Gross)'!K243</f>
        <v>9.028518</v>
      </c>
      <c r="L243" s="46">
        <f t="shared" si="312"/>
        <v>3567278.0424686722</v>
      </c>
      <c r="M243" s="112"/>
      <c r="N243" s="106"/>
      <c r="O243" s="39"/>
      <c r="P243" s="20">
        <f t="shared" si="292"/>
        <v>45260</v>
      </c>
      <c r="Q243" s="45">
        <f>'SC (Gross)'!Q243</f>
        <v>6.0607249999999997</v>
      </c>
      <c r="R243" s="46">
        <f t="shared" si="313"/>
        <v>4044715.2334902044</v>
      </c>
      <c r="S243" s="112"/>
      <c r="T243" s="106"/>
      <c r="U243" s="39"/>
      <c r="W243" s="107">
        <f>'SC (Gross)'!W243</f>
        <v>6.6771940000000001</v>
      </c>
    </row>
    <row r="244" spans="1:23" x14ac:dyDescent="0.25">
      <c r="A244" s="21">
        <v>45291</v>
      </c>
      <c r="B244" s="24">
        <f t="shared" si="314"/>
        <v>228</v>
      </c>
      <c r="C244" s="97" t="s">
        <v>98</v>
      </c>
      <c r="D244" s="84">
        <v>9.3059969999999996</v>
      </c>
      <c r="E244" s="47">
        <f t="shared" ref="E244" si="315">E243*D244/100+E243</f>
        <v>5558741.9640001319</v>
      </c>
      <c r="F244" s="112">
        <f t="shared" ref="F244" si="316">(E244/E$232-1)*100</f>
        <v>12.502621921577205</v>
      </c>
      <c r="G244" s="106">
        <f>(E244/E241-1)*100</f>
        <v>14.378483112829299</v>
      </c>
      <c r="I244" s="39"/>
      <c r="J244" s="20">
        <f t="shared" ref="J244" si="317">A244</f>
        <v>45291</v>
      </c>
      <c r="K244" s="27">
        <f>'SC (Gross)'!K244</f>
        <v>12.23072</v>
      </c>
      <c r="L244" s="46">
        <f t="shared" ref="L244" si="318">L243*K244/100+L243</f>
        <v>4003581.8314644964</v>
      </c>
      <c r="M244" s="112">
        <f t="shared" ref="M244" si="319">(L244/L$232-1)*100</f>
        <v>16.880006471677866</v>
      </c>
      <c r="N244" s="106">
        <f>(L244/L241-1)*100</f>
        <v>14.01615810239749</v>
      </c>
      <c r="O244" s="39"/>
      <c r="P244" s="20">
        <f t="shared" si="292"/>
        <v>45291</v>
      </c>
      <c r="Q244" s="45">
        <f>'SC (Gross)'!Q244</f>
        <v>9.2551000000000005</v>
      </c>
      <c r="R244" s="46">
        <f t="shared" ref="R244" si="320">R243*Q244/100+R243</f>
        <v>4419057.6730649564</v>
      </c>
      <c r="S244" s="112">
        <f t="shared" ref="S244" si="321">(R244/R$232-1)*100</f>
        <v>1.4314161511375989</v>
      </c>
      <c r="T244" s="106">
        <f>(R244/R241-1)*100</f>
        <v>12.904886774140722</v>
      </c>
      <c r="U244" s="39"/>
      <c r="W244" s="107">
        <f>'SC (Gross)'!W244</f>
        <v>9.3059969999999996</v>
      </c>
    </row>
    <row r="245" spans="1:23" x14ac:dyDescent="0.25">
      <c r="A245" s="21">
        <v>45322</v>
      </c>
      <c r="B245" s="24">
        <f t="shared" si="314"/>
        <v>229</v>
      </c>
      <c r="C245" s="97" t="s">
        <v>98</v>
      </c>
      <c r="K245" s="27"/>
      <c r="Q245" s="27"/>
    </row>
    <row r="246" spans="1:23" x14ac:dyDescent="0.25">
      <c r="A246" s="21">
        <v>45351</v>
      </c>
      <c r="B246" s="24">
        <f t="shared" si="314"/>
        <v>230</v>
      </c>
      <c r="C246" s="97" t="s">
        <v>98</v>
      </c>
      <c r="K246" s="27"/>
      <c r="Q246" s="27"/>
    </row>
    <row r="247" spans="1:23" x14ac:dyDescent="0.25">
      <c r="A247" s="21">
        <v>45382</v>
      </c>
      <c r="B247" s="24">
        <f t="shared" si="314"/>
        <v>231</v>
      </c>
      <c r="C247" s="97" t="s">
        <v>98</v>
      </c>
      <c r="K247" s="27"/>
      <c r="Q247" s="27"/>
    </row>
    <row r="248" spans="1:23" x14ac:dyDescent="0.25">
      <c r="A248" s="21">
        <v>45412</v>
      </c>
      <c r="B248" s="24">
        <f t="shared" ref="B248:B250" si="322">IF(A248&gt;A247,1+B247,"-")</f>
        <v>232</v>
      </c>
      <c r="C248" s="97" t="s">
        <v>98</v>
      </c>
      <c r="K248" s="27"/>
      <c r="Q248" s="27"/>
    </row>
    <row r="249" spans="1:23" x14ac:dyDescent="0.25">
      <c r="A249" s="21">
        <v>45443</v>
      </c>
      <c r="B249" s="24">
        <f t="shared" si="322"/>
        <v>233</v>
      </c>
      <c r="C249" s="97" t="s">
        <v>98</v>
      </c>
      <c r="K249" s="27"/>
      <c r="Q249" s="27"/>
    </row>
    <row r="250" spans="1:23" x14ac:dyDescent="0.25">
      <c r="A250" s="21">
        <v>45473</v>
      </c>
      <c r="B250" s="24">
        <f t="shared" si="322"/>
        <v>234</v>
      </c>
      <c r="C250" s="97" t="s">
        <v>98</v>
      </c>
      <c r="K250" s="27"/>
      <c r="Q250" s="27"/>
    </row>
    <row r="251" spans="1:23" x14ac:dyDescent="0.25">
      <c r="B251" s="24"/>
      <c r="K251" s="27"/>
      <c r="Q251" s="27"/>
    </row>
    <row r="252" spans="1:23" x14ac:dyDescent="0.25">
      <c r="B252" s="24"/>
      <c r="K252" s="27"/>
      <c r="Q252" s="27"/>
    </row>
    <row r="253" spans="1:23" x14ac:dyDescent="0.25">
      <c r="B253" s="24"/>
      <c r="K253" s="27"/>
      <c r="Q253" s="27"/>
    </row>
    <row r="254" spans="1:23" x14ac:dyDescent="0.25">
      <c r="B254" s="24"/>
      <c r="K254" s="27"/>
      <c r="Q254" s="27"/>
    </row>
    <row r="255" spans="1:23" x14ac:dyDescent="0.25">
      <c r="B255" s="24"/>
      <c r="K255" s="27"/>
      <c r="Q255" s="27"/>
    </row>
    <row r="256" spans="1:23" x14ac:dyDescent="0.25">
      <c r="B256" s="24"/>
      <c r="K256" s="27"/>
      <c r="Q256" s="27"/>
    </row>
    <row r="257" spans="2:17" x14ac:dyDescent="0.25">
      <c r="B257" s="24"/>
      <c r="K257" s="27"/>
      <c r="Q257" s="27"/>
    </row>
    <row r="258" spans="2:17" x14ac:dyDescent="0.25">
      <c r="B258" s="24"/>
      <c r="K258" s="27"/>
      <c r="Q258" s="27"/>
    </row>
    <row r="259" spans="2:17" x14ac:dyDescent="0.25">
      <c r="B259" s="24"/>
      <c r="K259" s="27"/>
      <c r="Q259" s="27"/>
    </row>
    <row r="260" spans="2:17" x14ac:dyDescent="0.25">
      <c r="B260" s="24"/>
      <c r="K260" s="27"/>
      <c r="Q260" s="27"/>
    </row>
    <row r="261" spans="2:17" x14ac:dyDescent="0.25">
      <c r="B261" s="24"/>
      <c r="K261" s="27"/>
      <c r="Q261" s="27"/>
    </row>
    <row r="262" spans="2:17" x14ac:dyDescent="0.25">
      <c r="B262" s="24"/>
      <c r="K262" s="27"/>
      <c r="Q262" s="27"/>
    </row>
    <row r="263" spans="2:17" x14ac:dyDescent="0.25">
      <c r="B263" s="24"/>
      <c r="K263" s="27"/>
      <c r="Q263" s="27"/>
    </row>
    <row r="264" spans="2:17" x14ac:dyDescent="0.25">
      <c r="B264" s="24"/>
      <c r="K264" s="27"/>
      <c r="Q264" s="27"/>
    </row>
    <row r="265" spans="2:17" x14ac:dyDescent="0.25">
      <c r="B265" s="24"/>
      <c r="K265" s="27"/>
      <c r="Q265" s="27"/>
    </row>
    <row r="266" spans="2:17" x14ac:dyDescent="0.25">
      <c r="B266" s="24"/>
      <c r="K266" s="27"/>
      <c r="Q266" s="27"/>
    </row>
    <row r="267" spans="2:17" x14ac:dyDescent="0.25">
      <c r="B267" s="24"/>
      <c r="K267" s="27"/>
      <c r="Q267" s="27"/>
    </row>
    <row r="268" spans="2:17" x14ac:dyDescent="0.25">
      <c r="B268" s="24"/>
      <c r="K268" s="27"/>
      <c r="Q268" s="27"/>
    </row>
    <row r="269" spans="2:17" x14ac:dyDescent="0.25">
      <c r="B269" s="24"/>
      <c r="K269" s="27"/>
      <c r="Q269" s="27"/>
    </row>
    <row r="270" spans="2:17" x14ac:dyDescent="0.25">
      <c r="B270" s="24"/>
      <c r="K270" s="27"/>
      <c r="Q270" s="27"/>
    </row>
    <row r="271" spans="2:17" x14ac:dyDescent="0.25">
      <c r="B271" s="24"/>
      <c r="K271" s="27"/>
      <c r="Q271" s="27"/>
    </row>
    <row r="272" spans="2:17" x14ac:dyDescent="0.25">
      <c r="B272" s="24"/>
      <c r="K272" s="27"/>
      <c r="Q272" s="27"/>
    </row>
    <row r="273" spans="2:17" x14ac:dyDescent="0.25">
      <c r="B273" s="24"/>
      <c r="K273" s="27"/>
      <c r="Q273" s="27"/>
    </row>
    <row r="274" spans="2:17" x14ac:dyDescent="0.25">
      <c r="B274" s="24"/>
      <c r="K274" s="27"/>
      <c r="Q274" s="27"/>
    </row>
    <row r="275" spans="2:17" x14ac:dyDescent="0.25">
      <c r="B275" s="24"/>
      <c r="K275" s="27"/>
      <c r="Q275" s="27"/>
    </row>
    <row r="276" spans="2:17" x14ac:dyDescent="0.25">
      <c r="B276" s="24"/>
      <c r="K276" s="27"/>
      <c r="Q276" s="27"/>
    </row>
    <row r="277" spans="2:17" x14ac:dyDescent="0.25">
      <c r="B277" s="24"/>
      <c r="K277" s="27"/>
      <c r="Q277" s="27"/>
    </row>
    <row r="278" spans="2:17" x14ac:dyDescent="0.25">
      <c r="B278" s="24"/>
      <c r="K278" s="27"/>
      <c r="Q278" s="27"/>
    </row>
    <row r="279" spans="2:17" x14ac:dyDescent="0.25">
      <c r="B279" s="24"/>
      <c r="K279" s="27"/>
      <c r="Q279" s="27"/>
    </row>
    <row r="280" spans="2:17" x14ac:dyDescent="0.25">
      <c r="B280" s="24"/>
      <c r="K280" s="27"/>
      <c r="Q280" s="27"/>
    </row>
    <row r="281" spans="2:17" x14ac:dyDescent="0.25">
      <c r="B281" s="24"/>
      <c r="K281" s="27"/>
      <c r="Q281" s="27"/>
    </row>
    <row r="282" spans="2:17" x14ac:dyDescent="0.25">
      <c r="B282" s="24"/>
      <c r="K282" s="27"/>
      <c r="Q282" s="27"/>
    </row>
    <row r="283" spans="2:17" x14ac:dyDescent="0.25">
      <c r="B283" s="24"/>
      <c r="K283" s="27"/>
      <c r="Q283" s="27"/>
    </row>
    <row r="284" spans="2:17" x14ac:dyDescent="0.25">
      <c r="B284" s="24"/>
      <c r="K284" s="27"/>
      <c r="Q284" s="27"/>
    </row>
    <row r="285" spans="2:17" x14ac:dyDescent="0.25">
      <c r="B285" s="24"/>
      <c r="K285" s="27"/>
      <c r="Q285" s="27"/>
    </row>
    <row r="286" spans="2:17" x14ac:dyDescent="0.25">
      <c r="B286" s="24"/>
      <c r="K286" s="27"/>
      <c r="Q286" s="27"/>
    </row>
    <row r="287" spans="2:17" x14ac:dyDescent="0.25">
      <c r="B287" s="24"/>
      <c r="K287" s="27"/>
      <c r="Q287" s="27"/>
    </row>
    <row r="288" spans="2:17" x14ac:dyDescent="0.25">
      <c r="B288" s="24"/>
      <c r="K288" s="27"/>
      <c r="Q288" s="27"/>
    </row>
    <row r="289" spans="2:17" x14ac:dyDescent="0.25">
      <c r="B289" s="24"/>
      <c r="K289" s="27"/>
      <c r="Q289" s="27"/>
    </row>
    <row r="290" spans="2:17" x14ac:dyDescent="0.25">
      <c r="B290" s="24"/>
      <c r="K290" s="27"/>
      <c r="Q290" s="27"/>
    </row>
    <row r="291" spans="2:17" x14ac:dyDescent="0.25">
      <c r="B291" s="24"/>
      <c r="K291" s="27"/>
      <c r="Q291" s="27"/>
    </row>
    <row r="292" spans="2:17" x14ac:dyDescent="0.25">
      <c r="B292" s="24"/>
      <c r="K292" s="27"/>
      <c r="Q292" s="27"/>
    </row>
    <row r="293" spans="2:17" x14ac:dyDescent="0.25">
      <c r="B293" s="24"/>
      <c r="K293" s="27"/>
      <c r="Q293" s="27"/>
    </row>
    <row r="294" spans="2:17" x14ac:dyDescent="0.25">
      <c r="B294" s="24"/>
      <c r="K294" s="27"/>
      <c r="Q294" s="27"/>
    </row>
    <row r="295" spans="2:17" x14ac:dyDescent="0.25">
      <c r="B295" s="24"/>
      <c r="K295" s="27"/>
      <c r="Q295" s="27"/>
    </row>
    <row r="296" spans="2:17" x14ac:dyDescent="0.25">
      <c r="B296" s="24"/>
      <c r="K296" s="27"/>
      <c r="Q296" s="27"/>
    </row>
    <row r="297" spans="2:17" x14ac:dyDescent="0.25">
      <c r="B297" s="24"/>
      <c r="K297" s="27"/>
      <c r="Q297" s="27"/>
    </row>
    <row r="298" spans="2:17" x14ac:dyDescent="0.25">
      <c r="B298" s="24"/>
      <c r="K298" s="27"/>
      <c r="Q298" s="27"/>
    </row>
    <row r="299" spans="2:17" x14ac:dyDescent="0.25">
      <c r="B299" s="24"/>
      <c r="K299" s="27"/>
      <c r="Q299" s="27"/>
    </row>
    <row r="300" spans="2:17" x14ac:dyDescent="0.25">
      <c r="B300" s="24"/>
      <c r="K300" s="27"/>
      <c r="Q300" s="27"/>
    </row>
    <row r="301" spans="2:17" x14ac:dyDescent="0.25">
      <c r="B301" s="24"/>
      <c r="K301" s="27"/>
      <c r="Q301" s="27"/>
    </row>
    <row r="302" spans="2:17" x14ac:dyDescent="0.25">
      <c r="B302" s="24"/>
      <c r="K302" s="27"/>
      <c r="Q302" s="27"/>
    </row>
    <row r="303" spans="2:17" x14ac:dyDescent="0.25">
      <c r="B303" s="24"/>
      <c r="K303" s="27"/>
      <c r="Q303" s="27"/>
    </row>
    <row r="304" spans="2:17" x14ac:dyDescent="0.25">
      <c r="B304" s="24"/>
      <c r="K304" s="27"/>
      <c r="Q304" s="27"/>
    </row>
    <row r="305" spans="2:17" x14ac:dyDescent="0.25">
      <c r="B305" s="24"/>
      <c r="K305" s="27"/>
      <c r="Q305" s="27"/>
    </row>
    <row r="306" spans="2:17" x14ac:dyDescent="0.25">
      <c r="B306" s="24"/>
      <c r="K306" s="27"/>
      <c r="Q306" s="27"/>
    </row>
    <row r="307" spans="2:17" x14ac:dyDescent="0.25">
      <c r="B307" s="24"/>
      <c r="K307" s="27"/>
      <c r="Q307" s="27"/>
    </row>
    <row r="308" spans="2:17" x14ac:dyDescent="0.25">
      <c r="B308" s="24"/>
      <c r="K308" s="27"/>
      <c r="Q308" s="27"/>
    </row>
    <row r="309" spans="2:17" x14ac:dyDescent="0.25">
      <c r="B309" s="24"/>
      <c r="K309" s="27"/>
      <c r="Q309" s="27"/>
    </row>
    <row r="310" spans="2:17" x14ac:dyDescent="0.25">
      <c r="B310" s="24"/>
      <c r="K310" s="27"/>
      <c r="Q310" s="27"/>
    </row>
    <row r="311" spans="2:17" x14ac:dyDescent="0.25">
      <c r="B311" s="24"/>
      <c r="K311" s="27"/>
      <c r="Q311" s="27"/>
    </row>
    <row r="312" spans="2:17" x14ac:dyDescent="0.25">
      <c r="B312" s="24"/>
      <c r="K312" s="27"/>
      <c r="Q312" s="27"/>
    </row>
    <row r="313" spans="2:17" x14ac:dyDescent="0.25">
      <c r="B313" s="24"/>
      <c r="K313" s="27"/>
      <c r="Q313" s="27"/>
    </row>
    <row r="314" spans="2:17" x14ac:dyDescent="0.25">
      <c r="B314" s="24"/>
      <c r="K314" s="27"/>
      <c r="Q314" s="27"/>
    </row>
    <row r="315" spans="2:17" x14ac:dyDescent="0.25">
      <c r="B315" s="24"/>
      <c r="K315" s="27"/>
      <c r="Q315" s="27"/>
    </row>
    <row r="316" spans="2:17" x14ac:dyDescent="0.25">
      <c r="B316" s="24"/>
      <c r="K316" s="27"/>
      <c r="Q316" s="27"/>
    </row>
    <row r="317" spans="2:17" x14ac:dyDescent="0.25">
      <c r="B317" s="24"/>
      <c r="K317" s="27"/>
      <c r="Q317" s="27"/>
    </row>
    <row r="318" spans="2:17" x14ac:dyDescent="0.25">
      <c r="B318" s="24"/>
      <c r="K318" s="27"/>
      <c r="Q318" s="27"/>
    </row>
    <row r="319" spans="2:17" x14ac:dyDescent="0.25">
      <c r="B319" s="24"/>
      <c r="K319" s="27"/>
      <c r="Q319" s="27"/>
    </row>
    <row r="320" spans="2:17" x14ac:dyDescent="0.25">
      <c r="B320" s="24"/>
      <c r="K320" s="27"/>
      <c r="Q320" s="27"/>
    </row>
    <row r="321" spans="2:17" x14ac:dyDescent="0.25">
      <c r="B321" s="24"/>
      <c r="K321" s="27"/>
      <c r="Q321" s="27"/>
    </row>
    <row r="322" spans="2:17" x14ac:dyDescent="0.25">
      <c r="B322" s="24"/>
      <c r="K322" s="27"/>
      <c r="Q322" s="27"/>
    </row>
    <row r="323" spans="2:17" x14ac:dyDescent="0.25">
      <c r="B323" s="24"/>
      <c r="K323" s="27"/>
      <c r="Q323" s="27"/>
    </row>
    <row r="324" spans="2:17" x14ac:dyDescent="0.25">
      <c r="B324" s="24"/>
      <c r="K324" s="27"/>
      <c r="Q324" s="27"/>
    </row>
    <row r="325" spans="2:17" x14ac:dyDescent="0.25">
      <c r="B325" s="24"/>
      <c r="K325" s="27"/>
      <c r="Q325" s="27"/>
    </row>
    <row r="326" spans="2:17" x14ac:dyDescent="0.25">
      <c r="B326" s="24"/>
      <c r="K326" s="27"/>
      <c r="Q326" s="27"/>
    </row>
    <row r="327" spans="2:17" x14ac:dyDescent="0.25">
      <c r="B327" s="24"/>
      <c r="K327" s="27"/>
      <c r="Q327" s="27"/>
    </row>
    <row r="328" spans="2:17" x14ac:dyDescent="0.25">
      <c r="B328" s="24"/>
      <c r="K328" s="27"/>
      <c r="Q328" s="27"/>
    </row>
    <row r="329" spans="2:17" x14ac:dyDescent="0.25">
      <c r="B329" s="24"/>
      <c r="K329" s="27"/>
      <c r="Q329" s="27"/>
    </row>
    <row r="330" spans="2:17" x14ac:dyDescent="0.25">
      <c r="B330" s="24"/>
      <c r="K330" s="27"/>
      <c r="Q330" s="27"/>
    </row>
    <row r="331" spans="2:17" x14ac:dyDescent="0.25">
      <c r="B331" s="24"/>
      <c r="K331" s="27"/>
      <c r="Q331" s="27"/>
    </row>
    <row r="332" spans="2:17" x14ac:dyDescent="0.25">
      <c r="B332" s="24"/>
      <c r="K332" s="27"/>
      <c r="Q332" s="27"/>
    </row>
    <row r="333" spans="2:17" x14ac:dyDescent="0.25">
      <c r="B333" s="24"/>
      <c r="K333" s="27"/>
      <c r="Q333" s="27"/>
    </row>
    <row r="334" spans="2:17" x14ac:dyDescent="0.25">
      <c r="B334" s="24"/>
      <c r="K334" s="27"/>
      <c r="Q334" s="27"/>
    </row>
    <row r="335" spans="2:17" x14ac:dyDescent="0.25">
      <c r="B335" s="24"/>
      <c r="K335" s="27"/>
      <c r="Q335" s="27"/>
    </row>
    <row r="336" spans="2:17" x14ac:dyDescent="0.25">
      <c r="B336" s="24"/>
      <c r="K336" s="27"/>
      <c r="Q336" s="27"/>
    </row>
    <row r="337" spans="2:17" x14ac:dyDescent="0.25">
      <c r="B337" s="24"/>
      <c r="K337" s="27"/>
      <c r="Q337" s="27"/>
    </row>
    <row r="338" spans="2:17" x14ac:dyDescent="0.25">
      <c r="B338" s="24"/>
      <c r="K338" s="27"/>
      <c r="Q338" s="27"/>
    </row>
    <row r="339" spans="2:17" x14ac:dyDescent="0.25">
      <c r="B339" s="24"/>
      <c r="K339" s="27"/>
      <c r="Q339" s="27"/>
    </row>
    <row r="340" spans="2:17" x14ac:dyDescent="0.25">
      <c r="B340" s="24"/>
      <c r="K340" s="27"/>
      <c r="Q340" s="27"/>
    </row>
    <row r="341" spans="2:17" x14ac:dyDescent="0.25">
      <c r="B341" s="24"/>
      <c r="K341" s="27"/>
      <c r="Q341" s="27"/>
    </row>
    <row r="342" spans="2:17" x14ac:dyDescent="0.25">
      <c r="B342" s="24"/>
      <c r="K342" s="27"/>
      <c r="Q342" s="27"/>
    </row>
    <row r="343" spans="2:17" x14ac:dyDescent="0.25">
      <c r="B343" s="24"/>
      <c r="K343" s="27"/>
      <c r="Q343" s="27"/>
    </row>
    <row r="344" spans="2:17" x14ac:dyDescent="0.25">
      <c r="B344" s="24"/>
      <c r="K344" s="27"/>
      <c r="Q344" s="27"/>
    </row>
    <row r="345" spans="2:17" x14ac:dyDescent="0.25">
      <c r="B345" s="24"/>
      <c r="K345" s="27"/>
      <c r="Q345" s="27"/>
    </row>
    <row r="346" spans="2:17" x14ac:dyDescent="0.25">
      <c r="B346" s="24"/>
      <c r="K346" s="27"/>
      <c r="Q346" s="27"/>
    </row>
    <row r="347" spans="2:17" x14ac:dyDescent="0.25">
      <c r="B347" s="24"/>
      <c r="K347" s="27"/>
      <c r="Q347" s="27"/>
    </row>
    <row r="348" spans="2:17" x14ac:dyDescent="0.25">
      <c r="B348" s="24"/>
      <c r="K348" s="27"/>
      <c r="Q348" s="27"/>
    </row>
    <row r="349" spans="2:17" x14ac:dyDescent="0.25">
      <c r="B349" s="24"/>
      <c r="K349" s="27"/>
      <c r="Q349" s="27"/>
    </row>
    <row r="350" spans="2:17" x14ac:dyDescent="0.25">
      <c r="B350" s="24"/>
      <c r="K350" s="27"/>
      <c r="Q350" s="27"/>
    </row>
    <row r="351" spans="2:17" x14ac:dyDescent="0.25">
      <c r="B351" s="24"/>
      <c r="K351" s="27"/>
      <c r="Q351" s="27"/>
    </row>
    <row r="352" spans="2:17" x14ac:dyDescent="0.25">
      <c r="B352" s="24"/>
      <c r="K352" s="27"/>
      <c r="Q352" s="27"/>
    </row>
    <row r="353" spans="2:17" x14ac:dyDescent="0.25">
      <c r="B353" s="24"/>
      <c r="K353" s="27"/>
      <c r="Q353" s="27"/>
    </row>
    <row r="354" spans="2:17" x14ac:dyDescent="0.25">
      <c r="B354" s="24"/>
      <c r="K354" s="27"/>
      <c r="Q354" s="27"/>
    </row>
    <row r="355" spans="2:17" x14ac:dyDescent="0.25">
      <c r="B355" s="24"/>
      <c r="K355" s="27"/>
      <c r="Q355" s="27"/>
    </row>
    <row r="356" spans="2:17" x14ac:dyDescent="0.25">
      <c r="B356" s="24"/>
      <c r="K356" s="27"/>
      <c r="Q356" s="27"/>
    </row>
    <row r="357" spans="2:17" x14ac:dyDescent="0.25">
      <c r="B357" s="24"/>
      <c r="K357" s="27"/>
      <c r="Q357" s="27"/>
    </row>
    <row r="358" spans="2:17" x14ac:dyDescent="0.25">
      <c r="B358" s="24"/>
      <c r="K358" s="27"/>
      <c r="Q358" s="27"/>
    </row>
    <row r="359" spans="2:17" x14ac:dyDescent="0.25">
      <c r="B359" s="24"/>
      <c r="K359" s="27"/>
      <c r="Q359" s="27"/>
    </row>
    <row r="360" spans="2:17" x14ac:dyDescent="0.25">
      <c r="B360" s="24"/>
    </row>
    <row r="361" spans="2:17" x14ac:dyDescent="0.25">
      <c r="B361" s="24"/>
    </row>
    <row r="362" spans="2:17" x14ac:dyDescent="0.25">
      <c r="B362" s="24"/>
    </row>
    <row r="363" spans="2:17" x14ac:dyDescent="0.25">
      <c r="B363" s="24"/>
    </row>
    <row r="364" spans="2:17" x14ac:dyDescent="0.25">
      <c r="B364" s="24"/>
    </row>
    <row r="365" spans="2:17" x14ac:dyDescent="0.25">
      <c r="B365" s="24"/>
    </row>
    <row r="366" spans="2:17" x14ac:dyDescent="0.25">
      <c r="B366" s="24"/>
    </row>
    <row r="367" spans="2:17" x14ac:dyDescent="0.25">
      <c r="B367" s="24"/>
    </row>
    <row r="368" spans="2:17" x14ac:dyDescent="0.25">
      <c r="B368" s="24"/>
    </row>
    <row r="369" spans="2:2" x14ac:dyDescent="0.25">
      <c r="B369" s="24"/>
    </row>
    <row r="370" spans="2:2" x14ac:dyDescent="0.25">
      <c r="B370" s="24"/>
    </row>
    <row r="371" spans="2:2" x14ac:dyDescent="0.25">
      <c r="B371" s="24"/>
    </row>
    <row r="372" spans="2:2" x14ac:dyDescent="0.25">
      <c r="B372" s="24"/>
    </row>
    <row r="373" spans="2:2" x14ac:dyDescent="0.25">
      <c r="B373" s="24"/>
    </row>
    <row r="374" spans="2:2" x14ac:dyDescent="0.25">
      <c r="B374" s="24"/>
    </row>
    <row r="375" spans="2:2" x14ac:dyDescent="0.25">
      <c r="B375" s="24"/>
    </row>
    <row r="376" spans="2:2" x14ac:dyDescent="0.25">
      <c r="B376" s="24"/>
    </row>
    <row r="377" spans="2:2" x14ac:dyDescent="0.25">
      <c r="B377" s="24"/>
    </row>
    <row r="378" spans="2:2" x14ac:dyDescent="0.25">
      <c r="B378" s="24"/>
    </row>
    <row r="379" spans="2:2" x14ac:dyDescent="0.25">
      <c r="B379" s="24"/>
    </row>
    <row r="380" spans="2:2" x14ac:dyDescent="0.25">
      <c r="B380" s="24"/>
    </row>
    <row r="381" spans="2:2" x14ac:dyDescent="0.25">
      <c r="B381" s="24"/>
    </row>
    <row r="382" spans="2:2" x14ac:dyDescent="0.25">
      <c r="B382" s="24"/>
    </row>
    <row r="383" spans="2:2" x14ac:dyDescent="0.25">
      <c r="B383" s="24"/>
    </row>
    <row r="384" spans="2:2" x14ac:dyDescent="0.25">
      <c r="B384" s="24"/>
    </row>
    <row r="385" spans="2:2" x14ac:dyDescent="0.25">
      <c r="B385" s="24"/>
    </row>
    <row r="386" spans="2:2" x14ac:dyDescent="0.25">
      <c r="B386" s="24"/>
    </row>
    <row r="387" spans="2:2" x14ac:dyDescent="0.25">
      <c r="B387" s="24"/>
    </row>
    <row r="388" spans="2:2" x14ac:dyDescent="0.25">
      <c r="B388" s="24"/>
    </row>
    <row r="389" spans="2:2" x14ac:dyDescent="0.25">
      <c r="B389" s="24"/>
    </row>
    <row r="390" spans="2:2" x14ac:dyDescent="0.25">
      <c r="B390" s="24"/>
    </row>
    <row r="391" spans="2:2" x14ac:dyDescent="0.25">
      <c r="B391" s="24"/>
    </row>
    <row r="392" spans="2:2" x14ac:dyDescent="0.25">
      <c r="B392" s="24"/>
    </row>
    <row r="393" spans="2:2" x14ac:dyDescent="0.25">
      <c r="B393" s="24"/>
    </row>
    <row r="394" spans="2:2" x14ac:dyDescent="0.25">
      <c r="B394" s="24"/>
    </row>
    <row r="395" spans="2:2" x14ac:dyDescent="0.25">
      <c r="B395" s="24"/>
    </row>
    <row r="396" spans="2:2" x14ac:dyDescent="0.25">
      <c r="B396" s="24"/>
    </row>
    <row r="397" spans="2:2" x14ac:dyDescent="0.25">
      <c r="B397" s="24"/>
    </row>
    <row r="398" spans="2:2" x14ac:dyDescent="0.25">
      <c r="B398" s="24"/>
    </row>
    <row r="399" spans="2:2" x14ac:dyDescent="0.25">
      <c r="B399" s="24"/>
    </row>
    <row r="400" spans="2:2" x14ac:dyDescent="0.25">
      <c r="B400" s="24"/>
    </row>
    <row r="401" spans="2:2" x14ac:dyDescent="0.25">
      <c r="B401" s="24"/>
    </row>
    <row r="402" spans="2:2" x14ac:dyDescent="0.25">
      <c r="B402" s="24"/>
    </row>
    <row r="403" spans="2:2" x14ac:dyDescent="0.25">
      <c r="B403" s="24"/>
    </row>
    <row r="404" spans="2:2" x14ac:dyDescent="0.25">
      <c r="B404" s="24"/>
    </row>
    <row r="405" spans="2:2" x14ac:dyDescent="0.25">
      <c r="B405" s="24"/>
    </row>
    <row r="406" spans="2:2" x14ac:dyDescent="0.25">
      <c r="B406" s="24"/>
    </row>
    <row r="407" spans="2:2" x14ac:dyDescent="0.25">
      <c r="B407" s="24"/>
    </row>
    <row r="408" spans="2:2" x14ac:dyDescent="0.25">
      <c r="B408" s="24"/>
    </row>
    <row r="409" spans="2:2" x14ac:dyDescent="0.25">
      <c r="B409" s="24"/>
    </row>
    <row r="410" spans="2:2" x14ac:dyDescent="0.25">
      <c r="B410" s="24"/>
    </row>
    <row r="411" spans="2:2" x14ac:dyDescent="0.25">
      <c r="B411" s="24"/>
    </row>
    <row r="412" spans="2:2" x14ac:dyDescent="0.25">
      <c r="B412" s="24"/>
    </row>
    <row r="413" spans="2:2" x14ac:dyDescent="0.25">
      <c r="B413" s="24"/>
    </row>
    <row r="414" spans="2:2" x14ac:dyDescent="0.25">
      <c r="B414" s="24"/>
    </row>
    <row r="415" spans="2:2" x14ac:dyDescent="0.25">
      <c r="B415" s="24"/>
    </row>
    <row r="416" spans="2:2" x14ac:dyDescent="0.25">
      <c r="B416" s="24"/>
    </row>
    <row r="417" spans="2:2" x14ac:dyDescent="0.25">
      <c r="B417" s="24"/>
    </row>
    <row r="418" spans="2:2" x14ac:dyDescent="0.25">
      <c r="B418" s="24"/>
    </row>
    <row r="419" spans="2:2" x14ac:dyDescent="0.25">
      <c r="B419" s="24"/>
    </row>
    <row r="420" spans="2:2" x14ac:dyDescent="0.25">
      <c r="B420" s="24"/>
    </row>
    <row r="421" spans="2:2" x14ac:dyDescent="0.25">
      <c r="B421" s="24"/>
    </row>
    <row r="422" spans="2:2" x14ac:dyDescent="0.25">
      <c r="B422" s="24"/>
    </row>
    <row r="423" spans="2:2" x14ac:dyDescent="0.25">
      <c r="B423" s="24"/>
    </row>
    <row r="424" spans="2:2" x14ac:dyDescent="0.25">
      <c r="B424" s="24"/>
    </row>
    <row r="425" spans="2:2" x14ac:dyDescent="0.25">
      <c r="B425" s="24"/>
    </row>
    <row r="426" spans="2:2" x14ac:dyDescent="0.25">
      <c r="B426" s="24"/>
    </row>
    <row r="427" spans="2:2" x14ac:dyDescent="0.25">
      <c r="B427" s="24"/>
    </row>
    <row r="428" spans="2:2" x14ac:dyDescent="0.25">
      <c r="B428" s="24"/>
    </row>
    <row r="429" spans="2:2" x14ac:dyDescent="0.25">
      <c r="B429" s="24"/>
    </row>
    <row r="430" spans="2:2" x14ac:dyDescent="0.25">
      <c r="B430" s="24"/>
    </row>
    <row r="431" spans="2:2" x14ac:dyDescent="0.25">
      <c r="B431" s="24"/>
    </row>
    <row r="432" spans="2:2" x14ac:dyDescent="0.25">
      <c r="B432" s="24"/>
    </row>
    <row r="433" spans="2:2" x14ac:dyDescent="0.25">
      <c r="B433" s="24"/>
    </row>
    <row r="434" spans="2:2" x14ac:dyDescent="0.25">
      <c r="B434" s="24"/>
    </row>
    <row r="435" spans="2:2" x14ac:dyDescent="0.25">
      <c r="B435" s="24"/>
    </row>
    <row r="436" spans="2:2" x14ac:dyDescent="0.25">
      <c r="B436" s="24"/>
    </row>
    <row r="437" spans="2:2" x14ac:dyDescent="0.25">
      <c r="B437" s="24"/>
    </row>
    <row r="438" spans="2:2" x14ac:dyDescent="0.25">
      <c r="B438" s="24"/>
    </row>
    <row r="439" spans="2:2" x14ac:dyDescent="0.25">
      <c r="B439" s="24"/>
    </row>
    <row r="440" spans="2:2" x14ac:dyDescent="0.25">
      <c r="B440" s="24"/>
    </row>
    <row r="441" spans="2:2" x14ac:dyDescent="0.25">
      <c r="B441" s="24"/>
    </row>
    <row r="442" spans="2:2" x14ac:dyDescent="0.25">
      <c r="B442" s="24"/>
    </row>
    <row r="443" spans="2:2" x14ac:dyDescent="0.25">
      <c r="B443" s="24"/>
    </row>
    <row r="444" spans="2:2" x14ac:dyDescent="0.25">
      <c r="B444" s="24"/>
    </row>
    <row r="445" spans="2:2" x14ac:dyDescent="0.25">
      <c r="B445" s="24"/>
    </row>
    <row r="446" spans="2:2" x14ac:dyDescent="0.25">
      <c r="B446" s="24"/>
    </row>
    <row r="447" spans="2:2" x14ac:dyDescent="0.25">
      <c r="B447" s="24"/>
    </row>
    <row r="448" spans="2:2" x14ac:dyDescent="0.25">
      <c r="B448" s="24"/>
    </row>
    <row r="449" spans="2:2" x14ac:dyDescent="0.25">
      <c r="B449" s="24"/>
    </row>
    <row r="450" spans="2:2" x14ac:dyDescent="0.25">
      <c r="B450" s="24"/>
    </row>
    <row r="451" spans="2:2" x14ac:dyDescent="0.25">
      <c r="B451" s="24"/>
    </row>
    <row r="452" spans="2:2" x14ac:dyDescent="0.25">
      <c r="B452" s="24"/>
    </row>
    <row r="453" spans="2:2" x14ac:dyDescent="0.25">
      <c r="B453" s="24"/>
    </row>
    <row r="454" spans="2:2" x14ac:dyDescent="0.25">
      <c r="B454" s="24"/>
    </row>
    <row r="455" spans="2:2" x14ac:dyDescent="0.25">
      <c r="B455" s="24"/>
    </row>
    <row r="456" spans="2:2" x14ac:dyDescent="0.25">
      <c r="B456" s="24"/>
    </row>
    <row r="457" spans="2:2" x14ac:dyDescent="0.25">
      <c r="B457" s="24"/>
    </row>
    <row r="458" spans="2:2" x14ac:dyDescent="0.25">
      <c r="B458" s="24"/>
    </row>
    <row r="459" spans="2:2" x14ac:dyDescent="0.25">
      <c r="B459" s="24"/>
    </row>
    <row r="460" spans="2:2" x14ac:dyDescent="0.25">
      <c r="B460" s="24"/>
    </row>
    <row r="461" spans="2:2" x14ac:dyDescent="0.25">
      <c r="B461" s="24"/>
    </row>
    <row r="462" spans="2:2" x14ac:dyDescent="0.25">
      <c r="B462" s="24"/>
    </row>
    <row r="463" spans="2:2" x14ac:dyDescent="0.25">
      <c r="B463" s="24"/>
    </row>
    <row r="464" spans="2:2" x14ac:dyDescent="0.25">
      <c r="B464" s="24"/>
    </row>
    <row r="465" spans="2:2" x14ac:dyDescent="0.25">
      <c r="B465" s="24"/>
    </row>
    <row r="466" spans="2:2" x14ac:dyDescent="0.25">
      <c r="B466" s="24"/>
    </row>
    <row r="467" spans="2:2" x14ac:dyDescent="0.25">
      <c r="B467" s="24"/>
    </row>
    <row r="468" spans="2:2" x14ac:dyDescent="0.25">
      <c r="B468" s="24"/>
    </row>
    <row r="469" spans="2:2" x14ac:dyDescent="0.25">
      <c r="B469" s="24"/>
    </row>
    <row r="470" spans="2:2" x14ac:dyDescent="0.25">
      <c r="B470" s="24"/>
    </row>
    <row r="471" spans="2:2" x14ac:dyDescent="0.25">
      <c r="B471" s="24"/>
    </row>
    <row r="472" spans="2:2" x14ac:dyDescent="0.25">
      <c r="B472" s="24"/>
    </row>
    <row r="473" spans="2:2" x14ac:dyDescent="0.25">
      <c r="B473" s="24"/>
    </row>
    <row r="474" spans="2:2" x14ac:dyDescent="0.25">
      <c r="B474" s="24"/>
    </row>
    <row r="475" spans="2:2" x14ac:dyDescent="0.25">
      <c r="B475" s="24"/>
    </row>
    <row r="476" spans="2:2" x14ac:dyDescent="0.25">
      <c r="B476" s="24"/>
    </row>
    <row r="477" spans="2:2" x14ac:dyDescent="0.25">
      <c r="B477" s="24"/>
    </row>
    <row r="478" spans="2:2" x14ac:dyDescent="0.25">
      <c r="B478" s="24"/>
    </row>
    <row r="479" spans="2:2" x14ac:dyDescent="0.25">
      <c r="B479" s="24"/>
    </row>
    <row r="480" spans="2:2" x14ac:dyDescent="0.25">
      <c r="B480" s="24"/>
    </row>
    <row r="481" spans="2:2" x14ac:dyDescent="0.25">
      <c r="B481" s="24"/>
    </row>
    <row r="482" spans="2:2" x14ac:dyDescent="0.25">
      <c r="B482" s="24"/>
    </row>
    <row r="483" spans="2:2" x14ac:dyDescent="0.25">
      <c r="B483" s="24"/>
    </row>
    <row r="484" spans="2:2" x14ac:dyDescent="0.25">
      <c r="B484" s="24"/>
    </row>
    <row r="485" spans="2:2" x14ac:dyDescent="0.25">
      <c r="B485" s="24"/>
    </row>
    <row r="486" spans="2:2" x14ac:dyDescent="0.25">
      <c r="B486" s="24"/>
    </row>
    <row r="487" spans="2:2" x14ac:dyDescent="0.25">
      <c r="B487" s="24"/>
    </row>
    <row r="488" spans="2:2" x14ac:dyDescent="0.25">
      <c r="B488" s="24"/>
    </row>
    <row r="489" spans="2:2" x14ac:dyDescent="0.25">
      <c r="B489" s="24"/>
    </row>
    <row r="490" spans="2:2" x14ac:dyDescent="0.25">
      <c r="B490" s="24"/>
    </row>
    <row r="491" spans="2:2" x14ac:dyDescent="0.25">
      <c r="B491" s="24"/>
    </row>
    <row r="492" spans="2:2" x14ac:dyDescent="0.25">
      <c r="B492" s="24"/>
    </row>
    <row r="493" spans="2:2" x14ac:dyDescent="0.25">
      <c r="B493" s="24"/>
    </row>
    <row r="494" spans="2:2" x14ac:dyDescent="0.25">
      <c r="B494" s="24"/>
    </row>
    <row r="495" spans="2:2" x14ac:dyDescent="0.25">
      <c r="B495" s="24"/>
    </row>
    <row r="496" spans="2:2" x14ac:dyDescent="0.25">
      <c r="B496" s="24"/>
    </row>
    <row r="497" spans="2:2" x14ac:dyDescent="0.25">
      <c r="B497" s="24"/>
    </row>
    <row r="498" spans="2:2" x14ac:dyDescent="0.25">
      <c r="B498" s="24"/>
    </row>
    <row r="499" spans="2:2" x14ac:dyDescent="0.25">
      <c r="B499" s="24"/>
    </row>
    <row r="500" spans="2:2" x14ac:dyDescent="0.25">
      <c r="B500" s="24"/>
    </row>
    <row r="501" spans="2:2" x14ac:dyDescent="0.25">
      <c r="B501" s="24"/>
    </row>
    <row r="502" spans="2:2" x14ac:dyDescent="0.25">
      <c r="B502" s="24"/>
    </row>
    <row r="503" spans="2:2" x14ac:dyDescent="0.25">
      <c r="B503" s="24"/>
    </row>
    <row r="504" spans="2:2" x14ac:dyDescent="0.25">
      <c r="B504" s="24"/>
    </row>
    <row r="505" spans="2:2" x14ac:dyDescent="0.25">
      <c r="B505" s="24"/>
    </row>
    <row r="506" spans="2:2" x14ac:dyDescent="0.25">
      <c r="B506" s="24"/>
    </row>
  </sheetData>
  <mergeCells count="6">
    <mergeCell ref="W149:X149"/>
    <mergeCell ref="Y149:Z149"/>
    <mergeCell ref="AA149:AB149"/>
    <mergeCell ref="W15:X15"/>
    <mergeCell ref="Y15:Z15"/>
    <mergeCell ref="AA15:AB15"/>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0E5D-A06F-49C7-B120-4216E01E337B}">
  <sheetPr codeName="Sheet18"/>
  <dimension ref="A1:AI505"/>
  <sheetViews>
    <sheetView zoomScale="85" zoomScaleNormal="85" zoomScalePageLayoutView="85" workbookViewId="0">
      <pane xSplit="2" ySplit="14" topLeftCell="C60" activePane="bottomRight" state="frozen"/>
      <selection pane="topRight" activeCell="L16" sqref="L16:L53"/>
      <selection pane="bottomLeft" activeCell="L16" sqref="L16:L53"/>
      <selection pane="bottomRight" activeCell="S60" sqref="S60"/>
    </sheetView>
  </sheetViews>
  <sheetFormatPr defaultColWidth="11" defaultRowHeight="15.75" x14ac:dyDescent="0.25"/>
  <cols>
    <col min="1" max="1" width="13.125" customWidth="1"/>
    <col min="2" max="2" width="5" style="23" customWidth="1"/>
    <col min="3" max="3" width="7.625" style="23" bestFit="1" customWidth="1"/>
    <col min="4" max="4" width="11.5" style="23" bestFit="1" customWidth="1"/>
    <col min="5" max="5" width="11.125" style="23" bestFit="1" customWidth="1"/>
    <col min="6" max="6" width="5" style="23" customWidth="1"/>
    <col min="7" max="7" width="1.625" customWidth="1"/>
    <col min="8" max="8" width="13.125" customWidth="1"/>
    <col min="9" max="9" width="10.125" bestFit="1" customWidth="1"/>
    <col min="10" max="10" width="13.5" bestFit="1" customWidth="1"/>
    <col min="11" max="11" width="7" bestFit="1" customWidth="1"/>
    <col min="12" max="12" width="9.125" bestFit="1" customWidth="1"/>
    <col min="13" max="13" width="10.125" bestFit="1" customWidth="1"/>
    <col min="14" max="14" width="1.625" customWidth="1"/>
    <col min="15" max="15" width="12.5" customWidth="1"/>
    <col min="16" max="16" width="10.125" bestFit="1" customWidth="1"/>
    <col min="17" max="17" width="13.625" bestFit="1" customWidth="1"/>
    <col min="18" max="18" width="7.125" bestFit="1" customWidth="1"/>
    <col min="19" max="19" width="9.125" bestFit="1" customWidth="1"/>
    <col min="20" max="20" width="10.125" bestFit="1" customWidth="1"/>
    <col min="21" max="21" width="1.625" customWidth="1"/>
    <col min="22" max="22" width="13.125" customWidth="1"/>
    <col min="23" max="23" width="10.125" bestFit="1" customWidth="1"/>
    <col min="24" max="24" width="13.5" bestFit="1" customWidth="1"/>
    <col min="25" max="25" width="7" bestFit="1" customWidth="1"/>
    <col min="26" max="26" width="9.125" bestFit="1" customWidth="1"/>
    <col min="27" max="27" width="10.125" bestFit="1" customWidth="1"/>
    <col min="28" max="28" width="1.625" customWidth="1"/>
    <col min="29" max="29" width="12.5" customWidth="1"/>
    <col min="30" max="30" width="10.125" bestFit="1" customWidth="1"/>
    <col min="31" max="31" width="13.625" bestFit="1" customWidth="1"/>
    <col min="32" max="32" width="7.125" bestFit="1" customWidth="1"/>
    <col min="33" max="33" width="9.125" bestFit="1" customWidth="1"/>
    <col min="34" max="34" width="10.125" bestFit="1" customWidth="1"/>
    <col min="35" max="35" width="1.625" customWidth="1"/>
  </cols>
  <sheetData>
    <row r="1" spans="1:35" x14ac:dyDescent="0.25">
      <c r="A1" s="7" t="s">
        <v>143</v>
      </c>
      <c r="G1" s="39"/>
      <c r="H1" s="85" t="s">
        <v>157</v>
      </c>
      <c r="I1" s="86"/>
      <c r="J1" s="87"/>
      <c r="M1" s="13"/>
      <c r="N1" s="79"/>
      <c r="O1" s="7" t="s">
        <v>144</v>
      </c>
      <c r="P1" s="13"/>
      <c r="Q1" s="13"/>
      <c r="R1" s="14"/>
      <c r="S1" s="15"/>
      <c r="T1" s="15"/>
      <c r="U1" s="88"/>
      <c r="V1" s="85" t="s">
        <v>158</v>
      </c>
      <c r="W1" s="86"/>
      <c r="X1" s="87"/>
      <c r="Y1" s="85"/>
      <c r="AA1" s="13"/>
      <c r="AB1" s="79"/>
      <c r="AC1" s="7" t="s">
        <v>144</v>
      </c>
      <c r="AD1" s="13"/>
      <c r="AE1" s="13"/>
      <c r="AF1" s="14"/>
      <c r="AG1" s="15"/>
      <c r="AH1" s="15"/>
      <c r="AI1" s="88"/>
    </row>
    <row r="2" spans="1:35" x14ac:dyDescent="0.25">
      <c r="A2" s="7"/>
      <c r="G2" s="39"/>
      <c r="H2" s="7"/>
      <c r="I2" s="16"/>
      <c r="J2" s="16"/>
      <c r="K2" s="16"/>
      <c r="L2" s="16"/>
      <c r="M2" s="36"/>
      <c r="N2" s="79"/>
      <c r="O2" s="3" t="s">
        <v>159</v>
      </c>
      <c r="P2" s="16"/>
      <c r="Q2" s="36"/>
      <c r="R2" s="16"/>
      <c r="S2" s="16"/>
      <c r="T2" s="16"/>
      <c r="U2" s="88"/>
      <c r="V2" s="7"/>
      <c r="W2" s="16"/>
      <c r="X2" s="16"/>
      <c r="Y2" s="16"/>
      <c r="Z2" s="16"/>
      <c r="AA2" s="36"/>
      <c r="AB2" s="79"/>
      <c r="AC2" s="3" t="s">
        <v>159</v>
      </c>
      <c r="AD2" s="16"/>
      <c r="AE2" s="36"/>
      <c r="AF2" s="16"/>
      <c r="AG2" s="16"/>
      <c r="AH2" s="16"/>
      <c r="AI2" s="88"/>
    </row>
    <row r="3" spans="1:35" x14ac:dyDescent="0.25">
      <c r="B3"/>
      <c r="C3"/>
      <c r="D3"/>
      <c r="E3"/>
      <c r="F3"/>
      <c r="G3" s="39"/>
      <c r="J3" s="16"/>
      <c r="K3" s="16"/>
      <c r="L3" s="16"/>
      <c r="N3" s="79"/>
      <c r="P3" s="16"/>
      <c r="Q3" s="16"/>
      <c r="R3" s="16"/>
      <c r="S3" s="16"/>
      <c r="T3" s="16"/>
      <c r="U3" s="88"/>
      <c r="X3" s="16"/>
      <c r="Y3" s="16"/>
      <c r="Z3" s="16"/>
      <c r="AB3" s="79"/>
      <c r="AD3" s="16"/>
      <c r="AE3" s="16"/>
      <c r="AF3" s="16"/>
      <c r="AG3" s="16"/>
      <c r="AH3" s="16"/>
      <c r="AI3" s="88"/>
    </row>
    <row r="4" spans="1:35" x14ac:dyDescent="0.25">
      <c r="A4" s="7"/>
      <c r="C4" s="16" t="s">
        <v>41</v>
      </c>
      <c r="D4" s="16" t="s">
        <v>41</v>
      </c>
      <c r="E4" s="16" t="s">
        <v>41</v>
      </c>
      <c r="F4" s="16" t="s">
        <v>41</v>
      </c>
      <c r="G4" s="39"/>
      <c r="H4" s="7"/>
      <c r="I4" s="16" t="s">
        <v>41</v>
      </c>
      <c r="J4" s="23" t="s">
        <v>42</v>
      </c>
      <c r="K4" s="17" t="s">
        <v>43</v>
      </c>
      <c r="L4" s="35" t="s">
        <v>44</v>
      </c>
      <c r="M4" s="17" t="s">
        <v>45</v>
      </c>
      <c r="N4" s="79"/>
      <c r="P4" s="23" t="s">
        <v>41</v>
      </c>
      <c r="Q4" s="23" t="s">
        <v>42</v>
      </c>
      <c r="R4" s="17" t="s">
        <v>43</v>
      </c>
      <c r="S4" s="35" t="s">
        <v>44</v>
      </c>
      <c r="T4" s="17" t="s">
        <v>45</v>
      </c>
      <c r="U4" s="88"/>
      <c r="V4" s="7"/>
      <c r="W4" s="16" t="s">
        <v>41</v>
      </c>
      <c r="X4" s="23" t="s">
        <v>42</v>
      </c>
      <c r="Y4" s="17" t="s">
        <v>43</v>
      </c>
      <c r="Z4" s="35" t="s">
        <v>44</v>
      </c>
      <c r="AA4" s="17" t="s">
        <v>45</v>
      </c>
      <c r="AB4" s="79"/>
      <c r="AD4" s="23" t="s">
        <v>41</v>
      </c>
      <c r="AE4" s="23" t="s">
        <v>42</v>
      </c>
      <c r="AF4" s="17" t="s">
        <v>43</v>
      </c>
      <c r="AG4" s="35" t="s">
        <v>44</v>
      </c>
      <c r="AH4" s="17" t="s">
        <v>45</v>
      </c>
      <c r="AI4" s="88"/>
    </row>
    <row r="5" spans="1:35" x14ac:dyDescent="0.25">
      <c r="A5" s="7" t="s">
        <v>7</v>
      </c>
      <c r="B5" s="23" t="e">
        <f ca="1">MAX(B15:B505)-VLOOKUP(DATE(YEAR(TODAY())-1,12,31),A:B,2,0)</f>
        <v>#N/A</v>
      </c>
      <c r="C5" s="16" t="str">
        <f t="array" aca="1" ref="C5" ca="1">IFERROR((GEOMEAN(1+OFFSET(C$15,MAX($B$15:$B$505)-$B$5+1,0,$B$5,1)/100)^$B$5-1)*100,"N/A")</f>
        <v>N/A</v>
      </c>
      <c r="D5" s="16" t="str">
        <f t="array" aca="1" ref="D5" ca="1">IFERROR((GEOMEAN(1+OFFSET(D$15,MAX($B$15:$B$505)-$B$5+1,0,$B$5,1)/100)^$B$5-1)*100,"N/A")</f>
        <v>N/A</v>
      </c>
      <c r="E5" s="16" t="str">
        <f t="array" aca="1" ref="E5" ca="1">IFERROR((GEOMEAN(1+OFFSET(E$15,MAX($B$15:$B$505)-$B$5+1,0,$B$5,1)/100)^$B$5-1)*100,"N/A")</f>
        <v>N/A</v>
      </c>
      <c r="F5" s="16" t="str">
        <f t="array" aca="1" ref="F5" ca="1">IFERROR((GEOMEAN(1+OFFSET(F$15,MAX($B$15:$B$505)-$B$5+1,0,$B$5,1)/100)^$B$5-1)*100,"N/A")</f>
        <v>N/A</v>
      </c>
      <c r="G5" s="39"/>
      <c r="H5" s="7" t="s">
        <v>7</v>
      </c>
      <c r="I5" s="16" t="str">
        <f t="array" aca="1" ref="I5" ca="1">IFERROR((GEOMEAN(1+OFFSET(I$15,MAX($B$15:$B$505)-$B$5+1,0,$B$5,1)/100)^$B$5-1)*100,"N/A")</f>
        <v>N/A</v>
      </c>
      <c r="J5" s="36" t="str">
        <f ca="1">IFERROR(I5-$P5,"N/A")</f>
        <v>N/A</v>
      </c>
      <c r="K5" s="16" t="str">
        <f ca="1">IFERROR(SLOPE(OFFSET(I$15,MAX($B$15:$B$505)-$B$5+1,0,$B$5,1),OFFSET($C$15,MAX($B$15:$B$505)-$B$5+1,0,$B$5,1)),"N/A")</f>
        <v>N/A</v>
      </c>
      <c r="L5" s="16" t="str">
        <f t="array" aca="1" ref="L5" ca="1">IFERROR(INTERCEPT(OFFSET(I$15,MAX($B$15:$B$505)-$B$5+1,0,$B$5,1),OFFSET($C$15,MAX($B$15:$B$505)-$B$5+1,0,$B$5,1))*12,"N/A")</f>
        <v>N/A</v>
      </c>
      <c r="M5" s="16" t="str">
        <f ca="1">IFERROR(STDEVP(OFFSET(I$15,MAX($B$15:$B$505)-$B$5+1,0,$B$5,1))*SQRT(12),"N/A")</f>
        <v>N/A</v>
      </c>
      <c r="N5" s="79"/>
      <c r="O5" s="7" t="s">
        <v>7</v>
      </c>
      <c r="P5" s="16" t="str">
        <f t="array" aca="1" ref="P5" ca="1">IFERROR((GEOMEAN(1+OFFSET(P$15,MAX($B$15:$B$505)-$B$5+1,0,$B$5,1)/100)^$B$5-1)*100,"N/A")</f>
        <v>N/A</v>
      </c>
      <c r="Q5" s="36" t="str">
        <f ca="1">IFERROR(P5-#REF!,"N/A")</f>
        <v>N/A</v>
      </c>
      <c r="R5" s="16" t="str">
        <f ca="1">IFERROR(SLOPE(OFFSET(P$15,MAX($B$15:$B$505)-$B$5+1,0,$B$5,1),OFFSET($C$15,MAX($B$15:$B$505)-$B$5+1,0,$B$5,1)),"N/A")</f>
        <v>N/A</v>
      </c>
      <c r="S5" s="16" t="str">
        <f t="array" aca="1" ref="S5" ca="1">IFERROR(INTERCEPT(OFFSET(P$15,MAX($B$15:$B$505)-$B$5+1,0,$B$5,1),OFFSET($C$15,MAX($B$15:$B$505)-$B$5+1,0,$B$5,1))*12,"N/A")</f>
        <v>N/A</v>
      </c>
      <c r="T5" s="16" t="str">
        <f ca="1">IFERROR(STDEVP(OFFSET(P$15,MAX($B$15:$B$505)-$B$5+1,0,$B$5,1))*SQRT(12),"N/A")</f>
        <v>N/A</v>
      </c>
      <c r="U5" s="88"/>
      <c r="V5" s="7" t="s">
        <v>7</v>
      </c>
      <c r="W5" s="16" t="str">
        <f t="array" aca="1" ref="W5" ca="1">IFERROR((GEOMEAN(1+OFFSET(W$15,MAX($B$15:$B$505)-$B$5+1,0,$B$5,1)/100)^$B$5-1)*100,"N/A")</f>
        <v>N/A</v>
      </c>
      <c r="X5" s="36" t="str">
        <f ca="1">IFERROR(W5-$AD5,"N/A")</f>
        <v>N/A</v>
      </c>
      <c r="Y5" s="16" t="str">
        <f ca="1">IFERROR(SLOPE(OFFSET(W$15,MAX($B$15:$B$505)-$B$5+1,0,$B$5,1),OFFSET($C$15,MAX($B$15:$B$505)-$B$5+1,0,$B$5,1)),"N/A")</f>
        <v>N/A</v>
      </c>
      <c r="Z5" s="16" t="str">
        <f t="array" aca="1" ref="Z5" ca="1">IFERROR(INTERCEPT(OFFSET(W$15,MAX($B$15:$B$505)-$B$5+1,0,$B$5,1),OFFSET($C$15,MAX($B$15:$B$505)-$B$5+1,0,$B$5,1))*12,"N/A")</f>
        <v>N/A</v>
      </c>
      <c r="AA5" s="16" t="str">
        <f ca="1">IFERROR(STDEVP(OFFSET(W$15,MAX($B$15:$B$505)-$B$5+1,0,$B$5,1))*SQRT(12),"N/A")</f>
        <v>N/A</v>
      </c>
      <c r="AB5" s="79"/>
      <c r="AC5" s="7" t="s">
        <v>7</v>
      </c>
      <c r="AD5" s="16" t="str">
        <f t="array" aca="1" ref="AD5" ca="1">IFERROR((GEOMEAN(1+OFFSET(AD$15,MAX($B$15:$B$505)-$B$5+1,0,$B$5,1)/100)^$B$5-1)*100,"N/A")</f>
        <v>N/A</v>
      </c>
      <c r="AE5" s="36" t="str">
        <f ca="1">IFERROR(AD5-#REF!,"N/A")</f>
        <v>N/A</v>
      </c>
      <c r="AF5" s="16" t="str">
        <f ca="1">IFERROR(SLOPE(OFFSET(AD$15,MAX($B$15:$B$505)-$B$5+1,0,$B$5,1),OFFSET($C$15,MAX($B$15:$B$505)-$B$5+1,0,$B$5,1)),"N/A")</f>
        <v>N/A</v>
      </c>
      <c r="AG5" s="16" t="str">
        <f t="array" aca="1" ref="AG5" ca="1">IFERROR(INTERCEPT(OFFSET(AD$15,MAX($B$15:$B$505)-$B$5+1,0,$B$5,1),OFFSET($C$15,MAX($B$15:$B$505)-$B$5+1,0,$B$5,1))*12,"N/A")</f>
        <v>N/A</v>
      </c>
      <c r="AH5" s="16" t="str">
        <f ca="1">IFERROR(STDEVP(OFFSET(AD$15,MAX($B$15:$B$505)-$B$5+1,0,$B$5,1))*SQRT(12),"N/A")</f>
        <v>N/A</v>
      </c>
      <c r="AI5" s="88"/>
    </row>
    <row r="6" spans="1:35" x14ac:dyDescent="0.25">
      <c r="A6" s="7" t="s">
        <v>46</v>
      </c>
      <c r="C6" s="16">
        <f t="array" aca="1" ref="C6" ca="1">IFERROR((GEOMEAN(1+OFFSET(C$15,MAX($B$15:$B$505)-11,0,12,1)/100)^12-1)*100,"N/A")</f>
        <v>14.370372029873234</v>
      </c>
      <c r="D6" s="16">
        <f t="array" aca="1" ref="D6" ca="1">IFERROR((GEOMEAN(1+OFFSET(D$15,MAX($B$15:$B$505)-11,0,12,1)/100)^12-1)*100,"N/A")</f>
        <v>7.8229578967049074</v>
      </c>
      <c r="E6" s="16">
        <f t="array" aca="1" ref="E6" ca="1">IFERROR((GEOMEAN(1+OFFSET(E$15,MAX($B$15:$B$505)-11,0,12,1)/100)^12-1)*100,"N/A")</f>
        <v>-0.39505484905540955</v>
      </c>
      <c r="F6" s="16">
        <f t="array" aca="1" ref="F6" ca="1">IFERROR((GEOMEAN(1+OFFSET(F$15,MAX($B$15:$B$505)-11,0,12,1)/100)^12-1)*100,"N/A")</f>
        <v>1.2773847868327026</v>
      </c>
      <c r="G6" s="39"/>
      <c r="H6" s="7" t="s">
        <v>46</v>
      </c>
      <c r="I6" s="16">
        <f t="array" aca="1" ref="I6" ca="1">IFERROR((GEOMEAN(1+OFFSET(I$15,MAX($B$15:$B$505)-11,0,12,1)/100)^12-1)*100,"N/A")</f>
        <v>0</v>
      </c>
      <c r="J6" s="36">
        <f ca="1">IFERROR(I6-$P6,"N/A")</f>
        <v>0</v>
      </c>
      <c r="K6" s="16" t="str">
        <f ca="1">IFERROR(SLOPE(OFFSET(I$15,MAX($B$15:$B$505)-11,0,12,1),OFFSET($C$15,MAX($B$15:$B$505)-11,0,12,1)),"N/A")</f>
        <v>N/A</v>
      </c>
      <c r="L6" s="16" t="str">
        <f ca="1">IFERROR(INTERCEPT(OFFSET(I$15,MAX($B$15:$B$505)-11,0,12,1),OFFSET($C$15,MAX($B$15:$B$505)-11,0,12,1))*12,"N/A")</f>
        <v>N/A</v>
      </c>
      <c r="M6" s="16" t="str">
        <f ca="1">IFERROR(STDEVP(OFFSET(I$15,MAX($B$15:$B$505)-11,0,12,1))*SQRT(12),"N/A")</f>
        <v>N/A</v>
      </c>
      <c r="N6" s="79"/>
      <c r="O6" s="7" t="s">
        <v>46</v>
      </c>
      <c r="P6" s="16">
        <f t="array" aca="1" ref="P6" ca="1">IFERROR((GEOMEAN(1+OFFSET(P$15,MAX($B$15:$B$505)-11,0,12,1)/100)^12-1)*100,"N/A")</f>
        <v>0</v>
      </c>
      <c r="Q6" s="36" t="str">
        <f ca="1">IFERROR(P6-#REF!,"N/A")</f>
        <v>N/A</v>
      </c>
      <c r="R6" s="16" t="str">
        <f ca="1">IFERROR(SLOPE(OFFSET(P$15,MAX($B$15:$B$505)-11,0,12,1),OFFSET($C$15,MAX($B$15:$B$505)-11,0,12,1)),"N/A")</f>
        <v>N/A</v>
      </c>
      <c r="S6" s="16" t="str">
        <f ca="1">IFERROR(INTERCEPT(OFFSET(P$15,MAX($B$15:$B$505)-11,0,12,1),OFFSET($C$15,MAX($B$15:$B$505)-11,0,12,1))*12,"N/A")</f>
        <v>N/A</v>
      </c>
      <c r="T6" s="16" t="str">
        <f ca="1">IFERROR(STDEVP(OFFSET(P$15,MAX($B$15:$B$505)-11,0,12,1))*SQRT(12),"N/A")</f>
        <v>N/A</v>
      </c>
      <c r="U6" s="88"/>
      <c r="V6" s="7" t="s">
        <v>46</v>
      </c>
      <c r="W6" s="16">
        <f t="array" aca="1" ref="W6" ca="1">IFERROR((GEOMEAN(1+OFFSET(W$15,MAX($B$15:$B$505)-11,0,12,1)/100)^12-1)*100,"N/A")</f>
        <v>0</v>
      </c>
      <c r="X6" s="36">
        <f ca="1">IFERROR(W6-$AD6,"N/A")</f>
        <v>0</v>
      </c>
      <c r="Y6" s="16" t="str">
        <f ca="1">IFERROR(SLOPE(OFFSET(W$15,MAX($B$15:$B$505)-11,0,12,1),OFFSET($C$15,MAX($B$15:$B$505)-11,0,12,1)),"N/A")</f>
        <v>N/A</v>
      </c>
      <c r="Z6" s="16" t="str">
        <f ca="1">IFERROR(INTERCEPT(OFFSET(W$15,MAX($B$15:$B$505)-11,0,12,1),OFFSET($C$15,MAX($B$15:$B$505)-11,0,12,1))*12,"N/A")</f>
        <v>N/A</v>
      </c>
      <c r="AA6" s="16" t="str">
        <f ca="1">IFERROR(STDEVP(OFFSET(W$15,MAX($B$15:$B$505)-11,0,12,1))*SQRT(12),"N/A")</f>
        <v>N/A</v>
      </c>
      <c r="AB6" s="79"/>
      <c r="AC6" s="7" t="s">
        <v>46</v>
      </c>
      <c r="AD6" s="16">
        <f t="array" aca="1" ref="AD6" ca="1">IFERROR((GEOMEAN(1+OFFSET(AD$15,MAX($B$15:$B$505)-11,0,12,1)/100)^12-1)*100,"N/A")</f>
        <v>0</v>
      </c>
      <c r="AE6" s="36" t="str">
        <f ca="1">IFERROR(AD6-#REF!,"N/A")</f>
        <v>N/A</v>
      </c>
      <c r="AF6" s="16" t="str">
        <f ca="1">IFERROR(SLOPE(OFFSET(AD$15,MAX($B$15:$B$505)-11,0,12,1),OFFSET($C$15,MAX($B$15:$B$505)-11,0,12,1)),"N/A")</f>
        <v>N/A</v>
      </c>
      <c r="AG6" s="16" t="str">
        <f ca="1">IFERROR(INTERCEPT(OFFSET(AD$15,MAX($B$15:$B$505)-11,0,12,1),OFFSET($C$15,MAX($B$15:$B$505)-11,0,12,1))*12,"N/A")</f>
        <v>N/A</v>
      </c>
      <c r="AH6" s="16" t="str">
        <f ca="1">IFERROR(STDEVP(OFFSET(AD$15,MAX($B$15:$B$505)-11,0,12,1))*SQRT(12),"N/A")</f>
        <v>N/A</v>
      </c>
      <c r="AI6" s="88"/>
    </row>
    <row r="7" spans="1:35" x14ac:dyDescent="0.25">
      <c r="A7" s="7" t="s">
        <v>47</v>
      </c>
      <c r="C7" s="16">
        <f t="array" aca="1" ref="C7" ca="1">IFERROR((GEOMEAN(1+OFFSET(C$15,MAX($B$15:$B$505)-23,0,24,1)/100)^12-1)*100,"N/A")</f>
        <v>16.115840824546201</v>
      </c>
      <c r="D7" s="36" t="str">
        <f ca="1">IFERROR(C7-#REF!,"N/A")</f>
        <v>N/A</v>
      </c>
      <c r="E7" s="16">
        <f ca="1">IFERROR(SLOPE(OFFSET(C$15,MAX($B$15:$B$505)-23,0,24,1),OFFSET($C$15,MAX($B$15:$B$505)-23,0,24,1)),"N/A")</f>
        <v>1</v>
      </c>
      <c r="F7" s="16">
        <f ca="1">IFERROR(INTERCEPT(OFFSET(C$15,MAX($B$15:$B$505)-23,0,24,1),OFFSET($C$15,MAX($B$15:$B$505)-23,0,24,1))*12,"N/A")</f>
        <v>0</v>
      </c>
      <c r="G7" s="39"/>
      <c r="H7" s="7" t="s">
        <v>47</v>
      </c>
      <c r="I7" s="16">
        <f t="array" aca="1" ref="I7" ca="1">IFERROR((GEOMEAN(1+OFFSET(I$15,MAX($B$15:$B$505)-23,0,24,1)/100)^12-1)*100,"N/A")</f>
        <v>-0.73594215424428455</v>
      </c>
      <c r="J7" s="36">
        <f ca="1">IFERROR(I7-$P7,"N/A")</f>
        <v>-0.83167703700179896</v>
      </c>
      <c r="K7" s="16">
        <f ca="1">IFERROR(SLOPE(OFFSET(I$15,MAX($B$15:$B$505)-23,0,24,1),OFFSET($C$15,MAX($B$15:$B$505)-23,0,24,1)),"N/A")</f>
        <v>0.41548054411734286</v>
      </c>
      <c r="L7" s="16">
        <f ca="1">IFERROR(INTERCEPT(OFFSET(I$15,MAX($B$15:$B$505)-23,0,24,1),OFFSET($C$15,MAX($B$15:$B$505)-23,0,24,1))*12,"N/A")</f>
        <v>-6.8998969519757196</v>
      </c>
      <c r="M7" s="16">
        <f ca="1">IFERROR(STDEVP(OFFSET(I$15,MAX($B$15:$B$505)-23,0,24,1))*SQRT(12),"N/A")</f>
        <v>2.9575496614596344</v>
      </c>
      <c r="N7" s="79"/>
      <c r="O7" s="7" t="s">
        <v>47</v>
      </c>
      <c r="P7" s="16">
        <f t="array" aca="1" ref="P7" ca="1">IFERROR((GEOMEAN(1+OFFSET(P$15,MAX($B$15:$B$505)-23,0,24,1)/100)^12-1)*100,"N/A")</f>
        <v>9.5734882757514406E-2</v>
      </c>
      <c r="Q7" s="36" t="str">
        <f ca="1">IFERROR(P7-#REF!,"N/A")</f>
        <v>N/A</v>
      </c>
      <c r="R7" s="16">
        <f ca="1">IFERROR(SLOPE(OFFSET(P$15,MAX($B$15:$B$505)-23,0,24,1),OFFSET($C$15,MAX($B$15:$B$505)-23,0,24,1)),"N/A")</f>
        <v>0.36905747138720779</v>
      </c>
      <c r="S7" s="16">
        <f ca="1">IFERROR(INTERCEPT(OFFSET(P$15,MAX($B$15:$B$505)-23,0,24,1),OFFSET($C$15,MAX($B$15:$B$505)-23,0,24,1))*12,"N/A")</f>
        <v>-1.6313365961151507</v>
      </c>
      <c r="T7" s="16">
        <f ca="1">IFERROR(STDEVP(OFFSET(P$15,MAX($B$15:$B$505)-23,0,24,1))*SQRT(12),"N/A")</f>
        <v>2.5614987567581413</v>
      </c>
      <c r="U7" s="88"/>
      <c r="V7" s="7" t="s">
        <v>47</v>
      </c>
      <c r="W7" s="16">
        <f t="array" aca="1" ref="W7" ca="1">IFERROR((GEOMEAN(1+OFFSET(W$15,MAX($B$15:$B$505)-23,0,24,1)/100)^12-1)*100,"N/A")</f>
        <v>-1.1889607475643382</v>
      </c>
      <c r="X7" s="36">
        <f ca="1">IFERROR(W7-$AD7,"N/A")</f>
        <v>-0.82456162329309635</v>
      </c>
      <c r="Y7" s="16">
        <f ca="1">IFERROR(SLOPE(OFFSET(W$15,MAX($B$15:$B$505)-23,0,24,1),OFFSET($C$15,MAX($B$15:$B$505)-23,0,24,1)),"N/A")</f>
        <v>0.42070022803108958</v>
      </c>
      <c r="Z7" s="16">
        <f ca="1">IFERROR(INTERCEPT(OFFSET(W$15,MAX($B$15:$B$505)-23,0,24,1),OFFSET($C$15,MAX($B$15:$B$505)-23,0,24,1))*12,"N/A")</f>
        <v>-9.6615544285308967</v>
      </c>
      <c r="AA7" s="16">
        <f ca="1">IFERROR(STDEVP(OFFSET(W$15,MAX($B$15:$B$505)-23,0,24,1))*SQRT(12),"N/A")</f>
        <v>2.9977366462049324</v>
      </c>
      <c r="AB7" s="79"/>
      <c r="AC7" s="7" t="s">
        <v>47</v>
      </c>
      <c r="AD7" s="16">
        <f t="array" aca="1" ref="AD7" ca="1">IFERROR((GEOMEAN(1+OFFSET(AD$15,MAX($B$15:$B$505)-23,0,24,1)/100)^12-1)*100,"N/A")</f>
        <v>-0.36439912427124188</v>
      </c>
      <c r="AE7" s="36" t="str">
        <f ca="1">IFERROR(AD7-#REF!,"N/A")</f>
        <v>N/A</v>
      </c>
      <c r="AF7" s="16">
        <f ca="1">IFERROR(SLOPE(OFFSET(AD$15,MAX($B$15:$B$505)-23,0,24,1),OFFSET($C$15,MAX($B$15:$B$505)-23,0,24,1)),"N/A")</f>
        <v>0.14098487166913445</v>
      </c>
      <c r="AG7" s="16">
        <f ca="1">IFERROR(INTERCEPT(OFFSET(AD$15,MAX($B$15:$B$505)-23,0,24,1),OFFSET($C$15,MAX($B$15:$B$505)-23,0,24,1))*12,"N/A")</f>
        <v>-3.6530897344697775</v>
      </c>
      <c r="AH7" s="16">
        <f ca="1">IFERROR(STDEVP(OFFSET(AD$15,MAX($B$15:$B$505)-23,0,24,1))*SQRT(12),"N/A")</f>
        <v>2.6547278687262077</v>
      </c>
      <c r="AI7" s="88"/>
    </row>
    <row r="8" spans="1:35" x14ac:dyDescent="0.25">
      <c r="A8" s="7" t="s">
        <v>48</v>
      </c>
      <c r="C8" s="45">
        <f t="array" aca="1" ref="C8" ca="1">IFERROR((GEOMEAN(1+OFFSET(C$15,MAX($B$15:$B$505)-35,0,36,1)/100)^12-1)*100,"N/A")</f>
        <v>11.922045933287206</v>
      </c>
      <c r="D8" s="36" t="str">
        <f ca="1">IFERROR(C8-#REF!,"N/A")</f>
        <v>N/A</v>
      </c>
      <c r="E8" s="16">
        <f ca="1">IFERROR(SLOPE(OFFSET(C$15,MAX($B$15:$B$505)-35,0,36,1),OFFSET($C$15,MAX($B$15:$B$505)-35,0,36,1)),"N/A")</f>
        <v>1</v>
      </c>
      <c r="F8" s="16">
        <f ca="1">IFERROR(INTERCEPT(OFFSET(C$15,MAX($B$15:$B$505)-35,0,36,1),OFFSET($C$15,MAX($B$15:$B$505)-35,0,36,1))*12,"N/A")</f>
        <v>0</v>
      </c>
      <c r="G8" s="39">
        <f ca="1">IFERROR(STDEVP(OFFSET(C$15,MAX($B$15:$B$505)-35,0,36,1))*SQRT(12),"N/A")</f>
        <v>10.016929826287186</v>
      </c>
      <c r="H8" s="7" t="s">
        <v>48</v>
      </c>
      <c r="I8" s="103" t="s">
        <v>150</v>
      </c>
      <c r="J8" s="36"/>
      <c r="K8" s="16"/>
      <c r="L8" s="16"/>
      <c r="M8" s="16"/>
      <c r="N8" s="79"/>
      <c r="O8" s="7" t="s">
        <v>48</v>
      </c>
      <c r="P8" s="103" t="s">
        <v>150</v>
      </c>
      <c r="Q8" s="36"/>
      <c r="R8" s="16"/>
      <c r="S8" s="16"/>
      <c r="T8" s="16"/>
      <c r="U8" s="88"/>
      <c r="V8" s="7" t="s">
        <v>48</v>
      </c>
      <c r="W8" s="103" t="s">
        <v>150</v>
      </c>
      <c r="X8" s="36"/>
      <c r="Y8" s="16"/>
      <c r="Z8" s="16"/>
      <c r="AA8" s="16"/>
      <c r="AB8" s="79"/>
      <c r="AC8" s="7" t="s">
        <v>48</v>
      </c>
      <c r="AD8" s="103" t="s">
        <v>150</v>
      </c>
      <c r="AE8" s="36"/>
      <c r="AF8" s="16"/>
      <c r="AG8" s="16"/>
      <c r="AH8" s="16"/>
      <c r="AI8" s="88"/>
    </row>
    <row r="9" spans="1:35" x14ac:dyDescent="0.25">
      <c r="A9" s="7" t="s">
        <v>49</v>
      </c>
      <c r="C9" s="103" t="s">
        <v>150</v>
      </c>
      <c r="D9" s="16"/>
      <c r="E9" s="16"/>
      <c r="F9" s="16"/>
      <c r="G9" s="39"/>
      <c r="H9" s="7" t="s">
        <v>49</v>
      </c>
      <c r="I9" s="103" t="s">
        <v>150</v>
      </c>
      <c r="J9" s="36"/>
      <c r="K9" s="16"/>
      <c r="L9" s="16"/>
      <c r="M9" s="16"/>
      <c r="N9" s="79"/>
      <c r="O9" s="7" t="s">
        <v>49</v>
      </c>
      <c r="P9" s="103" t="s">
        <v>150</v>
      </c>
      <c r="Q9" s="36"/>
      <c r="R9" s="16"/>
      <c r="S9" s="16"/>
      <c r="T9" s="16"/>
      <c r="U9" s="88"/>
      <c r="V9" s="7" t="s">
        <v>49</v>
      </c>
      <c r="W9" s="103" t="s">
        <v>150</v>
      </c>
      <c r="X9" s="36"/>
      <c r="Y9" s="16"/>
      <c r="Z9" s="16"/>
      <c r="AA9" s="16"/>
      <c r="AB9" s="79"/>
      <c r="AC9" s="7" t="s">
        <v>49</v>
      </c>
      <c r="AD9" s="103" t="s">
        <v>150</v>
      </c>
      <c r="AE9" s="36"/>
      <c r="AF9" s="16"/>
      <c r="AG9" s="16"/>
      <c r="AH9" s="16"/>
      <c r="AI9" s="88"/>
    </row>
    <row r="10" spans="1:35" x14ac:dyDescent="0.25">
      <c r="A10" s="7" t="s">
        <v>50</v>
      </c>
      <c r="C10" s="103" t="s">
        <v>150</v>
      </c>
      <c r="D10" s="16"/>
      <c r="E10" s="16"/>
      <c r="F10" s="16"/>
      <c r="G10" s="39"/>
      <c r="H10" s="7" t="s">
        <v>50</v>
      </c>
      <c r="I10" s="103" t="s">
        <v>150</v>
      </c>
      <c r="J10" s="36"/>
      <c r="K10" s="16"/>
      <c r="L10" s="16"/>
      <c r="M10" s="16"/>
      <c r="N10" s="79"/>
      <c r="O10" s="7" t="s">
        <v>50</v>
      </c>
      <c r="P10" s="103" t="s">
        <v>150</v>
      </c>
      <c r="Q10" s="36"/>
      <c r="R10" s="16"/>
      <c r="S10" s="16"/>
      <c r="T10" s="16"/>
      <c r="U10" s="88"/>
      <c r="V10" s="7" t="s">
        <v>50</v>
      </c>
      <c r="W10" s="103" t="s">
        <v>150</v>
      </c>
      <c r="X10" s="36"/>
      <c r="Y10" s="16"/>
      <c r="Z10" s="16"/>
      <c r="AA10" s="16"/>
      <c r="AB10" s="79"/>
      <c r="AC10" s="7" t="s">
        <v>50</v>
      </c>
      <c r="AD10" s="103" t="s">
        <v>150</v>
      </c>
      <c r="AE10" s="36"/>
      <c r="AF10" s="16"/>
      <c r="AG10" s="16"/>
      <c r="AH10" s="16"/>
      <c r="AI10" s="88"/>
    </row>
    <row r="11" spans="1:35" x14ac:dyDescent="0.25">
      <c r="A11" s="7" t="s">
        <v>51</v>
      </c>
      <c r="C11" s="103" t="s">
        <v>150</v>
      </c>
      <c r="D11" s="16"/>
      <c r="E11" s="16"/>
      <c r="F11" s="16"/>
      <c r="G11" s="39"/>
      <c r="H11" s="7" t="s">
        <v>51</v>
      </c>
      <c r="I11" s="103" t="s">
        <v>150</v>
      </c>
      <c r="J11" s="36"/>
      <c r="K11" s="16"/>
      <c r="L11" s="16"/>
      <c r="M11" s="16"/>
      <c r="N11" s="79"/>
      <c r="O11" s="7" t="s">
        <v>51</v>
      </c>
      <c r="P11" s="103" t="s">
        <v>150</v>
      </c>
      <c r="Q11" s="36"/>
      <c r="R11" s="16"/>
      <c r="S11" s="16"/>
      <c r="T11" s="16"/>
      <c r="U11" s="88"/>
      <c r="V11" s="7" t="s">
        <v>51</v>
      </c>
      <c r="W11" s="103" t="s">
        <v>150</v>
      </c>
      <c r="X11" s="36"/>
      <c r="Y11" s="16"/>
      <c r="Z11" s="16"/>
      <c r="AA11" s="16"/>
      <c r="AB11" s="79"/>
      <c r="AC11" s="7" t="s">
        <v>51</v>
      </c>
      <c r="AD11" s="103" t="s">
        <v>150</v>
      </c>
      <c r="AE11" s="36"/>
      <c r="AF11" s="16"/>
      <c r="AG11" s="16"/>
      <c r="AH11" s="16"/>
      <c r="AI11" s="88"/>
    </row>
    <row r="12" spans="1:35" x14ac:dyDescent="0.25">
      <c r="A12" s="7" t="s">
        <v>53</v>
      </c>
      <c r="C12" s="16">
        <f t="array" aca="1" ref="C12" ca="1">IFERROR((GEOMEAN(1+OFFSET(C$15,1,0,MAX($B$15:$B$505),1)/100)^12-1)*100,"N/A")</f>
        <v>12.878811443817773</v>
      </c>
      <c r="D12" s="16">
        <f t="array" aca="1" ref="D12" ca="1">IFERROR((GEOMEAN(1+OFFSET(D$15,1,0,MAX($B$15:$B$505),1)/100)^12-1)*100,"N/A")</f>
        <v>5.5035035235417196</v>
      </c>
      <c r="E12" s="16">
        <f t="array" aca="1" ref="E12" ca="1">IFERROR((GEOMEAN(1+OFFSET(E$15,1,0,MAX($B$15:$B$505),1)/100)^12-1)*100,"N/A")</f>
        <v>1.9280242387640589</v>
      </c>
      <c r="F12" s="16">
        <f t="array" aca="1" ref="F12" ca="1">IFERROR((GEOMEAN(1+OFFSET(F$15,1,0,MAX($B$15:$B$505),1)/100)^12-1)*100,"N/A")</f>
        <v>0.34864670580809776</v>
      </c>
      <c r="G12" s="39"/>
      <c r="H12" s="7" t="s">
        <v>53</v>
      </c>
      <c r="I12" s="16">
        <f t="array" aca="1" ref="I12" ca="1">IFERROR((GEOMEAN(1+OFFSET(I$25,1,0,MAX($B$25:$B$505)-10,1)/100)^12-1)*100,"N/A")</f>
        <v>2.9128598103721703</v>
      </c>
      <c r="J12" s="36">
        <f ca="1">IFERROR(I12-$P12,"N/A")</f>
        <v>0.41791317084791668</v>
      </c>
      <c r="K12" s="16">
        <f ca="1">IFERROR(SLOPE(OFFSET(I$25,1,0,MAX($B$25:$B$505)-10,1),OFFSET($C$25,1,0,MAX($B$25:$B$505)-10,1)),"N/A")</f>
        <v>0.27067403176102517</v>
      </c>
      <c r="L12" s="16">
        <f ca="1">IFERROR(INTERCEPT(OFFSET(I$25,1,0,MAX($B$25:$B$505)-10,1),OFFSET($C$25,1,0,MAX($B$25:$B$505)-10,1))*12,"N/A")</f>
        <v>2.7655788664840841</v>
      </c>
      <c r="M12" s="16">
        <f ca="1">IFERROR(STDEVP(OFFSET(I$25,1,0,MAX($B$25:$B$505)-10,1))*SQRT(12),"N/A")</f>
        <v>4.1689831368598069</v>
      </c>
      <c r="N12" s="79"/>
      <c r="O12" s="7" t="s">
        <v>53</v>
      </c>
      <c r="P12" s="16">
        <f t="array" aca="1" ref="P12" ca="1">IFERROR((GEOMEAN(1+OFFSET(P$25,1,0,MAX($B$25:$B$505)-10,1)/100)^12-1)*100,"N/A")</f>
        <v>2.4949466395242537</v>
      </c>
      <c r="Q12" s="36" t="str">
        <f ca="1">IFERROR(P12-#REF!,"N/A")</f>
        <v>N/A</v>
      </c>
      <c r="R12" s="16">
        <f ca="1">IFERROR(SLOPE(OFFSET(P$25,1,0,MAX($B$25:$B$505)-10,1),OFFSET($C$25,1,0,MAX($B$25:$B$505)-10,1)),"N/A")</f>
        <v>0.20303824039054968</v>
      </c>
      <c r="S12" s="16">
        <f ca="1">IFERROR(INTERCEPT(OFFSET(P$25,1,0,MAX($B$25:$B$505)-10,1),OFFSET($C$25,1,0,MAX($B$25:$B$505)-10,1))*12,"N/A")</f>
        <v>2.5608179062001271</v>
      </c>
      <c r="T12" s="16">
        <f ca="1">IFERROR(STDEVP(OFFSET(P$25,1,0,MAX($B$25:$B$505)-10,1))*SQRT(12),"N/A")</f>
        <v>2.844426097243224</v>
      </c>
      <c r="U12" s="88"/>
      <c r="V12" s="7" t="s">
        <v>53</v>
      </c>
      <c r="W12" s="16">
        <f t="array" aca="1" ref="W12" ca="1">IFERROR((GEOMEAN(1+OFFSET(W$38,1,0,MAX($B$38:$B$505)-23,1)/100)^MIN(COUNTIF(W15:W240,"&gt;-100"),12)-1)*100,"N/A")</f>
        <v>0.51244329081021611</v>
      </c>
      <c r="X12" s="36" t="str">
        <f ca="1">IFERROR(W12-#REF!,"N/A")</f>
        <v>N/A</v>
      </c>
      <c r="Y12" s="16">
        <f ca="1">IFERROR(SLOPE(OFFSET(W$38,1,0,MAX($B$38:$B$505)-23,1),OFFSET($C$38,1,0,MAX($B$38:$B$505)-23,1)),"N/A")</f>
        <v>0.29477006022912322</v>
      </c>
      <c r="Z12" s="16">
        <f ca="1">IFERROR(INTERCEPT(OFFSET(W$38,1,0,MAX($B$38:$B$505)-23,1),OFFSET($C$38,1,0,MAX($B$38:$B$505)-23,1))*12,"N/A")</f>
        <v>-3.198728869091666E-2</v>
      </c>
      <c r="AA12" s="16">
        <f ca="1">IFERROR(STDEVP(OFFSET(W$38,1,0,MAX($B$38:$B$505)-23,1))*SQRT(12),"N/A")</f>
        <v>4.7807736085592145</v>
      </c>
      <c r="AB12" s="79"/>
      <c r="AC12" s="7" t="s">
        <v>53</v>
      </c>
      <c r="AD12" s="16">
        <f t="array" aca="1" ref="AD12" ca="1">IFERROR((GEOMEAN(1+OFFSET(AD$38,1,0,MAX($B$38:$B$505)-23,1)/100)^MIN(COUNTIF(W15:W240,"&gt;-100"),12)-1)*100,"N/A")</f>
        <v>1.0333783298631216</v>
      </c>
      <c r="AE12" s="36" t="str">
        <f ca="1">IFERROR(AD12-#REF!,"N/A")</f>
        <v>N/A</v>
      </c>
      <c r="AF12" s="16">
        <f ca="1">IFERROR(SLOPE(OFFSET(AD$38,1,0,MAX($B$38:$B$505)-23,1),OFFSET($C$38,1,0,MAX($B$38:$B$505)-23,1)),"N/A")</f>
        <v>0.19046343006090763</v>
      </c>
      <c r="AG12" s="16">
        <f ca="1">IFERROR(INTERCEPT(OFFSET(AD$38,1,0,MAX($B$38:$B$505)-23,1),OFFSET($C$38,1,0,MAX($B$38:$B$505)-23,1))*12,"N/A")</f>
        <v>0.91186314185275485</v>
      </c>
      <c r="AH12" s="16">
        <f ca="1">IFERROR(STDEVP(OFFSET(AD$38,1,0,MAX($B$38:$B$505)-23,1))*SQRT(12),"N/A")</f>
        <v>3.1527256247729865</v>
      </c>
      <c r="AI12" s="88"/>
    </row>
    <row r="13" spans="1:35" x14ac:dyDescent="0.25">
      <c r="A13" s="7"/>
      <c r="G13" s="39"/>
      <c r="H13" s="7"/>
      <c r="I13" s="81"/>
      <c r="J13" s="18"/>
      <c r="K13" s="8"/>
      <c r="M13" s="16"/>
      <c r="N13" s="79"/>
      <c r="O13" s="7"/>
      <c r="P13" s="16"/>
      <c r="Q13" s="16"/>
      <c r="R13" s="18"/>
      <c r="S13" s="10"/>
      <c r="T13" s="16"/>
      <c r="U13" s="88"/>
      <c r="V13" s="7"/>
      <c r="W13" s="81"/>
      <c r="X13" s="18"/>
      <c r="Y13" s="8"/>
      <c r="AA13" s="16"/>
      <c r="AB13" s="79"/>
      <c r="AC13" s="7"/>
      <c r="AD13" s="81"/>
      <c r="AE13" s="18"/>
      <c r="AF13" s="8"/>
      <c r="AH13" s="16"/>
      <c r="AI13" s="88"/>
    </row>
    <row r="14" spans="1:35" x14ac:dyDescent="0.25">
      <c r="A14" s="7" t="s">
        <v>69</v>
      </c>
      <c r="B14" s="23" t="s">
        <v>70</v>
      </c>
      <c r="C14" s="23" t="s">
        <v>151</v>
      </c>
      <c r="D14" s="23" t="s">
        <v>152</v>
      </c>
      <c r="E14" s="23" t="s">
        <v>153</v>
      </c>
      <c r="F14" s="23" t="s">
        <v>154</v>
      </c>
      <c r="G14" s="44"/>
      <c r="H14" s="7" t="s">
        <v>69</v>
      </c>
      <c r="I14" s="19" t="s">
        <v>89</v>
      </c>
      <c r="J14" s="13" t="s">
        <v>97</v>
      </c>
      <c r="K14" s="9" t="s">
        <v>74</v>
      </c>
      <c r="L14" s="9" t="s">
        <v>75</v>
      </c>
      <c r="M14" s="33" t="s">
        <v>160</v>
      </c>
      <c r="N14" s="80"/>
      <c r="O14" s="7" t="s">
        <v>69</v>
      </c>
      <c r="P14" s="33" t="s">
        <v>89</v>
      </c>
      <c r="Q14" s="13" t="s">
        <v>97</v>
      </c>
      <c r="R14" s="9" t="s">
        <v>74</v>
      </c>
      <c r="S14" s="9" t="s">
        <v>75</v>
      </c>
      <c r="T14" s="33" t="s">
        <v>160</v>
      </c>
      <c r="U14" s="89"/>
      <c r="V14" s="7" t="s">
        <v>69</v>
      </c>
      <c r="W14" s="19" t="s">
        <v>89</v>
      </c>
      <c r="X14" s="13" t="s">
        <v>97</v>
      </c>
      <c r="Y14" s="9" t="s">
        <v>74</v>
      </c>
      <c r="Z14" s="9" t="s">
        <v>75</v>
      </c>
      <c r="AA14" s="33" t="s">
        <v>160</v>
      </c>
      <c r="AB14" s="80"/>
      <c r="AC14" s="7" t="s">
        <v>69</v>
      </c>
      <c r="AD14" s="33" t="s">
        <v>89</v>
      </c>
      <c r="AE14" s="13" t="s">
        <v>97</v>
      </c>
      <c r="AF14" s="9" t="s">
        <v>74</v>
      </c>
      <c r="AG14" s="9" t="s">
        <v>75</v>
      </c>
      <c r="AH14" s="33" t="s">
        <v>160</v>
      </c>
      <c r="AI14" s="89"/>
    </row>
    <row r="15" spans="1:35" x14ac:dyDescent="0.25">
      <c r="A15" s="20">
        <v>41425</v>
      </c>
      <c r="B15" s="23">
        <v>0</v>
      </c>
      <c r="D15" s="23">
        <v>100</v>
      </c>
      <c r="G15" s="39"/>
      <c r="H15" s="20">
        <f>$A15</f>
        <v>41425</v>
      </c>
      <c r="I15" s="11"/>
      <c r="J15" s="48">
        <v>1000000</v>
      </c>
      <c r="K15" s="8"/>
      <c r="M15" s="17"/>
      <c r="N15" s="79"/>
      <c r="O15" s="20">
        <f>$A15</f>
        <v>41425</v>
      </c>
      <c r="P15" s="27"/>
      <c r="Q15" s="48">
        <v>1000000</v>
      </c>
      <c r="R15" s="8"/>
      <c r="T15" s="17"/>
      <c r="U15" s="88"/>
      <c r="V15" s="20">
        <f>$A15</f>
        <v>41425</v>
      </c>
      <c r="W15" s="11"/>
      <c r="X15" s="48">
        <v>1000000</v>
      </c>
      <c r="Y15" s="8"/>
      <c r="AA15" s="17"/>
      <c r="AB15" s="79"/>
      <c r="AC15" s="20">
        <f>$A15</f>
        <v>41425</v>
      </c>
      <c r="AD15" s="27"/>
      <c r="AE15" s="48">
        <v>1000000</v>
      </c>
      <c r="AF15" s="8"/>
      <c r="AH15" s="17"/>
      <c r="AI15" s="88"/>
    </row>
    <row r="16" spans="1:35" x14ac:dyDescent="0.25">
      <c r="A16" s="20">
        <v>41455</v>
      </c>
      <c r="B16" s="24">
        <f>IF(A16&gt;A15,1+B15,"-")</f>
        <v>1</v>
      </c>
      <c r="C16" s="34">
        <f>'LC (Gross)'!K178</f>
        <v>-1.3426216140609801</v>
      </c>
      <c r="D16" s="34">
        <f>ITL!K118</f>
        <v>-4.4542730385821674</v>
      </c>
      <c r="E16" s="34">
        <v>-1.55</v>
      </c>
      <c r="F16" s="34">
        <v>0</v>
      </c>
      <c r="G16" s="39"/>
      <c r="H16" s="20">
        <f t="shared" ref="H16:H56" si="0">$A16</f>
        <v>41455</v>
      </c>
      <c r="I16" s="27"/>
      <c r="J16" s="46">
        <f t="shared" ref="J16:J56" si="1">J15*I16/100+J15</f>
        <v>1000000</v>
      </c>
      <c r="K16" s="54"/>
      <c r="L16" s="49"/>
      <c r="M16" s="13"/>
      <c r="N16" s="79"/>
      <c r="O16" s="20">
        <f t="shared" ref="O16:O56" si="2">$A16</f>
        <v>41455</v>
      </c>
      <c r="P16" s="78"/>
      <c r="Q16" s="46">
        <f t="shared" ref="Q16:Q38" si="3">Q15*P16/100+Q15</f>
        <v>1000000</v>
      </c>
      <c r="R16" s="8"/>
      <c r="S16" s="5"/>
      <c r="T16" s="13"/>
      <c r="U16" s="88"/>
      <c r="V16" s="20">
        <f t="shared" ref="V16:V56" si="4">$A16</f>
        <v>41455</v>
      </c>
      <c r="W16" s="27"/>
      <c r="X16" s="46">
        <f t="shared" ref="X16:X56" si="5">X15*W16/100+X15</f>
        <v>1000000</v>
      </c>
      <c r="Y16" s="54"/>
      <c r="Z16" s="49"/>
      <c r="AA16" s="13"/>
      <c r="AB16" s="79"/>
      <c r="AC16" s="20">
        <f t="shared" ref="AC16:AC57" si="6">$A16</f>
        <v>41455</v>
      </c>
      <c r="AD16" s="78"/>
      <c r="AE16" s="46">
        <f t="shared" ref="AE16:AE38" si="7">AE15*AD16/100+AE15</f>
        <v>1000000</v>
      </c>
      <c r="AF16" s="8"/>
      <c r="AG16" s="5"/>
      <c r="AH16" s="13"/>
      <c r="AI16" s="88"/>
    </row>
    <row r="17" spans="1:35" x14ac:dyDescent="0.25">
      <c r="A17" s="20">
        <v>41486</v>
      </c>
      <c r="B17" s="24">
        <f t="shared" ref="B17:B80" si="8">IF(A17&gt;A16,1+B16,"-")</f>
        <v>2</v>
      </c>
      <c r="C17" s="34">
        <f>'LC (Gross)'!K179</f>
        <v>5.0883842905535053</v>
      </c>
      <c r="D17" s="34">
        <f>ITL!K119</f>
        <v>4.4260098001578907</v>
      </c>
      <c r="E17" s="34">
        <v>0.13999999999999999</v>
      </c>
      <c r="F17" s="34">
        <v>0</v>
      </c>
      <c r="G17" s="39"/>
      <c r="H17" s="20">
        <f t="shared" si="0"/>
        <v>41486</v>
      </c>
      <c r="I17" s="27"/>
      <c r="J17" s="46">
        <f t="shared" si="1"/>
        <v>1000000</v>
      </c>
      <c r="M17" s="17"/>
      <c r="N17" s="79"/>
      <c r="O17" s="20">
        <f t="shared" si="2"/>
        <v>41486</v>
      </c>
      <c r="P17" s="78"/>
      <c r="Q17" s="46">
        <f t="shared" si="3"/>
        <v>1000000</v>
      </c>
      <c r="R17" s="8"/>
      <c r="T17" s="17"/>
      <c r="U17" s="88"/>
      <c r="V17" s="20">
        <f t="shared" si="4"/>
        <v>41486</v>
      </c>
      <c r="W17" s="27"/>
      <c r="X17" s="46">
        <f t="shared" si="5"/>
        <v>1000000</v>
      </c>
      <c r="AA17" s="17"/>
      <c r="AB17" s="79"/>
      <c r="AC17" s="20">
        <f t="shared" si="6"/>
        <v>41486</v>
      </c>
      <c r="AD17" s="78"/>
      <c r="AE17" s="46">
        <f t="shared" si="7"/>
        <v>1000000</v>
      </c>
      <c r="AF17" s="8"/>
      <c r="AH17" s="17"/>
      <c r="AI17" s="88"/>
    </row>
    <row r="18" spans="1:35" x14ac:dyDescent="0.25">
      <c r="A18" s="20">
        <v>41517</v>
      </c>
      <c r="B18" s="24">
        <f t="shared" si="8"/>
        <v>3</v>
      </c>
      <c r="C18" s="34">
        <f>'LC (Gross)'!K180</f>
        <v>-2.897235282454881</v>
      </c>
      <c r="D18" s="34">
        <f>ITL!K120</f>
        <v>-1.3476451028008833</v>
      </c>
      <c r="E18" s="34">
        <v>-0.51</v>
      </c>
      <c r="F18" s="34">
        <v>0</v>
      </c>
      <c r="G18" s="39"/>
      <c r="H18" s="20">
        <f t="shared" si="0"/>
        <v>41517</v>
      </c>
      <c r="I18" s="27"/>
      <c r="J18" s="46">
        <f t="shared" si="1"/>
        <v>1000000</v>
      </c>
      <c r="M18" s="17"/>
      <c r="N18" s="79"/>
      <c r="O18" s="20">
        <f t="shared" si="2"/>
        <v>41517</v>
      </c>
      <c r="P18" s="78"/>
      <c r="Q18" s="46">
        <f t="shared" si="3"/>
        <v>1000000</v>
      </c>
      <c r="R18" s="8"/>
      <c r="T18" s="17"/>
      <c r="U18" s="88"/>
      <c r="V18" s="20">
        <f t="shared" si="4"/>
        <v>41517</v>
      </c>
      <c r="W18" s="27"/>
      <c r="X18" s="46">
        <f t="shared" si="5"/>
        <v>1000000</v>
      </c>
      <c r="AA18" s="17"/>
      <c r="AB18" s="79"/>
      <c r="AC18" s="20">
        <f t="shared" si="6"/>
        <v>41517</v>
      </c>
      <c r="AD18" s="78"/>
      <c r="AE18" s="46">
        <f t="shared" si="7"/>
        <v>1000000</v>
      </c>
      <c r="AF18" s="8"/>
      <c r="AH18" s="17"/>
      <c r="AI18" s="88"/>
    </row>
    <row r="19" spans="1:35" x14ac:dyDescent="0.25">
      <c r="A19" s="20">
        <v>41547</v>
      </c>
      <c r="B19" s="24">
        <f t="shared" si="8"/>
        <v>4</v>
      </c>
      <c r="C19" s="34">
        <f>'LC (Gross)'!K181</f>
        <v>3.1362227634925532</v>
      </c>
      <c r="D19" s="34">
        <f>ITL!K121</f>
        <v>7.0022078776230767</v>
      </c>
      <c r="E19" s="34">
        <v>0.95</v>
      </c>
      <c r="F19" s="34">
        <v>0</v>
      </c>
      <c r="G19" s="39"/>
      <c r="H19" s="20">
        <f t="shared" si="0"/>
        <v>41547</v>
      </c>
      <c r="I19" s="27"/>
      <c r="J19" s="46">
        <f t="shared" si="1"/>
        <v>1000000</v>
      </c>
      <c r="K19" s="54"/>
      <c r="L19" s="49"/>
      <c r="M19" s="17"/>
      <c r="N19" s="79"/>
      <c r="O19" s="20">
        <f t="shared" si="2"/>
        <v>41547</v>
      </c>
      <c r="P19" s="78"/>
      <c r="Q19" s="46">
        <f t="shared" si="3"/>
        <v>1000000</v>
      </c>
      <c r="R19" s="8"/>
      <c r="S19" s="5"/>
      <c r="T19" s="17"/>
      <c r="U19" s="88"/>
      <c r="V19" s="20">
        <f t="shared" si="4"/>
        <v>41547</v>
      </c>
      <c r="W19" s="27"/>
      <c r="X19" s="46">
        <f t="shared" si="5"/>
        <v>1000000</v>
      </c>
      <c r="Y19" s="54"/>
      <c r="Z19" s="49"/>
      <c r="AA19" s="17"/>
      <c r="AB19" s="79"/>
      <c r="AC19" s="20">
        <f t="shared" si="6"/>
        <v>41547</v>
      </c>
      <c r="AD19" s="78"/>
      <c r="AE19" s="46">
        <f t="shared" si="7"/>
        <v>1000000</v>
      </c>
      <c r="AF19" s="8"/>
      <c r="AG19" s="5">
        <f>(AE19/AE16-1)*100</f>
        <v>0</v>
      </c>
      <c r="AH19" s="17"/>
      <c r="AI19" s="88"/>
    </row>
    <row r="20" spans="1:35" x14ac:dyDescent="0.25">
      <c r="A20" s="20">
        <v>41578</v>
      </c>
      <c r="B20" s="24">
        <f t="shared" si="8"/>
        <v>5</v>
      </c>
      <c r="C20" s="34">
        <f>'LC (Gross)'!K182</f>
        <v>4.5962932762223021</v>
      </c>
      <c r="D20" s="34">
        <f>ITL!K122</f>
        <v>3.6919148131748929</v>
      </c>
      <c r="E20" s="34">
        <v>0.80999999999999994</v>
      </c>
      <c r="F20" s="34">
        <v>0</v>
      </c>
      <c r="G20" s="39"/>
      <c r="H20" s="20">
        <f t="shared" si="0"/>
        <v>41578</v>
      </c>
      <c r="I20" s="27"/>
      <c r="J20" s="46">
        <f t="shared" si="1"/>
        <v>1000000</v>
      </c>
      <c r="K20" s="54"/>
      <c r="M20" s="17"/>
      <c r="N20" s="79"/>
      <c r="O20" s="20">
        <f t="shared" si="2"/>
        <v>41578</v>
      </c>
      <c r="P20" s="78"/>
      <c r="Q20" s="46">
        <f t="shared" si="3"/>
        <v>1000000</v>
      </c>
      <c r="R20" s="8"/>
      <c r="T20" s="17"/>
      <c r="U20" s="88"/>
      <c r="V20" s="20">
        <f t="shared" si="4"/>
        <v>41578</v>
      </c>
      <c r="W20" s="27"/>
      <c r="X20" s="46">
        <f t="shared" si="5"/>
        <v>1000000</v>
      </c>
      <c r="Y20" s="54"/>
      <c r="AA20" s="17"/>
      <c r="AB20" s="79"/>
      <c r="AC20" s="20">
        <f t="shared" si="6"/>
        <v>41578</v>
      </c>
      <c r="AD20" s="78"/>
      <c r="AE20" s="46">
        <f t="shared" si="7"/>
        <v>1000000</v>
      </c>
      <c r="AF20" s="8"/>
      <c r="AH20" s="17"/>
      <c r="AI20" s="88"/>
    </row>
    <row r="21" spans="1:35" x14ac:dyDescent="0.25">
      <c r="A21" s="20">
        <v>41608</v>
      </c>
      <c r="B21" s="24">
        <f t="shared" si="8"/>
        <v>6</v>
      </c>
      <c r="C21" s="34">
        <f>'LC (Gross)'!K183</f>
        <v>3.0467850036079138</v>
      </c>
      <c r="D21" s="34">
        <f>ITL!K123</f>
        <v>0.19815179501816207</v>
      </c>
      <c r="E21" s="34">
        <v>-0.37</v>
      </c>
      <c r="F21" s="34">
        <v>0</v>
      </c>
      <c r="G21" s="39"/>
      <c r="H21" s="20">
        <f t="shared" si="0"/>
        <v>41608</v>
      </c>
      <c r="I21" s="27"/>
      <c r="J21" s="46">
        <f t="shared" si="1"/>
        <v>1000000</v>
      </c>
      <c r="K21" s="54"/>
      <c r="M21" s="17"/>
      <c r="N21" s="79"/>
      <c r="O21" s="20">
        <f t="shared" si="2"/>
        <v>41608</v>
      </c>
      <c r="P21" s="78"/>
      <c r="Q21" s="46">
        <f t="shared" si="3"/>
        <v>1000000</v>
      </c>
      <c r="R21" s="8"/>
      <c r="T21" s="17"/>
      <c r="U21" s="88"/>
      <c r="V21" s="20">
        <f t="shared" si="4"/>
        <v>41608</v>
      </c>
      <c r="W21" s="27"/>
      <c r="X21" s="46">
        <f t="shared" si="5"/>
        <v>1000000</v>
      </c>
      <c r="Y21" s="54"/>
      <c r="AA21" s="17"/>
      <c r="AB21" s="79"/>
      <c r="AC21" s="20">
        <f t="shared" si="6"/>
        <v>41608</v>
      </c>
      <c r="AD21" s="78"/>
      <c r="AE21" s="46">
        <f t="shared" si="7"/>
        <v>1000000</v>
      </c>
      <c r="AF21" s="8"/>
      <c r="AH21" s="17"/>
      <c r="AI21" s="88"/>
    </row>
    <row r="22" spans="1:35" x14ac:dyDescent="0.25">
      <c r="A22" s="20">
        <v>41639</v>
      </c>
      <c r="B22" s="24">
        <f t="shared" si="8"/>
        <v>7</v>
      </c>
      <c r="C22" s="34">
        <f>'LC (Gross)'!K184</f>
        <v>2.5247921308159684</v>
      </c>
      <c r="D22" s="34">
        <f>ITL!K124</f>
        <v>0.93494635112080826</v>
      </c>
      <c r="E22" s="34">
        <v>-0.57000000000000006</v>
      </c>
      <c r="F22" s="34">
        <v>0</v>
      </c>
      <c r="G22" s="39"/>
      <c r="H22" s="20">
        <f t="shared" si="0"/>
        <v>41639</v>
      </c>
      <c r="I22" s="27"/>
      <c r="J22" s="46">
        <f t="shared" si="1"/>
        <v>1000000</v>
      </c>
      <c r="K22" s="37"/>
      <c r="L22" s="49"/>
      <c r="M22" s="17"/>
      <c r="N22" s="79"/>
      <c r="O22" s="20">
        <f t="shared" si="2"/>
        <v>41639</v>
      </c>
      <c r="P22" s="78"/>
      <c r="Q22" s="46">
        <f t="shared" si="3"/>
        <v>1000000</v>
      </c>
      <c r="R22" s="37"/>
      <c r="S22" s="5"/>
      <c r="T22" s="17"/>
      <c r="U22" s="88"/>
      <c r="V22" s="20">
        <f t="shared" si="4"/>
        <v>41639</v>
      </c>
      <c r="W22" s="27"/>
      <c r="X22" s="46">
        <f t="shared" si="5"/>
        <v>1000000</v>
      </c>
      <c r="Y22" s="37"/>
      <c r="Z22" s="49"/>
      <c r="AA22" s="17"/>
      <c r="AB22" s="79"/>
      <c r="AC22" s="20">
        <f t="shared" si="6"/>
        <v>41639</v>
      </c>
      <c r="AD22" s="78"/>
      <c r="AE22" s="46">
        <f t="shared" si="7"/>
        <v>1000000</v>
      </c>
      <c r="AF22" s="37"/>
      <c r="AG22" s="5">
        <f>(AE22/AE19-1)*100</f>
        <v>0</v>
      </c>
      <c r="AH22" s="17"/>
      <c r="AI22" s="88"/>
    </row>
    <row r="23" spans="1:35" x14ac:dyDescent="0.25">
      <c r="A23" s="20">
        <v>41670</v>
      </c>
      <c r="B23" s="24">
        <f t="shared" si="8"/>
        <v>8</v>
      </c>
      <c r="C23" s="34">
        <f>'LC (Gross)'!K185</f>
        <v>-3.4574234097127894</v>
      </c>
      <c r="D23" s="34">
        <f>ITL!K125</f>
        <v>-4.5266528215096082</v>
      </c>
      <c r="E23" s="34">
        <v>1.48</v>
      </c>
      <c r="F23" s="34">
        <v>0</v>
      </c>
      <c r="G23" s="39"/>
      <c r="H23" s="20">
        <f t="shared" si="0"/>
        <v>41670</v>
      </c>
      <c r="I23" s="27"/>
      <c r="J23" s="46">
        <f t="shared" si="1"/>
        <v>1000000</v>
      </c>
      <c r="M23" s="17"/>
      <c r="N23" s="79"/>
      <c r="O23" s="20">
        <f t="shared" si="2"/>
        <v>41670</v>
      </c>
      <c r="P23" s="78"/>
      <c r="Q23" s="46">
        <f t="shared" si="3"/>
        <v>1000000</v>
      </c>
      <c r="R23" s="10"/>
      <c r="T23" s="17"/>
      <c r="U23" s="88"/>
      <c r="V23" s="20">
        <f t="shared" si="4"/>
        <v>41670</v>
      </c>
      <c r="W23" s="27"/>
      <c r="X23" s="46">
        <f t="shared" si="5"/>
        <v>1000000</v>
      </c>
      <c r="AA23" s="17"/>
      <c r="AB23" s="79"/>
      <c r="AC23" s="20">
        <f t="shared" si="6"/>
        <v>41670</v>
      </c>
      <c r="AD23" s="78"/>
      <c r="AE23" s="46">
        <f t="shared" si="7"/>
        <v>1000000</v>
      </c>
      <c r="AF23" s="10"/>
      <c r="AH23" s="17"/>
      <c r="AI23" s="88"/>
    </row>
    <row r="24" spans="1:35" x14ac:dyDescent="0.25">
      <c r="A24" s="20">
        <v>41698</v>
      </c>
      <c r="B24" s="24">
        <f t="shared" si="8"/>
        <v>9</v>
      </c>
      <c r="C24" s="34">
        <f>'LC (Gross)'!K186</f>
        <v>4.5734913571781322</v>
      </c>
      <c r="D24" s="34">
        <f>ITL!K126</f>
        <v>5.0482292255817329</v>
      </c>
      <c r="E24" s="34">
        <v>0.53</v>
      </c>
      <c r="F24" s="34">
        <v>0</v>
      </c>
      <c r="G24" s="39"/>
      <c r="H24" s="20">
        <f t="shared" si="0"/>
        <v>41698</v>
      </c>
      <c r="I24" s="27"/>
      <c r="J24" s="46">
        <f t="shared" si="1"/>
        <v>1000000</v>
      </c>
      <c r="M24" s="17"/>
      <c r="N24" s="79"/>
      <c r="O24" s="20">
        <f t="shared" si="2"/>
        <v>41698</v>
      </c>
      <c r="P24" s="78"/>
      <c r="Q24" s="46">
        <f t="shared" si="3"/>
        <v>1000000</v>
      </c>
      <c r="R24" s="8"/>
      <c r="T24" s="17"/>
      <c r="U24" s="88"/>
      <c r="V24" s="20">
        <f t="shared" si="4"/>
        <v>41698</v>
      </c>
      <c r="W24" s="27"/>
      <c r="X24" s="46">
        <f t="shared" si="5"/>
        <v>1000000</v>
      </c>
      <c r="AA24" s="17"/>
      <c r="AB24" s="79"/>
      <c r="AC24" s="20">
        <f t="shared" si="6"/>
        <v>41698</v>
      </c>
      <c r="AD24" s="78"/>
      <c r="AE24" s="46">
        <f t="shared" si="7"/>
        <v>1000000</v>
      </c>
      <c r="AF24" s="8"/>
      <c r="AH24" s="17"/>
      <c r="AI24" s="88"/>
    </row>
    <row r="25" spans="1:35" x14ac:dyDescent="0.25">
      <c r="A25" s="20">
        <v>41729</v>
      </c>
      <c r="B25" s="24">
        <f t="shared" si="8"/>
        <v>10</v>
      </c>
      <c r="C25" s="34">
        <f>'LC (Gross)'!K187</f>
        <v>0.84079821406014832</v>
      </c>
      <c r="D25" s="34">
        <f>ITL!K127</f>
        <v>0.34783673899513284</v>
      </c>
      <c r="E25" s="34">
        <v>-0.16999999999999998</v>
      </c>
      <c r="F25" s="34">
        <v>0</v>
      </c>
      <c r="G25" s="39"/>
      <c r="H25" s="20">
        <f t="shared" si="0"/>
        <v>41729</v>
      </c>
      <c r="I25" s="27"/>
      <c r="J25" s="46">
        <f t="shared" si="1"/>
        <v>1000000</v>
      </c>
      <c r="K25" s="54"/>
      <c r="L25" s="49"/>
      <c r="M25" s="17"/>
      <c r="N25" s="79"/>
      <c r="O25" s="20">
        <f t="shared" si="2"/>
        <v>41729</v>
      </c>
      <c r="P25" s="78"/>
      <c r="Q25" s="46">
        <f t="shared" si="3"/>
        <v>1000000</v>
      </c>
      <c r="R25" s="8"/>
      <c r="S25" s="5"/>
      <c r="T25" s="17"/>
      <c r="U25" s="88"/>
      <c r="V25" s="20">
        <f t="shared" si="4"/>
        <v>41729</v>
      </c>
      <c r="W25" s="27"/>
      <c r="X25" s="46">
        <f t="shared" si="5"/>
        <v>1000000</v>
      </c>
      <c r="Y25" s="54"/>
      <c r="Z25" s="49"/>
      <c r="AA25" s="17"/>
      <c r="AB25" s="79"/>
      <c r="AC25" s="20">
        <f t="shared" si="6"/>
        <v>41729</v>
      </c>
      <c r="AD25" s="78"/>
      <c r="AE25" s="46">
        <f t="shared" si="7"/>
        <v>1000000</v>
      </c>
      <c r="AF25" s="8"/>
      <c r="AG25" s="5">
        <f>(AE25/AE22-1)*100</f>
        <v>0</v>
      </c>
      <c r="AH25" s="17"/>
      <c r="AI25" s="88"/>
    </row>
    <row r="26" spans="1:35" x14ac:dyDescent="0.25">
      <c r="A26" s="20">
        <v>41759</v>
      </c>
      <c r="B26" s="24">
        <f t="shared" si="8"/>
        <v>11</v>
      </c>
      <c r="C26" s="34">
        <f>'LC (Gross)'!K188</f>
        <v>0.73893574420213537</v>
      </c>
      <c r="D26" s="34">
        <f>ITL!K128</f>
        <v>1.3725042832453977</v>
      </c>
      <c r="E26" s="34">
        <v>0.84</v>
      </c>
      <c r="F26" s="34">
        <v>0</v>
      </c>
      <c r="G26" s="39"/>
      <c r="H26" s="20">
        <f t="shared" si="0"/>
        <v>41759</v>
      </c>
      <c r="I26" s="27">
        <v>0.86</v>
      </c>
      <c r="J26" s="46">
        <f t="shared" si="1"/>
        <v>1008600</v>
      </c>
      <c r="M26" s="17"/>
      <c r="N26" s="79"/>
      <c r="O26" s="20">
        <f t="shared" si="2"/>
        <v>41759</v>
      </c>
      <c r="P26" s="78">
        <f>20%*$C26+0%*$D26+70%*$E26+10%*$F26</f>
        <v>0.73578714884042706</v>
      </c>
      <c r="Q26" s="46">
        <f t="shared" si="3"/>
        <v>1007357.8714884042</v>
      </c>
      <c r="R26" s="8"/>
      <c r="T26" s="17"/>
      <c r="U26" s="88"/>
      <c r="V26" s="20">
        <f t="shared" si="4"/>
        <v>41759</v>
      </c>
      <c r="W26" s="27"/>
      <c r="X26" s="46">
        <f t="shared" si="5"/>
        <v>1000000</v>
      </c>
      <c r="AA26" s="17"/>
      <c r="AB26" s="79"/>
      <c r="AC26" s="20">
        <f t="shared" si="6"/>
        <v>41759</v>
      </c>
      <c r="AD26" s="78"/>
      <c r="AE26" s="46">
        <f t="shared" si="7"/>
        <v>1000000</v>
      </c>
      <c r="AF26" s="8"/>
      <c r="AH26" s="17"/>
      <c r="AI26" s="88"/>
    </row>
    <row r="27" spans="1:35" x14ac:dyDescent="0.25">
      <c r="A27" s="20">
        <v>41790</v>
      </c>
      <c r="B27" s="24">
        <f t="shared" si="8"/>
        <v>12</v>
      </c>
      <c r="C27" s="34">
        <f>'LC (Gross)'!K189</f>
        <v>2.3465618221986664</v>
      </c>
      <c r="D27" s="34">
        <f>ITL!K129</f>
        <v>2.0304092054262086</v>
      </c>
      <c r="E27" s="34">
        <v>1.1400000000000001</v>
      </c>
      <c r="F27" s="34">
        <v>0</v>
      </c>
      <c r="G27" s="39"/>
      <c r="H27" s="20">
        <f t="shared" si="0"/>
        <v>41790</v>
      </c>
      <c r="I27" s="27">
        <v>1.1299999999999999</v>
      </c>
      <c r="J27" s="46">
        <f t="shared" si="1"/>
        <v>1019997.18</v>
      </c>
      <c r="M27" s="17"/>
      <c r="N27" s="79"/>
      <c r="O27" s="20">
        <f t="shared" si="2"/>
        <v>41790</v>
      </c>
      <c r="P27" s="78">
        <f t="shared" ref="P27:P56" si="9">20%*$C27+0%*$D27+70%*$E27+10%*$F27</f>
        <v>1.2673123644397333</v>
      </c>
      <c r="Q27" s="46">
        <f t="shared" si="3"/>
        <v>1020124.2423479337</v>
      </c>
      <c r="R27" s="8"/>
      <c r="T27" s="17"/>
      <c r="U27" s="88"/>
      <c r="V27" s="20">
        <f t="shared" si="4"/>
        <v>41790</v>
      </c>
      <c r="W27" s="27"/>
      <c r="X27" s="46">
        <f t="shared" si="5"/>
        <v>1000000</v>
      </c>
      <c r="AA27" s="17"/>
      <c r="AB27" s="79"/>
      <c r="AC27" s="20">
        <f t="shared" si="6"/>
        <v>41790</v>
      </c>
      <c r="AD27" s="78"/>
      <c r="AE27" s="46">
        <f t="shared" si="7"/>
        <v>1000000</v>
      </c>
      <c r="AF27" s="8"/>
      <c r="AH27" s="17"/>
      <c r="AI27" s="88"/>
    </row>
    <row r="28" spans="1:35" x14ac:dyDescent="0.25">
      <c r="A28" s="20">
        <v>41820</v>
      </c>
      <c r="B28" s="24">
        <f t="shared" si="8"/>
        <v>13</v>
      </c>
      <c r="C28" s="34">
        <f>'LC (Gross)'!K190</f>
        <v>2.0658252562913795</v>
      </c>
      <c r="D28" s="34">
        <f>ITL!K130</f>
        <v>1.7121306414434068</v>
      </c>
      <c r="E28" s="34">
        <v>0.05</v>
      </c>
      <c r="F28" s="34">
        <v>0</v>
      </c>
      <c r="G28" s="39"/>
      <c r="H28" s="20">
        <f t="shared" si="0"/>
        <v>41820</v>
      </c>
      <c r="I28" s="27">
        <v>0.65</v>
      </c>
      <c r="J28" s="46">
        <f t="shared" si="1"/>
        <v>1026627.1616700001</v>
      </c>
      <c r="K28" s="54"/>
      <c r="L28" s="49">
        <f>(J28/J25-1)*100</f>
        <v>2.662716167000001</v>
      </c>
      <c r="M28" s="17"/>
      <c r="N28" s="79"/>
      <c r="O28" s="20">
        <f t="shared" si="2"/>
        <v>41820</v>
      </c>
      <c r="P28" s="78">
        <f t="shared" si="9"/>
        <v>0.44816505125827588</v>
      </c>
      <c r="Q28" s="46">
        <f t="shared" si="3"/>
        <v>1024696.0826815504</v>
      </c>
      <c r="R28" s="8"/>
      <c r="S28" s="5">
        <f>(Q28/Q25-1)*100</f>
        <v>2.4696082681550324</v>
      </c>
      <c r="T28" s="17"/>
      <c r="U28" s="88"/>
      <c r="V28" s="20">
        <f t="shared" si="4"/>
        <v>41820</v>
      </c>
      <c r="W28" s="27"/>
      <c r="X28" s="46">
        <f t="shared" si="5"/>
        <v>1000000</v>
      </c>
      <c r="Y28" s="54"/>
      <c r="Z28" s="49"/>
      <c r="AA28" s="17"/>
      <c r="AB28" s="79"/>
      <c r="AC28" s="20">
        <f t="shared" si="6"/>
        <v>41820</v>
      </c>
      <c r="AD28" s="78"/>
      <c r="AE28" s="46">
        <f t="shared" si="7"/>
        <v>1000000</v>
      </c>
      <c r="AF28" s="8"/>
      <c r="AG28" s="5">
        <f>(AE28/AE25-1)*100</f>
        <v>0</v>
      </c>
      <c r="AH28" s="17"/>
      <c r="AI28" s="88"/>
    </row>
    <row r="29" spans="1:35" x14ac:dyDescent="0.25">
      <c r="A29" s="20">
        <v>41851</v>
      </c>
      <c r="B29" s="24">
        <f t="shared" si="8"/>
        <v>14</v>
      </c>
      <c r="C29" s="34">
        <f>'LC (Gross)'!K191</f>
        <v>-1.379228117077598</v>
      </c>
      <c r="D29" s="34">
        <f>ITL!K131</f>
        <v>-0.95310724515041867</v>
      </c>
      <c r="E29" s="34">
        <v>-0.25</v>
      </c>
      <c r="F29" s="34">
        <v>0</v>
      </c>
      <c r="G29" s="39"/>
      <c r="H29" s="20">
        <f t="shared" si="0"/>
        <v>41851</v>
      </c>
      <c r="I29" s="27">
        <v>-0.37</v>
      </c>
      <c r="J29" s="46">
        <f t="shared" si="1"/>
        <v>1022828.641171821</v>
      </c>
      <c r="M29" s="17"/>
      <c r="N29" s="79"/>
      <c r="O29" s="20">
        <f t="shared" si="2"/>
        <v>41851</v>
      </c>
      <c r="P29" s="78">
        <f t="shared" si="9"/>
        <v>-0.45084562341551959</v>
      </c>
      <c r="Q29" s="46">
        <f t="shared" si="3"/>
        <v>1020076.2852394704</v>
      </c>
      <c r="R29" s="8"/>
      <c r="T29" s="17"/>
      <c r="U29" s="88"/>
      <c r="V29" s="20">
        <f t="shared" si="4"/>
        <v>41851</v>
      </c>
      <c r="W29" s="27"/>
      <c r="X29" s="46">
        <f t="shared" si="5"/>
        <v>1000000</v>
      </c>
      <c r="AA29" s="17"/>
      <c r="AB29" s="79"/>
      <c r="AC29" s="20">
        <f t="shared" si="6"/>
        <v>41851</v>
      </c>
      <c r="AD29" s="78"/>
      <c r="AE29" s="46">
        <f t="shared" si="7"/>
        <v>1000000</v>
      </c>
      <c r="AF29" s="8"/>
      <c r="AH29" s="17"/>
      <c r="AI29" s="88"/>
    </row>
    <row r="30" spans="1:35" x14ac:dyDescent="0.25">
      <c r="A30" s="20">
        <v>41882</v>
      </c>
      <c r="B30" s="24">
        <f t="shared" si="8"/>
        <v>15</v>
      </c>
      <c r="C30" s="34">
        <f>'LC (Gross)'!K192</f>
        <v>4.0001307171931559</v>
      </c>
      <c r="D30" s="34">
        <f>ITL!K132</f>
        <v>0.59022358101033001</v>
      </c>
      <c r="E30" s="34">
        <v>1.0999999999999999</v>
      </c>
      <c r="F30" s="34">
        <v>0</v>
      </c>
      <c r="G30" s="39"/>
      <c r="H30" s="20">
        <f t="shared" si="0"/>
        <v>41882</v>
      </c>
      <c r="I30" s="27">
        <v>1.68</v>
      </c>
      <c r="J30" s="46">
        <f t="shared" si="1"/>
        <v>1040012.1623435076</v>
      </c>
      <c r="K30" s="54"/>
      <c r="M30" s="17"/>
      <c r="N30" s="79"/>
      <c r="O30" s="20">
        <f t="shared" si="2"/>
        <v>41882</v>
      </c>
      <c r="P30" s="78">
        <f t="shared" si="9"/>
        <v>1.5700261434386311</v>
      </c>
      <c r="Q30" s="46">
        <f t="shared" si="3"/>
        <v>1036091.7496007477</v>
      </c>
      <c r="R30" s="8"/>
      <c r="T30" s="17"/>
      <c r="U30" s="88"/>
      <c r="V30" s="20">
        <f t="shared" si="4"/>
        <v>41882</v>
      </c>
      <c r="W30" s="27"/>
      <c r="X30" s="46">
        <f t="shared" si="5"/>
        <v>1000000</v>
      </c>
      <c r="Y30" s="54"/>
      <c r="AA30" s="17"/>
      <c r="AB30" s="79"/>
      <c r="AC30" s="20">
        <f t="shared" si="6"/>
        <v>41882</v>
      </c>
      <c r="AD30" s="78"/>
      <c r="AE30" s="46">
        <f t="shared" si="7"/>
        <v>1000000</v>
      </c>
      <c r="AF30" s="8"/>
      <c r="AH30" s="17"/>
      <c r="AI30" s="88"/>
    </row>
    <row r="31" spans="1:35" x14ac:dyDescent="0.25">
      <c r="A31" s="20">
        <v>41912</v>
      </c>
      <c r="B31" s="24">
        <f t="shared" si="8"/>
        <v>16</v>
      </c>
      <c r="C31" s="34">
        <f>'LC (Gross)'!K193</f>
        <v>-1.4020945270779435</v>
      </c>
      <c r="D31" s="34">
        <f>ITL!K133</f>
        <v>-4.7938175789077544</v>
      </c>
      <c r="E31" s="34">
        <v>-0.67999999999999994</v>
      </c>
      <c r="F31" s="34">
        <v>0</v>
      </c>
      <c r="G31" s="39"/>
      <c r="H31" s="20">
        <f t="shared" si="0"/>
        <v>41912</v>
      </c>
      <c r="I31" s="27">
        <v>-1.35</v>
      </c>
      <c r="J31" s="46">
        <f t="shared" si="1"/>
        <v>1025971.9981518703</v>
      </c>
      <c r="K31" s="49"/>
      <c r="L31" s="49">
        <f>(J31/J28-1)*100</f>
        <v>-6.3817083999995194E-2</v>
      </c>
      <c r="M31" s="17"/>
      <c r="N31" s="79"/>
      <c r="O31" s="20">
        <f t="shared" si="2"/>
        <v>41912</v>
      </c>
      <c r="P31" s="78">
        <f t="shared" si="9"/>
        <v>-0.75641890541558865</v>
      </c>
      <c r="Q31" s="46">
        <f t="shared" si="3"/>
        <v>1028254.5557293165</v>
      </c>
      <c r="R31" s="8"/>
      <c r="S31" s="5">
        <f>(Q31/Q28-1)*100</f>
        <v>0.34727106972576305</v>
      </c>
      <c r="T31" s="17"/>
      <c r="U31" s="88"/>
      <c r="V31" s="20">
        <f t="shared" si="4"/>
        <v>41912</v>
      </c>
      <c r="W31" s="27"/>
      <c r="X31" s="46">
        <f t="shared" si="5"/>
        <v>1000000</v>
      </c>
      <c r="Y31" s="49"/>
      <c r="Z31" s="49"/>
      <c r="AA31" s="17"/>
      <c r="AB31" s="79"/>
      <c r="AC31" s="20">
        <f t="shared" si="6"/>
        <v>41912</v>
      </c>
      <c r="AD31" s="78"/>
      <c r="AE31" s="46">
        <f t="shared" si="7"/>
        <v>1000000</v>
      </c>
      <c r="AF31" s="8"/>
      <c r="AG31" s="5">
        <f>(AE31/AE28-1)*100</f>
        <v>0</v>
      </c>
      <c r="AH31" s="17"/>
      <c r="AI31" s="88"/>
    </row>
    <row r="32" spans="1:35" x14ac:dyDescent="0.25">
      <c r="A32" s="20">
        <v>41943</v>
      </c>
      <c r="B32" s="24">
        <f t="shared" si="8"/>
        <v>17</v>
      </c>
      <c r="C32" s="34">
        <f>'LC (Gross)'!K194</f>
        <v>2.4420309995375749</v>
      </c>
      <c r="D32" s="34">
        <f>ITL!K134</f>
        <v>-0.9690362469771151</v>
      </c>
      <c r="E32" s="34">
        <v>0.98</v>
      </c>
      <c r="F32" s="34">
        <v>0</v>
      </c>
      <c r="G32" s="39"/>
      <c r="H32" s="20">
        <f t="shared" si="0"/>
        <v>41943</v>
      </c>
      <c r="I32" s="27">
        <v>1.64</v>
      </c>
      <c r="J32" s="46">
        <f t="shared" si="1"/>
        <v>1042797.938921561</v>
      </c>
      <c r="K32" s="49"/>
      <c r="L32" s="49"/>
      <c r="M32" s="17"/>
      <c r="N32" s="79"/>
      <c r="O32" s="20">
        <f t="shared" si="2"/>
        <v>41943</v>
      </c>
      <c r="P32" s="78">
        <f t="shared" si="9"/>
        <v>1.1744061999075148</v>
      </c>
      <c r="Q32" s="46">
        <f t="shared" si="3"/>
        <v>1040330.4409826332</v>
      </c>
      <c r="R32" s="49"/>
      <c r="T32" s="17"/>
      <c r="U32" s="88"/>
      <c r="V32" s="20">
        <f t="shared" si="4"/>
        <v>41943</v>
      </c>
      <c r="W32" s="27"/>
      <c r="X32" s="46">
        <f t="shared" si="5"/>
        <v>1000000</v>
      </c>
      <c r="Y32" s="49"/>
      <c r="Z32" s="49"/>
      <c r="AA32" s="17"/>
      <c r="AB32" s="79"/>
      <c r="AC32" s="20">
        <f t="shared" si="6"/>
        <v>41943</v>
      </c>
      <c r="AD32" s="78"/>
      <c r="AE32" s="46">
        <f t="shared" si="7"/>
        <v>1000000</v>
      </c>
      <c r="AF32" s="49"/>
      <c r="AH32" s="17"/>
      <c r="AI32" s="88"/>
    </row>
    <row r="33" spans="1:35" x14ac:dyDescent="0.25">
      <c r="A33" s="20">
        <v>41973</v>
      </c>
      <c r="B33" s="24">
        <f t="shared" si="8"/>
        <v>18</v>
      </c>
      <c r="C33" s="34">
        <f>'LC (Gross)'!K195</f>
        <v>2.6882268432619147</v>
      </c>
      <c r="D33" s="34">
        <f>ITL!K135</f>
        <v>0.76242446015613374</v>
      </c>
      <c r="E33" s="34">
        <v>0.71000000000000008</v>
      </c>
      <c r="F33" s="34">
        <v>0</v>
      </c>
      <c r="G33" s="39"/>
      <c r="H33" s="20">
        <f t="shared" si="0"/>
        <v>41973</v>
      </c>
      <c r="I33" s="27">
        <v>1.49</v>
      </c>
      <c r="J33" s="46">
        <f t="shared" si="1"/>
        <v>1058335.6282114922</v>
      </c>
      <c r="K33" s="49"/>
      <c r="M33" s="17"/>
      <c r="N33" s="79"/>
      <c r="O33" s="20">
        <f t="shared" si="2"/>
        <v>41973</v>
      </c>
      <c r="P33" s="78">
        <f t="shared" si="9"/>
        <v>1.0346453686523831</v>
      </c>
      <c r="Q33" s="46">
        <f t="shared" si="3"/>
        <v>1051094.171708941</v>
      </c>
      <c r="R33" s="49"/>
      <c r="S33" s="8"/>
      <c r="T33" s="17"/>
      <c r="U33" s="88"/>
      <c r="V33" s="20">
        <f t="shared" si="4"/>
        <v>41973</v>
      </c>
      <c r="W33" s="27"/>
      <c r="X33" s="46">
        <f t="shared" si="5"/>
        <v>1000000</v>
      </c>
      <c r="Y33" s="49"/>
      <c r="AA33" s="17"/>
      <c r="AB33" s="79"/>
      <c r="AC33" s="20">
        <f t="shared" si="6"/>
        <v>41973</v>
      </c>
      <c r="AD33" s="78"/>
      <c r="AE33" s="46">
        <f t="shared" si="7"/>
        <v>1000000</v>
      </c>
      <c r="AF33" s="49"/>
      <c r="AG33" s="8"/>
      <c r="AH33" s="17"/>
      <c r="AI33" s="88"/>
    </row>
    <row r="34" spans="1:35" x14ac:dyDescent="0.25">
      <c r="A34" s="20">
        <v>42004</v>
      </c>
      <c r="B34" s="24">
        <f t="shared" si="8"/>
        <v>19</v>
      </c>
      <c r="C34" s="34">
        <f>'LC (Gross)'!K196</f>
        <v>-0.25732260110186045</v>
      </c>
      <c r="D34" s="34">
        <f>ITL!K136</f>
        <v>-3.5495463760675476</v>
      </c>
      <c r="E34" s="34">
        <v>0.09</v>
      </c>
      <c r="F34" s="34">
        <v>0</v>
      </c>
      <c r="G34" s="39"/>
      <c r="H34" s="20">
        <f t="shared" si="0"/>
        <v>42004</v>
      </c>
      <c r="I34" s="27">
        <v>-0.27</v>
      </c>
      <c r="J34" s="46">
        <f t="shared" si="1"/>
        <v>1055478.1220153212</v>
      </c>
      <c r="K34" s="98">
        <f>(J34-J25)/J25*100</f>
        <v>5.5478122015321159</v>
      </c>
      <c r="L34" s="6">
        <f>(J34/J31-1)*100</f>
        <v>2.8759190227999998</v>
      </c>
      <c r="M34" s="17"/>
      <c r="N34" s="79"/>
      <c r="O34" s="20">
        <f t="shared" si="2"/>
        <v>42004</v>
      </c>
      <c r="P34" s="78">
        <f t="shared" si="9"/>
        <v>1.1535479779627905E-2</v>
      </c>
      <c r="Q34" s="46">
        <f t="shared" si="3"/>
        <v>1051215.4204645834</v>
      </c>
      <c r="R34" s="98">
        <f>(Q34-Q25)/Q25*100</f>
        <v>5.1215420464583437</v>
      </c>
      <c r="S34" s="6">
        <f>(Q34/Q31-1)*100</f>
        <v>2.2329942140622228</v>
      </c>
      <c r="T34" s="17"/>
      <c r="U34" s="88"/>
      <c r="V34" s="20">
        <f t="shared" si="4"/>
        <v>42004</v>
      </c>
      <c r="W34" s="27"/>
      <c r="X34" s="46">
        <f t="shared" si="5"/>
        <v>1000000</v>
      </c>
      <c r="Y34" s="49"/>
      <c r="Z34" s="49"/>
      <c r="AA34" s="17"/>
      <c r="AB34" s="79"/>
      <c r="AC34" s="20">
        <f t="shared" si="6"/>
        <v>42004</v>
      </c>
      <c r="AD34" s="78"/>
      <c r="AE34" s="46">
        <f t="shared" si="7"/>
        <v>1000000</v>
      </c>
      <c r="AF34" s="49"/>
      <c r="AG34" s="5">
        <f>(AE34/AE31-1)*100</f>
        <v>0</v>
      </c>
      <c r="AH34" s="17"/>
      <c r="AI34" s="88"/>
    </row>
    <row r="35" spans="1:35" x14ac:dyDescent="0.25">
      <c r="A35" s="20">
        <v>42035</v>
      </c>
      <c r="B35" s="24">
        <f t="shared" si="8"/>
        <v>20</v>
      </c>
      <c r="C35" s="34">
        <f>'LC (Gross)'!K197</f>
        <v>-3.0018337485743869</v>
      </c>
      <c r="D35" s="34">
        <f>ITL!K137</f>
        <v>-0.12691123096401805</v>
      </c>
      <c r="E35" s="34">
        <v>2.1</v>
      </c>
      <c r="F35" s="34">
        <v>0</v>
      </c>
      <c r="G35" s="39"/>
      <c r="H35" s="20">
        <f t="shared" si="0"/>
        <v>42035</v>
      </c>
      <c r="I35" s="27">
        <v>1.06</v>
      </c>
      <c r="J35" s="46">
        <f t="shared" si="1"/>
        <v>1066666.1901086837</v>
      </c>
      <c r="M35" s="17"/>
      <c r="N35" s="79"/>
      <c r="O35" s="20">
        <f t="shared" si="2"/>
        <v>42035</v>
      </c>
      <c r="P35" s="78">
        <f t="shared" si="9"/>
        <v>0.86963325028512251</v>
      </c>
      <c r="Q35" s="46">
        <f t="shared" si="3"/>
        <v>1060357.1392930681</v>
      </c>
      <c r="R35" s="18"/>
      <c r="S35" s="15"/>
      <c r="T35" s="17"/>
      <c r="U35" s="88"/>
      <c r="V35" s="20">
        <f t="shared" si="4"/>
        <v>42035</v>
      </c>
      <c r="W35" s="27"/>
      <c r="X35" s="46">
        <f t="shared" si="5"/>
        <v>1000000</v>
      </c>
      <c r="AA35" s="17"/>
      <c r="AB35" s="79"/>
      <c r="AC35" s="20">
        <f t="shared" si="6"/>
        <v>42035</v>
      </c>
      <c r="AD35" s="78"/>
      <c r="AE35" s="46">
        <f t="shared" si="7"/>
        <v>1000000</v>
      </c>
      <c r="AF35" s="18"/>
      <c r="AG35" s="10"/>
      <c r="AH35" s="17"/>
      <c r="AI35" s="88"/>
    </row>
    <row r="36" spans="1:35" x14ac:dyDescent="0.25">
      <c r="A36" s="20">
        <v>42063</v>
      </c>
      <c r="B36" s="24">
        <f t="shared" si="8"/>
        <v>21</v>
      </c>
      <c r="C36" s="34">
        <f>'LC (Gross)'!K198</f>
        <v>5.747011365533143</v>
      </c>
      <c r="D36" s="34">
        <f>ITL!K138</f>
        <v>5.366110795104845</v>
      </c>
      <c r="E36" s="34">
        <v>-0.94000000000000006</v>
      </c>
      <c r="F36" s="34">
        <v>0</v>
      </c>
      <c r="G36" s="39"/>
      <c r="H36" s="20">
        <f t="shared" si="0"/>
        <v>42063</v>
      </c>
      <c r="I36" s="27">
        <v>0.16</v>
      </c>
      <c r="J36" s="46">
        <f t="shared" si="1"/>
        <v>1068372.8560128575</v>
      </c>
      <c r="L36" s="1"/>
      <c r="M36" s="17"/>
      <c r="N36" s="79"/>
      <c r="O36" s="20">
        <f t="shared" si="2"/>
        <v>42063</v>
      </c>
      <c r="P36" s="78">
        <f t="shared" si="9"/>
        <v>0.49140227310662865</v>
      </c>
      <c r="Q36" s="46">
        <f t="shared" si="3"/>
        <v>1065567.7583786026</v>
      </c>
      <c r="R36" s="18"/>
      <c r="S36" s="15"/>
      <c r="T36" s="17"/>
      <c r="U36" s="88"/>
      <c r="V36" s="20">
        <f t="shared" si="4"/>
        <v>42063</v>
      </c>
      <c r="W36" s="27"/>
      <c r="X36" s="46">
        <f t="shared" si="5"/>
        <v>1000000</v>
      </c>
      <c r="Z36" s="1"/>
      <c r="AA36" s="17"/>
      <c r="AB36" s="79"/>
      <c r="AC36" s="20">
        <f t="shared" si="6"/>
        <v>42063</v>
      </c>
      <c r="AD36" s="78"/>
      <c r="AE36" s="46">
        <f t="shared" si="7"/>
        <v>1000000</v>
      </c>
      <c r="AF36" s="18"/>
      <c r="AG36" s="10"/>
      <c r="AH36" s="17"/>
      <c r="AI36" s="88"/>
    </row>
    <row r="37" spans="1:35" x14ac:dyDescent="0.25">
      <c r="A37" s="20">
        <v>42094</v>
      </c>
      <c r="B37" s="24">
        <f t="shared" si="8"/>
        <v>22</v>
      </c>
      <c r="C37" s="34">
        <f>'LC (Gross)'!K199</f>
        <v>-1.5811659792919264</v>
      </c>
      <c r="D37" s="34">
        <f>ITL!K139</f>
        <v>-1.5147243624146067</v>
      </c>
      <c r="E37" s="34">
        <v>0.45999999999999996</v>
      </c>
      <c r="F37" s="34">
        <v>0</v>
      </c>
      <c r="G37" s="39"/>
      <c r="H37" s="20">
        <f t="shared" si="0"/>
        <v>42094</v>
      </c>
      <c r="I37" s="27">
        <v>-0.15</v>
      </c>
      <c r="J37" s="46">
        <f t="shared" si="1"/>
        <v>1066770.2967288382</v>
      </c>
      <c r="K37" s="3"/>
      <c r="L37" s="6">
        <f>(J37/J34-1)*100</f>
        <v>1.0698634559999975</v>
      </c>
      <c r="M37" s="17"/>
      <c r="N37" s="79"/>
      <c r="O37" s="20">
        <f t="shared" si="2"/>
        <v>42094</v>
      </c>
      <c r="P37" s="78">
        <f t="shared" si="9"/>
        <v>5.7668041416146787E-3</v>
      </c>
      <c r="Q37" s="46">
        <f t="shared" si="3"/>
        <v>1065629.2075842244</v>
      </c>
      <c r="R37" s="18"/>
      <c r="S37" s="6">
        <f>(Q37/Q34-1)*100</f>
        <v>1.3711544597843517</v>
      </c>
      <c r="T37" s="17"/>
      <c r="U37" s="88"/>
      <c r="V37" s="20">
        <f t="shared" si="4"/>
        <v>42094</v>
      </c>
      <c r="W37" s="27"/>
      <c r="X37" s="46">
        <f t="shared" si="5"/>
        <v>1000000</v>
      </c>
      <c r="Y37" s="3"/>
      <c r="Z37" s="49"/>
      <c r="AA37" s="17"/>
      <c r="AB37" s="79"/>
      <c r="AC37" s="20">
        <f t="shared" si="6"/>
        <v>42094</v>
      </c>
      <c r="AD37" s="78"/>
      <c r="AE37" s="46">
        <f t="shared" si="7"/>
        <v>1000000</v>
      </c>
      <c r="AF37" s="18"/>
      <c r="AG37" s="5">
        <f>(AE37/AE34-1)*100</f>
        <v>0</v>
      </c>
      <c r="AH37" s="17"/>
      <c r="AI37" s="88"/>
    </row>
    <row r="38" spans="1:35" x14ac:dyDescent="0.25">
      <c r="A38" s="20">
        <v>42124</v>
      </c>
      <c r="B38" s="24">
        <f t="shared" si="8"/>
        <v>23</v>
      </c>
      <c r="C38" s="34">
        <f>'LC (Gross)'!K200</f>
        <v>0.95901070467064142</v>
      </c>
      <c r="D38" s="34">
        <f>ITL!K140</f>
        <v>5.0836959743830956</v>
      </c>
      <c r="E38" s="34">
        <v>-0.36</v>
      </c>
      <c r="F38" s="34">
        <v>0</v>
      </c>
      <c r="G38" s="39"/>
      <c r="H38" s="20">
        <f t="shared" si="0"/>
        <v>42124</v>
      </c>
      <c r="I38" s="27">
        <v>-0.2</v>
      </c>
      <c r="J38" s="46">
        <f t="shared" si="1"/>
        <v>1064636.7561353806</v>
      </c>
      <c r="K38" s="3"/>
      <c r="L38" s="3"/>
      <c r="M38" s="17"/>
      <c r="N38" s="79"/>
      <c r="O38" s="20">
        <f t="shared" si="2"/>
        <v>42124</v>
      </c>
      <c r="P38" s="78">
        <f t="shared" si="9"/>
        <v>-6.0197859065871717E-2</v>
      </c>
      <c r="Q38" s="46">
        <f t="shared" si="3"/>
        <v>1064987.7216156782</v>
      </c>
      <c r="R38" s="18"/>
      <c r="S38" s="15"/>
      <c r="T38" s="17"/>
      <c r="U38" s="88"/>
      <c r="V38" s="20">
        <f t="shared" si="4"/>
        <v>42124</v>
      </c>
      <c r="W38" s="27"/>
      <c r="X38" s="46">
        <f t="shared" si="5"/>
        <v>1000000</v>
      </c>
      <c r="Y38" s="3"/>
      <c r="AA38" s="17"/>
      <c r="AB38" s="79"/>
      <c r="AC38" s="20">
        <f t="shared" si="6"/>
        <v>42124</v>
      </c>
      <c r="AD38" s="78"/>
      <c r="AE38" s="46">
        <f t="shared" si="7"/>
        <v>1000000</v>
      </c>
      <c r="AF38" s="18"/>
      <c r="AG38" s="10"/>
      <c r="AH38" s="17"/>
      <c r="AI38" s="88"/>
    </row>
    <row r="39" spans="1:35" x14ac:dyDescent="0.25">
      <c r="A39" s="20">
        <v>42155</v>
      </c>
      <c r="B39" s="24">
        <f t="shared" si="8"/>
        <v>24</v>
      </c>
      <c r="C39" s="34">
        <f>'LC (Gross)'!K201</f>
        <v>1.2861229340560991</v>
      </c>
      <c r="D39" s="34">
        <f>ITL!K141</f>
        <v>-1.4856577872742764</v>
      </c>
      <c r="E39" s="34">
        <v>-0.24</v>
      </c>
      <c r="F39" s="34">
        <v>0</v>
      </c>
      <c r="G39" s="39"/>
      <c r="H39" s="20">
        <f t="shared" si="0"/>
        <v>42155</v>
      </c>
      <c r="I39" s="27">
        <v>0</v>
      </c>
      <c r="J39" s="46">
        <f t="shared" si="1"/>
        <v>1064636.7561353806</v>
      </c>
      <c r="K39" s="62"/>
      <c r="L39" s="3"/>
      <c r="M39" s="17"/>
      <c r="N39" s="79"/>
      <c r="O39" s="20">
        <f t="shared" si="2"/>
        <v>42155</v>
      </c>
      <c r="P39" s="78">
        <f t="shared" si="9"/>
        <v>8.9224586811219864E-2</v>
      </c>
      <c r="Q39" s="46">
        <f>Q38*P39/100+Q38</f>
        <v>1065937.9525098801</v>
      </c>
      <c r="R39" s="18"/>
      <c r="S39" s="15"/>
      <c r="T39" s="17"/>
      <c r="U39" s="88"/>
      <c r="V39" s="20">
        <f t="shared" si="4"/>
        <v>42155</v>
      </c>
      <c r="W39" s="27">
        <v>-0.19</v>
      </c>
      <c r="X39" s="46">
        <f t="shared" si="5"/>
        <v>998100</v>
      </c>
      <c r="Y39" s="62"/>
      <c r="AA39" s="17"/>
      <c r="AB39" s="79"/>
      <c r="AC39" s="20">
        <f t="shared" si="6"/>
        <v>42155</v>
      </c>
      <c r="AD39" s="78">
        <f t="shared" ref="AD39:AD57" si="10">20%*$C39+0%*$D39+70%*$E39+10%*$F39</f>
        <v>8.9224586811219864E-2</v>
      </c>
      <c r="AE39" s="46">
        <f>AE38*AD39/100+AE38</f>
        <v>1000892.2458681122</v>
      </c>
      <c r="AF39" s="18"/>
      <c r="AG39" s="10"/>
      <c r="AH39" s="17"/>
      <c r="AI39" s="88"/>
    </row>
    <row r="40" spans="1:35" x14ac:dyDescent="0.25">
      <c r="A40" s="20">
        <v>42185</v>
      </c>
      <c r="B40" s="24">
        <f t="shared" si="8"/>
        <v>25</v>
      </c>
      <c r="C40" s="34">
        <f>'LC (Gross)'!K202</f>
        <v>-1.9358188264035552</v>
      </c>
      <c r="D40" s="34">
        <f>ITL!K142</f>
        <v>-2.7422726706008369</v>
      </c>
      <c r="E40" s="34">
        <v>-1.0900000000000001</v>
      </c>
      <c r="F40" s="34">
        <v>0</v>
      </c>
      <c r="G40" s="39"/>
      <c r="H40" s="20">
        <f t="shared" si="0"/>
        <v>42185</v>
      </c>
      <c r="I40" s="27">
        <v>-1.24</v>
      </c>
      <c r="J40" s="46">
        <f t="shared" si="1"/>
        <v>1051435.2603593019</v>
      </c>
      <c r="K40" s="3"/>
      <c r="L40" s="6">
        <f>(J40/J37-1)*100</f>
        <v>-1.4375199999999921</v>
      </c>
      <c r="M40" s="17"/>
      <c r="N40" s="79"/>
      <c r="O40" s="20">
        <f t="shared" si="2"/>
        <v>42185</v>
      </c>
      <c r="P40" s="78">
        <f t="shared" si="9"/>
        <v>-1.1501637652807111</v>
      </c>
      <c r="Q40" s="46">
        <f>Q39*P40/100+Q39</f>
        <v>1053677.9204197363</v>
      </c>
      <c r="R40" s="18"/>
      <c r="S40" s="6">
        <f>(Q40/Q37-1)*100</f>
        <v>-1.1215239859633352</v>
      </c>
      <c r="T40" s="17"/>
      <c r="U40" s="88"/>
      <c r="V40" s="20">
        <f t="shared" si="4"/>
        <v>42185</v>
      </c>
      <c r="W40" s="27">
        <v>-1.44</v>
      </c>
      <c r="X40" s="46">
        <f t="shared" si="5"/>
        <v>983727.36</v>
      </c>
      <c r="Y40" s="3"/>
      <c r="Z40" s="49">
        <f>(X40/X37-1)*100</f>
        <v>-1.627264000000006</v>
      </c>
      <c r="AA40" s="17"/>
      <c r="AB40" s="79"/>
      <c r="AC40" s="20">
        <f t="shared" si="6"/>
        <v>42185</v>
      </c>
      <c r="AD40" s="78">
        <f t="shared" si="10"/>
        <v>-1.1501637652807111</v>
      </c>
      <c r="AE40" s="46">
        <f>AE39*AD40/100+AE39</f>
        <v>989380.34592663287</v>
      </c>
      <c r="AF40" s="18"/>
      <c r="AG40" s="5">
        <f>(AE40/AE37-1)*100</f>
        <v>-1.061965407336718</v>
      </c>
      <c r="AH40" s="17"/>
      <c r="AI40" s="88"/>
    </row>
    <row r="41" spans="1:35" x14ac:dyDescent="0.25">
      <c r="A41" s="20">
        <v>42216</v>
      </c>
      <c r="B41" s="24">
        <f t="shared" si="8"/>
        <v>26</v>
      </c>
      <c r="C41" s="34">
        <f>'LC (Gross)'!K203</f>
        <v>2.0954396522417249</v>
      </c>
      <c r="D41" s="34">
        <f>ITL!K143</f>
        <v>-0.25761056229901091</v>
      </c>
      <c r="E41" s="34">
        <v>0.70000000000000007</v>
      </c>
      <c r="F41" s="34">
        <v>0</v>
      </c>
      <c r="G41" s="39"/>
      <c r="H41" s="20">
        <f t="shared" si="0"/>
        <v>42216</v>
      </c>
      <c r="I41" s="27">
        <v>1.77</v>
      </c>
      <c r="J41" s="46">
        <f t="shared" si="1"/>
        <v>1070045.6644676616</v>
      </c>
      <c r="K41" s="62"/>
      <c r="L41" s="3"/>
      <c r="M41" s="17"/>
      <c r="N41" s="79"/>
      <c r="O41" s="20">
        <f t="shared" si="2"/>
        <v>42216</v>
      </c>
      <c r="P41" s="78">
        <f t="shared" si="9"/>
        <v>0.90908793044834502</v>
      </c>
      <c r="Q41" s="46">
        <f>Q40*P41/100+Q40</f>
        <v>1063256.7792200712</v>
      </c>
      <c r="R41" s="18"/>
      <c r="S41" s="15"/>
      <c r="T41" s="17"/>
      <c r="U41" s="88"/>
      <c r="V41" s="20">
        <f t="shared" si="4"/>
        <v>42216</v>
      </c>
      <c r="W41" s="27">
        <v>1.48</v>
      </c>
      <c r="X41" s="46">
        <f t="shared" si="5"/>
        <v>998286.52492799994</v>
      </c>
      <c r="Y41" s="62"/>
      <c r="AA41" s="17"/>
      <c r="AB41" s="79"/>
      <c r="AC41" s="20">
        <f t="shared" si="6"/>
        <v>42216</v>
      </c>
      <c r="AD41" s="78">
        <f t="shared" si="10"/>
        <v>0.90908793044834502</v>
      </c>
      <c r="AE41" s="46">
        <f>AE40*AD41/100+AE40</f>
        <v>998374.68323768</v>
      </c>
      <c r="AF41" s="18"/>
      <c r="AG41" s="10"/>
      <c r="AH41" s="17"/>
      <c r="AI41" s="88"/>
    </row>
    <row r="42" spans="1:35" x14ac:dyDescent="0.25">
      <c r="A42" s="20">
        <v>42247</v>
      </c>
      <c r="B42" s="24">
        <f t="shared" si="8"/>
        <v>27</v>
      </c>
      <c r="C42" s="34">
        <f>'LC (Gross)'!K204</f>
        <v>-6.0338140445487154</v>
      </c>
      <c r="D42" s="34">
        <f>ITL!K144</f>
        <v>-7.6111398350991246</v>
      </c>
      <c r="E42" s="34">
        <v>-0.13999999999999999</v>
      </c>
      <c r="F42" s="34">
        <v>0</v>
      </c>
      <c r="G42" s="39"/>
      <c r="H42" s="20">
        <f t="shared" si="0"/>
        <v>42247</v>
      </c>
      <c r="I42" s="27">
        <v>-2.08</v>
      </c>
      <c r="J42" s="46">
        <f t="shared" si="1"/>
        <v>1047788.7146467343</v>
      </c>
      <c r="K42" s="62"/>
      <c r="L42" s="65"/>
      <c r="M42" s="17"/>
      <c r="N42" s="79"/>
      <c r="O42" s="20">
        <f t="shared" si="2"/>
        <v>42247</v>
      </c>
      <c r="P42" s="78">
        <f t="shared" si="9"/>
        <v>-1.3047628089097432</v>
      </c>
      <c r="Q42" s="46">
        <f>Q41*P42/100+Q41</f>
        <v>1049383.800201596</v>
      </c>
      <c r="R42" s="18"/>
      <c r="S42" s="65"/>
      <c r="T42" s="17"/>
      <c r="U42" s="88"/>
      <c r="V42" s="20">
        <f t="shared" si="4"/>
        <v>42247</v>
      </c>
      <c r="W42" s="27">
        <v>-2.27</v>
      </c>
      <c r="X42" s="46">
        <f t="shared" si="5"/>
        <v>975625.4208121344</v>
      </c>
      <c r="Y42" s="62"/>
      <c r="Z42" s="105"/>
      <c r="AA42" s="17"/>
      <c r="AB42" s="79"/>
      <c r="AC42" s="20">
        <f t="shared" si="6"/>
        <v>42247</v>
      </c>
      <c r="AD42" s="78">
        <f t="shared" si="10"/>
        <v>-1.3047628089097432</v>
      </c>
      <c r="AE42" s="46">
        <f>AE41*AD42/100+AE41</f>
        <v>985348.26167722431</v>
      </c>
      <c r="AF42" s="14"/>
      <c r="AG42" s="65"/>
      <c r="AH42" s="17"/>
      <c r="AI42" s="88"/>
    </row>
    <row r="43" spans="1:35" x14ac:dyDescent="0.25">
      <c r="A43" s="20">
        <v>42277</v>
      </c>
      <c r="B43" s="24">
        <f t="shared" si="8"/>
        <v>28</v>
      </c>
      <c r="C43" s="34">
        <f>'LC (Gross)'!K205</f>
        <v>-2.4739432189367951</v>
      </c>
      <c r="D43" s="34">
        <f>ITL!K145</f>
        <v>-4.576837557896301</v>
      </c>
      <c r="E43" s="34">
        <v>0.67999999999999994</v>
      </c>
      <c r="F43" s="34">
        <v>0</v>
      </c>
      <c r="G43" s="39"/>
      <c r="H43" s="20">
        <f t="shared" si="0"/>
        <v>42277</v>
      </c>
      <c r="I43" s="27">
        <v>0.33</v>
      </c>
      <c r="J43" s="46">
        <f t="shared" si="1"/>
        <v>1051246.4174050684</v>
      </c>
      <c r="K43" s="49"/>
      <c r="L43" s="6">
        <f>(J43/J40-1)*100</f>
        <v>-1.7960492800006556E-2</v>
      </c>
      <c r="M43" s="17"/>
      <c r="N43" s="79"/>
      <c r="O43" s="20">
        <f t="shared" si="2"/>
        <v>42277</v>
      </c>
      <c r="P43" s="78">
        <f t="shared" si="9"/>
        <v>-1.8788643787359116E-2</v>
      </c>
      <c r="Q43" s="46">
        <f>Q42*P43/100+Q42</f>
        <v>1049186.6352174138</v>
      </c>
      <c r="R43" s="49"/>
      <c r="S43" s="6">
        <f>(Q43/Q40-1)*100</f>
        <v>-0.42624839291814931</v>
      </c>
      <c r="T43" s="17"/>
      <c r="U43" s="88"/>
      <c r="V43" s="20">
        <f t="shared" si="4"/>
        <v>42277</v>
      </c>
      <c r="W43" s="27">
        <v>0.11</v>
      </c>
      <c r="X43" s="46">
        <f t="shared" si="5"/>
        <v>976698.60877502779</v>
      </c>
      <c r="Y43" s="98">
        <f>(X43-X$38)/X$38*100</f>
        <v>-2.3301391224972203</v>
      </c>
      <c r="Z43" s="49">
        <f>(X43/X40-1)*100</f>
        <v>-0.71450195559998875</v>
      </c>
      <c r="AA43" s="17"/>
      <c r="AB43" s="79"/>
      <c r="AC43" s="20">
        <f t="shared" si="6"/>
        <v>42277</v>
      </c>
      <c r="AD43" s="78">
        <f t="shared" si="10"/>
        <v>-1.8788643787359116E-2</v>
      </c>
      <c r="AE43" s="46">
        <f>AE42*AD43/100+AE42</f>
        <v>985163.12810227287</v>
      </c>
      <c r="AF43" s="98">
        <f>(AE43-AE$38)/AE$38*100</f>
        <v>-1.4836871897727135</v>
      </c>
      <c r="AG43" s="5">
        <f>(AE43/AE40-1)*100</f>
        <v>-0.426248392918116</v>
      </c>
      <c r="AH43" s="17"/>
      <c r="AI43" s="88"/>
    </row>
    <row r="44" spans="1:35" x14ac:dyDescent="0.25">
      <c r="A44" s="20">
        <v>42308</v>
      </c>
      <c r="B44" s="24">
        <f t="shared" si="8"/>
        <v>29</v>
      </c>
      <c r="C44" s="34">
        <f>'LC (Gross)'!K206</f>
        <v>8.435220871353371</v>
      </c>
      <c r="D44" s="34">
        <f>ITL!K146</f>
        <v>7.4598705416459916</v>
      </c>
      <c r="E44" s="34">
        <v>0.02</v>
      </c>
      <c r="F44" s="34">
        <v>0</v>
      </c>
      <c r="G44" s="39"/>
      <c r="H44" s="20">
        <f t="shared" si="0"/>
        <v>42308</v>
      </c>
      <c r="I44" s="27">
        <v>2.23</v>
      </c>
      <c r="J44" s="46">
        <f t="shared" si="1"/>
        <v>1074689.2125132014</v>
      </c>
      <c r="K44" s="49"/>
      <c r="L44" s="6"/>
      <c r="M44" s="17"/>
      <c r="N44" s="79"/>
      <c r="O44" s="20">
        <f t="shared" si="2"/>
        <v>42308</v>
      </c>
      <c r="P44" s="78">
        <f t="shared" si="9"/>
        <v>1.7010441742706743</v>
      </c>
      <c r="Q44" s="46">
        <f t="shared" ref="Q44:Q56" si="11">Q43*P44/100+Q43</f>
        <v>1067033.763353006</v>
      </c>
      <c r="R44" s="49"/>
      <c r="S44" s="6"/>
      <c r="T44" s="17"/>
      <c r="U44" s="88"/>
      <c r="V44" s="20">
        <f t="shared" si="4"/>
        <v>42308</v>
      </c>
      <c r="W44" s="27">
        <v>2.0299999999999998</v>
      </c>
      <c r="X44" s="46">
        <f t="shared" si="5"/>
        <v>996525.59053316084</v>
      </c>
      <c r="AA44" s="17"/>
      <c r="AB44" s="79"/>
      <c r="AC44" s="20">
        <f t="shared" si="6"/>
        <v>42308</v>
      </c>
      <c r="AD44" s="78">
        <f t="shared" si="10"/>
        <v>1.7010441742706743</v>
      </c>
      <c r="AE44" s="46">
        <f t="shared" ref="AE44:AE57" si="12">AE43*AD44/100+AE43</f>
        <v>1001921.1880999194</v>
      </c>
      <c r="AF44" s="3"/>
      <c r="AH44" s="17"/>
      <c r="AI44" s="88"/>
    </row>
    <row r="45" spans="1:35" x14ac:dyDescent="0.25">
      <c r="A45" s="20">
        <v>42338</v>
      </c>
      <c r="B45" s="24">
        <f t="shared" si="8"/>
        <v>30</v>
      </c>
      <c r="C45" s="34">
        <f>'LC (Gross)'!K207</f>
        <v>0.29752942236979663</v>
      </c>
      <c r="D45" s="34">
        <f>ITL!K147</f>
        <v>-2.0302132524674352</v>
      </c>
      <c r="E45" s="34">
        <v>-0.26</v>
      </c>
      <c r="F45" s="34">
        <v>0</v>
      </c>
      <c r="G45" s="39"/>
      <c r="H45" s="20">
        <f t="shared" si="0"/>
        <v>42338</v>
      </c>
      <c r="I45" s="27">
        <v>-0.23</v>
      </c>
      <c r="J45" s="46">
        <f t="shared" si="1"/>
        <v>1072217.427324421</v>
      </c>
      <c r="K45" s="49"/>
      <c r="L45" s="6"/>
      <c r="M45" s="17"/>
      <c r="N45" s="79"/>
      <c r="O45" s="20">
        <f t="shared" si="2"/>
        <v>42338</v>
      </c>
      <c r="P45" s="78">
        <f t="shared" si="9"/>
        <v>-0.12249411552604067</v>
      </c>
      <c r="Q45" s="46">
        <f t="shared" si="11"/>
        <v>1065726.7097822225</v>
      </c>
      <c r="R45" s="49"/>
      <c r="S45" s="6"/>
      <c r="T45" s="17"/>
      <c r="U45" s="88"/>
      <c r="V45" s="20">
        <f t="shared" si="4"/>
        <v>42338</v>
      </c>
      <c r="W45" s="27">
        <v>-1.2</v>
      </c>
      <c r="X45" s="46">
        <f t="shared" si="5"/>
        <v>984567.28344676294</v>
      </c>
      <c r="AA45" s="17"/>
      <c r="AB45" s="79"/>
      <c r="AC45" s="20">
        <f t="shared" si="6"/>
        <v>42338</v>
      </c>
      <c r="AD45" s="78">
        <f t="shared" si="10"/>
        <v>-0.12249411552604067</v>
      </c>
      <c r="AE45" s="46">
        <f t="shared" si="12"/>
        <v>1000693.8936022883</v>
      </c>
      <c r="AF45" s="3"/>
      <c r="AH45" s="17"/>
      <c r="AI45" s="88"/>
    </row>
    <row r="46" spans="1:35" x14ac:dyDescent="0.25">
      <c r="A46" s="20">
        <v>42369</v>
      </c>
      <c r="B46" s="24">
        <f t="shared" si="8"/>
        <v>31</v>
      </c>
      <c r="C46" s="34">
        <f>'LC (Gross)'!K208</f>
        <v>-1.5862368127833484</v>
      </c>
      <c r="D46" s="34">
        <f>ITL!K148</f>
        <v>-1.8377377040043443</v>
      </c>
      <c r="E46" s="34">
        <v>-0.32</v>
      </c>
      <c r="F46" s="34">
        <v>0.01</v>
      </c>
      <c r="G46" s="39"/>
      <c r="H46" s="20">
        <f t="shared" si="0"/>
        <v>42369</v>
      </c>
      <c r="I46" s="27">
        <v>-0.27</v>
      </c>
      <c r="J46" s="46">
        <f t="shared" si="1"/>
        <v>1069322.4402706451</v>
      </c>
      <c r="K46" s="6">
        <f>(J46-J$34)/J$34*100</f>
        <v>1.3116632137186974</v>
      </c>
      <c r="L46" s="6">
        <f>(J46/J43-1)*100</f>
        <v>1.7194848483000014</v>
      </c>
      <c r="M46" s="17"/>
      <c r="N46" s="79"/>
      <c r="O46" s="20">
        <f t="shared" si="2"/>
        <v>42369</v>
      </c>
      <c r="P46" s="78">
        <f t="shared" si="9"/>
        <v>-0.54024736255666961</v>
      </c>
      <c r="Q46" s="46">
        <f t="shared" si="11"/>
        <v>1059969.1493405621</v>
      </c>
      <c r="R46" s="6">
        <f>(Q46-Q$34)/Q$34*100</f>
        <v>0.83272454965604636</v>
      </c>
      <c r="S46" s="6">
        <f>(Q46/Q43-1)*100</f>
        <v>1.0277021991339064</v>
      </c>
      <c r="T46" s="17"/>
      <c r="U46" s="88"/>
      <c r="V46" s="20">
        <f t="shared" si="4"/>
        <v>42369</v>
      </c>
      <c r="W46" s="27">
        <v>0.13</v>
      </c>
      <c r="X46" s="46">
        <f t="shared" si="5"/>
        <v>985847.22091524373</v>
      </c>
      <c r="Y46" s="6">
        <f>(X46-X$38)/X$38*100</f>
        <v>-1.4152779084756273</v>
      </c>
      <c r="Z46" s="49">
        <f>(X46/X43-1)*100</f>
        <v>0.93668733200000798</v>
      </c>
      <c r="AA46" s="17"/>
      <c r="AB46" s="79"/>
      <c r="AC46" s="20">
        <f t="shared" si="6"/>
        <v>42369</v>
      </c>
      <c r="AD46" s="78">
        <f t="shared" si="10"/>
        <v>-0.54024736255666961</v>
      </c>
      <c r="AE46" s="46">
        <f t="shared" si="12"/>
        <v>995287.67123483634</v>
      </c>
      <c r="AF46" s="98">
        <f>(AE46-AE$38)/AE$38*100</f>
        <v>-0.47123287651636642</v>
      </c>
      <c r="AG46" s="5">
        <f>(AE46/AE43-1)*100</f>
        <v>1.0277021991339064</v>
      </c>
      <c r="AH46" s="17"/>
      <c r="AI46" s="88"/>
    </row>
    <row r="47" spans="1:35" x14ac:dyDescent="0.25">
      <c r="A47" s="20">
        <v>42400</v>
      </c>
      <c r="B47" s="24">
        <f t="shared" si="8"/>
        <v>32</v>
      </c>
      <c r="C47" s="34">
        <f>'LC (Gross)'!K209</f>
        <v>-4.96255266998583</v>
      </c>
      <c r="D47" s="34">
        <f>ITL!K149</f>
        <v>-6.7889357816423681</v>
      </c>
      <c r="E47" s="34">
        <v>1.38</v>
      </c>
      <c r="F47" s="34">
        <v>0.01</v>
      </c>
      <c r="G47" s="39"/>
      <c r="H47" s="20">
        <f t="shared" si="0"/>
        <v>42400</v>
      </c>
      <c r="I47" s="27">
        <v>-0.24</v>
      </c>
      <c r="J47" s="46">
        <f t="shared" si="1"/>
        <v>1066756.0664139956</v>
      </c>
      <c r="K47" s="49"/>
      <c r="L47" s="6"/>
      <c r="M47" s="17"/>
      <c r="N47" s="79"/>
      <c r="O47" s="20">
        <f t="shared" si="2"/>
        <v>42400</v>
      </c>
      <c r="P47" s="78">
        <f t="shared" si="9"/>
        <v>-2.5510533997166185E-2</v>
      </c>
      <c r="Q47" s="46">
        <f t="shared" si="11"/>
        <v>1059698.7455503601</v>
      </c>
      <c r="R47" s="49"/>
      <c r="S47" s="6"/>
      <c r="T47" s="17"/>
      <c r="U47" s="88"/>
      <c r="V47" s="20">
        <f t="shared" si="4"/>
        <v>42400</v>
      </c>
      <c r="W47" s="27">
        <v>-0.4</v>
      </c>
      <c r="X47" s="46">
        <f t="shared" si="5"/>
        <v>981903.83203158271</v>
      </c>
      <c r="AA47" s="17"/>
      <c r="AB47" s="79"/>
      <c r="AC47" s="20">
        <f t="shared" si="6"/>
        <v>42400</v>
      </c>
      <c r="AD47" s="78">
        <f t="shared" si="10"/>
        <v>-2.5510533997166185E-2</v>
      </c>
      <c r="AE47" s="46">
        <f t="shared" si="12"/>
        <v>995033.76803509635</v>
      </c>
      <c r="AF47" s="3"/>
      <c r="AH47" s="17"/>
      <c r="AI47" s="88"/>
    </row>
    <row r="48" spans="1:35" x14ac:dyDescent="0.25">
      <c r="A48" s="20">
        <v>42429</v>
      </c>
      <c r="B48" s="24">
        <f t="shared" si="8"/>
        <v>33</v>
      </c>
      <c r="C48" s="34">
        <f>'LC (Gross)'!K210</f>
        <v>-0.1347500848582405</v>
      </c>
      <c r="D48" s="34">
        <f>ITL!K150</f>
        <v>-1.1039880784358922</v>
      </c>
      <c r="E48" s="34">
        <v>0.71</v>
      </c>
      <c r="F48" s="34">
        <v>0.02</v>
      </c>
      <c r="G48" s="39"/>
      <c r="H48" s="20">
        <f t="shared" si="0"/>
        <v>42429</v>
      </c>
      <c r="I48" s="27">
        <v>1.24</v>
      </c>
      <c r="J48" s="46">
        <f t="shared" si="1"/>
        <v>1079983.8416375292</v>
      </c>
      <c r="K48" s="49"/>
      <c r="L48" s="6"/>
      <c r="M48" s="17"/>
      <c r="N48" s="79"/>
      <c r="O48" s="20">
        <f t="shared" si="2"/>
        <v>42429</v>
      </c>
      <c r="P48" s="78">
        <f t="shared" si="9"/>
        <v>0.47204998302835183</v>
      </c>
      <c r="Q48" s="46">
        <f t="shared" si="11"/>
        <v>1064701.0532988822</v>
      </c>
      <c r="R48" s="49"/>
      <c r="S48" s="6"/>
      <c r="T48" s="17"/>
      <c r="U48" s="88"/>
      <c r="V48" s="20">
        <f t="shared" si="4"/>
        <v>42429</v>
      </c>
      <c r="W48" s="27">
        <v>0.93</v>
      </c>
      <c r="X48" s="46">
        <f t="shared" si="5"/>
        <v>991035.53766947647</v>
      </c>
      <c r="AA48" s="17"/>
      <c r="AB48" s="79"/>
      <c r="AC48" s="20">
        <f t="shared" si="6"/>
        <v>42429</v>
      </c>
      <c r="AD48" s="78">
        <f t="shared" si="10"/>
        <v>0.47204998302835183</v>
      </c>
      <c r="AE48" s="46">
        <f t="shared" si="12"/>
        <v>999730.82476823241</v>
      </c>
      <c r="AF48" s="3"/>
      <c r="AH48" s="17"/>
      <c r="AI48" s="88"/>
    </row>
    <row r="49" spans="1:35" x14ac:dyDescent="0.25">
      <c r="A49" s="20">
        <v>42460</v>
      </c>
      <c r="B49" s="24">
        <f t="shared" si="8"/>
        <v>34</v>
      </c>
      <c r="C49" s="34">
        <f>'LC (Gross)'!K211</f>
        <v>6.7835590849369094</v>
      </c>
      <c r="D49" s="34">
        <f>ITL!K151</f>
        <v>8.2094335986426437</v>
      </c>
      <c r="E49" s="34">
        <v>0.91999999999999993</v>
      </c>
      <c r="F49" s="34">
        <v>0.02</v>
      </c>
      <c r="G49" s="39"/>
      <c r="H49" s="20">
        <f t="shared" si="0"/>
        <v>42460</v>
      </c>
      <c r="I49" s="27">
        <v>3.32</v>
      </c>
      <c r="J49" s="46">
        <f t="shared" si="1"/>
        <v>1115839.3051798951</v>
      </c>
      <c r="K49" s="6"/>
      <c r="L49" s="6">
        <f>(J49/J46-1)*100</f>
        <v>4.3501251968000032</v>
      </c>
      <c r="M49" s="17"/>
      <c r="N49" s="79"/>
      <c r="O49" s="20">
        <f t="shared" si="2"/>
        <v>42460</v>
      </c>
      <c r="P49" s="78">
        <f t="shared" si="9"/>
        <v>2.0027118169873814</v>
      </c>
      <c r="Q49" s="46">
        <f t="shared" si="11"/>
        <v>1086023.9471088881</v>
      </c>
      <c r="R49" s="6"/>
      <c r="S49" s="6">
        <f>(Q49/Q46-1)*100</f>
        <v>2.4580713301453505</v>
      </c>
      <c r="T49" s="17"/>
      <c r="U49" s="88"/>
      <c r="V49" s="20">
        <f t="shared" si="4"/>
        <v>42460</v>
      </c>
      <c r="W49" s="27">
        <v>2.99</v>
      </c>
      <c r="X49" s="46">
        <f t="shared" si="5"/>
        <v>1020667.5002457938</v>
      </c>
      <c r="Z49" s="49">
        <f>(X49/X46-1)*100</f>
        <v>3.5320157719999967</v>
      </c>
      <c r="AA49" s="49"/>
      <c r="AB49" s="79"/>
      <c r="AC49" s="20">
        <f t="shared" si="6"/>
        <v>42460</v>
      </c>
      <c r="AD49" s="78">
        <f t="shared" si="10"/>
        <v>2.0027118169873814</v>
      </c>
      <c r="AE49" s="46">
        <f t="shared" si="12"/>
        <v>1019752.5521339312</v>
      </c>
      <c r="AF49" s="3"/>
      <c r="AG49" s="5">
        <f>(AE49/AE46-1)*100</f>
        <v>2.4580713301453505</v>
      </c>
      <c r="AH49" s="49"/>
      <c r="AI49" s="88"/>
    </row>
    <row r="50" spans="1:35" x14ac:dyDescent="0.25">
      <c r="A50" s="20">
        <v>42490</v>
      </c>
      <c r="B50" s="24">
        <f t="shared" si="8"/>
        <v>35</v>
      </c>
      <c r="C50" s="34">
        <f>'LC (Gross)'!K212</f>
        <v>0.3879103552603822</v>
      </c>
      <c r="D50" s="34">
        <f>ITL!K152</f>
        <v>2.6994982140268799</v>
      </c>
      <c r="E50" s="34">
        <v>0.38</v>
      </c>
      <c r="F50" s="34">
        <v>0.01</v>
      </c>
      <c r="G50" s="39"/>
      <c r="H50" s="20">
        <f t="shared" si="0"/>
        <v>42490</v>
      </c>
      <c r="I50" s="27">
        <v>-0.1</v>
      </c>
      <c r="J50" s="46">
        <f t="shared" si="1"/>
        <v>1114723.4658747152</v>
      </c>
      <c r="K50" s="6"/>
      <c r="L50" s="6"/>
      <c r="M50" s="17"/>
      <c r="N50" s="79"/>
      <c r="O50" s="20">
        <f t="shared" si="2"/>
        <v>42490</v>
      </c>
      <c r="P50" s="78">
        <f t="shared" si="9"/>
        <v>0.34458207105207639</v>
      </c>
      <c r="Q50" s="46">
        <f t="shared" si="11"/>
        <v>1089766.1909179573</v>
      </c>
      <c r="R50" s="6"/>
      <c r="S50" s="6"/>
      <c r="T50" s="49"/>
      <c r="U50" s="88"/>
      <c r="V50" s="20">
        <f t="shared" si="4"/>
        <v>42490</v>
      </c>
      <c r="W50" s="27">
        <v>-0.38</v>
      </c>
      <c r="X50" s="46">
        <f t="shared" si="5"/>
        <v>1016788.9637448598</v>
      </c>
      <c r="AA50" s="49"/>
      <c r="AB50" s="79"/>
      <c r="AC50" s="20">
        <f t="shared" si="6"/>
        <v>42490</v>
      </c>
      <c r="AD50" s="78">
        <f t="shared" si="10"/>
        <v>0.34458207105207639</v>
      </c>
      <c r="AE50" s="46">
        <f t="shared" si="12"/>
        <v>1023266.4365976807</v>
      </c>
      <c r="AF50" s="3"/>
      <c r="AH50" s="49"/>
      <c r="AI50" s="88"/>
    </row>
    <row r="51" spans="1:35" x14ac:dyDescent="0.25">
      <c r="A51" s="20">
        <v>42521</v>
      </c>
      <c r="B51" s="24">
        <f t="shared" si="8"/>
        <v>36</v>
      </c>
      <c r="C51" s="34">
        <f>'LC (Gross)'!K213</f>
        <v>1.7954286499449399</v>
      </c>
      <c r="D51" s="34">
        <f>ITL!K153</f>
        <v>-1.597323148100799</v>
      </c>
      <c r="E51" s="34">
        <v>0.03</v>
      </c>
      <c r="F51" s="34">
        <v>0.01</v>
      </c>
      <c r="G51" s="39"/>
      <c r="H51" s="20">
        <f t="shared" si="0"/>
        <v>42521</v>
      </c>
      <c r="I51" s="27">
        <v>0.39</v>
      </c>
      <c r="J51" s="46">
        <f t="shared" si="1"/>
        <v>1119070.8873916266</v>
      </c>
      <c r="K51" s="49"/>
      <c r="L51" s="130"/>
      <c r="M51" s="17"/>
      <c r="N51" s="79"/>
      <c r="O51" s="20">
        <f t="shared" si="2"/>
        <v>42521</v>
      </c>
      <c r="P51" s="78">
        <f t="shared" si="9"/>
        <v>0.38108572998898804</v>
      </c>
      <c r="Q51" s="46">
        <f t="shared" si="11"/>
        <v>1093919.1343617903</v>
      </c>
      <c r="R51" s="49"/>
      <c r="S51" s="130"/>
      <c r="T51" s="49"/>
      <c r="U51" s="88"/>
      <c r="V51" s="20">
        <f t="shared" si="4"/>
        <v>42521</v>
      </c>
      <c r="W51" s="27">
        <v>0.16</v>
      </c>
      <c r="X51" s="46">
        <f t="shared" si="5"/>
        <v>1018415.8260868515</v>
      </c>
      <c r="AA51" s="49"/>
      <c r="AB51" s="79"/>
      <c r="AC51" s="20">
        <f t="shared" si="6"/>
        <v>42521</v>
      </c>
      <c r="AD51" s="78">
        <f t="shared" si="10"/>
        <v>0.38108572998898804</v>
      </c>
      <c r="AE51" s="46">
        <f t="shared" si="12"/>
        <v>1027165.9589673212</v>
      </c>
      <c r="AF51" s="3"/>
      <c r="AH51" s="49"/>
      <c r="AI51" s="88"/>
    </row>
    <row r="52" spans="1:35" x14ac:dyDescent="0.25">
      <c r="A52" s="20">
        <v>42551</v>
      </c>
      <c r="B52" s="24">
        <f t="shared" si="8"/>
        <v>37</v>
      </c>
      <c r="C52" s="34">
        <f>'LC (Gross)'!K214</f>
        <v>0.25953603335601977</v>
      </c>
      <c r="D52" s="34">
        <f>ITL!K154</f>
        <v>-1.471959204731504</v>
      </c>
      <c r="E52" s="34">
        <v>1.8</v>
      </c>
      <c r="F52" s="34">
        <v>0.02</v>
      </c>
      <c r="G52" s="39"/>
      <c r="H52" s="20">
        <f t="shared" si="0"/>
        <v>42551</v>
      </c>
      <c r="I52" s="27">
        <v>2.46</v>
      </c>
      <c r="J52" s="46">
        <f t="shared" si="1"/>
        <v>1146600.0312214606</v>
      </c>
      <c r="K52" s="49"/>
      <c r="L52" s="6">
        <f>(J52/J49-1)*100</f>
        <v>2.7567344059999943</v>
      </c>
      <c r="M52" s="49"/>
      <c r="N52" s="79"/>
      <c r="O52" s="20">
        <f t="shared" si="2"/>
        <v>42551</v>
      </c>
      <c r="P52" s="78">
        <f t="shared" si="9"/>
        <v>1.3139072066712039</v>
      </c>
      <c r="Q52" s="46">
        <f t="shared" si="11"/>
        <v>1108292.216703325</v>
      </c>
      <c r="R52" s="49"/>
      <c r="S52" s="6">
        <f>(Q52/Q49-1)*100</f>
        <v>2.0504400159607528</v>
      </c>
      <c r="T52" s="49"/>
      <c r="U52" s="88"/>
      <c r="V52" s="20">
        <f t="shared" si="4"/>
        <v>42551</v>
      </c>
      <c r="W52" s="27">
        <v>2.21</v>
      </c>
      <c r="X52" s="46">
        <f t="shared" si="5"/>
        <v>1040922.815843371</v>
      </c>
      <c r="Z52" s="49">
        <f>(X52/X49-1)*100</f>
        <v>1.9845165632000006</v>
      </c>
      <c r="AA52" s="49"/>
      <c r="AB52" s="79"/>
      <c r="AC52" s="20">
        <f t="shared" si="6"/>
        <v>42551</v>
      </c>
      <c r="AD52" s="78">
        <f t="shared" si="10"/>
        <v>1.3139072066712039</v>
      </c>
      <c r="AE52" s="46">
        <f t="shared" si="12"/>
        <v>1040661.9665266662</v>
      </c>
      <c r="AF52" s="3"/>
      <c r="AG52" s="5">
        <f>(AE52/AE49-1)*100</f>
        <v>2.0504400159607306</v>
      </c>
      <c r="AH52" s="49"/>
      <c r="AI52" s="88"/>
    </row>
    <row r="53" spans="1:35" x14ac:dyDescent="0.25">
      <c r="A53" s="20">
        <v>42582</v>
      </c>
      <c r="B53" s="24">
        <f t="shared" si="8"/>
        <v>38</v>
      </c>
      <c r="C53" s="34">
        <f>'LC (Gross)'!K215</f>
        <v>3.6864546457923151</v>
      </c>
      <c r="D53" s="34">
        <f>ITL!K155</f>
        <v>5.0075995499793597</v>
      </c>
      <c r="E53" s="34">
        <v>0.63</v>
      </c>
      <c r="F53" s="34">
        <v>0.02</v>
      </c>
      <c r="G53" s="39"/>
      <c r="H53" s="20">
        <f t="shared" si="0"/>
        <v>42582</v>
      </c>
      <c r="I53" s="27">
        <v>0.92</v>
      </c>
      <c r="J53" s="46">
        <f t="shared" si="1"/>
        <v>1157148.7515086981</v>
      </c>
      <c r="M53" s="49"/>
      <c r="N53" s="79"/>
      <c r="O53" s="20">
        <f t="shared" si="2"/>
        <v>42582</v>
      </c>
      <c r="P53" s="78">
        <f t="shared" si="9"/>
        <v>1.1802909291584631</v>
      </c>
      <c r="Q53" s="46">
        <f t="shared" si="11"/>
        <v>1121373.2892056436</v>
      </c>
      <c r="T53" s="49"/>
      <c r="U53" s="88"/>
      <c r="V53" s="20">
        <f t="shared" si="4"/>
        <v>42582</v>
      </c>
      <c r="W53" s="27">
        <v>0.72</v>
      </c>
      <c r="X53" s="46">
        <f t="shared" si="5"/>
        <v>1048417.4601174432</v>
      </c>
      <c r="AA53" s="49"/>
      <c r="AB53" s="79"/>
      <c r="AC53" s="20">
        <f t="shared" si="6"/>
        <v>42582</v>
      </c>
      <c r="AD53" s="78">
        <f t="shared" si="10"/>
        <v>1.1802909291584631</v>
      </c>
      <c r="AE53" s="46">
        <f t="shared" si="12"/>
        <v>1052944.8053207826</v>
      </c>
      <c r="AF53" s="3"/>
      <c r="AH53" s="49"/>
      <c r="AI53" s="88"/>
    </row>
    <row r="54" spans="1:35" x14ac:dyDescent="0.25">
      <c r="A54" s="20">
        <v>42613</v>
      </c>
      <c r="B54" s="24">
        <f t="shared" si="8"/>
        <v>39</v>
      </c>
      <c r="C54" s="34">
        <f>'LC (Gross)'!K216</f>
        <v>0.1407212996798694</v>
      </c>
      <c r="D54" s="34">
        <f>ITL!K156</f>
        <v>0.66296044883192806</v>
      </c>
      <c r="E54" s="34">
        <v>-0.11</v>
      </c>
      <c r="F54" s="34">
        <v>0.02</v>
      </c>
      <c r="G54" s="39"/>
      <c r="H54" s="20">
        <f t="shared" si="0"/>
        <v>42613</v>
      </c>
      <c r="I54" s="27">
        <v>-0.73</v>
      </c>
      <c r="J54" s="46">
        <f t="shared" si="1"/>
        <v>1148701.5656226845</v>
      </c>
      <c r="M54" s="49"/>
      <c r="N54" s="79"/>
      <c r="O54" s="20">
        <f t="shared" si="2"/>
        <v>42613</v>
      </c>
      <c r="P54" s="78">
        <f t="shared" si="9"/>
        <v>-4.6855740064026111E-2</v>
      </c>
      <c r="Q54" s="46">
        <f t="shared" si="11"/>
        <v>1120847.8614521059</v>
      </c>
      <c r="T54" s="49"/>
      <c r="U54" s="88"/>
      <c r="V54" s="20">
        <f t="shared" si="4"/>
        <v>42613</v>
      </c>
      <c r="W54" s="27">
        <v>-0.99</v>
      </c>
      <c r="X54" s="46">
        <f t="shared" si="5"/>
        <v>1038038.1272622806</v>
      </c>
      <c r="AA54" s="49"/>
      <c r="AB54" s="79"/>
      <c r="AC54" s="20">
        <f t="shared" si="6"/>
        <v>42613</v>
      </c>
      <c r="AD54" s="78">
        <f t="shared" si="10"/>
        <v>-4.6855740064026111E-2</v>
      </c>
      <c r="AE54" s="46">
        <f t="shared" si="12"/>
        <v>1052451.4402397838</v>
      </c>
      <c r="AF54" s="3"/>
      <c r="AH54" s="49"/>
      <c r="AI54" s="88"/>
    </row>
    <row r="55" spans="1:35" x14ac:dyDescent="0.25">
      <c r="A55" s="20">
        <v>42643</v>
      </c>
      <c r="B55" s="24">
        <f t="shared" si="8"/>
        <v>40</v>
      </c>
      <c r="C55" s="34">
        <f>'LC (Gross)'!K217</f>
        <v>1.867100831628743E-2</v>
      </c>
      <c r="D55" s="34">
        <f>ITL!K157</f>
        <v>1.2826767276634126</v>
      </c>
      <c r="E55" s="34">
        <v>-0.06</v>
      </c>
      <c r="F55" s="34">
        <v>0.02</v>
      </c>
      <c r="G55" s="39"/>
      <c r="H55" s="20">
        <f t="shared" si="0"/>
        <v>42643</v>
      </c>
      <c r="I55" s="27">
        <v>-0.23</v>
      </c>
      <c r="J55" s="46">
        <f t="shared" si="1"/>
        <v>1146059.5520217523</v>
      </c>
      <c r="K55" s="49"/>
      <c r="L55" s="6">
        <f>(J55/J52-1)*100</f>
        <v>-4.713755319999402E-2</v>
      </c>
      <c r="M55" s="49"/>
      <c r="N55" s="79"/>
      <c r="O55" s="20">
        <f t="shared" si="2"/>
        <v>42643</v>
      </c>
      <c r="P55" s="78">
        <f t="shared" si="9"/>
        <v>-3.6265798336742511E-2</v>
      </c>
      <c r="Q55" s="46">
        <f t="shared" si="11"/>
        <v>1120441.3770270101</v>
      </c>
      <c r="R55" s="49"/>
      <c r="S55" s="6">
        <f>(Q55/Q52-1)*100</f>
        <v>1.0962055079501765</v>
      </c>
      <c r="T55" s="49"/>
      <c r="U55" s="88"/>
      <c r="V55" s="20">
        <f t="shared" si="4"/>
        <v>42643</v>
      </c>
      <c r="W55" s="27">
        <v>-0.46</v>
      </c>
      <c r="X55" s="46">
        <f t="shared" si="5"/>
        <v>1033263.151876874</v>
      </c>
      <c r="Y55" s="6">
        <f>(X55-X$46)/X$46*100</f>
        <v>4.809663196860277</v>
      </c>
      <c r="Z55" s="49">
        <f>(X55/X52-1)*100</f>
        <v>-0.73585321119999936</v>
      </c>
      <c r="AA55" s="49"/>
      <c r="AB55" s="79"/>
      <c r="AC55" s="20">
        <f t="shared" si="6"/>
        <v>42643</v>
      </c>
      <c r="AD55" s="78">
        <f t="shared" si="10"/>
        <v>-3.6265798336742511E-2</v>
      </c>
      <c r="AE55" s="46">
        <f t="shared" si="12"/>
        <v>1052069.7603228744</v>
      </c>
      <c r="AF55" s="6">
        <f>(AE55-AE$46)/AE$46*100</f>
        <v>5.7050931835204501</v>
      </c>
      <c r="AG55" s="49">
        <f>(AE55/AE52-1)*100</f>
        <v>1.0962055079501987</v>
      </c>
      <c r="AH55" s="49"/>
      <c r="AI55" s="88"/>
    </row>
    <row r="56" spans="1:35" x14ac:dyDescent="0.25">
      <c r="A56" s="20">
        <v>42674</v>
      </c>
      <c r="B56" s="24">
        <f t="shared" si="8"/>
        <v>41</v>
      </c>
      <c r="C56" s="34">
        <f>'LC (Gross)'!K218</f>
        <v>-1.8241743085794966</v>
      </c>
      <c r="D56" s="34">
        <f>ITL!K158</f>
        <v>-1.4174014188051396</v>
      </c>
      <c r="E56" s="34">
        <v>-0.76</v>
      </c>
      <c r="F56" s="34">
        <v>0.02</v>
      </c>
      <c r="G56" s="39"/>
      <c r="H56" s="20">
        <f t="shared" si="0"/>
        <v>42674</v>
      </c>
      <c r="I56" s="27">
        <v>-1.42</v>
      </c>
      <c r="J56" s="46">
        <f t="shared" si="1"/>
        <v>1129785.5063830435</v>
      </c>
      <c r="K56" s="49">
        <f>(J56-J$46)/J$46*100</f>
        <v>5.6543343556032761</v>
      </c>
      <c r="M56" s="49"/>
      <c r="N56" s="79"/>
      <c r="O56" s="20">
        <f t="shared" si="2"/>
        <v>42674</v>
      </c>
      <c r="P56" s="78">
        <f t="shared" si="9"/>
        <v>-0.89483486171589921</v>
      </c>
      <c r="Q56" s="46">
        <f t="shared" si="11"/>
        <v>1110415.2769802827</v>
      </c>
      <c r="R56" s="49">
        <f>(Q56-Q$46)/Q$46*100</f>
        <v>4.7592071591050269</v>
      </c>
      <c r="T56" s="49"/>
      <c r="U56" s="88"/>
      <c r="V56" s="20">
        <f t="shared" si="4"/>
        <v>42674</v>
      </c>
      <c r="W56" s="27">
        <v>-1.64</v>
      </c>
      <c r="X56" s="46">
        <f t="shared" si="5"/>
        <v>1016317.6361860933</v>
      </c>
      <c r="AA56" s="49"/>
      <c r="AB56" s="79"/>
      <c r="AC56" s="20">
        <f t="shared" si="6"/>
        <v>42674</v>
      </c>
      <c r="AD56" s="78">
        <f t="shared" si="10"/>
        <v>-0.89483486171589921</v>
      </c>
      <c r="AE56" s="46">
        <f t="shared" si="12"/>
        <v>1042655.4733379345</v>
      </c>
      <c r="AF56" s="3"/>
      <c r="AH56" s="49"/>
      <c r="AI56" s="88"/>
    </row>
    <row r="57" spans="1:35" x14ac:dyDescent="0.25">
      <c r="A57" s="20">
        <v>42704</v>
      </c>
      <c r="B57" s="24">
        <f t="shared" si="8"/>
        <v>42</v>
      </c>
      <c r="C57" s="34">
        <f>'LC (Gross)'!K219</f>
        <v>3.7036267290456193</v>
      </c>
      <c r="D57" s="34">
        <f>ITL!K159</f>
        <v>-2.2755947523257709</v>
      </c>
      <c r="E57" s="34">
        <v>-2.37</v>
      </c>
      <c r="F57" s="34">
        <v>0.01</v>
      </c>
      <c r="G57" s="39"/>
      <c r="H57" s="20"/>
      <c r="M57" s="49"/>
      <c r="N57" s="79"/>
      <c r="O57" s="20"/>
      <c r="P57" s="78"/>
      <c r="Q57" s="46"/>
      <c r="R57" s="49"/>
      <c r="S57" s="6"/>
      <c r="T57" s="49"/>
      <c r="U57" s="88"/>
      <c r="V57" s="20"/>
      <c r="W57" s="27"/>
      <c r="X57" s="46"/>
      <c r="Y57" s="6"/>
      <c r="Z57" s="49"/>
      <c r="AA57" s="49"/>
      <c r="AB57" s="79"/>
      <c r="AC57" s="20">
        <f t="shared" si="6"/>
        <v>42704</v>
      </c>
      <c r="AD57" s="78">
        <f t="shared" si="10"/>
        <v>-0.91727465419087617</v>
      </c>
      <c r="AE57" s="46">
        <f t="shared" si="12"/>
        <v>1033091.4589504717</v>
      </c>
      <c r="AF57" s="6"/>
      <c r="AG57" s="49"/>
      <c r="AH57" s="49"/>
      <c r="AI57" s="88"/>
    </row>
    <row r="58" spans="1:35" x14ac:dyDescent="0.25">
      <c r="A58" s="20">
        <v>42735</v>
      </c>
      <c r="B58" s="24">
        <f t="shared" si="8"/>
        <v>43</v>
      </c>
      <c r="C58" s="34">
        <f>'LC (Gross)'!K220</f>
        <v>1.969910613246475</v>
      </c>
      <c r="D58" s="34">
        <f>ITL!K160</f>
        <v>2.6013114694148536</v>
      </c>
      <c r="E58" s="34">
        <v>0.14000000000000001</v>
      </c>
      <c r="F58" s="34">
        <v>0.03</v>
      </c>
      <c r="G58" s="39"/>
      <c r="H58" s="20"/>
      <c r="M58" s="49"/>
      <c r="N58" s="79"/>
      <c r="O58" s="20"/>
      <c r="P58" s="78"/>
      <c r="T58" s="49"/>
      <c r="U58" s="88"/>
      <c r="V58" s="20"/>
      <c r="AA58" s="49"/>
      <c r="AB58" s="79"/>
      <c r="AD58" s="78"/>
      <c r="AF58" s="3"/>
      <c r="AH58" s="49"/>
      <c r="AI58" s="88"/>
    </row>
    <row r="59" spans="1:35" x14ac:dyDescent="0.25">
      <c r="A59" s="20">
        <v>42766</v>
      </c>
      <c r="B59" s="24">
        <f t="shared" si="8"/>
        <v>44</v>
      </c>
      <c r="C59" s="34">
        <f>'LC (Gross)'!K221</f>
        <v>1.8966324399677483</v>
      </c>
      <c r="D59" s="34">
        <f>ITL!K161</f>
        <v>3.5534732086097058</v>
      </c>
      <c r="E59" s="34">
        <v>0.2</v>
      </c>
      <c r="F59" s="34">
        <v>0.04</v>
      </c>
      <c r="G59" s="39"/>
      <c r="M59" s="49"/>
      <c r="P59" s="78"/>
      <c r="T59" s="49"/>
      <c r="AA59" s="49"/>
      <c r="AD59" s="78"/>
      <c r="AF59" s="3"/>
      <c r="AH59" s="49"/>
    </row>
    <row r="60" spans="1:35" x14ac:dyDescent="0.25">
      <c r="A60" s="20">
        <v>42794</v>
      </c>
      <c r="B60" s="24">
        <f t="shared" si="8"/>
        <v>45</v>
      </c>
      <c r="C60" s="34">
        <f>'LC (Gross)'!K222</f>
        <v>3.9705270262314358</v>
      </c>
      <c r="D60" s="34">
        <f>ITL!K162</f>
        <v>1.6191785603172593</v>
      </c>
      <c r="E60" s="34">
        <v>0.67</v>
      </c>
      <c r="F60" s="34">
        <v>0.04</v>
      </c>
      <c r="G60" s="39"/>
      <c r="M60" s="49"/>
      <c r="P60" s="78"/>
      <c r="T60" s="49"/>
      <c r="AA60" s="49"/>
      <c r="AD60" s="78"/>
      <c r="AF60" s="3"/>
      <c r="AH60" s="49"/>
    </row>
    <row r="61" spans="1:35" x14ac:dyDescent="0.25">
      <c r="A61" s="20">
        <v>42825</v>
      </c>
      <c r="B61" s="24">
        <f t="shared" si="8"/>
        <v>46</v>
      </c>
      <c r="C61" s="34">
        <f>'LC (Gross)'!K223</f>
        <v>0.11664881162675513</v>
      </c>
      <c r="D61" s="34">
        <f>ITL!K163</f>
        <v>2.6457790211152172</v>
      </c>
      <c r="E61" s="34">
        <v>-0.05</v>
      </c>
      <c r="F61" s="34">
        <v>0.03</v>
      </c>
      <c r="G61" s="39"/>
      <c r="M61" s="49"/>
      <c r="P61" s="78"/>
      <c r="T61" s="49"/>
      <c r="AA61" s="49"/>
      <c r="AD61" s="78"/>
      <c r="AF61" s="3"/>
      <c r="AH61" s="49"/>
    </row>
    <row r="62" spans="1:35" x14ac:dyDescent="0.25">
      <c r="A62" s="20">
        <v>42855</v>
      </c>
      <c r="B62" s="24">
        <f t="shared" si="8"/>
        <v>47</v>
      </c>
      <c r="C62" s="34">
        <f>'LC (Gross)'!K224</f>
        <v>1.0271052392714737</v>
      </c>
      <c r="D62" s="34">
        <f>ITL!K164</f>
        <v>2.1992172334445734</v>
      </c>
      <c r="E62" s="34">
        <v>0.77</v>
      </c>
      <c r="F62" s="34">
        <v>0.05</v>
      </c>
      <c r="G62" s="39"/>
      <c r="M62" s="49"/>
      <c r="P62" s="78"/>
      <c r="T62" s="49"/>
      <c r="AA62" s="49"/>
      <c r="AD62" s="78"/>
      <c r="AH62" s="49"/>
    </row>
    <row r="63" spans="1:35" x14ac:dyDescent="0.25">
      <c r="A63" s="20">
        <v>42886</v>
      </c>
      <c r="B63" s="24">
        <f t="shared" si="8"/>
        <v>48</v>
      </c>
      <c r="C63" s="34">
        <f>'LC (Gross)'!K225</f>
        <v>1.4072016778941636</v>
      </c>
      <c r="D63" s="34">
        <f>ITL!K165</f>
        <v>3.3116981231070484</v>
      </c>
      <c r="E63" s="34">
        <v>0.77</v>
      </c>
      <c r="F63" s="34">
        <v>0.06</v>
      </c>
      <c r="G63" s="39"/>
      <c r="M63" s="49"/>
      <c r="P63" s="78"/>
      <c r="T63" s="49"/>
      <c r="AA63" s="49"/>
      <c r="AD63" s="78"/>
      <c r="AH63" s="49"/>
    </row>
    <row r="64" spans="1:35" x14ac:dyDescent="0.25">
      <c r="A64" s="20">
        <v>42916</v>
      </c>
      <c r="B64" s="24">
        <f t="shared" si="8"/>
        <v>49</v>
      </c>
      <c r="C64" s="34">
        <f>'LC (Gross)'!K226</f>
        <v>0.62408740693053544</v>
      </c>
      <c r="D64" s="34">
        <f>ITL!K166</f>
        <v>0.35430195726743774</v>
      </c>
      <c r="E64" s="34">
        <v>-0.1</v>
      </c>
      <c r="F64" s="34">
        <v>0.06</v>
      </c>
      <c r="G64" s="39"/>
      <c r="P64" s="78"/>
      <c r="AA64" s="49"/>
      <c r="AD64" s="78"/>
      <c r="AH64" s="49"/>
    </row>
    <row r="65" spans="1:34" x14ac:dyDescent="0.25">
      <c r="A65" s="20">
        <v>42947</v>
      </c>
      <c r="B65" s="24">
        <f t="shared" si="8"/>
        <v>50</v>
      </c>
      <c r="C65" s="34">
        <v>2.06</v>
      </c>
      <c r="D65" s="34">
        <f>ITL!K167</f>
        <v>3.7151504682288099</v>
      </c>
      <c r="E65" s="34">
        <v>0.43</v>
      </c>
      <c r="F65" s="34">
        <v>7.0000000000000007E-2</v>
      </c>
      <c r="G65" s="39"/>
      <c r="AA65" s="49"/>
      <c r="AH65" s="49"/>
    </row>
    <row r="66" spans="1:34" x14ac:dyDescent="0.25">
      <c r="A66" s="20">
        <v>42978</v>
      </c>
      <c r="B66" s="24">
        <f t="shared" si="8"/>
        <v>51</v>
      </c>
      <c r="C66" s="34">
        <v>0.31</v>
      </c>
      <c r="D66" s="34">
        <f>ITL!K168</f>
        <v>0.55962310828693329</v>
      </c>
      <c r="E66" s="34">
        <v>0.9</v>
      </c>
      <c r="F66" s="34">
        <v>0.09</v>
      </c>
      <c r="G66" s="39"/>
      <c r="AA66" s="49"/>
      <c r="AH66" s="49"/>
    </row>
    <row r="67" spans="1:34" x14ac:dyDescent="0.25">
      <c r="A67" s="20">
        <v>43008</v>
      </c>
      <c r="B67" s="24">
        <f t="shared" si="8"/>
        <v>52</v>
      </c>
      <c r="C67" s="34">
        <v>2.06</v>
      </c>
      <c r="D67" s="34">
        <f>ITL!K169</f>
        <v>1.9034810957082589</v>
      </c>
      <c r="E67" s="34">
        <v>-0.48</v>
      </c>
      <c r="F67" s="34">
        <v>0.09</v>
      </c>
      <c r="G67" s="39"/>
      <c r="AA67" s="49"/>
      <c r="AH67" s="49"/>
    </row>
    <row r="68" spans="1:34" x14ac:dyDescent="0.25">
      <c r="A68" s="20">
        <v>43039</v>
      </c>
      <c r="B68" s="24">
        <f t="shared" si="8"/>
        <v>53</v>
      </c>
      <c r="C68" s="34">
        <v>2.33</v>
      </c>
      <c r="D68" s="34">
        <f>ITL!K170</f>
        <v>1.8948465795332912</v>
      </c>
      <c r="E68" s="34">
        <v>0.06</v>
      </c>
      <c r="F68" s="34">
        <v>0.09</v>
      </c>
      <c r="G68" s="39"/>
      <c r="AA68" s="49"/>
      <c r="AH68" s="49"/>
    </row>
    <row r="69" spans="1:34" x14ac:dyDescent="0.25">
      <c r="A69" s="20">
        <v>43069</v>
      </c>
      <c r="B69" s="24">
        <f t="shared" si="8"/>
        <v>54</v>
      </c>
      <c r="C69" s="34">
        <v>3.07</v>
      </c>
      <c r="D69" s="34">
        <f>ITL!K171</f>
        <v>0.83581680462896246</v>
      </c>
      <c r="E69" s="34">
        <v>-0.13</v>
      </c>
      <c r="F69" s="34">
        <v>0.08</v>
      </c>
      <c r="G69" s="39"/>
      <c r="AA69" s="49"/>
      <c r="AH69" s="49"/>
    </row>
    <row r="70" spans="1:34" x14ac:dyDescent="0.25">
      <c r="A70" s="20">
        <v>43100</v>
      </c>
      <c r="B70" s="24">
        <f t="shared" si="8"/>
        <v>55</v>
      </c>
      <c r="C70" s="34">
        <v>1.1100000000000001</v>
      </c>
      <c r="D70" s="34">
        <f>ITL!K172</f>
        <v>2.2845631016478882</v>
      </c>
      <c r="E70" s="34">
        <v>0.46</v>
      </c>
      <c r="F70" s="34">
        <v>0.09</v>
      </c>
      <c r="G70" s="39"/>
      <c r="AA70" s="49"/>
      <c r="AH70" s="49"/>
    </row>
    <row r="71" spans="1:34" x14ac:dyDescent="0.25">
      <c r="A71" s="20">
        <v>43131</v>
      </c>
      <c r="B71" s="24">
        <f t="shared" si="8"/>
        <v>56</v>
      </c>
      <c r="C71" s="34">
        <v>5.72</v>
      </c>
      <c r="D71" s="34">
        <f>ITL!K173</f>
        <v>5.5795707009285129</v>
      </c>
      <c r="E71" s="34">
        <v>-1.1499999999999999</v>
      </c>
      <c r="F71" s="34">
        <v>0.11</v>
      </c>
      <c r="G71" s="39"/>
      <c r="AA71" s="49"/>
      <c r="AH71" s="49"/>
    </row>
    <row r="72" spans="1:34" x14ac:dyDescent="0.25">
      <c r="A72" s="20">
        <v>43159</v>
      </c>
      <c r="B72" s="24">
        <f t="shared" si="8"/>
        <v>57</v>
      </c>
      <c r="C72" s="34">
        <v>-3.69</v>
      </c>
      <c r="D72" s="34">
        <f>ITL!K174</f>
        <v>-4.696226947656303</v>
      </c>
      <c r="E72" s="34">
        <v>-0.95</v>
      </c>
      <c r="F72" s="34">
        <v>0.11</v>
      </c>
      <c r="G72" s="39"/>
      <c r="AA72" s="49"/>
      <c r="AH72" s="49"/>
    </row>
    <row r="73" spans="1:34" x14ac:dyDescent="0.25">
      <c r="A73" s="20">
        <v>43190</v>
      </c>
      <c r="B73" s="24">
        <f t="shared" si="8"/>
        <v>58</v>
      </c>
      <c r="C73" s="34">
        <v>-2.54</v>
      </c>
      <c r="D73" s="34">
        <f>ITL!K175</f>
        <v>-1.6643973530362937</v>
      </c>
      <c r="E73" s="34">
        <v>0.64</v>
      </c>
      <c r="F73" s="34">
        <v>0.12</v>
      </c>
      <c r="G73" s="39"/>
      <c r="AA73" s="49"/>
      <c r="AH73" s="49"/>
    </row>
    <row r="74" spans="1:34" x14ac:dyDescent="0.25">
      <c r="A74" s="20">
        <v>43220</v>
      </c>
      <c r="B74" s="24">
        <f t="shared" si="8"/>
        <v>59</v>
      </c>
      <c r="C74" s="34">
        <v>0.38</v>
      </c>
      <c r="D74" s="34">
        <f>ITL!K176</f>
        <v>1.6666683142559036</v>
      </c>
      <c r="E74" s="34">
        <v>-0.74</v>
      </c>
      <c r="F74" s="34">
        <v>0.14000000000000001</v>
      </c>
      <c r="G74" s="39"/>
      <c r="AA74" s="49"/>
      <c r="AH74" s="49">
        <f t="shared" ref="AH74:AH82" si="13">STDEVP(AD39:AD74)*SQRT(12)</f>
        <v>3.1527256247729865</v>
      </c>
    </row>
    <row r="75" spans="1:34" x14ac:dyDescent="0.25">
      <c r="A75" s="20">
        <v>43251</v>
      </c>
      <c r="B75" s="24">
        <f t="shared" si="8"/>
        <v>60</v>
      </c>
      <c r="C75" s="34">
        <v>2.41</v>
      </c>
      <c r="D75" s="34">
        <f>ITL!K177</f>
        <v>-2.2465770118846993</v>
      </c>
      <c r="E75" s="34">
        <v>0.71</v>
      </c>
      <c r="F75" s="34">
        <v>0.14000000000000001</v>
      </c>
      <c r="G75" s="39"/>
      <c r="AA75" s="49"/>
      <c r="AH75" s="49">
        <f t="shared" si="13"/>
        <v>3.2383067558395697</v>
      </c>
    </row>
    <row r="76" spans="1:34" x14ac:dyDescent="0.25">
      <c r="A76" s="20">
        <v>43281</v>
      </c>
      <c r="B76" s="24">
        <f t="shared" si="8"/>
        <v>61</v>
      </c>
      <c r="C76" s="34">
        <v>0.62</v>
      </c>
      <c r="D76" s="34">
        <f>ITL!K178</f>
        <v>-1.8324589970430885</v>
      </c>
      <c r="E76" s="34">
        <v>-0.12</v>
      </c>
      <c r="F76" s="34">
        <v>0.14000000000000001</v>
      </c>
      <c r="G76" s="39"/>
      <c r="AA76" s="49"/>
      <c r="AH76" s="49">
        <f t="shared" si="13"/>
        <v>3.1273384583877242</v>
      </c>
    </row>
    <row r="77" spans="1:34" x14ac:dyDescent="0.25">
      <c r="A77" s="20"/>
      <c r="B77" s="24" t="str">
        <f t="shared" si="8"/>
        <v>-</v>
      </c>
      <c r="C77" s="34"/>
      <c r="D77" s="34"/>
      <c r="E77" s="34"/>
      <c r="F77" s="34"/>
      <c r="G77" s="39"/>
      <c r="AA77" s="49"/>
      <c r="AH77" s="49">
        <f t="shared" si="13"/>
        <v>3.1708703644151859</v>
      </c>
    </row>
    <row r="78" spans="1:34" x14ac:dyDescent="0.25">
      <c r="A78" s="20"/>
      <c r="B78" s="24" t="str">
        <f t="shared" si="8"/>
        <v>-</v>
      </c>
      <c r="C78" s="34"/>
      <c r="D78" s="24"/>
      <c r="E78" s="34"/>
      <c r="F78" s="34"/>
      <c r="G78" s="39"/>
      <c r="AA78" s="49"/>
      <c r="AH78" s="49">
        <f t="shared" si="13"/>
        <v>2.9573459361084637</v>
      </c>
    </row>
    <row r="79" spans="1:34" x14ac:dyDescent="0.25">
      <c r="A79" s="20"/>
      <c r="B79" s="24" t="str">
        <f t="shared" si="8"/>
        <v>-</v>
      </c>
      <c r="C79" s="34"/>
      <c r="D79" s="24"/>
      <c r="E79" s="34"/>
      <c r="F79" s="34"/>
      <c r="G79" s="39"/>
      <c r="AA79" s="49"/>
      <c r="AH79" s="49">
        <f t="shared" si="13"/>
        <v>3.0439230029064204</v>
      </c>
    </row>
    <row r="80" spans="1:34" x14ac:dyDescent="0.25">
      <c r="A80" s="20"/>
      <c r="B80" s="24" t="str">
        <f t="shared" si="8"/>
        <v>-</v>
      </c>
      <c r="C80" s="24"/>
      <c r="D80" s="24"/>
      <c r="E80" s="34"/>
      <c r="F80" s="34"/>
      <c r="G80" s="39"/>
      <c r="AA80" s="49"/>
      <c r="AH80" s="49">
        <f t="shared" si="13"/>
        <v>2.8542580328930045</v>
      </c>
    </row>
    <row r="81" spans="1:34" x14ac:dyDescent="0.25">
      <c r="A81" s="20"/>
      <c r="B81" s="24" t="str">
        <f t="shared" ref="B81:B144" si="14">IF(A81&gt;A80,1+B80,"-")</f>
        <v>-</v>
      </c>
      <c r="C81" s="24"/>
      <c r="D81" s="24"/>
      <c r="E81" s="34"/>
      <c r="F81" s="34"/>
      <c r="G81" s="39"/>
      <c r="AA81" s="49"/>
      <c r="AH81" s="49">
        <f t="shared" si="13"/>
        <v>2.9468407394850584</v>
      </c>
    </row>
    <row r="82" spans="1:34" x14ac:dyDescent="0.25">
      <c r="A82" s="20"/>
      <c r="B82" s="24" t="str">
        <f t="shared" si="14"/>
        <v>-</v>
      </c>
      <c r="C82" s="24"/>
      <c r="D82" s="24"/>
      <c r="E82" s="34"/>
      <c r="F82" s="34"/>
      <c r="G82" s="39"/>
      <c r="AA82" s="49"/>
      <c r="AH82" s="49">
        <f t="shared" si="13"/>
        <v>2.9483970026931141</v>
      </c>
    </row>
    <row r="83" spans="1:34" x14ac:dyDescent="0.25">
      <c r="A83" s="20"/>
      <c r="B83" s="24" t="str">
        <f t="shared" si="14"/>
        <v>-</v>
      </c>
      <c r="C83" s="24"/>
      <c r="D83" s="24"/>
      <c r="E83" s="34"/>
      <c r="F83" s="34"/>
      <c r="G83" s="39"/>
    </row>
    <row r="84" spans="1:34" x14ac:dyDescent="0.25">
      <c r="A84" s="20"/>
      <c r="B84" s="24" t="str">
        <f t="shared" si="14"/>
        <v>-</v>
      </c>
      <c r="C84" s="24"/>
      <c r="D84" s="24"/>
      <c r="E84" s="34"/>
      <c r="F84" s="34"/>
      <c r="G84" s="39"/>
    </row>
    <row r="85" spans="1:34" x14ac:dyDescent="0.25">
      <c r="A85" s="20"/>
      <c r="B85" s="24" t="str">
        <f t="shared" si="14"/>
        <v>-</v>
      </c>
      <c r="C85" s="24"/>
      <c r="D85" s="24"/>
      <c r="E85" s="24"/>
      <c r="F85" s="34"/>
      <c r="G85" s="39"/>
    </row>
    <row r="86" spans="1:34" x14ac:dyDescent="0.25">
      <c r="A86" s="20"/>
      <c r="B86" s="24" t="str">
        <f t="shared" si="14"/>
        <v>-</v>
      </c>
      <c r="C86" s="24"/>
      <c r="D86" s="24"/>
      <c r="E86" s="24"/>
      <c r="F86" s="24"/>
      <c r="G86" s="39"/>
    </row>
    <row r="87" spans="1:34" x14ac:dyDescent="0.25">
      <c r="A87" s="20"/>
      <c r="B87" s="24" t="str">
        <f t="shared" si="14"/>
        <v>-</v>
      </c>
      <c r="C87" s="24"/>
      <c r="D87" s="24"/>
      <c r="E87" s="24"/>
      <c r="F87" s="24"/>
      <c r="G87" s="39"/>
    </row>
    <row r="88" spans="1:34" x14ac:dyDescent="0.25">
      <c r="A88" s="20"/>
      <c r="B88" s="24" t="str">
        <f t="shared" si="14"/>
        <v>-</v>
      </c>
      <c r="C88" s="24"/>
      <c r="D88" s="24"/>
      <c r="E88" s="24"/>
      <c r="F88" s="24"/>
      <c r="G88" s="39"/>
    </row>
    <row r="89" spans="1:34" x14ac:dyDescent="0.25">
      <c r="A89" s="20"/>
      <c r="B89" s="24" t="str">
        <f t="shared" si="14"/>
        <v>-</v>
      </c>
      <c r="C89" s="24"/>
      <c r="D89" s="24"/>
      <c r="E89" s="24"/>
      <c r="F89" s="24"/>
      <c r="G89" s="39"/>
    </row>
    <row r="90" spans="1:34" x14ac:dyDescent="0.25">
      <c r="A90" s="20"/>
      <c r="B90" s="24" t="str">
        <f t="shared" si="14"/>
        <v>-</v>
      </c>
      <c r="C90" s="24"/>
      <c r="D90" s="24"/>
      <c r="E90" s="24"/>
      <c r="F90" s="24"/>
      <c r="G90" s="39"/>
    </row>
    <row r="91" spans="1:34" x14ac:dyDescent="0.25">
      <c r="A91" s="20"/>
      <c r="B91" s="24" t="str">
        <f t="shared" si="14"/>
        <v>-</v>
      </c>
      <c r="C91" s="24"/>
      <c r="D91" s="24"/>
      <c r="E91" s="24"/>
      <c r="F91" s="24"/>
      <c r="G91" s="39"/>
    </row>
    <row r="92" spans="1:34" x14ac:dyDescent="0.25">
      <c r="A92" s="20"/>
      <c r="B92" s="24" t="str">
        <f t="shared" si="14"/>
        <v>-</v>
      </c>
      <c r="C92" s="24"/>
      <c r="D92" s="24"/>
      <c r="E92" s="24"/>
      <c r="F92" s="24"/>
      <c r="G92" s="39"/>
    </row>
    <row r="93" spans="1:34" x14ac:dyDescent="0.25">
      <c r="A93" s="20"/>
      <c r="B93" s="24" t="str">
        <f t="shared" si="14"/>
        <v>-</v>
      </c>
      <c r="C93" s="24"/>
      <c r="D93" s="24"/>
      <c r="E93" s="24"/>
      <c r="F93" s="24"/>
      <c r="G93" s="39"/>
    </row>
    <row r="94" spans="1:34" x14ac:dyDescent="0.25">
      <c r="A94" s="20"/>
      <c r="B94" s="24" t="str">
        <f t="shared" si="14"/>
        <v>-</v>
      </c>
      <c r="C94" s="24"/>
      <c r="D94" s="24"/>
      <c r="E94" s="24"/>
      <c r="F94" s="24"/>
      <c r="G94" s="39"/>
    </row>
    <row r="95" spans="1:34" x14ac:dyDescent="0.25">
      <c r="A95" s="20"/>
      <c r="B95" s="24" t="str">
        <f t="shared" si="14"/>
        <v>-</v>
      </c>
      <c r="C95" s="24"/>
      <c r="D95" s="24"/>
      <c r="E95" s="24"/>
      <c r="F95" s="24"/>
      <c r="G95" s="39"/>
    </row>
    <row r="96" spans="1:34" x14ac:dyDescent="0.25">
      <c r="A96" s="20"/>
      <c r="B96" s="24" t="str">
        <f t="shared" si="14"/>
        <v>-</v>
      </c>
      <c r="C96" s="24"/>
      <c r="D96" s="24"/>
      <c r="E96" s="24"/>
      <c r="F96" s="24"/>
      <c r="G96" s="39"/>
    </row>
    <row r="97" spans="1:7" x14ac:dyDescent="0.25">
      <c r="A97" s="20"/>
      <c r="B97" s="24" t="str">
        <f t="shared" si="14"/>
        <v>-</v>
      </c>
      <c r="C97" s="24"/>
      <c r="D97" s="24"/>
      <c r="E97" s="24"/>
      <c r="F97" s="24"/>
      <c r="G97" s="39"/>
    </row>
    <row r="98" spans="1:7" x14ac:dyDescent="0.25">
      <c r="A98" s="20"/>
      <c r="B98" s="24" t="str">
        <f t="shared" si="14"/>
        <v>-</v>
      </c>
      <c r="C98" s="24"/>
      <c r="D98" s="24"/>
      <c r="E98" s="24"/>
      <c r="F98" s="24"/>
      <c r="G98" s="39"/>
    </row>
    <row r="99" spans="1:7" x14ac:dyDescent="0.25">
      <c r="A99" s="20"/>
      <c r="B99" s="24" t="str">
        <f t="shared" si="14"/>
        <v>-</v>
      </c>
      <c r="C99" s="24"/>
      <c r="D99" s="24"/>
      <c r="E99" s="24"/>
      <c r="F99" s="24"/>
      <c r="G99" s="39"/>
    </row>
    <row r="100" spans="1:7" x14ac:dyDescent="0.25">
      <c r="A100" s="20"/>
      <c r="B100" s="24" t="str">
        <f t="shared" si="14"/>
        <v>-</v>
      </c>
      <c r="C100" s="24"/>
      <c r="D100" s="24"/>
      <c r="E100" s="24"/>
      <c r="F100" s="24"/>
      <c r="G100" s="39"/>
    </row>
    <row r="101" spans="1:7" x14ac:dyDescent="0.25">
      <c r="A101" s="20"/>
      <c r="B101" s="24" t="str">
        <f t="shared" si="14"/>
        <v>-</v>
      </c>
      <c r="C101" s="24"/>
      <c r="D101" s="24"/>
      <c r="E101" s="24"/>
      <c r="F101" s="24"/>
      <c r="G101" s="39"/>
    </row>
    <row r="102" spans="1:7" x14ac:dyDescent="0.25">
      <c r="A102" s="20"/>
      <c r="B102" s="24" t="str">
        <f t="shared" si="14"/>
        <v>-</v>
      </c>
      <c r="C102" s="24"/>
      <c r="D102" s="24"/>
      <c r="E102" s="24"/>
      <c r="F102" s="24"/>
      <c r="G102" s="39"/>
    </row>
    <row r="103" spans="1:7" x14ac:dyDescent="0.25">
      <c r="A103" s="20"/>
      <c r="B103" s="24" t="str">
        <f t="shared" si="14"/>
        <v>-</v>
      </c>
      <c r="C103" s="24"/>
      <c r="D103" s="24"/>
      <c r="E103" s="24"/>
      <c r="F103" s="24"/>
      <c r="G103" s="39"/>
    </row>
    <row r="104" spans="1:7" x14ac:dyDescent="0.25">
      <c r="A104" s="20"/>
      <c r="B104" s="24" t="str">
        <f t="shared" si="14"/>
        <v>-</v>
      </c>
      <c r="C104" s="24"/>
      <c r="D104" s="24"/>
      <c r="E104" s="24"/>
      <c r="F104" s="24"/>
      <c r="G104" s="39"/>
    </row>
    <row r="105" spans="1:7" x14ac:dyDescent="0.25">
      <c r="A105" s="20"/>
      <c r="B105" s="24" t="str">
        <f t="shared" si="14"/>
        <v>-</v>
      </c>
      <c r="C105" s="24"/>
      <c r="D105" s="24"/>
      <c r="E105" s="24"/>
      <c r="F105" s="24"/>
      <c r="G105" s="39"/>
    </row>
    <row r="106" spans="1:7" x14ac:dyDescent="0.25">
      <c r="A106" s="20"/>
      <c r="B106" s="24" t="str">
        <f t="shared" si="14"/>
        <v>-</v>
      </c>
      <c r="C106" s="24"/>
      <c r="D106" s="24"/>
      <c r="E106" s="24"/>
      <c r="F106" s="24"/>
      <c r="G106" s="39"/>
    </row>
    <row r="107" spans="1:7" x14ac:dyDescent="0.25">
      <c r="A107" s="20"/>
      <c r="B107" s="24" t="str">
        <f t="shared" si="14"/>
        <v>-</v>
      </c>
      <c r="C107" s="24"/>
      <c r="D107" s="24"/>
      <c r="E107" s="24"/>
      <c r="F107" s="24"/>
      <c r="G107" s="39"/>
    </row>
    <row r="108" spans="1:7" x14ac:dyDescent="0.25">
      <c r="A108" s="20"/>
      <c r="B108" s="24" t="str">
        <f t="shared" si="14"/>
        <v>-</v>
      </c>
      <c r="C108" s="24"/>
      <c r="D108" s="24"/>
      <c r="E108" s="24"/>
      <c r="F108" s="24"/>
      <c r="G108" s="39"/>
    </row>
    <row r="109" spans="1:7" x14ac:dyDescent="0.25">
      <c r="A109" s="20"/>
      <c r="B109" s="24" t="str">
        <f t="shared" si="14"/>
        <v>-</v>
      </c>
      <c r="C109" s="24"/>
      <c r="D109" s="24"/>
      <c r="E109" s="24"/>
      <c r="F109" s="24"/>
      <c r="G109" s="39"/>
    </row>
    <row r="110" spans="1:7" x14ac:dyDescent="0.25">
      <c r="A110" s="20"/>
      <c r="B110" s="24" t="str">
        <f t="shared" si="14"/>
        <v>-</v>
      </c>
      <c r="C110" s="24"/>
      <c r="D110" s="24"/>
      <c r="E110" s="24"/>
      <c r="F110" s="24"/>
      <c r="G110" s="39"/>
    </row>
    <row r="111" spans="1:7" x14ac:dyDescent="0.25">
      <c r="A111" s="20"/>
      <c r="B111" s="24" t="str">
        <f t="shared" si="14"/>
        <v>-</v>
      </c>
      <c r="C111" s="24"/>
      <c r="D111" s="24"/>
      <c r="E111" s="24"/>
      <c r="F111" s="24"/>
      <c r="G111" s="39"/>
    </row>
    <row r="112" spans="1:7" x14ac:dyDescent="0.25">
      <c r="A112" s="20"/>
      <c r="B112" s="24" t="str">
        <f t="shared" si="14"/>
        <v>-</v>
      </c>
      <c r="C112" s="24"/>
      <c r="D112" s="24"/>
      <c r="E112" s="24"/>
      <c r="F112" s="24"/>
      <c r="G112" s="39"/>
    </row>
    <row r="113" spans="1:7" x14ac:dyDescent="0.25">
      <c r="A113" s="20"/>
      <c r="B113" s="24" t="str">
        <f t="shared" si="14"/>
        <v>-</v>
      </c>
      <c r="C113" s="24"/>
      <c r="D113" s="24"/>
      <c r="E113" s="24"/>
      <c r="F113" s="24"/>
      <c r="G113" s="39"/>
    </row>
    <row r="114" spans="1:7" x14ac:dyDescent="0.25">
      <c r="A114" s="20"/>
      <c r="B114" s="24" t="str">
        <f t="shared" si="14"/>
        <v>-</v>
      </c>
      <c r="C114" s="24"/>
      <c r="D114" s="24"/>
      <c r="E114" s="24"/>
      <c r="F114" s="24"/>
      <c r="G114" s="39"/>
    </row>
    <row r="115" spans="1:7" x14ac:dyDescent="0.25">
      <c r="A115" s="20"/>
      <c r="B115" s="24" t="str">
        <f t="shared" si="14"/>
        <v>-</v>
      </c>
      <c r="C115" s="24"/>
      <c r="D115" s="24"/>
      <c r="E115" s="24"/>
      <c r="F115" s="24"/>
      <c r="G115" s="39"/>
    </row>
    <row r="116" spans="1:7" x14ac:dyDescent="0.25">
      <c r="A116" s="20"/>
      <c r="B116" s="24" t="str">
        <f t="shared" si="14"/>
        <v>-</v>
      </c>
      <c r="C116" s="24"/>
      <c r="D116" s="24"/>
      <c r="E116" s="24"/>
      <c r="F116" s="24"/>
      <c r="G116" s="39"/>
    </row>
    <row r="117" spans="1:7" x14ac:dyDescent="0.25">
      <c r="A117" s="20"/>
      <c r="B117" s="24" t="str">
        <f t="shared" si="14"/>
        <v>-</v>
      </c>
      <c r="C117" s="24"/>
      <c r="D117" s="24"/>
      <c r="E117" s="24"/>
      <c r="F117" s="24"/>
      <c r="G117" s="39"/>
    </row>
    <row r="118" spans="1:7" x14ac:dyDescent="0.25">
      <c r="A118" s="20"/>
      <c r="B118" s="24" t="str">
        <f t="shared" si="14"/>
        <v>-</v>
      </c>
      <c r="C118" s="24"/>
      <c r="D118" s="24"/>
      <c r="E118" s="24"/>
      <c r="F118" s="24"/>
      <c r="G118" s="39"/>
    </row>
    <row r="119" spans="1:7" x14ac:dyDescent="0.25">
      <c r="A119" s="20"/>
      <c r="B119" s="24" t="str">
        <f t="shared" si="14"/>
        <v>-</v>
      </c>
      <c r="C119" s="24"/>
      <c r="D119" s="24"/>
      <c r="E119" s="24"/>
      <c r="F119" s="24"/>
      <c r="G119" s="39"/>
    </row>
    <row r="120" spans="1:7" x14ac:dyDescent="0.25">
      <c r="A120" s="20"/>
      <c r="B120" s="24" t="str">
        <f t="shared" si="14"/>
        <v>-</v>
      </c>
      <c r="C120" s="24"/>
      <c r="D120" s="24"/>
      <c r="E120" s="24"/>
      <c r="F120" s="24"/>
      <c r="G120" s="39"/>
    </row>
    <row r="121" spans="1:7" x14ac:dyDescent="0.25">
      <c r="A121" s="20"/>
      <c r="B121" s="24" t="str">
        <f t="shared" si="14"/>
        <v>-</v>
      </c>
      <c r="C121" s="24"/>
      <c r="D121" s="24"/>
      <c r="E121" s="24"/>
      <c r="F121" s="24"/>
      <c r="G121" s="39"/>
    </row>
    <row r="122" spans="1:7" x14ac:dyDescent="0.25">
      <c r="A122" s="20"/>
      <c r="B122" s="24" t="str">
        <f t="shared" si="14"/>
        <v>-</v>
      </c>
      <c r="C122" s="24"/>
      <c r="D122" s="24"/>
      <c r="E122" s="24"/>
      <c r="F122" s="24"/>
      <c r="G122" s="39"/>
    </row>
    <row r="123" spans="1:7" x14ac:dyDescent="0.25">
      <c r="A123" s="20"/>
      <c r="B123" s="24" t="str">
        <f t="shared" si="14"/>
        <v>-</v>
      </c>
      <c r="C123" s="24"/>
      <c r="D123" s="24"/>
      <c r="E123" s="24"/>
      <c r="F123" s="24"/>
      <c r="G123" s="39"/>
    </row>
    <row r="124" spans="1:7" x14ac:dyDescent="0.25">
      <c r="A124" s="20"/>
      <c r="B124" s="24" t="str">
        <f t="shared" si="14"/>
        <v>-</v>
      </c>
      <c r="C124" s="24"/>
      <c r="D124" s="24"/>
      <c r="E124" s="24"/>
      <c r="F124" s="24"/>
      <c r="G124" s="39"/>
    </row>
    <row r="125" spans="1:7" x14ac:dyDescent="0.25">
      <c r="A125" s="20"/>
      <c r="B125" s="24" t="str">
        <f t="shared" si="14"/>
        <v>-</v>
      </c>
      <c r="C125" s="24"/>
      <c r="D125" s="24"/>
      <c r="E125" s="24"/>
      <c r="F125" s="24"/>
      <c r="G125" s="39"/>
    </row>
    <row r="126" spans="1:7" x14ac:dyDescent="0.25">
      <c r="A126" s="20"/>
      <c r="B126" s="24" t="str">
        <f t="shared" si="14"/>
        <v>-</v>
      </c>
      <c r="C126" s="24"/>
      <c r="D126" s="24"/>
      <c r="E126" s="24"/>
      <c r="F126" s="24"/>
      <c r="G126" s="39"/>
    </row>
    <row r="127" spans="1:7" x14ac:dyDescent="0.25">
      <c r="A127" s="20"/>
      <c r="B127" s="24" t="str">
        <f t="shared" si="14"/>
        <v>-</v>
      </c>
      <c r="C127" s="24"/>
      <c r="D127" s="24"/>
      <c r="E127" s="24"/>
      <c r="F127" s="24"/>
      <c r="G127" s="39"/>
    </row>
    <row r="128" spans="1:7" x14ac:dyDescent="0.25">
      <c r="A128" s="20"/>
      <c r="B128" s="24" t="str">
        <f t="shared" si="14"/>
        <v>-</v>
      </c>
      <c r="C128" s="24"/>
      <c r="D128" s="24"/>
      <c r="E128" s="24"/>
      <c r="F128" s="24"/>
      <c r="G128" s="39"/>
    </row>
    <row r="129" spans="1:7" x14ac:dyDescent="0.25">
      <c r="A129" s="20"/>
      <c r="B129" s="24" t="str">
        <f t="shared" si="14"/>
        <v>-</v>
      </c>
      <c r="C129" s="24"/>
      <c r="D129" s="24"/>
      <c r="E129" s="24"/>
      <c r="F129" s="24"/>
      <c r="G129" s="39"/>
    </row>
    <row r="130" spans="1:7" x14ac:dyDescent="0.25">
      <c r="A130" s="20"/>
      <c r="B130" s="24" t="str">
        <f t="shared" si="14"/>
        <v>-</v>
      </c>
      <c r="C130" s="24"/>
      <c r="D130" s="24"/>
      <c r="E130" s="24"/>
      <c r="F130" s="24"/>
      <c r="G130" s="39"/>
    </row>
    <row r="131" spans="1:7" x14ac:dyDescent="0.25">
      <c r="A131" s="20"/>
      <c r="B131" s="24" t="str">
        <f t="shared" si="14"/>
        <v>-</v>
      </c>
      <c r="C131" s="24"/>
      <c r="D131" s="24"/>
      <c r="E131" s="24"/>
      <c r="F131" s="24"/>
      <c r="G131" s="39"/>
    </row>
    <row r="132" spans="1:7" x14ac:dyDescent="0.25">
      <c r="A132" s="20"/>
      <c r="B132" s="24" t="str">
        <f t="shared" si="14"/>
        <v>-</v>
      </c>
      <c r="C132" s="24"/>
      <c r="D132" s="24"/>
      <c r="E132" s="24"/>
      <c r="F132" s="24"/>
      <c r="G132" s="39"/>
    </row>
    <row r="133" spans="1:7" x14ac:dyDescent="0.25">
      <c r="A133" s="20"/>
      <c r="B133" s="24" t="str">
        <f t="shared" si="14"/>
        <v>-</v>
      </c>
      <c r="C133" s="24"/>
      <c r="D133" s="24"/>
      <c r="E133" s="24"/>
      <c r="F133" s="24"/>
      <c r="G133" s="39"/>
    </row>
    <row r="134" spans="1:7" x14ac:dyDescent="0.25">
      <c r="A134" s="20"/>
      <c r="B134" s="24" t="str">
        <f t="shared" si="14"/>
        <v>-</v>
      </c>
      <c r="C134" s="24"/>
      <c r="D134" s="24"/>
      <c r="E134" s="24"/>
      <c r="F134" s="24"/>
      <c r="G134" s="39"/>
    </row>
    <row r="135" spans="1:7" x14ac:dyDescent="0.25">
      <c r="A135" s="20"/>
      <c r="B135" s="24" t="str">
        <f t="shared" si="14"/>
        <v>-</v>
      </c>
      <c r="C135" s="24"/>
      <c r="D135" s="24"/>
      <c r="E135" s="24"/>
      <c r="F135" s="24"/>
      <c r="G135" s="39"/>
    </row>
    <row r="136" spans="1:7" x14ac:dyDescent="0.25">
      <c r="A136" s="20"/>
      <c r="B136" s="24" t="str">
        <f t="shared" si="14"/>
        <v>-</v>
      </c>
      <c r="C136" s="24"/>
      <c r="D136" s="24"/>
      <c r="E136" s="24"/>
      <c r="F136" s="24"/>
      <c r="G136" s="39"/>
    </row>
    <row r="137" spans="1:7" x14ac:dyDescent="0.25">
      <c r="A137" s="20"/>
      <c r="B137" s="24" t="str">
        <f t="shared" si="14"/>
        <v>-</v>
      </c>
      <c r="C137" s="24"/>
      <c r="D137" s="24"/>
      <c r="E137" s="24"/>
      <c r="F137" s="24"/>
      <c r="G137" s="39"/>
    </row>
    <row r="138" spans="1:7" x14ac:dyDescent="0.25">
      <c r="A138" s="21"/>
      <c r="B138" s="24" t="str">
        <f t="shared" si="14"/>
        <v>-</v>
      </c>
      <c r="C138" s="24"/>
      <c r="D138" s="24"/>
      <c r="E138" s="24"/>
      <c r="F138" s="24"/>
      <c r="G138" s="39"/>
    </row>
    <row r="139" spans="1:7" x14ac:dyDescent="0.25">
      <c r="A139" s="21"/>
      <c r="B139" s="24" t="str">
        <f t="shared" si="14"/>
        <v>-</v>
      </c>
      <c r="C139" s="24"/>
      <c r="D139" s="24"/>
      <c r="E139" s="24"/>
      <c r="F139" s="24"/>
      <c r="G139" s="39"/>
    </row>
    <row r="140" spans="1:7" x14ac:dyDescent="0.25">
      <c r="A140" s="21"/>
      <c r="B140" s="24" t="str">
        <f t="shared" si="14"/>
        <v>-</v>
      </c>
      <c r="C140" s="24"/>
      <c r="D140" s="24"/>
      <c r="E140" s="24"/>
      <c r="F140" s="24"/>
      <c r="G140" s="39"/>
    </row>
    <row r="141" spans="1:7" x14ac:dyDescent="0.25">
      <c r="A141" s="21"/>
      <c r="B141" s="24" t="str">
        <f t="shared" si="14"/>
        <v>-</v>
      </c>
      <c r="C141" s="24"/>
      <c r="D141" s="24"/>
      <c r="E141" s="24"/>
      <c r="F141" s="24"/>
      <c r="G141" s="39"/>
    </row>
    <row r="142" spans="1:7" x14ac:dyDescent="0.25">
      <c r="A142" s="21"/>
      <c r="B142" s="24" t="str">
        <f t="shared" si="14"/>
        <v>-</v>
      </c>
      <c r="C142" s="24"/>
      <c r="D142" s="24"/>
      <c r="E142" s="24"/>
      <c r="F142" s="24"/>
      <c r="G142" s="39"/>
    </row>
    <row r="143" spans="1:7" x14ac:dyDescent="0.25">
      <c r="A143" s="21"/>
      <c r="B143" s="24" t="str">
        <f t="shared" si="14"/>
        <v>-</v>
      </c>
      <c r="C143" s="24"/>
      <c r="D143" s="24"/>
      <c r="E143" s="24"/>
      <c r="F143" s="24"/>
      <c r="G143" s="39"/>
    </row>
    <row r="144" spans="1:7" x14ac:dyDescent="0.25">
      <c r="A144" s="21"/>
      <c r="B144" s="24" t="str">
        <f t="shared" si="14"/>
        <v>-</v>
      </c>
      <c r="C144" s="24"/>
      <c r="D144" s="24"/>
      <c r="E144" s="24"/>
      <c r="F144" s="24"/>
      <c r="G144" s="39"/>
    </row>
    <row r="145" spans="1:6" x14ac:dyDescent="0.25">
      <c r="A145" s="21"/>
      <c r="B145" s="24" t="str">
        <f>IF(A145&gt;A144,1+B144,"-")</f>
        <v>-</v>
      </c>
      <c r="C145" s="24"/>
      <c r="D145" s="24"/>
      <c r="E145" s="24"/>
      <c r="F145" s="24"/>
    </row>
    <row r="146" spans="1:6" x14ac:dyDescent="0.25">
      <c r="A146" s="21"/>
      <c r="B146" s="24" t="str">
        <f>IF(A146&gt;A145,1+B145,"-")</f>
        <v>-</v>
      </c>
      <c r="C146" s="24"/>
      <c r="D146" s="24"/>
      <c r="E146" s="24"/>
      <c r="F146" s="24"/>
    </row>
    <row r="147" spans="1:6" x14ac:dyDescent="0.25">
      <c r="B147" s="24" t="str">
        <f t="shared" ref="B147:B210" si="15">IF(A147&gt;A146,1+B146,"-")</f>
        <v>-</v>
      </c>
      <c r="C147" s="24"/>
      <c r="D147" s="24"/>
      <c r="E147" s="24"/>
      <c r="F147" s="24"/>
    </row>
    <row r="148" spans="1:6" x14ac:dyDescent="0.25">
      <c r="B148" s="24" t="str">
        <f t="shared" si="15"/>
        <v>-</v>
      </c>
      <c r="C148" s="24"/>
      <c r="D148" s="24"/>
      <c r="E148" s="24"/>
      <c r="F148" s="24"/>
    </row>
    <row r="149" spans="1:6" x14ac:dyDescent="0.25">
      <c r="B149" s="24" t="str">
        <f t="shared" si="15"/>
        <v>-</v>
      </c>
      <c r="C149" s="24"/>
      <c r="D149" s="24"/>
      <c r="E149" s="24"/>
      <c r="F149" s="24"/>
    </row>
    <row r="150" spans="1:6" x14ac:dyDescent="0.25">
      <c r="B150" s="24" t="str">
        <f t="shared" si="15"/>
        <v>-</v>
      </c>
      <c r="C150" s="24"/>
      <c r="D150" s="24"/>
      <c r="E150" s="24"/>
      <c r="F150" s="24"/>
    </row>
    <row r="151" spans="1:6" x14ac:dyDescent="0.25">
      <c r="B151" s="24" t="str">
        <f t="shared" si="15"/>
        <v>-</v>
      </c>
      <c r="C151" s="24"/>
      <c r="D151" s="24"/>
      <c r="E151" s="24"/>
      <c r="F151" s="24"/>
    </row>
    <row r="152" spans="1:6" x14ac:dyDescent="0.25">
      <c r="B152" s="24" t="str">
        <f t="shared" si="15"/>
        <v>-</v>
      </c>
      <c r="C152" s="24"/>
      <c r="D152" s="24"/>
      <c r="E152" s="24"/>
      <c r="F152" s="24"/>
    </row>
    <row r="153" spans="1:6" x14ac:dyDescent="0.25">
      <c r="B153" s="24" t="str">
        <f t="shared" si="15"/>
        <v>-</v>
      </c>
      <c r="C153" s="24"/>
      <c r="D153" s="24"/>
      <c r="E153" s="24"/>
      <c r="F153" s="24"/>
    </row>
    <row r="154" spans="1:6" x14ac:dyDescent="0.25">
      <c r="B154" s="24" t="str">
        <f t="shared" si="15"/>
        <v>-</v>
      </c>
      <c r="C154" s="24"/>
      <c r="D154" s="24"/>
      <c r="E154" s="24"/>
      <c r="F154" s="24"/>
    </row>
    <row r="155" spans="1:6" x14ac:dyDescent="0.25">
      <c r="B155" s="24" t="str">
        <f t="shared" si="15"/>
        <v>-</v>
      </c>
      <c r="C155" s="24"/>
      <c r="D155" s="24"/>
      <c r="E155" s="24"/>
      <c r="F155" s="24"/>
    </row>
    <row r="156" spans="1:6" x14ac:dyDescent="0.25">
      <c r="B156" s="24" t="str">
        <f t="shared" si="15"/>
        <v>-</v>
      </c>
      <c r="C156" s="24"/>
      <c r="D156" s="24"/>
      <c r="E156" s="24"/>
      <c r="F156" s="24"/>
    </row>
    <row r="157" spans="1:6" x14ac:dyDescent="0.25">
      <c r="B157" s="24" t="str">
        <f t="shared" si="15"/>
        <v>-</v>
      </c>
      <c r="C157" s="24"/>
      <c r="D157" s="24"/>
      <c r="E157" s="24"/>
      <c r="F157" s="24"/>
    </row>
    <row r="158" spans="1:6" x14ac:dyDescent="0.25">
      <c r="B158" s="24" t="str">
        <f t="shared" si="15"/>
        <v>-</v>
      </c>
      <c r="C158" s="24"/>
      <c r="D158" s="24"/>
      <c r="E158" s="24"/>
      <c r="F158" s="24"/>
    </row>
    <row r="159" spans="1:6" x14ac:dyDescent="0.25">
      <c r="B159" s="24" t="str">
        <f t="shared" si="15"/>
        <v>-</v>
      </c>
      <c r="C159" s="24"/>
      <c r="D159" s="24"/>
      <c r="E159" s="24"/>
      <c r="F159" s="24"/>
    </row>
    <row r="160" spans="1:6" x14ac:dyDescent="0.25">
      <c r="B160" s="24" t="str">
        <f t="shared" si="15"/>
        <v>-</v>
      </c>
      <c r="C160" s="24"/>
      <c r="D160" s="24"/>
      <c r="E160" s="24"/>
      <c r="F160" s="24"/>
    </row>
    <row r="161" spans="2:6" x14ac:dyDescent="0.25">
      <c r="B161" s="24" t="str">
        <f t="shared" si="15"/>
        <v>-</v>
      </c>
      <c r="C161" s="24"/>
      <c r="D161" s="24"/>
      <c r="E161" s="24"/>
      <c r="F161" s="24"/>
    </row>
    <row r="162" spans="2:6" x14ac:dyDescent="0.25">
      <c r="B162" s="24" t="str">
        <f t="shared" si="15"/>
        <v>-</v>
      </c>
      <c r="C162" s="24"/>
      <c r="D162" s="24"/>
      <c r="E162" s="24"/>
      <c r="F162" s="24"/>
    </row>
    <row r="163" spans="2:6" x14ac:dyDescent="0.25">
      <c r="B163" s="24" t="str">
        <f t="shared" si="15"/>
        <v>-</v>
      </c>
      <c r="C163" s="24"/>
      <c r="D163" s="24"/>
      <c r="E163" s="24"/>
      <c r="F163" s="24"/>
    </row>
    <row r="164" spans="2:6" x14ac:dyDescent="0.25">
      <c r="B164" s="24" t="str">
        <f t="shared" si="15"/>
        <v>-</v>
      </c>
      <c r="C164" s="24"/>
      <c r="D164" s="24"/>
      <c r="E164" s="24"/>
      <c r="F164" s="24"/>
    </row>
    <row r="165" spans="2:6" x14ac:dyDescent="0.25">
      <c r="B165" s="24" t="str">
        <f t="shared" si="15"/>
        <v>-</v>
      </c>
      <c r="C165" s="24"/>
      <c r="D165" s="24"/>
      <c r="E165" s="24"/>
      <c r="F165" s="24"/>
    </row>
    <row r="166" spans="2:6" x14ac:dyDescent="0.25">
      <c r="B166" s="24" t="str">
        <f t="shared" si="15"/>
        <v>-</v>
      </c>
      <c r="C166" s="24"/>
      <c r="D166" s="24"/>
      <c r="E166" s="24"/>
      <c r="F166" s="24"/>
    </row>
    <row r="167" spans="2:6" x14ac:dyDescent="0.25">
      <c r="B167" s="24" t="str">
        <f t="shared" si="15"/>
        <v>-</v>
      </c>
      <c r="C167" s="24"/>
      <c r="D167" s="24"/>
      <c r="E167" s="24"/>
      <c r="F167" s="24"/>
    </row>
    <row r="168" spans="2:6" x14ac:dyDescent="0.25">
      <c r="B168" s="24" t="str">
        <f t="shared" si="15"/>
        <v>-</v>
      </c>
      <c r="C168" s="24"/>
      <c r="D168" s="24"/>
      <c r="E168" s="24"/>
      <c r="F168" s="24"/>
    </row>
    <row r="169" spans="2:6" x14ac:dyDescent="0.25">
      <c r="B169" s="24" t="str">
        <f t="shared" si="15"/>
        <v>-</v>
      </c>
      <c r="C169" s="24"/>
      <c r="D169" s="24"/>
      <c r="E169" s="24"/>
      <c r="F169" s="24"/>
    </row>
    <row r="170" spans="2:6" x14ac:dyDescent="0.25">
      <c r="B170" s="24" t="str">
        <f t="shared" si="15"/>
        <v>-</v>
      </c>
      <c r="C170" s="24"/>
      <c r="D170" s="24"/>
      <c r="E170" s="24"/>
      <c r="F170" s="24"/>
    </row>
    <row r="171" spans="2:6" x14ac:dyDescent="0.25">
      <c r="B171" s="24" t="str">
        <f t="shared" si="15"/>
        <v>-</v>
      </c>
      <c r="C171" s="24"/>
      <c r="D171" s="24"/>
      <c r="E171" s="24"/>
      <c r="F171" s="24"/>
    </row>
    <row r="172" spans="2:6" x14ac:dyDescent="0.25">
      <c r="B172" s="24" t="str">
        <f t="shared" si="15"/>
        <v>-</v>
      </c>
      <c r="C172" s="24"/>
      <c r="D172" s="24"/>
      <c r="E172" s="24"/>
      <c r="F172" s="24"/>
    </row>
    <row r="173" spans="2:6" x14ac:dyDescent="0.25">
      <c r="B173" s="24" t="str">
        <f t="shared" si="15"/>
        <v>-</v>
      </c>
      <c r="C173" s="24"/>
      <c r="D173" s="24"/>
      <c r="E173" s="24"/>
      <c r="F173" s="24"/>
    </row>
    <row r="174" spans="2:6" x14ac:dyDescent="0.25">
      <c r="B174" s="24" t="str">
        <f t="shared" si="15"/>
        <v>-</v>
      </c>
      <c r="C174" s="24"/>
      <c r="D174" s="24"/>
      <c r="E174" s="24"/>
      <c r="F174" s="24"/>
    </row>
    <row r="175" spans="2:6" x14ac:dyDescent="0.25">
      <c r="B175" s="24" t="str">
        <f t="shared" si="15"/>
        <v>-</v>
      </c>
      <c r="C175" s="24"/>
      <c r="D175" s="24"/>
      <c r="E175" s="24"/>
      <c r="F175" s="24"/>
    </row>
    <row r="176" spans="2:6" x14ac:dyDescent="0.25">
      <c r="B176" s="24" t="str">
        <f t="shared" si="15"/>
        <v>-</v>
      </c>
      <c r="C176" s="24"/>
      <c r="D176" s="24"/>
      <c r="E176" s="24"/>
      <c r="F176" s="24"/>
    </row>
    <row r="177" spans="2:6" x14ac:dyDescent="0.25">
      <c r="B177" s="24" t="str">
        <f t="shared" si="15"/>
        <v>-</v>
      </c>
      <c r="C177" s="24"/>
      <c r="D177" s="24"/>
      <c r="E177" s="24"/>
      <c r="F177" s="24"/>
    </row>
    <row r="178" spans="2:6" x14ac:dyDescent="0.25">
      <c r="B178" s="24" t="str">
        <f t="shared" si="15"/>
        <v>-</v>
      </c>
      <c r="C178" s="24"/>
      <c r="D178" s="24"/>
      <c r="E178" s="24"/>
      <c r="F178" s="24"/>
    </row>
    <row r="179" spans="2:6" x14ac:dyDescent="0.25">
      <c r="B179" s="24" t="str">
        <f t="shared" si="15"/>
        <v>-</v>
      </c>
      <c r="C179" s="24"/>
      <c r="D179" s="24"/>
      <c r="E179" s="24"/>
      <c r="F179" s="24"/>
    </row>
    <row r="180" spans="2:6" x14ac:dyDescent="0.25">
      <c r="B180" s="24" t="str">
        <f t="shared" si="15"/>
        <v>-</v>
      </c>
      <c r="C180" s="24"/>
      <c r="D180" s="24"/>
      <c r="E180" s="24"/>
      <c r="F180" s="24"/>
    </row>
    <row r="181" spans="2:6" x14ac:dyDescent="0.25">
      <c r="B181" s="24" t="str">
        <f t="shared" si="15"/>
        <v>-</v>
      </c>
      <c r="C181" s="24"/>
      <c r="D181" s="24"/>
      <c r="E181" s="24"/>
      <c r="F181" s="24"/>
    </row>
    <row r="182" spans="2:6" x14ac:dyDescent="0.25">
      <c r="B182" s="24" t="str">
        <f t="shared" si="15"/>
        <v>-</v>
      </c>
      <c r="C182" s="24"/>
      <c r="D182" s="24"/>
      <c r="E182" s="24"/>
      <c r="F182" s="24"/>
    </row>
    <row r="183" spans="2:6" x14ac:dyDescent="0.25">
      <c r="B183" s="24" t="str">
        <f t="shared" si="15"/>
        <v>-</v>
      </c>
      <c r="C183" s="24"/>
      <c r="D183" s="24"/>
      <c r="E183" s="24"/>
      <c r="F183" s="24"/>
    </row>
    <row r="184" spans="2:6" x14ac:dyDescent="0.25">
      <c r="B184" s="24" t="str">
        <f t="shared" si="15"/>
        <v>-</v>
      </c>
      <c r="C184" s="24"/>
      <c r="D184" s="24"/>
      <c r="E184" s="24"/>
      <c r="F184" s="24"/>
    </row>
    <row r="185" spans="2:6" x14ac:dyDescent="0.25">
      <c r="B185" s="24" t="str">
        <f t="shared" si="15"/>
        <v>-</v>
      </c>
      <c r="C185" s="24"/>
      <c r="D185" s="24"/>
      <c r="E185" s="24"/>
      <c r="F185" s="24"/>
    </row>
    <row r="186" spans="2:6" x14ac:dyDescent="0.25">
      <c r="B186" s="24" t="str">
        <f t="shared" si="15"/>
        <v>-</v>
      </c>
      <c r="C186" s="24"/>
      <c r="D186" s="24"/>
      <c r="E186" s="24"/>
      <c r="F186" s="24"/>
    </row>
    <row r="187" spans="2:6" x14ac:dyDescent="0.25">
      <c r="B187" s="24" t="str">
        <f t="shared" si="15"/>
        <v>-</v>
      </c>
      <c r="C187" s="24"/>
      <c r="D187" s="24"/>
      <c r="E187" s="24"/>
      <c r="F187" s="24"/>
    </row>
    <row r="188" spans="2:6" x14ac:dyDescent="0.25">
      <c r="B188" s="24" t="str">
        <f t="shared" si="15"/>
        <v>-</v>
      </c>
      <c r="C188" s="24"/>
      <c r="D188" s="24"/>
      <c r="E188" s="24"/>
      <c r="F188" s="24"/>
    </row>
    <row r="189" spans="2:6" x14ac:dyDescent="0.25">
      <c r="B189" s="24" t="str">
        <f t="shared" si="15"/>
        <v>-</v>
      </c>
      <c r="C189" s="24"/>
      <c r="D189" s="24"/>
      <c r="E189" s="24"/>
      <c r="F189" s="24"/>
    </row>
    <row r="190" spans="2:6" x14ac:dyDescent="0.25">
      <c r="B190" s="24" t="str">
        <f t="shared" si="15"/>
        <v>-</v>
      </c>
      <c r="C190" s="24"/>
      <c r="D190" s="24"/>
      <c r="E190" s="24"/>
      <c r="F190" s="24"/>
    </row>
    <row r="191" spans="2:6" x14ac:dyDescent="0.25">
      <c r="B191" s="24" t="str">
        <f t="shared" si="15"/>
        <v>-</v>
      </c>
      <c r="C191" s="24"/>
      <c r="D191" s="24"/>
      <c r="E191" s="24"/>
      <c r="F191" s="24"/>
    </row>
    <row r="192" spans="2:6" x14ac:dyDescent="0.25">
      <c r="B192" s="24" t="str">
        <f t="shared" si="15"/>
        <v>-</v>
      </c>
      <c r="C192" s="24"/>
      <c r="D192" s="24"/>
      <c r="E192" s="24"/>
      <c r="F192" s="24"/>
    </row>
    <row r="193" spans="2:6" x14ac:dyDescent="0.25">
      <c r="B193" s="24" t="str">
        <f t="shared" si="15"/>
        <v>-</v>
      </c>
      <c r="C193" s="24"/>
      <c r="D193" s="24"/>
      <c r="E193" s="24"/>
      <c r="F193" s="24"/>
    </row>
    <row r="194" spans="2:6" x14ac:dyDescent="0.25">
      <c r="B194" s="24" t="str">
        <f t="shared" si="15"/>
        <v>-</v>
      </c>
      <c r="C194" s="24"/>
      <c r="D194" s="24"/>
      <c r="E194" s="24"/>
      <c r="F194" s="24"/>
    </row>
    <row r="195" spans="2:6" x14ac:dyDescent="0.25">
      <c r="B195" s="24" t="str">
        <f t="shared" si="15"/>
        <v>-</v>
      </c>
      <c r="C195" s="24"/>
      <c r="D195" s="24"/>
      <c r="E195" s="24"/>
      <c r="F195" s="24"/>
    </row>
    <row r="196" spans="2:6" x14ac:dyDescent="0.25">
      <c r="B196" s="24" t="str">
        <f t="shared" si="15"/>
        <v>-</v>
      </c>
      <c r="C196" s="24"/>
      <c r="D196" s="24"/>
      <c r="E196" s="24"/>
      <c r="F196" s="24"/>
    </row>
    <row r="197" spans="2:6" x14ac:dyDescent="0.25">
      <c r="B197" s="24" t="str">
        <f t="shared" si="15"/>
        <v>-</v>
      </c>
      <c r="C197" s="24"/>
      <c r="D197" s="24"/>
      <c r="E197" s="24"/>
      <c r="F197" s="24"/>
    </row>
    <row r="198" spans="2:6" x14ac:dyDescent="0.25">
      <c r="B198" s="24" t="str">
        <f t="shared" si="15"/>
        <v>-</v>
      </c>
      <c r="C198" s="24"/>
      <c r="D198" s="24"/>
      <c r="E198" s="24"/>
      <c r="F198" s="24"/>
    </row>
    <row r="199" spans="2:6" x14ac:dyDescent="0.25">
      <c r="B199" s="24" t="str">
        <f t="shared" si="15"/>
        <v>-</v>
      </c>
      <c r="C199" s="24"/>
      <c r="D199" s="24"/>
      <c r="E199" s="24"/>
      <c r="F199" s="24"/>
    </row>
    <row r="200" spans="2:6" x14ac:dyDescent="0.25">
      <c r="B200" s="24" t="str">
        <f t="shared" si="15"/>
        <v>-</v>
      </c>
      <c r="C200" s="24"/>
      <c r="D200" s="24"/>
      <c r="E200" s="24"/>
      <c r="F200" s="24"/>
    </row>
    <row r="201" spans="2:6" x14ac:dyDescent="0.25">
      <c r="B201" s="24" t="str">
        <f t="shared" si="15"/>
        <v>-</v>
      </c>
      <c r="C201" s="24"/>
      <c r="D201" s="24"/>
      <c r="E201" s="24"/>
      <c r="F201" s="24"/>
    </row>
    <row r="202" spans="2:6" x14ac:dyDescent="0.25">
      <c r="B202" s="24" t="str">
        <f t="shared" si="15"/>
        <v>-</v>
      </c>
      <c r="C202" s="24"/>
      <c r="D202" s="24"/>
      <c r="E202" s="24"/>
      <c r="F202" s="24"/>
    </row>
    <row r="203" spans="2:6" x14ac:dyDescent="0.25">
      <c r="B203" s="24" t="str">
        <f t="shared" si="15"/>
        <v>-</v>
      </c>
      <c r="C203" s="24"/>
      <c r="D203" s="24"/>
      <c r="E203" s="24"/>
      <c r="F203" s="24"/>
    </row>
    <row r="204" spans="2:6" x14ac:dyDescent="0.25">
      <c r="B204" s="24" t="str">
        <f t="shared" si="15"/>
        <v>-</v>
      </c>
      <c r="C204" s="24"/>
      <c r="D204" s="24"/>
      <c r="E204" s="24"/>
      <c r="F204" s="24"/>
    </row>
    <row r="205" spans="2:6" x14ac:dyDescent="0.25">
      <c r="B205" s="24" t="str">
        <f t="shared" si="15"/>
        <v>-</v>
      </c>
      <c r="C205" s="24"/>
      <c r="D205" s="24"/>
      <c r="E205" s="24"/>
      <c r="F205" s="24"/>
    </row>
    <row r="206" spans="2:6" x14ac:dyDescent="0.25">
      <c r="B206" s="24" t="str">
        <f t="shared" si="15"/>
        <v>-</v>
      </c>
      <c r="C206" s="24"/>
      <c r="D206" s="24"/>
      <c r="E206" s="24"/>
      <c r="F206" s="24"/>
    </row>
    <row r="207" spans="2:6" x14ac:dyDescent="0.25">
      <c r="B207" s="24" t="str">
        <f t="shared" si="15"/>
        <v>-</v>
      </c>
      <c r="C207" s="24"/>
      <c r="D207" s="24"/>
      <c r="E207" s="24"/>
      <c r="F207" s="24"/>
    </row>
    <row r="208" spans="2:6" x14ac:dyDescent="0.25">
      <c r="B208" s="24" t="str">
        <f t="shared" si="15"/>
        <v>-</v>
      </c>
      <c r="C208" s="24"/>
      <c r="D208" s="24"/>
      <c r="E208" s="24"/>
      <c r="F208" s="24"/>
    </row>
    <row r="209" spans="2:6" x14ac:dyDescent="0.25">
      <c r="B209" s="24" t="str">
        <f t="shared" si="15"/>
        <v>-</v>
      </c>
      <c r="C209" s="24"/>
      <c r="D209" s="24"/>
      <c r="E209" s="24"/>
      <c r="F209" s="24"/>
    </row>
    <row r="210" spans="2:6" x14ac:dyDescent="0.25">
      <c r="B210" s="24" t="str">
        <f t="shared" si="15"/>
        <v>-</v>
      </c>
      <c r="C210" s="24"/>
      <c r="D210" s="24"/>
      <c r="E210" s="24"/>
      <c r="F210" s="24"/>
    </row>
    <row r="211" spans="2:6" x14ac:dyDescent="0.25">
      <c r="B211" s="24" t="str">
        <f t="shared" ref="B211:B274" si="16">IF(A211&gt;A210,1+B210,"-")</f>
        <v>-</v>
      </c>
      <c r="C211" s="24"/>
      <c r="D211" s="24"/>
      <c r="E211" s="24"/>
      <c r="F211" s="24"/>
    </row>
    <row r="212" spans="2:6" x14ac:dyDescent="0.25">
      <c r="B212" s="24" t="str">
        <f t="shared" si="16"/>
        <v>-</v>
      </c>
      <c r="C212" s="24"/>
      <c r="D212" s="24"/>
      <c r="E212" s="24"/>
      <c r="F212" s="24"/>
    </row>
    <row r="213" spans="2:6" x14ac:dyDescent="0.25">
      <c r="B213" s="24" t="str">
        <f t="shared" si="16"/>
        <v>-</v>
      </c>
      <c r="C213" s="24"/>
      <c r="D213" s="24"/>
      <c r="E213" s="24"/>
      <c r="F213" s="24"/>
    </row>
    <row r="214" spans="2:6" x14ac:dyDescent="0.25">
      <c r="B214" s="24" t="str">
        <f t="shared" si="16"/>
        <v>-</v>
      </c>
      <c r="C214" s="24"/>
      <c r="D214" s="24"/>
      <c r="E214" s="24"/>
      <c r="F214" s="24"/>
    </row>
    <row r="215" spans="2:6" x14ac:dyDescent="0.25">
      <c r="B215" s="24" t="str">
        <f t="shared" si="16"/>
        <v>-</v>
      </c>
      <c r="C215" s="24"/>
      <c r="D215" s="24"/>
      <c r="E215" s="24"/>
      <c r="F215" s="24"/>
    </row>
    <row r="216" spans="2:6" x14ac:dyDescent="0.25">
      <c r="B216" s="24" t="str">
        <f t="shared" si="16"/>
        <v>-</v>
      </c>
      <c r="C216" s="24"/>
      <c r="D216" s="24"/>
      <c r="E216" s="24"/>
      <c r="F216" s="24"/>
    </row>
    <row r="217" spans="2:6" x14ac:dyDescent="0.25">
      <c r="B217" s="24" t="str">
        <f t="shared" si="16"/>
        <v>-</v>
      </c>
      <c r="C217" s="24"/>
      <c r="D217" s="24"/>
      <c r="E217" s="24"/>
      <c r="F217" s="24"/>
    </row>
    <row r="218" spans="2:6" x14ac:dyDescent="0.25">
      <c r="B218" s="24" t="str">
        <f t="shared" si="16"/>
        <v>-</v>
      </c>
      <c r="C218" s="24"/>
      <c r="D218" s="24"/>
      <c r="E218" s="24"/>
      <c r="F218" s="24"/>
    </row>
    <row r="219" spans="2:6" x14ac:dyDescent="0.25">
      <c r="B219" s="24" t="str">
        <f t="shared" si="16"/>
        <v>-</v>
      </c>
      <c r="C219" s="24"/>
      <c r="D219" s="24"/>
      <c r="E219" s="24"/>
      <c r="F219" s="24"/>
    </row>
    <row r="220" spans="2:6" x14ac:dyDescent="0.25">
      <c r="B220" s="24" t="str">
        <f t="shared" si="16"/>
        <v>-</v>
      </c>
      <c r="C220" s="24"/>
      <c r="D220" s="24"/>
      <c r="E220" s="24"/>
      <c r="F220" s="24"/>
    </row>
    <row r="221" spans="2:6" x14ac:dyDescent="0.25">
      <c r="B221" s="24" t="str">
        <f t="shared" si="16"/>
        <v>-</v>
      </c>
      <c r="C221" s="24"/>
      <c r="D221" s="24"/>
      <c r="E221" s="24"/>
      <c r="F221" s="24"/>
    </row>
    <row r="222" spans="2:6" x14ac:dyDescent="0.25">
      <c r="B222" s="24" t="str">
        <f t="shared" si="16"/>
        <v>-</v>
      </c>
      <c r="C222" s="24"/>
      <c r="D222" s="24"/>
      <c r="E222" s="24"/>
      <c r="F222" s="24"/>
    </row>
    <row r="223" spans="2:6" x14ac:dyDescent="0.25">
      <c r="B223" s="24" t="str">
        <f t="shared" si="16"/>
        <v>-</v>
      </c>
      <c r="C223" s="24"/>
      <c r="D223" s="24"/>
      <c r="E223" s="24"/>
      <c r="F223" s="24"/>
    </row>
    <row r="224" spans="2:6" x14ac:dyDescent="0.25">
      <c r="B224" s="24" t="str">
        <f t="shared" si="16"/>
        <v>-</v>
      </c>
      <c r="C224" s="24"/>
      <c r="D224" s="24"/>
      <c r="E224" s="24"/>
      <c r="F224" s="24"/>
    </row>
    <row r="225" spans="2:6" x14ac:dyDescent="0.25">
      <c r="B225" s="24" t="str">
        <f t="shared" si="16"/>
        <v>-</v>
      </c>
      <c r="C225" s="24"/>
      <c r="D225" s="24"/>
      <c r="E225" s="24"/>
      <c r="F225" s="24"/>
    </row>
    <row r="226" spans="2:6" x14ac:dyDescent="0.25">
      <c r="B226" s="24" t="str">
        <f t="shared" si="16"/>
        <v>-</v>
      </c>
      <c r="C226" s="24"/>
      <c r="D226" s="24"/>
      <c r="E226" s="24"/>
      <c r="F226" s="24"/>
    </row>
    <row r="227" spans="2:6" x14ac:dyDescent="0.25">
      <c r="B227" s="24" t="str">
        <f t="shared" si="16"/>
        <v>-</v>
      </c>
      <c r="C227" s="24"/>
      <c r="D227" s="24"/>
      <c r="E227" s="24"/>
      <c r="F227" s="24"/>
    </row>
    <row r="228" spans="2:6" x14ac:dyDescent="0.25">
      <c r="B228" s="24" t="str">
        <f t="shared" si="16"/>
        <v>-</v>
      </c>
      <c r="C228" s="24"/>
      <c r="D228" s="24"/>
      <c r="E228" s="24"/>
      <c r="F228" s="24"/>
    </row>
    <row r="229" spans="2:6" x14ac:dyDescent="0.25">
      <c r="B229" s="24" t="str">
        <f t="shared" si="16"/>
        <v>-</v>
      </c>
      <c r="C229" s="24"/>
      <c r="D229" s="24"/>
      <c r="E229" s="24"/>
      <c r="F229" s="24"/>
    </row>
    <row r="230" spans="2:6" x14ac:dyDescent="0.25">
      <c r="B230" s="24" t="str">
        <f t="shared" si="16"/>
        <v>-</v>
      </c>
      <c r="C230" s="24"/>
      <c r="D230" s="24"/>
      <c r="E230" s="24"/>
      <c r="F230" s="24"/>
    </row>
    <row r="231" spans="2:6" x14ac:dyDescent="0.25">
      <c r="B231" s="24" t="str">
        <f t="shared" si="16"/>
        <v>-</v>
      </c>
      <c r="C231" s="24"/>
      <c r="D231" s="24"/>
      <c r="E231" s="24"/>
      <c r="F231" s="24"/>
    </row>
    <row r="232" spans="2:6" x14ac:dyDescent="0.25">
      <c r="B232" s="24" t="str">
        <f t="shared" si="16"/>
        <v>-</v>
      </c>
      <c r="C232" s="24"/>
      <c r="D232" s="24"/>
      <c r="E232" s="24"/>
      <c r="F232" s="24"/>
    </row>
    <row r="233" spans="2:6" x14ac:dyDescent="0.25">
      <c r="B233" s="24" t="str">
        <f t="shared" si="16"/>
        <v>-</v>
      </c>
      <c r="C233" s="24"/>
      <c r="D233" s="24"/>
      <c r="E233" s="24"/>
      <c r="F233" s="24"/>
    </row>
    <row r="234" spans="2:6" x14ac:dyDescent="0.25">
      <c r="B234" s="24" t="str">
        <f t="shared" si="16"/>
        <v>-</v>
      </c>
      <c r="C234" s="24"/>
      <c r="D234" s="24"/>
      <c r="E234" s="24"/>
      <c r="F234" s="24"/>
    </row>
    <row r="235" spans="2:6" x14ac:dyDescent="0.25">
      <c r="B235" s="24" t="str">
        <f t="shared" si="16"/>
        <v>-</v>
      </c>
      <c r="C235" s="24"/>
      <c r="D235" s="24"/>
      <c r="E235" s="24"/>
      <c r="F235" s="24"/>
    </row>
    <row r="236" spans="2:6" x14ac:dyDescent="0.25">
      <c r="B236" s="24" t="str">
        <f t="shared" si="16"/>
        <v>-</v>
      </c>
      <c r="C236" s="24"/>
      <c r="D236" s="24"/>
      <c r="E236" s="24"/>
      <c r="F236" s="24"/>
    </row>
    <row r="237" spans="2:6" x14ac:dyDescent="0.25">
      <c r="B237" s="24" t="str">
        <f t="shared" si="16"/>
        <v>-</v>
      </c>
      <c r="C237" s="24"/>
      <c r="D237" s="24"/>
      <c r="E237" s="24"/>
      <c r="F237" s="24"/>
    </row>
    <row r="238" spans="2:6" x14ac:dyDescent="0.25">
      <c r="B238" s="24" t="str">
        <f t="shared" si="16"/>
        <v>-</v>
      </c>
      <c r="C238" s="24"/>
      <c r="D238" s="24"/>
      <c r="E238" s="24"/>
      <c r="F238" s="24"/>
    </row>
    <row r="239" spans="2:6" x14ac:dyDescent="0.25">
      <c r="B239" s="24" t="str">
        <f t="shared" si="16"/>
        <v>-</v>
      </c>
      <c r="C239" s="24"/>
      <c r="D239" s="24"/>
      <c r="E239" s="24"/>
      <c r="F239" s="24"/>
    </row>
    <row r="240" spans="2:6" x14ac:dyDescent="0.25">
      <c r="B240" s="24" t="str">
        <f t="shared" si="16"/>
        <v>-</v>
      </c>
      <c r="C240" s="24"/>
      <c r="D240" s="24"/>
      <c r="E240" s="24"/>
      <c r="F240" s="24"/>
    </row>
    <row r="241" spans="2:6" x14ac:dyDescent="0.25">
      <c r="B241" s="24" t="str">
        <f t="shared" si="16"/>
        <v>-</v>
      </c>
      <c r="C241" s="24"/>
      <c r="D241" s="24"/>
      <c r="E241" s="24"/>
      <c r="F241" s="24"/>
    </row>
    <row r="242" spans="2:6" x14ac:dyDescent="0.25">
      <c r="B242" s="24" t="str">
        <f t="shared" si="16"/>
        <v>-</v>
      </c>
      <c r="C242" s="24"/>
      <c r="D242" s="24"/>
      <c r="E242" s="24"/>
      <c r="F242" s="24"/>
    </row>
    <row r="243" spans="2:6" x14ac:dyDescent="0.25">
      <c r="B243" s="24" t="str">
        <f t="shared" si="16"/>
        <v>-</v>
      </c>
      <c r="C243" s="24"/>
      <c r="D243" s="24"/>
      <c r="E243" s="24"/>
      <c r="F243" s="24"/>
    </row>
    <row r="244" spans="2:6" x14ac:dyDescent="0.25">
      <c r="B244" s="24" t="str">
        <f t="shared" si="16"/>
        <v>-</v>
      </c>
      <c r="C244" s="24"/>
      <c r="D244" s="24"/>
      <c r="E244" s="24"/>
      <c r="F244" s="24"/>
    </row>
    <row r="245" spans="2:6" x14ac:dyDescent="0.25">
      <c r="B245" s="24" t="str">
        <f t="shared" si="16"/>
        <v>-</v>
      </c>
      <c r="C245" s="24"/>
      <c r="D245" s="24"/>
      <c r="E245" s="24"/>
      <c r="F245" s="24"/>
    </row>
    <row r="246" spans="2:6" x14ac:dyDescent="0.25">
      <c r="B246" s="24" t="str">
        <f t="shared" si="16"/>
        <v>-</v>
      </c>
      <c r="C246" s="24"/>
      <c r="D246" s="24"/>
      <c r="E246" s="24"/>
      <c r="F246" s="24"/>
    </row>
    <row r="247" spans="2:6" x14ac:dyDescent="0.25">
      <c r="B247" s="24" t="str">
        <f t="shared" si="16"/>
        <v>-</v>
      </c>
      <c r="C247" s="24"/>
      <c r="D247" s="24"/>
      <c r="E247" s="24"/>
      <c r="F247" s="24"/>
    </row>
    <row r="248" spans="2:6" x14ac:dyDescent="0.25">
      <c r="B248" s="24" t="str">
        <f t="shared" si="16"/>
        <v>-</v>
      </c>
      <c r="C248" s="24"/>
      <c r="D248" s="24"/>
      <c r="E248" s="24"/>
      <c r="F248" s="24"/>
    </row>
    <row r="249" spans="2:6" x14ac:dyDescent="0.25">
      <c r="B249" s="24" t="str">
        <f t="shared" si="16"/>
        <v>-</v>
      </c>
      <c r="C249" s="24"/>
      <c r="D249" s="24"/>
      <c r="E249" s="24"/>
      <c r="F249" s="24"/>
    </row>
    <row r="250" spans="2:6" x14ac:dyDescent="0.25">
      <c r="B250" s="24" t="str">
        <f t="shared" si="16"/>
        <v>-</v>
      </c>
      <c r="C250" s="24"/>
      <c r="D250" s="24"/>
      <c r="E250" s="24"/>
      <c r="F250" s="24"/>
    </row>
    <row r="251" spans="2:6" x14ac:dyDescent="0.25">
      <c r="B251" s="24" t="str">
        <f t="shared" si="16"/>
        <v>-</v>
      </c>
      <c r="C251" s="24"/>
      <c r="D251" s="24"/>
      <c r="E251" s="24"/>
      <c r="F251" s="24"/>
    </row>
    <row r="252" spans="2:6" x14ac:dyDescent="0.25">
      <c r="B252" s="24" t="str">
        <f t="shared" si="16"/>
        <v>-</v>
      </c>
      <c r="C252" s="24"/>
      <c r="D252" s="24"/>
      <c r="E252" s="24"/>
      <c r="F252" s="24"/>
    </row>
    <row r="253" spans="2:6" x14ac:dyDescent="0.25">
      <c r="B253" s="24" t="str">
        <f t="shared" si="16"/>
        <v>-</v>
      </c>
      <c r="C253" s="24"/>
      <c r="D253" s="24"/>
      <c r="E253" s="24"/>
      <c r="F253" s="24"/>
    </row>
    <row r="254" spans="2:6" x14ac:dyDescent="0.25">
      <c r="B254" s="24" t="str">
        <f t="shared" si="16"/>
        <v>-</v>
      </c>
      <c r="C254" s="24"/>
      <c r="D254" s="24"/>
      <c r="E254" s="24"/>
      <c r="F254" s="24"/>
    </row>
    <row r="255" spans="2:6" x14ac:dyDescent="0.25">
      <c r="B255" s="24" t="str">
        <f t="shared" si="16"/>
        <v>-</v>
      </c>
      <c r="C255" s="24"/>
      <c r="D255" s="24"/>
      <c r="E255" s="24"/>
      <c r="F255" s="24"/>
    </row>
    <row r="256" spans="2:6" x14ac:dyDescent="0.25">
      <c r="B256" s="24" t="str">
        <f t="shared" si="16"/>
        <v>-</v>
      </c>
      <c r="C256" s="24"/>
      <c r="D256" s="24"/>
      <c r="E256" s="24"/>
      <c r="F256" s="24"/>
    </row>
    <row r="257" spans="2:6" x14ac:dyDescent="0.25">
      <c r="B257" s="24" t="str">
        <f t="shared" si="16"/>
        <v>-</v>
      </c>
      <c r="C257" s="24"/>
      <c r="D257" s="24"/>
      <c r="E257" s="24"/>
      <c r="F257" s="24"/>
    </row>
    <row r="258" spans="2:6" x14ac:dyDescent="0.25">
      <c r="B258" s="24" t="str">
        <f t="shared" si="16"/>
        <v>-</v>
      </c>
      <c r="C258" s="24"/>
      <c r="D258" s="24"/>
      <c r="E258" s="24"/>
      <c r="F258" s="24"/>
    </row>
    <row r="259" spans="2:6" x14ac:dyDescent="0.25">
      <c r="B259" s="24" t="str">
        <f t="shared" si="16"/>
        <v>-</v>
      </c>
      <c r="C259" s="24"/>
      <c r="D259" s="24"/>
      <c r="E259" s="24"/>
      <c r="F259" s="24"/>
    </row>
    <row r="260" spans="2:6" x14ac:dyDescent="0.25">
      <c r="B260" s="24" t="str">
        <f t="shared" si="16"/>
        <v>-</v>
      </c>
      <c r="C260" s="24"/>
      <c r="D260" s="24"/>
      <c r="E260" s="24"/>
      <c r="F260" s="24"/>
    </row>
    <row r="261" spans="2:6" x14ac:dyDescent="0.25">
      <c r="B261" s="24" t="str">
        <f t="shared" si="16"/>
        <v>-</v>
      </c>
      <c r="C261" s="24"/>
      <c r="D261" s="24"/>
      <c r="E261" s="24"/>
      <c r="F261" s="24"/>
    </row>
    <row r="262" spans="2:6" x14ac:dyDescent="0.25">
      <c r="B262" s="24" t="str">
        <f t="shared" si="16"/>
        <v>-</v>
      </c>
      <c r="C262" s="24"/>
      <c r="D262" s="24"/>
      <c r="E262" s="24"/>
      <c r="F262" s="24"/>
    </row>
    <row r="263" spans="2:6" x14ac:dyDescent="0.25">
      <c r="B263" s="24" t="str">
        <f t="shared" si="16"/>
        <v>-</v>
      </c>
      <c r="C263" s="24"/>
      <c r="D263" s="24"/>
      <c r="E263" s="24"/>
      <c r="F263" s="24"/>
    </row>
    <row r="264" spans="2:6" x14ac:dyDescent="0.25">
      <c r="B264" s="24" t="str">
        <f t="shared" si="16"/>
        <v>-</v>
      </c>
      <c r="C264" s="24"/>
      <c r="D264" s="24"/>
      <c r="E264" s="24"/>
      <c r="F264" s="24"/>
    </row>
    <row r="265" spans="2:6" x14ac:dyDescent="0.25">
      <c r="B265" s="24" t="str">
        <f t="shared" si="16"/>
        <v>-</v>
      </c>
      <c r="C265" s="24"/>
      <c r="D265" s="24"/>
      <c r="E265" s="24"/>
      <c r="F265" s="24"/>
    </row>
    <row r="266" spans="2:6" x14ac:dyDescent="0.25">
      <c r="B266" s="24" t="str">
        <f t="shared" si="16"/>
        <v>-</v>
      </c>
      <c r="C266" s="24"/>
      <c r="D266" s="24"/>
      <c r="E266" s="24"/>
      <c r="F266" s="24"/>
    </row>
    <row r="267" spans="2:6" x14ac:dyDescent="0.25">
      <c r="B267" s="24" t="str">
        <f t="shared" si="16"/>
        <v>-</v>
      </c>
      <c r="C267" s="24"/>
      <c r="D267" s="24"/>
      <c r="E267" s="24"/>
      <c r="F267" s="24"/>
    </row>
    <row r="268" spans="2:6" x14ac:dyDescent="0.25">
      <c r="B268" s="24" t="str">
        <f t="shared" si="16"/>
        <v>-</v>
      </c>
      <c r="C268" s="24"/>
      <c r="D268" s="24"/>
      <c r="E268" s="24"/>
      <c r="F268" s="24"/>
    </row>
    <row r="269" spans="2:6" x14ac:dyDescent="0.25">
      <c r="B269" s="24" t="str">
        <f t="shared" si="16"/>
        <v>-</v>
      </c>
      <c r="C269" s="24"/>
      <c r="D269" s="24"/>
      <c r="E269" s="24"/>
      <c r="F269" s="24"/>
    </row>
    <row r="270" spans="2:6" x14ac:dyDescent="0.25">
      <c r="B270" s="24" t="str">
        <f t="shared" si="16"/>
        <v>-</v>
      </c>
      <c r="C270" s="24"/>
      <c r="D270" s="24"/>
      <c r="E270" s="24"/>
      <c r="F270" s="24"/>
    </row>
    <row r="271" spans="2:6" x14ac:dyDescent="0.25">
      <c r="B271" s="24" t="str">
        <f t="shared" si="16"/>
        <v>-</v>
      </c>
      <c r="C271" s="24"/>
      <c r="D271" s="24"/>
      <c r="E271" s="24"/>
      <c r="F271" s="24"/>
    </row>
    <row r="272" spans="2:6" x14ac:dyDescent="0.25">
      <c r="B272" s="24" t="str">
        <f t="shared" si="16"/>
        <v>-</v>
      </c>
      <c r="C272" s="24"/>
      <c r="D272" s="24"/>
      <c r="E272" s="24"/>
      <c r="F272" s="24"/>
    </row>
    <row r="273" spans="2:6" x14ac:dyDescent="0.25">
      <c r="B273" s="24" t="str">
        <f t="shared" si="16"/>
        <v>-</v>
      </c>
      <c r="C273" s="24"/>
      <c r="D273" s="24"/>
      <c r="E273" s="24"/>
      <c r="F273" s="24"/>
    </row>
    <row r="274" spans="2:6" x14ac:dyDescent="0.25">
      <c r="B274" s="24" t="str">
        <f t="shared" si="16"/>
        <v>-</v>
      </c>
      <c r="C274" s="24"/>
      <c r="D274" s="24"/>
      <c r="E274" s="24"/>
      <c r="F274" s="24"/>
    </row>
    <row r="275" spans="2:6" x14ac:dyDescent="0.25">
      <c r="B275" s="24" t="str">
        <f t="shared" ref="B275:B338" si="17">IF(A275&gt;A274,1+B274,"-")</f>
        <v>-</v>
      </c>
      <c r="C275" s="24"/>
      <c r="D275" s="24"/>
      <c r="E275" s="24"/>
      <c r="F275" s="24"/>
    </row>
    <row r="276" spans="2:6" x14ac:dyDescent="0.25">
      <c r="B276" s="24" t="str">
        <f t="shared" si="17"/>
        <v>-</v>
      </c>
      <c r="C276" s="24"/>
      <c r="D276" s="24"/>
      <c r="E276" s="24"/>
      <c r="F276" s="24"/>
    </row>
    <row r="277" spans="2:6" x14ac:dyDescent="0.25">
      <c r="B277" s="24" t="str">
        <f t="shared" si="17"/>
        <v>-</v>
      </c>
      <c r="C277" s="24"/>
      <c r="D277" s="24"/>
      <c r="E277" s="24"/>
      <c r="F277" s="24"/>
    </row>
    <row r="278" spans="2:6" x14ac:dyDescent="0.25">
      <c r="B278" s="24" t="str">
        <f t="shared" si="17"/>
        <v>-</v>
      </c>
      <c r="C278" s="24"/>
      <c r="D278" s="24"/>
      <c r="E278" s="24"/>
      <c r="F278" s="24"/>
    </row>
    <row r="279" spans="2:6" x14ac:dyDescent="0.25">
      <c r="B279" s="24" t="str">
        <f t="shared" si="17"/>
        <v>-</v>
      </c>
      <c r="C279" s="24"/>
      <c r="D279" s="24"/>
      <c r="E279" s="24"/>
      <c r="F279" s="24"/>
    </row>
    <row r="280" spans="2:6" x14ac:dyDescent="0.25">
      <c r="B280" s="24" t="str">
        <f t="shared" si="17"/>
        <v>-</v>
      </c>
      <c r="C280" s="24"/>
      <c r="D280" s="24"/>
      <c r="E280" s="24"/>
      <c r="F280" s="24"/>
    </row>
    <row r="281" spans="2:6" x14ac:dyDescent="0.25">
      <c r="B281" s="24" t="str">
        <f t="shared" si="17"/>
        <v>-</v>
      </c>
      <c r="C281" s="24"/>
      <c r="D281" s="24"/>
      <c r="E281" s="24"/>
      <c r="F281" s="24"/>
    </row>
    <row r="282" spans="2:6" x14ac:dyDescent="0.25">
      <c r="B282" s="24" t="str">
        <f t="shared" si="17"/>
        <v>-</v>
      </c>
      <c r="C282" s="24"/>
      <c r="D282" s="24"/>
      <c r="E282" s="24"/>
      <c r="F282" s="24"/>
    </row>
    <row r="283" spans="2:6" x14ac:dyDescent="0.25">
      <c r="B283" s="24" t="str">
        <f t="shared" si="17"/>
        <v>-</v>
      </c>
      <c r="C283" s="24"/>
      <c r="D283" s="24"/>
      <c r="E283" s="24"/>
      <c r="F283" s="24"/>
    </row>
    <row r="284" spans="2:6" x14ac:dyDescent="0.25">
      <c r="B284" s="24" t="str">
        <f t="shared" si="17"/>
        <v>-</v>
      </c>
      <c r="C284" s="24"/>
      <c r="D284" s="24"/>
      <c r="E284" s="24"/>
      <c r="F284" s="24"/>
    </row>
    <row r="285" spans="2:6" x14ac:dyDescent="0.25">
      <c r="B285" s="24" t="str">
        <f t="shared" si="17"/>
        <v>-</v>
      </c>
      <c r="C285" s="24"/>
      <c r="D285" s="24"/>
      <c r="E285" s="24"/>
      <c r="F285" s="24"/>
    </row>
    <row r="286" spans="2:6" x14ac:dyDescent="0.25">
      <c r="B286" s="24" t="str">
        <f t="shared" si="17"/>
        <v>-</v>
      </c>
      <c r="C286" s="24"/>
      <c r="D286" s="24"/>
      <c r="E286" s="24"/>
      <c r="F286" s="24"/>
    </row>
    <row r="287" spans="2:6" x14ac:dyDescent="0.25">
      <c r="B287" s="24" t="str">
        <f t="shared" si="17"/>
        <v>-</v>
      </c>
      <c r="C287" s="24"/>
      <c r="D287" s="24"/>
      <c r="E287" s="24"/>
      <c r="F287" s="24"/>
    </row>
    <row r="288" spans="2:6" x14ac:dyDescent="0.25">
      <c r="B288" s="24" t="str">
        <f t="shared" si="17"/>
        <v>-</v>
      </c>
      <c r="C288" s="24"/>
      <c r="D288" s="24"/>
      <c r="E288" s="24"/>
      <c r="F288" s="24"/>
    </row>
    <row r="289" spans="1:7" x14ac:dyDescent="0.25">
      <c r="B289" s="24" t="str">
        <f t="shared" si="17"/>
        <v>-</v>
      </c>
      <c r="C289" s="24"/>
      <c r="D289" s="24"/>
      <c r="E289" s="24"/>
      <c r="F289" s="24"/>
    </row>
    <row r="290" spans="1:7" x14ac:dyDescent="0.25">
      <c r="B290" s="24" t="str">
        <f t="shared" si="17"/>
        <v>-</v>
      </c>
      <c r="C290" s="24"/>
      <c r="D290" s="24"/>
      <c r="E290" s="24"/>
      <c r="F290" s="24"/>
    </row>
    <row r="291" spans="1:7" x14ac:dyDescent="0.25">
      <c r="B291" s="24" t="str">
        <f t="shared" si="17"/>
        <v>-</v>
      </c>
      <c r="C291" s="24"/>
      <c r="D291" s="24"/>
      <c r="E291" s="24"/>
      <c r="F291" s="24"/>
    </row>
    <row r="292" spans="1:7" x14ac:dyDescent="0.25">
      <c r="B292" s="24" t="str">
        <f t="shared" si="17"/>
        <v>-</v>
      </c>
      <c r="C292" s="24"/>
      <c r="D292" s="24"/>
      <c r="E292" s="24"/>
      <c r="F292" s="24"/>
    </row>
    <row r="293" spans="1:7" x14ac:dyDescent="0.25">
      <c r="B293" s="24" t="str">
        <f t="shared" si="17"/>
        <v>-</v>
      </c>
      <c r="C293" s="24"/>
      <c r="D293" s="24"/>
      <c r="E293" s="24"/>
      <c r="F293" s="24"/>
    </row>
    <row r="294" spans="1:7" x14ac:dyDescent="0.25">
      <c r="B294" s="24" t="str">
        <f t="shared" si="17"/>
        <v>-</v>
      </c>
      <c r="C294" s="24"/>
      <c r="D294" s="24"/>
      <c r="E294" s="24"/>
      <c r="F294" s="24"/>
    </row>
    <row r="295" spans="1:7" x14ac:dyDescent="0.25">
      <c r="B295" s="24" t="str">
        <f t="shared" si="17"/>
        <v>-</v>
      </c>
      <c r="C295" s="24"/>
      <c r="D295" s="24"/>
      <c r="E295" s="24"/>
      <c r="F295" s="24"/>
    </row>
    <row r="296" spans="1:7" x14ac:dyDescent="0.25">
      <c r="B296" s="24" t="str">
        <f t="shared" si="17"/>
        <v>-</v>
      </c>
      <c r="C296" s="24"/>
      <c r="D296" s="24"/>
      <c r="E296" s="24"/>
      <c r="F296" s="24"/>
    </row>
    <row r="297" spans="1:7" x14ac:dyDescent="0.25">
      <c r="B297" s="24" t="str">
        <f t="shared" si="17"/>
        <v>-</v>
      </c>
      <c r="C297" s="24"/>
      <c r="D297" s="24"/>
      <c r="E297" s="24"/>
      <c r="F297" s="24"/>
    </row>
    <row r="298" spans="1:7" x14ac:dyDescent="0.25">
      <c r="B298" s="24" t="str">
        <f t="shared" si="17"/>
        <v>-</v>
      </c>
      <c r="C298" s="24"/>
      <c r="D298" s="24"/>
      <c r="E298" s="24"/>
      <c r="F298" s="24"/>
    </row>
    <row r="299" spans="1:7" x14ac:dyDescent="0.25">
      <c r="B299" s="24" t="str">
        <f t="shared" si="17"/>
        <v>-</v>
      </c>
      <c r="C299" s="24"/>
      <c r="D299" s="24"/>
      <c r="E299" s="24"/>
      <c r="F299" s="24"/>
    </row>
    <row r="300" spans="1:7" x14ac:dyDescent="0.25">
      <c r="B300" s="24" t="str">
        <f t="shared" si="17"/>
        <v>-</v>
      </c>
      <c r="C300" s="24"/>
      <c r="D300" s="24"/>
      <c r="E300" s="24"/>
      <c r="F300" s="24"/>
    </row>
    <row r="301" spans="1:7" x14ac:dyDescent="0.25">
      <c r="B301" s="24" t="str">
        <f t="shared" si="17"/>
        <v>-</v>
      </c>
      <c r="C301" s="24"/>
      <c r="D301" s="24"/>
      <c r="E301" s="24"/>
      <c r="F301" s="24"/>
    </row>
    <row r="302" spans="1:7" x14ac:dyDescent="0.25">
      <c r="B302" s="24" t="str">
        <f t="shared" si="17"/>
        <v>-</v>
      </c>
      <c r="C302" s="24"/>
      <c r="D302" s="24"/>
      <c r="E302" s="24"/>
      <c r="F302" s="24"/>
    </row>
    <row r="303" spans="1:7" x14ac:dyDescent="0.25">
      <c r="B303" s="24" t="str">
        <f t="shared" si="17"/>
        <v>-</v>
      </c>
      <c r="C303" s="24"/>
      <c r="D303" s="24"/>
      <c r="E303" s="24"/>
      <c r="F303" s="24"/>
    </row>
    <row r="304" spans="1:7" s="23" customFormat="1" x14ac:dyDescent="0.25">
      <c r="A304"/>
      <c r="B304" s="24" t="str">
        <f t="shared" si="17"/>
        <v>-</v>
      </c>
      <c r="C304" s="24"/>
      <c r="D304" s="24"/>
      <c r="E304" s="24"/>
      <c r="F304" s="24"/>
      <c r="G304"/>
    </row>
    <row r="305" spans="1:7" s="23" customFormat="1" x14ac:dyDescent="0.25">
      <c r="A305"/>
      <c r="B305" s="24" t="str">
        <f t="shared" si="17"/>
        <v>-</v>
      </c>
      <c r="C305" s="24"/>
      <c r="D305" s="24"/>
      <c r="E305" s="24"/>
      <c r="F305" s="24"/>
      <c r="G305"/>
    </row>
    <row r="306" spans="1:7" s="23" customFormat="1" x14ac:dyDescent="0.25">
      <c r="A306"/>
      <c r="B306" s="24" t="str">
        <f t="shared" si="17"/>
        <v>-</v>
      </c>
      <c r="C306" s="24"/>
      <c r="D306" s="24"/>
      <c r="E306" s="24"/>
      <c r="F306" s="24"/>
      <c r="G306"/>
    </row>
    <row r="307" spans="1:7" s="23" customFormat="1" x14ac:dyDescent="0.25">
      <c r="A307"/>
      <c r="B307" s="24" t="str">
        <f t="shared" si="17"/>
        <v>-</v>
      </c>
      <c r="C307" s="24"/>
      <c r="D307" s="24"/>
      <c r="E307" s="24"/>
      <c r="F307" s="24"/>
      <c r="G307"/>
    </row>
    <row r="308" spans="1:7" s="23" customFormat="1" x14ac:dyDescent="0.25">
      <c r="A308"/>
      <c r="B308" s="24" t="str">
        <f t="shared" si="17"/>
        <v>-</v>
      </c>
      <c r="C308" s="24"/>
      <c r="D308" s="24"/>
      <c r="E308" s="24"/>
      <c r="F308" s="24"/>
      <c r="G308"/>
    </row>
    <row r="309" spans="1:7" s="23" customFormat="1" x14ac:dyDescent="0.25">
      <c r="A309"/>
      <c r="B309" s="24" t="str">
        <f t="shared" si="17"/>
        <v>-</v>
      </c>
      <c r="C309" s="24"/>
      <c r="D309" s="24"/>
      <c r="E309" s="24"/>
      <c r="F309" s="24"/>
      <c r="G309"/>
    </row>
    <row r="310" spans="1:7" s="23" customFormat="1" x14ac:dyDescent="0.25">
      <c r="A310"/>
      <c r="B310" s="24" t="str">
        <f t="shared" si="17"/>
        <v>-</v>
      </c>
      <c r="C310" s="24"/>
      <c r="D310" s="24"/>
      <c r="E310" s="24"/>
      <c r="F310" s="24"/>
      <c r="G310"/>
    </row>
    <row r="311" spans="1:7" s="23" customFormat="1" x14ac:dyDescent="0.25">
      <c r="A311"/>
      <c r="B311" s="24" t="str">
        <f t="shared" si="17"/>
        <v>-</v>
      </c>
      <c r="C311" s="24"/>
      <c r="D311" s="24"/>
      <c r="E311" s="24"/>
      <c r="F311" s="24"/>
      <c r="G311"/>
    </row>
    <row r="312" spans="1:7" s="23" customFormat="1" x14ac:dyDescent="0.25">
      <c r="A312"/>
      <c r="B312" s="24" t="str">
        <f t="shared" si="17"/>
        <v>-</v>
      </c>
      <c r="C312" s="24"/>
      <c r="D312" s="24"/>
      <c r="E312" s="24"/>
      <c r="F312" s="24"/>
      <c r="G312"/>
    </row>
    <row r="313" spans="1:7" s="23" customFormat="1" x14ac:dyDescent="0.25">
      <c r="A313"/>
      <c r="B313" s="24" t="str">
        <f t="shared" si="17"/>
        <v>-</v>
      </c>
      <c r="C313" s="24"/>
      <c r="D313" s="24"/>
      <c r="E313" s="24"/>
      <c r="F313" s="24"/>
      <c r="G313"/>
    </row>
    <row r="314" spans="1:7" s="23" customFormat="1" x14ac:dyDescent="0.25">
      <c r="A314"/>
      <c r="B314" s="24" t="str">
        <f t="shared" si="17"/>
        <v>-</v>
      </c>
      <c r="C314" s="24"/>
      <c r="D314" s="24"/>
      <c r="E314" s="24"/>
      <c r="F314" s="24"/>
      <c r="G314"/>
    </row>
    <row r="315" spans="1:7" s="23" customFormat="1" x14ac:dyDescent="0.25">
      <c r="A315"/>
      <c r="B315" s="24" t="str">
        <f t="shared" si="17"/>
        <v>-</v>
      </c>
      <c r="C315" s="24"/>
      <c r="D315" s="24"/>
      <c r="E315" s="24"/>
      <c r="F315" s="24"/>
      <c r="G315"/>
    </row>
    <row r="316" spans="1:7" s="23" customFormat="1" x14ac:dyDescent="0.25">
      <c r="A316"/>
      <c r="B316" s="24" t="str">
        <f t="shared" si="17"/>
        <v>-</v>
      </c>
      <c r="C316" s="24"/>
      <c r="D316" s="24"/>
      <c r="E316" s="24"/>
      <c r="F316" s="24"/>
      <c r="G316"/>
    </row>
    <row r="317" spans="1:7" s="23" customFormat="1" x14ac:dyDescent="0.25">
      <c r="A317"/>
      <c r="B317" s="24" t="str">
        <f t="shared" si="17"/>
        <v>-</v>
      </c>
      <c r="C317" s="24"/>
      <c r="D317" s="24"/>
      <c r="E317" s="24"/>
      <c r="F317" s="24"/>
      <c r="G317"/>
    </row>
    <row r="318" spans="1:7" s="23" customFormat="1" x14ac:dyDescent="0.25">
      <c r="A318"/>
      <c r="B318" s="24" t="str">
        <f t="shared" si="17"/>
        <v>-</v>
      </c>
      <c r="C318" s="24"/>
      <c r="D318" s="24"/>
      <c r="E318" s="24"/>
      <c r="F318" s="24"/>
      <c r="G318"/>
    </row>
    <row r="319" spans="1:7" s="23" customFormat="1" x14ac:dyDescent="0.25">
      <c r="A319"/>
      <c r="B319" s="24" t="str">
        <f t="shared" si="17"/>
        <v>-</v>
      </c>
      <c r="C319" s="24"/>
      <c r="D319" s="24"/>
      <c r="E319" s="24"/>
      <c r="F319" s="24"/>
      <c r="G319"/>
    </row>
    <row r="320" spans="1:7" s="23" customFormat="1" x14ac:dyDescent="0.25">
      <c r="A320"/>
      <c r="B320" s="24" t="str">
        <f t="shared" si="17"/>
        <v>-</v>
      </c>
      <c r="C320" s="24"/>
      <c r="D320" s="24"/>
      <c r="E320" s="24"/>
      <c r="F320" s="24"/>
      <c r="G320"/>
    </row>
    <row r="321" spans="1:7" s="23" customFormat="1" x14ac:dyDescent="0.25">
      <c r="A321"/>
      <c r="B321" s="24" t="str">
        <f t="shared" si="17"/>
        <v>-</v>
      </c>
      <c r="C321" s="24"/>
      <c r="D321" s="24"/>
      <c r="E321" s="24"/>
      <c r="F321" s="24"/>
      <c r="G321"/>
    </row>
    <row r="322" spans="1:7" s="23" customFormat="1" x14ac:dyDescent="0.25">
      <c r="A322"/>
      <c r="B322" s="24" t="str">
        <f t="shared" si="17"/>
        <v>-</v>
      </c>
      <c r="C322" s="24"/>
      <c r="D322" s="24"/>
      <c r="E322" s="24"/>
      <c r="F322" s="24"/>
      <c r="G322"/>
    </row>
    <row r="323" spans="1:7" s="23" customFormat="1" x14ac:dyDescent="0.25">
      <c r="A323"/>
      <c r="B323" s="24" t="str">
        <f t="shared" si="17"/>
        <v>-</v>
      </c>
      <c r="C323" s="24"/>
      <c r="D323" s="24"/>
      <c r="E323" s="24"/>
      <c r="F323" s="24"/>
      <c r="G323"/>
    </row>
    <row r="324" spans="1:7" s="23" customFormat="1" x14ac:dyDescent="0.25">
      <c r="A324"/>
      <c r="B324" s="24" t="str">
        <f t="shared" si="17"/>
        <v>-</v>
      </c>
      <c r="C324" s="24"/>
      <c r="D324" s="24"/>
      <c r="E324" s="24"/>
      <c r="F324" s="24"/>
      <c r="G324"/>
    </row>
    <row r="325" spans="1:7" s="23" customFormat="1" x14ac:dyDescent="0.25">
      <c r="A325"/>
      <c r="B325" s="24" t="str">
        <f t="shared" si="17"/>
        <v>-</v>
      </c>
      <c r="C325" s="24"/>
      <c r="D325" s="24"/>
      <c r="E325" s="24"/>
      <c r="F325" s="24"/>
      <c r="G325"/>
    </row>
    <row r="326" spans="1:7" s="23" customFormat="1" x14ac:dyDescent="0.25">
      <c r="A326"/>
      <c r="B326" s="24" t="str">
        <f t="shared" si="17"/>
        <v>-</v>
      </c>
      <c r="C326" s="24"/>
      <c r="D326" s="24"/>
      <c r="E326" s="24"/>
      <c r="F326" s="24"/>
      <c r="G326"/>
    </row>
    <row r="327" spans="1:7" s="23" customFormat="1" x14ac:dyDescent="0.25">
      <c r="A327"/>
      <c r="B327" s="24" t="str">
        <f t="shared" si="17"/>
        <v>-</v>
      </c>
      <c r="C327" s="24"/>
      <c r="D327" s="24"/>
      <c r="E327" s="24"/>
      <c r="F327" s="24"/>
      <c r="G327"/>
    </row>
    <row r="328" spans="1:7" s="23" customFormat="1" x14ac:dyDescent="0.25">
      <c r="A328"/>
      <c r="B328" s="24" t="str">
        <f t="shared" si="17"/>
        <v>-</v>
      </c>
      <c r="C328" s="24"/>
      <c r="D328" s="24"/>
      <c r="E328" s="24"/>
      <c r="F328" s="24"/>
      <c r="G328"/>
    </row>
    <row r="329" spans="1:7" s="23" customFormat="1" x14ac:dyDescent="0.25">
      <c r="A329"/>
      <c r="B329" s="24" t="str">
        <f t="shared" si="17"/>
        <v>-</v>
      </c>
      <c r="C329" s="24"/>
      <c r="D329" s="24"/>
      <c r="E329" s="24"/>
      <c r="F329" s="24"/>
      <c r="G329"/>
    </row>
    <row r="330" spans="1:7" s="23" customFormat="1" x14ac:dyDescent="0.25">
      <c r="A330"/>
      <c r="B330" s="24" t="str">
        <f t="shared" si="17"/>
        <v>-</v>
      </c>
      <c r="C330" s="24"/>
      <c r="D330" s="24"/>
      <c r="E330" s="24"/>
      <c r="F330" s="24"/>
      <c r="G330"/>
    </row>
    <row r="331" spans="1:7" s="23" customFormat="1" x14ac:dyDescent="0.25">
      <c r="A331"/>
      <c r="B331" s="24" t="str">
        <f t="shared" si="17"/>
        <v>-</v>
      </c>
      <c r="C331" s="24"/>
      <c r="D331" s="24"/>
      <c r="E331" s="24"/>
      <c r="F331" s="24"/>
      <c r="G331"/>
    </row>
    <row r="332" spans="1:7" s="23" customFormat="1" x14ac:dyDescent="0.25">
      <c r="A332"/>
      <c r="B332" s="24" t="str">
        <f t="shared" si="17"/>
        <v>-</v>
      </c>
      <c r="C332" s="24"/>
      <c r="D332" s="24"/>
      <c r="E332" s="24"/>
      <c r="F332" s="24"/>
      <c r="G332"/>
    </row>
    <row r="333" spans="1:7" s="23" customFormat="1" x14ac:dyDescent="0.25">
      <c r="A333"/>
      <c r="B333" s="24" t="str">
        <f t="shared" si="17"/>
        <v>-</v>
      </c>
      <c r="C333" s="24"/>
      <c r="D333" s="24"/>
      <c r="E333" s="24"/>
      <c r="F333" s="24"/>
      <c r="G333"/>
    </row>
    <row r="334" spans="1:7" s="23" customFormat="1" x14ac:dyDescent="0.25">
      <c r="A334"/>
      <c r="B334" s="24" t="str">
        <f t="shared" si="17"/>
        <v>-</v>
      </c>
      <c r="C334" s="24"/>
      <c r="D334" s="24"/>
      <c r="E334" s="24"/>
      <c r="F334" s="24"/>
      <c r="G334"/>
    </row>
    <row r="335" spans="1:7" s="23" customFormat="1" x14ac:dyDescent="0.25">
      <c r="A335"/>
      <c r="B335" s="24" t="str">
        <f t="shared" si="17"/>
        <v>-</v>
      </c>
      <c r="C335" s="24"/>
      <c r="D335" s="24"/>
      <c r="E335" s="24"/>
      <c r="F335" s="24"/>
      <c r="G335"/>
    </row>
    <row r="336" spans="1:7" s="23" customFormat="1" x14ac:dyDescent="0.25">
      <c r="A336"/>
      <c r="B336" s="24" t="str">
        <f t="shared" si="17"/>
        <v>-</v>
      </c>
      <c r="C336" s="24"/>
      <c r="D336" s="24"/>
      <c r="E336" s="24"/>
      <c r="F336" s="24"/>
      <c r="G336"/>
    </row>
    <row r="337" spans="1:7" s="23" customFormat="1" x14ac:dyDescent="0.25">
      <c r="A337"/>
      <c r="B337" s="24" t="str">
        <f t="shared" si="17"/>
        <v>-</v>
      </c>
      <c r="C337" s="24"/>
      <c r="D337" s="24"/>
      <c r="E337" s="24"/>
      <c r="F337" s="24"/>
      <c r="G337"/>
    </row>
    <row r="338" spans="1:7" s="23" customFormat="1" x14ac:dyDescent="0.25">
      <c r="A338"/>
      <c r="B338" s="24" t="str">
        <f t="shared" si="17"/>
        <v>-</v>
      </c>
      <c r="C338" s="24"/>
      <c r="D338" s="24"/>
      <c r="E338" s="24"/>
      <c r="F338" s="24"/>
      <c r="G338"/>
    </row>
    <row r="339" spans="1:7" s="23" customFormat="1" x14ac:dyDescent="0.25">
      <c r="A339"/>
      <c r="B339" s="24" t="str">
        <f t="shared" ref="B339:B402" si="18">IF(A339&gt;A338,1+B338,"-")</f>
        <v>-</v>
      </c>
      <c r="C339" s="24"/>
      <c r="D339" s="24"/>
      <c r="E339" s="24"/>
      <c r="F339" s="24"/>
      <c r="G339"/>
    </row>
    <row r="340" spans="1:7" s="23" customFormat="1" x14ac:dyDescent="0.25">
      <c r="A340"/>
      <c r="B340" s="24" t="str">
        <f t="shared" si="18"/>
        <v>-</v>
      </c>
      <c r="C340" s="24"/>
      <c r="D340" s="24"/>
      <c r="E340" s="24"/>
      <c r="F340" s="24"/>
      <c r="G340"/>
    </row>
    <row r="341" spans="1:7" s="23" customFormat="1" x14ac:dyDescent="0.25">
      <c r="A341"/>
      <c r="B341" s="24" t="str">
        <f t="shared" si="18"/>
        <v>-</v>
      </c>
      <c r="C341" s="24"/>
      <c r="D341" s="24"/>
      <c r="E341" s="24"/>
      <c r="F341" s="24"/>
      <c r="G341"/>
    </row>
    <row r="342" spans="1:7" s="23" customFormat="1" x14ac:dyDescent="0.25">
      <c r="A342"/>
      <c r="B342" s="24" t="str">
        <f t="shared" si="18"/>
        <v>-</v>
      </c>
      <c r="C342" s="24"/>
      <c r="D342" s="24"/>
      <c r="E342" s="24"/>
      <c r="F342" s="24"/>
      <c r="G342"/>
    </row>
    <row r="343" spans="1:7" s="23" customFormat="1" x14ac:dyDescent="0.25">
      <c r="A343"/>
      <c r="B343" s="24" t="str">
        <f t="shared" si="18"/>
        <v>-</v>
      </c>
      <c r="C343" s="24"/>
      <c r="D343" s="24"/>
      <c r="E343" s="24"/>
      <c r="F343" s="24"/>
      <c r="G343"/>
    </row>
    <row r="344" spans="1:7" s="23" customFormat="1" x14ac:dyDescent="0.25">
      <c r="A344"/>
      <c r="B344" s="24" t="str">
        <f t="shared" si="18"/>
        <v>-</v>
      </c>
      <c r="C344" s="24"/>
      <c r="D344" s="24"/>
      <c r="E344" s="24"/>
      <c r="F344" s="24"/>
      <c r="G344"/>
    </row>
    <row r="345" spans="1:7" s="23" customFormat="1" x14ac:dyDescent="0.25">
      <c r="A345"/>
      <c r="B345" s="24" t="str">
        <f t="shared" si="18"/>
        <v>-</v>
      </c>
      <c r="C345" s="24"/>
      <c r="D345" s="24"/>
      <c r="E345" s="24"/>
      <c r="F345" s="24"/>
      <c r="G345"/>
    </row>
    <row r="346" spans="1:7" s="23" customFormat="1" x14ac:dyDescent="0.25">
      <c r="A346"/>
      <c r="B346" s="24" t="str">
        <f t="shared" si="18"/>
        <v>-</v>
      </c>
      <c r="C346" s="24"/>
      <c r="D346" s="24"/>
      <c r="E346" s="24"/>
      <c r="F346" s="24"/>
      <c r="G346"/>
    </row>
    <row r="347" spans="1:7" s="23" customFormat="1" x14ac:dyDescent="0.25">
      <c r="A347"/>
      <c r="B347" s="24" t="str">
        <f t="shared" si="18"/>
        <v>-</v>
      </c>
      <c r="C347" s="24"/>
      <c r="D347" s="24"/>
      <c r="E347" s="24"/>
      <c r="F347" s="24"/>
      <c r="G347"/>
    </row>
    <row r="348" spans="1:7" s="23" customFormat="1" x14ac:dyDescent="0.25">
      <c r="A348"/>
      <c r="B348" s="24" t="str">
        <f t="shared" si="18"/>
        <v>-</v>
      </c>
      <c r="C348" s="24"/>
      <c r="D348" s="24"/>
      <c r="E348" s="24"/>
      <c r="F348" s="24"/>
      <c r="G348"/>
    </row>
    <row r="349" spans="1:7" s="23" customFormat="1" x14ac:dyDescent="0.25">
      <c r="A349"/>
      <c r="B349" s="24" t="str">
        <f t="shared" si="18"/>
        <v>-</v>
      </c>
      <c r="C349" s="24"/>
      <c r="D349" s="24"/>
      <c r="E349" s="24"/>
      <c r="F349" s="24"/>
      <c r="G349"/>
    </row>
    <row r="350" spans="1:7" s="23" customFormat="1" x14ac:dyDescent="0.25">
      <c r="A350"/>
      <c r="B350" s="24" t="str">
        <f t="shared" si="18"/>
        <v>-</v>
      </c>
      <c r="C350" s="24"/>
      <c r="D350" s="24"/>
      <c r="E350" s="24"/>
      <c r="F350" s="24"/>
      <c r="G350"/>
    </row>
    <row r="351" spans="1:7" s="23" customFormat="1" x14ac:dyDescent="0.25">
      <c r="A351"/>
      <c r="B351" s="24" t="str">
        <f t="shared" si="18"/>
        <v>-</v>
      </c>
      <c r="C351" s="24"/>
      <c r="D351" s="24"/>
      <c r="E351" s="24"/>
      <c r="F351" s="24"/>
      <c r="G351"/>
    </row>
    <row r="352" spans="1:7" s="23" customFormat="1" x14ac:dyDescent="0.25">
      <c r="A352"/>
      <c r="B352" s="24" t="str">
        <f t="shared" si="18"/>
        <v>-</v>
      </c>
      <c r="C352" s="24"/>
      <c r="D352" s="24"/>
      <c r="E352" s="24"/>
      <c r="F352" s="24"/>
      <c r="G352"/>
    </row>
    <row r="353" spans="1:7" s="23" customFormat="1" x14ac:dyDescent="0.25">
      <c r="A353"/>
      <c r="B353" s="24" t="str">
        <f t="shared" si="18"/>
        <v>-</v>
      </c>
      <c r="C353" s="24"/>
      <c r="D353" s="24"/>
      <c r="E353" s="24"/>
      <c r="F353" s="24"/>
      <c r="G353"/>
    </row>
    <row r="354" spans="1:7" s="23" customFormat="1" x14ac:dyDescent="0.25">
      <c r="A354"/>
      <c r="B354" s="24" t="str">
        <f t="shared" si="18"/>
        <v>-</v>
      </c>
      <c r="C354" s="24"/>
      <c r="D354" s="24"/>
      <c r="E354" s="24"/>
      <c r="F354" s="24"/>
      <c r="G354"/>
    </row>
    <row r="355" spans="1:7" s="23" customFormat="1" x14ac:dyDescent="0.25">
      <c r="A355"/>
      <c r="B355" s="24" t="str">
        <f t="shared" si="18"/>
        <v>-</v>
      </c>
      <c r="C355" s="24"/>
      <c r="D355" s="24"/>
      <c r="E355" s="24"/>
      <c r="F355" s="24"/>
      <c r="G355"/>
    </row>
    <row r="356" spans="1:7" s="23" customFormat="1" x14ac:dyDescent="0.25">
      <c r="A356"/>
      <c r="B356" s="24" t="str">
        <f t="shared" si="18"/>
        <v>-</v>
      </c>
      <c r="C356" s="24"/>
      <c r="D356" s="24"/>
      <c r="E356" s="24"/>
      <c r="F356" s="24"/>
      <c r="G356"/>
    </row>
    <row r="357" spans="1:7" s="23" customFormat="1" x14ac:dyDescent="0.25">
      <c r="A357"/>
      <c r="B357" s="24" t="str">
        <f t="shared" si="18"/>
        <v>-</v>
      </c>
      <c r="C357" s="24"/>
      <c r="D357" s="24"/>
      <c r="E357" s="24"/>
      <c r="F357" s="24"/>
      <c r="G357"/>
    </row>
    <row r="358" spans="1:7" s="23" customFormat="1" x14ac:dyDescent="0.25">
      <c r="A358"/>
      <c r="B358" s="24" t="str">
        <f t="shared" si="18"/>
        <v>-</v>
      </c>
      <c r="C358" s="24"/>
      <c r="D358" s="24"/>
      <c r="E358" s="24"/>
      <c r="F358" s="24"/>
      <c r="G358"/>
    </row>
    <row r="359" spans="1:7" s="23" customFormat="1" x14ac:dyDescent="0.25">
      <c r="A359"/>
      <c r="B359" s="24" t="str">
        <f t="shared" si="18"/>
        <v>-</v>
      </c>
      <c r="C359" s="24"/>
      <c r="D359" s="24"/>
      <c r="E359" s="24"/>
      <c r="F359" s="24"/>
      <c r="G359"/>
    </row>
    <row r="360" spans="1:7" s="23" customFormat="1" x14ac:dyDescent="0.25">
      <c r="A360"/>
      <c r="B360" s="24" t="str">
        <f t="shared" si="18"/>
        <v>-</v>
      </c>
      <c r="C360" s="24"/>
      <c r="D360" s="24"/>
      <c r="E360" s="24"/>
      <c r="F360" s="24"/>
      <c r="G360"/>
    </row>
    <row r="361" spans="1:7" s="23" customFormat="1" x14ac:dyDescent="0.25">
      <c r="A361"/>
      <c r="B361" s="24" t="str">
        <f t="shared" si="18"/>
        <v>-</v>
      </c>
      <c r="C361" s="24"/>
      <c r="D361" s="24"/>
      <c r="E361" s="24"/>
      <c r="F361" s="24"/>
      <c r="G361"/>
    </row>
    <row r="362" spans="1:7" s="23" customFormat="1" x14ac:dyDescent="0.25">
      <c r="A362"/>
      <c r="B362" s="24" t="str">
        <f t="shared" si="18"/>
        <v>-</v>
      </c>
      <c r="C362" s="24"/>
      <c r="D362" s="24"/>
      <c r="E362" s="24"/>
      <c r="F362" s="24"/>
      <c r="G362"/>
    </row>
    <row r="363" spans="1:7" s="23" customFormat="1" x14ac:dyDescent="0.25">
      <c r="A363"/>
      <c r="B363" s="24" t="str">
        <f t="shared" si="18"/>
        <v>-</v>
      </c>
      <c r="C363" s="24"/>
      <c r="D363" s="24"/>
      <c r="E363" s="24"/>
      <c r="F363" s="24"/>
      <c r="G363"/>
    </row>
    <row r="364" spans="1:7" s="23" customFormat="1" x14ac:dyDescent="0.25">
      <c r="A364"/>
      <c r="B364" s="24" t="str">
        <f t="shared" si="18"/>
        <v>-</v>
      </c>
      <c r="C364" s="24"/>
      <c r="D364" s="24"/>
      <c r="E364" s="24"/>
      <c r="F364" s="24"/>
      <c r="G364"/>
    </row>
    <row r="365" spans="1:7" s="23" customFormat="1" x14ac:dyDescent="0.25">
      <c r="A365"/>
      <c r="B365" s="24" t="str">
        <f t="shared" si="18"/>
        <v>-</v>
      </c>
      <c r="C365" s="24"/>
      <c r="D365" s="24"/>
      <c r="E365" s="24"/>
      <c r="F365" s="24"/>
      <c r="G365"/>
    </row>
    <row r="366" spans="1:7" s="23" customFormat="1" x14ac:dyDescent="0.25">
      <c r="A366"/>
      <c r="B366" s="24" t="str">
        <f t="shared" si="18"/>
        <v>-</v>
      </c>
      <c r="C366" s="24"/>
      <c r="D366" s="24"/>
      <c r="E366" s="24"/>
      <c r="F366" s="24"/>
      <c r="G366"/>
    </row>
    <row r="367" spans="1:7" s="23" customFormat="1" x14ac:dyDescent="0.25">
      <c r="A367"/>
      <c r="B367" s="24" t="str">
        <f t="shared" si="18"/>
        <v>-</v>
      </c>
      <c r="C367" s="24"/>
      <c r="D367" s="24"/>
      <c r="E367" s="24"/>
      <c r="F367" s="24"/>
      <c r="G367"/>
    </row>
    <row r="368" spans="1:7" s="23" customFormat="1" x14ac:dyDescent="0.25">
      <c r="A368"/>
      <c r="B368" s="24" t="str">
        <f t="shared" si="18"/>
        <v>-</v>
      </c>
      <c r="C368" s="24"/>
      <c r="D368" s="24"/>
      <c r="E368" s="24"/>
      <c r="F368" s="24"/>
      <c r="G368"/>
    </row>
    <row r="369" spans="1:7" s="23" customFormat="1" x14ac:dyDescent="0.25">
      <c r="A369"/>
      <c r="B369" s="24" t="str">
        <f t="shared" si="18"/>
        <v>-</v>
      </c>
      <c r="C369" s="24"/>
      <c r="D369" s="24"/>
      <c r="E369" s="24"/>
      <c r="F369" s="24"/>
      <c r="G369"/>
    </row>
    <row r="370" spans="1:7" s="23" customFormat="1" x14ac:dyDescent="0.25">
      <c r="A370"/>
      <c r="B370" s="24" t="str">
        <f t="shared" si="18"/>
        <v>-</v>
      </c>
      <c r="C370" s="24"/>
      <c r="D370" s="24"/>
      <c r="E370" s="24"/>
      <c r="F370" s="24"/>
      <c r="G370"/>
    </row>
    <row r="371" spans="1:7" s="23" customFormat="1" x14ac:dyDescent="0.25">
      <c r="A371"/>
      <c r="B371" s="24" t="str">
        <f t="shared" si="18"/>
        <v>-</v>
      </c>
      <c r="C371" s="24"/>
      <c r="D371" s="24"/>
      <c r="E371" s="24"/>
      <c r="F371" s="24"/>
      <c r="G371"/>
    </row>
    <row r="372" spans="1:7" s="23" customFormat="1" x14ac:dyDescent="0.25">
      <c r="A372"/>
      <c r="B372" s="24" t="str">
        <f t="shared" si="18"/>
        <v>-</v>
      </c>
      <c r="C372" s="24"/>
      <c r="D372" s="24"/>
      <c r="E372" s="24"/>
      <c r="F372" s="24"/>
      <c r="G372"/>
    </row>
    <row r="373" spans="1:7" s="23" customFormat="1" x14ac:dyDescent="0.25">
      <c r="A373"/>
      <c r="B373" s="24" t="str">
        <f t="shared" si="18"/>
        <v>-</v>
      </c>
      <c r="C373" s="24"/>
      <c r="D373" s="24"/>
      <c r="E373" s="24"/>
      <c r="F373" s="24"/>
      <c r="G373"/>
    </row>
    <row r="374" spans="1:7" s="23" customFormat="1" x14ac:dyDescent="0.25">
      <c r="A374"/>
      <c r="B374" s="24" t="str">
        <f t="shared" si="18"/>
        <v>-</v>
      </c>
      <c r="C374" s="24"/>
      <c r="D374" s="24"/>
      <c r="E374" s="24"/>
      <c r="F374" s="24"/>
      <c r="G374"/>
    </row>
    <row r="375" spans="1:7" s="23" customFormat="1" x14ac:dyDescent="0.25">
      <c r="A375"/>
      <c r="B375" s="24" t="str">
        <f t="shared" si="18"/>
        <v>-</v>
      </c>
      <c r="C375" s="24"/>
      <c r="D375" s="24"/>
      <c r="E375" s="24"/>
      <c r="F375" s="24"/>
      <c r="G375"/>
    </row>
    <row r="376" spans="1:7" s="23" customFormat="1" x14ac:dyDescent="0.25">
      <c r="A376"/>
      <c r="B376" s="24" t="str">
        <f t="shared" si="18"/>
        <v>-</v>
      </c>
      <c r="C376" s="24"/>
      <c r="D376" s="24"/>
      <c r="E376" s="24"/>
      <c r="F376" s="24"/>
      <c r="G376"/>
    </row>
    <row r="377" spans="1:7" s="23" customFormat="1" x14ac:dyDescent="0.25">
      <c r="A377"/>
      <c r="B377" s="24" t="str">
        <f t="shared" si="18"/>
        <v>-</v>
      </c>
      <c r="C377" s="24"/>
      <c r="D377" s="24"/>
      <c r="E377" s="24"/>
      <c r="F377" s="24"/>
      <c r="G377"/>
    </row>
    <row r="378" spans="1:7" s="23" customFormat="1" x14ac:dyDescent="0.25">
      <c r="A378"/>
      <c r="B378" s="24" t="str">
        <f t="shared" si="18"/>
        <v>-</v>
      </c>
      <c r="C378" s="24"/>
      <c r="D378" s="24"/>
      <c r="E378" s="24"/>
      <c r="F378" s="24"/>
      <c r="G378"/>
    </row>
    <row r="379" spans="1:7" s="23" customFormat="1" x14ac:dyDescent="0.25">
      <c r="A379"/>
      <c r="B379" s="24" t="str">
        <f t="shared" si="18"/>
        <v>-</v>
      </c>
      <c r="C379" s="24"/>
      <c r="D379" s="24"/>
      <c r="E379" s="24"/>
      <c r="F379" s="24"/>
      <c r="G379"/>
    </row>
    <row r="380" spans="1:7" s="23" customFormat="1" x14ac:dyDescent="0.25">
      <c r="A380"/>
      <c r="B380" s="24" t="str">
        <f t="shared" si="18"/>
        <v>-</v>
      </c>
      <c r="C380" s="24"/>
      <c r="D380" s="24"/>
      <c r="E380" s="24"/>
      <c r="F380" s="24"/>
      <c r="G380"/>
    </row>
    <row r="381" spans="1:7" s="23" customFormat="1" x14ac:dyDescent="0.25">
      <c r="A381"/>
      <c r="B381" s="24" t="str">
        <f t="shared" si="18"/>
        <v>-</v>
      </c>
      <c r="C381" s="24"/>
      <c r="D381" s="24"/>
      <c r="E381" s="24"/>
      <c r="F381" s="24"/>
      <c r="G381"/>
    </row>
    <row r="382" spans="1:7" s="23" customFormat="1" x14ac:dyDescent="0.25">
      <c r="A382"/>
      <c r="B382" s="24" t="str">
        <f t="shared" si="18"/>
        <v>-</v>
      </c>
      <c r="C382" s="24"/>
      <c r="D382" s="24"/>
      <c r="E382" s="24"/>
      <c r="F382" s="24"/>
      <c r="G382"/>
    </row>
    <row r="383" spans="1:7" s="23" customFormat="1" x14ac:dyDescent="0.25">
      <c r="A383"/>
      <c r="B383" s="24" t="str">
        <f t="shared" si="18"/>
        <v>-</v>
      </c>
      <c r="C383" s="24"/>
      <c r="D383" s="24"/>
      <c r="E383" s="24"/>
      <c r="F383" s="24"/>
      <c r="G383"/>
    </row>
    <row r="384" spans="1:7" s="23" customFormat="1" x14ac:dyDescent="0.25">
      <c r="A384"/>
      <c r="B384" s="24" t="str">
        <f t="shared" si="18"/>
        <v>-</v>
      </c>
      <c r="C384" s="24"/>
      <c r="D384" s="24"/>
      <c r="E384" s="24"/>
      <c r="F384" s="24"/>
      <c r="G384"/>
    </row>
    <row r="385" spans="1:7" s="23" customFormat="1" x14ac:dyDescent="0.25">
      <c r="A385"/>
      <c r="B385" s="24" t="str">
        <f t="shared" si="18"/>
        <v>-</v>
      </c>
      <c r="C385" s="24"/>
      <c r="D385" s="24"/>
      <c r="E385" s="24"/>
      <c r="F385" s="24"/>
      <c r="G385"/>
    </row>
    <row r="386" spans="1:7" s="23" customFormat="1" x14ac:dyDescent="0.25">
      <c r="A386"/>
      <c r="B386" s="24" t="str">
        <f t="shared" si="18"/>
        <v>-</v>
      </c>
      <c r="C386" s="24"/>
      <c r="D386" s="24"/>
      <c r="E386" s="24"/>
      <c r="F386" s="24"/>
      <c r="G386"/>
    </row>
    <row r="387" spans="1:7" s="23" customFormat="1" x14ac:dyDescent="0.25">
      <c r="A387"/>
      <c r="B387" s="24" t="str">
        <f t="shared" si="18"/>
        <v>-</v>
      </c>
      <c r="C387" s="24"/>
      <c r="D387" s="24"/>
      <c r="E387" s="24"/>
      <c r="F387" s="24"/>
      <c r="G387"/>
    </row>
    <row r="388" spans="1:7" s="23" customFormat="1" x14ac:dyDescent="0.25">
      <c r="A388"/>
      <c r="B388" s="24" t="str">
        <f t="shared" si="18"/>
        <v>-</v>
      </c>
      <c r="C388" s="24"/>
      <c r="D388" s="24"/>
      <c r="E388" s="24"/>
      <c r="F388" s="24"/>
      <c r="G388"/>
    </row>
    <row r="389" spans="1:7" s="23" customFormat="1" x14ac:dyDescent="0.25">
      <c r="A389"/>
      <c r="B389" s="24" t="str">
        <f t="shared" si="18"/>
        <v>-</v>
      </c>
      <c r="C389" s="24"/>
      <c r="D389" s="24"/>
      <c r="E389" s="24"/>
      <c r="F389" s="24"/>
      <c r="G389"/>
    </row>
    <row r="390" spans="1:7" s="23" customFormat="1" x14ac:dyDescent="0.25">
      <c r="A390"/>
      <c r="B390" s="24" t="str">
        <f t="shared" si="18"/>
        <v>-</v>
      </c>
      <c r="C390" s="24"/>
      <c r="D390" s="24"/>
      <c r="E390" s="24"/>
      <c r="F390" s="24"/>
      <c r="G390"/>
    </row>
    <row r="391" spans="1:7" s="23" customFormat="1" x14ac:dyDescent="0.25">
      <c r="A391"/>
      <c r="B391" s="24" t="str">
        <f t="shared" si="18"/>
        <v>-</v>
      </c>
      <c r="C391" s="24"/>
      <c r="D391" s="24"/>
      <c r="E391" s="24"/>
      <c r="F391" s="24"/>
      <c r="G391"/>
    </row>
    <row r="392" spans="1:7" s="23" customFormat="1" x14ac:dyDescent="0.25">
      <c r="A392"/>
      <c r="B392" s="24" t="str">
        <f t="shared" si="18"/>
        <v>-</v>
      </c>
      <c r="C392" s="24"/>
      <c r="D392" s="24"/>
      <c r="E392" s="24"/>
      <c r="F392" s="24"/>
      <c r="G392"/>
    </row>
    <row r="393" spans="1:7" s="23" customFormat="1" x14ac:dyDescent="0.25">
      <c r="A393"/>
      <c r="B393" s="24" t="str">
        <f t="shared" si="18"/>
        <v>-</v>
      </c>
      <c r="C393" s="24"/>
      <c r="D393" s="24"/>
      <c r="E393" s="24"/>
      <c r="F393" s="24"/>
      <c r="G393"/>
    </row>
    <row r="394" spans="1:7" s="23" customFormat="1" x14ac:dyDescent="0.25">
      <c r="A394"/>
      <c r="B394" s="24" t="str">
        <f t="shared" si="18"/>
        <v>-</v>
      </c>
      <c r="C394" s="24"/>
      <c r="D394" s="24"/>
      <c r="E394" s="24"/>
      <c r="F394" s="24"/>
      <c r="G394"/>
    </row>
    <row r="395" spans="1:7" s="23" customFormat="1" x14ac:dyDescent="0.25">
      <c r="A395"/>
      <c r="B395" s="24" t="str">
        <f t="shared" si="18"/>
        <v>-</v>
      </c>
      <c r="C395" s="24"/>
      <c r="D395" s="24"/>
      <c r="E395" s="24"/>
      <c r="F395" s="24"/>
      <c r="G395"/>
    </row>
    <row r="396" spans="1:7" s="23" customFormat="1" x14ac:dyDescent="0.25">
      <c r="A396"/>
      <c r="B396" s="24" t="str">
        <f t="shared" si="18"/>
        <v>-</v>
      </c>
      <c r="C396" s="24"/>
      <c r="D396" s="24"/>
      <c r="E396" s="24"/>
      <c r="F396" s="24"/>
      <c r="G396"/>
    </row>
    <row r="397" spans="1:7" s="23" customFormat="1" x14ac:dyDescent="0.25">
      <c r="A397"/>
      <c r="B397" s="24" t="str">
        <f t="shared" si="18"/>
        <v>-</v>
      </c>
      <c r="C397" s="24"/>
      <c r="D397" s="24"/>
      <c r="E397" s="24"/>
      <c r="F397" s="24"/>
      <c r="G397"/>
    </row>
    <row r="398" spans="1:7" s="23" customFormat="1" x14ac:dyDescent="0.25">
      <c r="A398"/>
      <c r="B398" s="24" t="str">
        <f t="shared" si="18"/>
        <v>-</v>
      </c>
      <c r="C398" s="24"/>
      <c r="D398" s="24"/>
      <c r="E398" s="24"/>
      <c r="F398" s="24"/>
      <c r="G398"/>
    </row>
    <row r="399" spans="1:7" s="23" customFormat="1" x14ac:dyDescent="0.25">
      <c r="A399"/>
      <c r="B399" s="24" t="str">
        <f t="shared" si="18"/>
        <v>-</v>
      </c>
      <c r="C399" s="24"/>
      <c r="D399" s="24"/>
      <c r="E399" s="24"/>
      <c r="F399" s="24"/>
      <c r="G399"/>
    </row>
    <row r="400" spans="1:7" s="23" customFormat="1" x14ac:dyDescent="0.25">
      <c r="A400"/>
      <c r="B400" s="24" t="str">
        <f t="shared" si="18"/>
        <v>-</v>
      </c>
      <c r="C400" s="24"/>
      <c r="D400" s="24"/>
      <c r="E400" s="24"/>
      <c r="F400" s="24"/>
      <c r="G400"/>
    </row>
    <row r="401" spans="1:7" s="23" customFormat="1" x14ac:dyDescent="0.25">
      <c r="A401"/>
      <c r="B401" s="24" t="str">
        <f t="shared" si="18"/>
        <v>-</v>
      </c>
      <c r="C401" s="24"/>
      <c r="D401" s="24"/>
      <c r="E401" s="24"/>
      <c r="F401" s="24"/>
      <c r="G401"/>
    </row>
    <row r="402" spans="1:7" s="23" customFormat="1" x14ac:dyDescent="0.25">
      <c r="A402"/>
      <c r="B402" s="24" t="str">
        <f t="shared" si="18"/>
        <v>-</v>
      </c>
      <c r="C402" s="24"/>
      <c r="D402" s="24"/>
      <c r="E402" s="24"/>
      <c r="F402" s="24"/>
      <c r="G402"/>
    </row>
    <row r="403" spans="1:7" s="23" customFormat="1" x14ac:dyDescent="0.25">
      <c r="A403"/>
      <c r="B403" s="24" t="str">
        <f t="shared" ref="B403:B466" si="19">IF(A403&gt;A402,1+B402,"-")</f>
        <v>-</v>
      </c>
      <c r="C403" s="24"/>
      <c r="D403" s="24"/>
      <c r="E403" s="24"/>
      <c r="F403" s="24"/>
      <c r="G403"/>
    </row>
    <row r="404" spans="1:7" s="23" customFormat="1" x14ac:dyDescent="0.25">
      <c r="A404"/>
      <c r="B404" s="24" t="str">
        <f t="shared" si="19"/>
        <v>-</v>
      </c>
      <c r="C404" s="24"/>
      <c r="D404" s="24"/>
      <c r="E404" s="24"/>
      <c r="F404" s="24"/>
      <c r="G404"/>
    </row>
    <row r="405" spans="1:7" s="23" customFormat="1" x14ac:dyDescent="0.25">
      <c r="A405"/>
      <c r="B405" s="24" t="str">
        <f t="shared" si="19"/>
        <v>-</v>
      </c>
      <c r="C405" s="24"/>
      <c r="D405" s="24"/>
      <c r="E405" s="24"/>
      <c r="F405" s="24"/>
      <c r="G405"/>
    </row>
    <row r="406" spans="1:7" s="23" customFormat="1" x14ac:dyDescent="0.25">
      <c r="A406"/>
      <c r="B406" s="24" t="str">
        <f t="shared" si="19"/>
        <v>-</v>
      </c>
      <c r="C406" s="24"/>
      <c r="D406" s="24"/>
      <c r="E406" s="24"/>
      <c r="F406" s="24"/>
      <c r="G406"/>
    </row>
    <row r="407" spans="1:7" s="23" customFormat="1" x14ac:dyDescent="0.25">
      <c r="A407"/>
      <c r="B407" s="24" t="str">
        <f t="shared" si="19"/>
        <v>-</v>
      </c>
      <c r="C407" s="24"/>
      <c r="D407" s="24"/>
      <c r="E407" s="24"/>
      <c r="F407" s="24"/>
      <c r="G407"/>
    </row>
    <row r="408" spans="1:7" s="23" customFormat="1" x14ac:dyDescent="0.25">
      <c r="A408"/>
      <c r="B408" s="24" t="str">
        <f t="shared" si="19"/>
        <v>-</v>
      </c>
      <c r="C408" s="24"/>
      <c r="D408" s="24"/>
      <c r="E408" s="24"/>
      <c r="F408" s="24"/>
      <c r="G408"/>
    </row>
    <row r="409" spans="1:7" s="23" customFormat="1" x14ac:dyDescent="0.25">
      <c r="A409"/>
      <c r="B409" s="24" t="str">
        <f t="shared" si="19"/>
        <v>-</v>
      </c>
      <c r="C409" s="24"/>
      <c r="D409" s="24"/>
      <c r="E409" s="24"/>
      <c r="F409" s="24"/>
      <c r="G409"/>
    </row>
    <row r="410" spans="1:7" s="23" customFormat="1" x14ac:dyDescent="0.25">
      <c r="A410"/>
      <c r="B410" s="24" t="str">
        <f t="shared" si="19"/>
        <v>-</v>
      </c>
      <c r="C410" s="24"/>
      <c r="D410" s="24"/>
      <c r="E410" s="24"/>
      <c r="F410" s="24"/>
      <c r="G410"/>
    </row>
    <row r="411" spans="1:7" s="23" customFormat="1" x14ac:dyDescent="0.25">
      <c r="A411"/>
      <c r="B411" s="24" t="str">
        <f t="shared" si="19"/>
        <v>-</v>
      </c>
      <c r="C411" s="24"/>
      <c r="D411" s="24"/>
      <c r="E411" s="24"/>
      <c r="F411" s="24"/>
      <c r="G411"/>
    </row>
    <row r="412" spans="1:7" s="23" customFormat="1" x14ac:dyDescent="0.25">
      <c r="A412"/>
      <c r="B412" s="24" t="str">
        <f t="shared" si="19"/>
        <v>-</v>
      </c>
      <c r="C412" s="24"/>
      <c r="D412" s="24"/>
      <c r="E412" s="24"/>
      <c r="F412" s="24"/>
      <c r="G412"/>
    </row>
    <row r="413" spans="1:7" s="23" customFormat="1" x14ac:dyDescent="0.25">
      <c r="A413"/>
      <c r="B413" s="24" t="str">
        <f t="shared" si="19"/>
        <v>-</v>
      </c>
      <c r="C413" s="24"/>
      <c r="D413" s="24"/>
      <c r="E413" s="24"/>
      <c r="F413" s="24"/>
      <c r="G413"/>
    </row>
    <row r="414" spans="1:7" s="23" customFormat="1" x14ac:dyDescent="0.25">
      <c r="A414"/>
      <c r="B414" s="24" t="str">
        <f t="shared" si="19"/>
        <v>-</v>
      </c>
      <c r="C414" s="24"/>
      <c r="D414" s="24"/>
      <c r="E414" s="24"/>
      <c r="F414" s="24"/>
      <c r="G414"/>
    </row>
    <row r="415" spans="1:7" s="23" customFormat="1" x14ac:dyDescent="0.25">
      <c r="A415"/>
      <c r="B415" s="24" t="str">
        <f t="shared" si="19"/>
        <v>-</v>
      </c>
      <c r="C415" s="24"/>
      <c r="D415" s="24"/>
      <c r="E415" s="24"/>
      <c r="F415" s="24"/>
      <c r="G415"/>
    </row>
    <row r="416" spans="1:7" s="23" customFormat="1" x14ac:dyDescent="0.25">
      <c r="A416"/>
      <c r="B416" s="24" t="str">
        <f t="shared" si="19"/>
        <v>-</v>
      </c>
      <c r="C416" s="24"/>
      <c r="D416" s="24"/>
      <c r="E416" s="24"/>
      <c r="F416" s="24"/>
      <c r="G416"/>
    </row>
    <row r="417" spans="1:7" s="23" customFormat="1" x14ac:dyDescent="0.25">
      <c r="A417"/>
      <c r="B417" s="24" t="str">
        <f t="shared" si="19"/>
        <v>-</v>
      </c>
      <c r="C417" s="24"/>
      <c r="D417" s="24"/>
      <c r="E417" s="24"/>
      <c r="F417" s="24"/>
      <c r="G417"/>
    </row>
    <row r="418" spans="1:7" s="23" customFormat="1" x14ac:dyDescent="0.25">
      <c r="A418"/>
      <c r="B418" s="24" t="str">
        <f t="shared" si="19"/>
        <v>-</v>
      </c>
      <c r="C418" s="24"/>
      <c r="D418" s="24"/>
      <c r="E418" s="24"/>
      <c r="F418" s="24"/>
      <c r="G418"/>
    </row>
    <row r="419" spans="1:7" s="23" customFormat="1" x14ac:dyDescent="0.25">
      <c r="A419"/>
      <c r="B419" s="24" t="str">
        <f t="shared" si="19"/>
        <v>-</v>
      </c>
      <c r="C419" s="24"/>
      <c r="D419" s="24"/>
      <c r="E419" s="24"/>
      <c r="F419" s="24"/>
      <c r="G419"/>
    </row>
    <row r="420" spans="1:7" s="23" customFormat="1" x14ac:dyDescent="0.25">
      <c r="A420"/>
      <c r="B420" s="24" t="str">
        <f t="shared" si="19"/>
        <v>-</v>
      </c>
      <c r="C420" s="24"/>
      <c r="D420" s="24"/>
      <c r="E420" s="24"/>
      <c r="F420" s="24"/>
      <c r="G420"/>
    </row>
    <row r="421" spans="1:7" s="23" customFormat="1" x14ac:dyDescent="0.25">
      <c r="A421"/>
      <c r="B421" s="24" t="str">
        <f t="shared" si="19"/>
        <v>-</v>
      </c>
      <c r="C421" s="24"/>
      <c r="D421" s="24"/>
      <c r="E421" s="24"/>
      <c r="F421" s="24"/>
      <c r="G421"/>
    </row>
    <row r="422" spans="1:7" s="23" customFormat="1" x14ac:dyDescent="0.25">
      <c r="A422"/>
      <c r="B422" s="24" t="str">
        <f t="shared" si="19"/>
        <v>-</v>
      </c>
      <c r="C422" s="24"/>
      <c r="D422" s="24"/>
      <c r="E422" s="24"/>
      <c r="F422" s="24"/>
      <c r="G422"/>
    </row>
    <row r="423" spans="1:7" s="23" customFormat="1" x14ac:dyDescent="0.25">
      <c r="A423"/>
      <c r="B423" s="24" t="str">
        <f t="shared" si="19"/>
        <v>-</v>
      </c>
      <c r="C423" s="24"/>
      <c r="D423" s="24"/>
      <c r="E423" s="24"/>
      <c r="F423" s="24"/>
      <c r="G423"/>
    </row>
    <row r="424" spans="1:7" s="23" customFormat="1" x14ac:dyDescent="0.25">
      <c r="A424"/>
      <c r="B424" s="24" t="str">
        <f t="shared" si="19"/>
        <v>-</v>
      </c>
      <c r="C424" s="24"/>
      <c r="D424" s="24"/>
      <c r="E424" s="24"/>
      <c r="F424" s="24"/>
      <c r="G424"/>
    </row>
    <row r="425" spans="1:7" s="23" customFormat="1" x14ac:dyDescent="0.25">
      <c r="A425"/>
      <c r="B425" s="24" t="str">
        <f t="shared" si="19"/>
        <v>-</v>
      </c>
      <c r="C425" s="24"/>
      <c r="D425" s="24"/>
      <c r="E425" s="24"/>
      <c r="F425" s="24"/>
      <c r="G425"/>
    </row>
    <row r="426" spans="1:7" s="23" customFormat="1" x14ac:dyDescent="0.25">
      <c r="A426"/>
      <c r="B426" s="24" t="str">
        <f t="shared" si="19"/>
        <v>-</v>
      </c>
      <c r="C426" s="24"/>
      <c r="D426" s="24"/>
      <c r="E426" s="24"/>
      <c r="F426" s="24"/>
      <c r="G426"/>
    </row>
    <row r="427" spans="1:7" s="23" customFormat="1" x14ac:dyDescent="0.25">
      <c r="A427"/>
      <c r="B427" s="24" t="str">
        <f t="shared" si="19"/>
        <v>-</v>
      </c>
      <c r="C427" s="24"/>
      <c r="D427" s="24"/>
      <c r="E427" s="24"/>
      <c r="F427" s="24"/>
      <c r="G427"/>
    </row>
    <row r="428" spans="1:7" s="23" customFormat="1" x14ac:dyDescent="0.25">
      <c r="A428"/>
      <c r="B428" s="24" t="str">
        <f t="shared" si="19"/>
        <v>-</v>
      </c>
      <c r="C428" s="24"/>
      <c r="D428" s="24"/>
      <c r="E428" s="24"/>
      <c r="F428" s="24"/>
      <c r="G428"/>
    </row>
    <row r="429" spans="1:7" s="23" customFormat="1" x14ac:dyDescent="0.25">
      <c r="A429"/>
      <c r="B429" s="24" t="str">
        <f t="shared" si="19"/>
        <v>-</v>
      </c>
      <c r="C429" s="24"/>
      <c r="D429" s="24"/>
      <c r="E429" s="24"/>
      <c r="F429" s="24"/>
      <c r="G429"/>
    </row>
    <row r="430" spans="1:7" s="23" customFormat="1" x14ac:dyDescent="0.25">
      <c r="A430"/>
      <c r="B430" s="24" t="str">
        <f t="shared" si="19"/>
        <v>-</v>
      </c>
      <c r="C430" s="24"/>
      <c r="D430" s="24"/>
      <c r="E430" s="24"/>
      <c r="F430" s="24"/>
      <c r="G430"/>
    </row>
    <row r="431" spans="1:7" s="23" customFormat="1" x14ac:dyDescent="0.25">
      <c r="A431"/>
      <c r="B431" s="24" t="str">
        <f t="shared" si="19"/>
        <v>-</v>
      </c>
      <c r="C431" s="24"/>
      <c r="D431" s="24"/>
      <c r="E431" s="24"/>
      <c r="F431" s="24"/>
      <c r="G431"/>
    </row>
    <row r="432" spans="1:7" s="23" customFormat="1" x14ac:dyDescent="0.25">
      <c r="A432"/>
      <c r="B432" s="24" t="str">
        <f t="shared" si="19"/>
        <v>-</v>
      </c>
      <c r="C432" s="24"/>
      <c r="D432" s="24"/>
      <c r="E432" s="24"/>
      <c r="F432" s="24"/>
      <c r="G432"/>
    </row>
    <row r="433" spans="1:7" s="23" customFormat="1" x14ac:dyDescent="0.25">
      <c r="A433"/>
      <c r="B433" s="24" t="str">
        <f t="shared" si="19"/>
        <v>-</v>
      </c>
      <c r="C433" s="24"/>
      <c r="D433" s="24"/>
      <c r="E433" s="24"/>
      <c r="F433" s="24"/>
      <c r="G433"/>
    </row>
    <row r="434" spans="1:7" s="23" customFormat="1" x14ac:dyDescent="0.25">
      <c r="A434"/>
      <c r="B434" s="24" t="str">
        <f t="shared" si="19"/>
        <v>-</v>
      </c>
      <c r="C434" s="24"/>
      <c r="D434" s="24"/>
      <c r="E434" s="24"/>
      <c r="F434" s="24"/>
      <c r="G434"/>
    </row>
    <row r="435" spans="1:7" s="23" customFormat="1" x14ac:dyDescent="0.25">
      <c r="A435"/>
      <c r="B435" s="24" t="str">
        <f t="shared" si="19"/>
        <v>-</v>
      </c>
      <c r="C435" s="24"/>
      <c r="D435" s="24"/>
      <c r="E435" s="24"/>
      <c r="F435" s="24"/>
      <c r="G435"/>
    </row>
    <row r="436" spans="1:7" s="23" customFormat="1" x14ac:dyDescent="0.25">
      <c r="A436"/>
      <c r="B436" s="24" t="str">
        <f t="shared" si="19"/>
        <v>-</v>
      </c>
      <c r="C436" s="24"/>
      <c r="D436" s="24"/>
      <c r="E436" s="24"/>
      <c r="F436" s="24"/>
      <c r="G436"/>
    </row>
    <row r="437" spans="1:7" s="23" customFormat="1" x14ac:dyDescent="0.25">
      <c r="A437"/>
      <c r="B437" s="24" t="str">
        <f t="shared" si="19"/>
        <v>-</v>
      </c>
      <c r="C437" s="24"/>
      <c r="D437" s="24"/>
      <c r="E437" s="24"/>
      <c r="F437" s="24"/>
      <c r="G437"/>
    </row>
    <row r="438" spans="1:7" s="23" customFormat="1" x14ac:dyDescent="0.25">
      <c r="A438"/>
      <c r="B438" s="24" t="str">
        <f t="shared" si="19"/>
        <v>-</v>
      </c>
      <c r="C438" s="24"/>
      <c r="D438" s="24"/>
      <c r="E438" s="24"/>
      <c r="F438" s="24"/>
      <c r="G438"/>
    </row>
    <row r="439" spans="1:7" s="23" customFormat="1" x14ac:dyDescent="0.25">
      <c r="A439"/>
      <c r="B439" s="24" t="str">
        <f t="shared" si="19"/>
        <v>-</v>
      </c>
      <c r="C439" s="24"/>
      <c r="D439" s="24"/>
      <c r="E439" s="24"/>
      <c r="F439" s="24"/>
      <c r="G439"/>
    </row>
    <row r="440" spans="1:7" s="23" customFormat="1" x14ac:dyDescent="0.25">
      <c r="A440"/>
      <c r="B440" s="24" t="str">
        <f t="shared" si="19"/>
        <v>-</v>
      </c>
      <c r="C440" s="24"/>
      <c r="D440" s="24"/>
      <c r="E440" s="24"/>
      <c r="F440" s="24"/>
      <c r="G440"/>
    </row>
    <row r="441" spans="1:7" s="23" customFormat="1" x14ac:dyDescent="0.25">
      <c r="A441"/>
      <c r="B441" s="24" t="str">
        <f t="shared" si="19"/>
        <v>-</v>
      </c>
      <c r="C441" s="24"/>
      <c r="D441" s="24"/>
      <c r="E441" s="24"/>
      <c r="F441" s="24"/>
      <c r="G441"/>
    </row>
    <row r="442" spans="1:7" s="23" customFormat="1" x14ac:dyDescent="0.25">
      <c r="A442"/>
      <c r="B442" s="24" t="str">
        <f t="shared" si="19"/>
        <v>-</v>
      </c>
      <c r="C442" s="24"/>
      <c r="D442" s="24"/>
      <c r="E442" s="24"/>
      <c r="F442" s="24"/>
      <c r="G442"/>
    </row>
    <row r="443" spans="1:7" s="23" customFormat="1" x14ac:dyDescent="0.25">
      <c r="A443"/>
      <c r="B443" s="24" t="str">
        <f t="shared" si="19"/>
        <v>-</v>
      </c>
      <c r="C443" s="24"/>
      <c r="D443" s="24"/>
      <c r="E443" s="24"/>
      <c r="F443" s="24"/>
      <c r="G443"/>
    </row>
    <row r="444" spans="1:7" s="23" customFormat="1" x14ac:dyDescent="0.25">
      <c r="A444"/>
      <c r="B444" s="24" t="str">
        <f t="shared" si="19"/>
        <v>-</v>
      </c>
      <c r="C444" s="24"/>
      <c r="D444" s="24"/>
      <c r="E444" s="24"/>
      <c r="F444" s="24"/>
      <c r="G444"/>
    </row>
    <row r="445" spans="1:7" s="23" customFormat="1" x14ac:dyDescent="0.25">
      <c r="A445"/>
      <c r="B445" s="24" t="str">
        <f t="shared" si="19"/>
        <v>-</v>
      </c>
      <c r="C445" s="24"/>
      <c r="D445" s="24"/>
      <c r="E445" s="24"/>
      <c r="F445" s="24"/>
      <c r="G445"/>
    </row>
    <row r="446" spans="1:7" s="23" customFormat="1" x14ac:dyDescent="0.25">
      <c r="A446"/>
      <c r="B446" s="24" t="str">
        <f t="shared" si="19"/>
        <v>-</v>
      </c>
      <c r="C446" s="24"/>
      <c r="D446" s="24"/>
      <c r="E446" s="24"/>
      <c r="F446" s="24"/>
      <c r="G446"/>
    </row>
    <row r="447" spans="1:7" s="23" customFormat="1" x14ac:dyDescent="0.25">
      <c r="A447"/>
      <c r="B447" s="24" t="str">
        <f t="shared" si="19"/>
        <v>-</v>
      </c>
      <c r="C447" s="24"/>
      <c r="D447" s="24"/>
      <c r="E447" s="24"/>
      <c r="F447" s="24"/>
      <c r="G447"/>
    </row>
    <row r="448" spans="1:7" s="23" customFormat="1" x14ac:dyDescent="0.25">
      <c r="A448"/>
      <c r="B448" s="24" t="str">
        <f t="shared" si="19"/>
        <v>-</v>
      </c>
      <c r="C448" s="24"/>
      <c r="D448" s="24"/>
      <c r="E448" s="24"/>
      <c r="F448" s="24"/>
      <c r="G448"/>
    </row>
    <row r="449" spans="1:7" s="23" customFormat="1" x14ac:dyDescent="0.25">
      <c r="A449"/>
      <c r="B449" s="24" t="str">
        <f t="shared" si="19"/>
        <v>-</v>
      </c>
      <c r="C449" s="24"/>
      <c r="D449" s="24"/>
      <c r="E449" s="24"/>
      <c r="F449" s="24"/>
      <c r="G449"/>
    </row>
    <row r="450" spans="1:7" s="23" customFormat="1" x14ac:dyDescent="0.25">
      <c r="A450"/>
      <c r="B450" s="24" t="str">
        <f t="shared" si="19"/>
        <v>-</v>
      </c>
      <c r="C450" s="24"/>
      <c r="D450" s="24"/>
      <c r="E450" s="24"/>
      <c r="F450" s="24"/>
      <c r="G450"/>
    </row>
    <row r="451" spans="1:7" s="23" customFormat="1" x14ac:dyDescent="0.25">
      <c r="A451"/>
      <c r="B451" s="24" t="str">
        <f t="shared" si="19"/>
        <v>-</v>
      </c>
      <c r="C451" s="24"/>
      <c r="D451" s="24"/>
      <c r="E451" s="24"/>
      <c r="F451" s="24"/>
      <c r="G451"/>
    </row>
    <row r="452" spans="1:7" s="23" customFormat="1" x14ac:dyDescent="0.25">
      <c r="A452"/>
      <c r="B452" s="24" t="str">
        <f t="shared" si="19"/>
        <v>-</v>
      </c>
      <c r="C452" s="24"/>
      <c r="D452" s="24"/>
      <c r="E452" s="24"/>
      <c r="F452" s="24"/>
      <c r="G452"/>
    </row>
    <row r="453" spans="1:7" s="23" customFormat="1" x14ac:dyDescent="0.25">
      <c r="A453"/>
      <c r="B453" s="24" t="str">
        <f t="shared" si="19"/>
        <v>-</v>
      </c>
      <c r="C453" s="24"/>
      <c r="D453" s="24"/>
      <c r="E453" s="24"/>
      <c r="F453" s="24"/>
      <c r="G453"/>
    </row>
    <row r="454" spans="1:7" s="23" customFormat="1" x14ac:dyDescent="0.25">
      <c r="A454"/>
      <c r="B454" s="24" t="str">
        <f t="shared" si="19"/>
        <v>-</v>
      </c>
      <c r="C454" s="24"/>
      <c r="D454" s="24"/>
      <c r="E454" s="24"/>
      <c r="F454" s="24"/>
      <c r="G454"/>
    </row>
    <row r="455" spans="1:7" s="23" customFormat="1" x14ac:dyDescent="0.25">
      <c r="A455"/>
      <c r="B455" s="24" t="str">
        <f t="shared" si="19"/>
        <v>-</v>
      </c>
      <c r="C455" s="24"/>
      <c r="D455" s="24"/>
      <c r="E455" s="24"/>
      <c r="F455" s="24"/>
      <c r="G455"/>
    </row>
    <row r="456" spans="1:7" s="23" customFormat="1" x14ac:dyDescent="0.25">
      <c r="A456"/>
      <c r="B456" s="24" t="str">
        <f t="shared" si="19"/>
        <v>-</v>
      </c>
      <c r="C456" s="24"/>
      <c r="D456" s="24"/>
      <c r="E456" s="24"/>
      <c r="F456" s="24"/>
      <c r="G456"/>
    </row>
    <row r="457" spans="1:7" s="23" customFormat="1" x14ac:dyDescent="0.25">
      <c r="A457"/>
      <c r="B457" s="24" t="str">
        <f t="shared" si="19"/>
        <v>-</v>
      </c>
      <c r="C457" s="24"/>
      <c r="D457" s="24"/>
      <c r="E457" s="24"/>
      <c r="F457" s="24"/>
      <c r="G457"/>
    </row>
    <row r="458" spans="1:7" s="23" customFormat="1" x14ac:dyDescent="0.25">
      <c r="A458"/>
      <c r="B458" s="24" t="str">
        <f t="shared" si="19"/>
        <v>-</v>
      </c>
      <c r="C458" s="24"/>
      <c r="D458" s="24"/>
      <c r="E458" s="24"/>
      <c r="F458" s="24"/>
      <c r="G458"/>
    </row>
    <row r="459" spans="1:7" s="23" customFormat="1" x14ac:dyDescent="0.25">
      <c r="A459"/>
      <c r="B459" s="24" t="str">
        <f t="shared" si="19"/>
        <v>-</v>
      </c>
      <c r="C459" s="24"/>
      <c r="D459" s="24"/>
      <c r="E459" s="24"/>
      <c r="F459" s="24"/>
      <c r="G459"/>
    </row>
    <row r="460" spans="1:7" s="23" customFormat="1" x14ac:dyDescent="0.25">
      <c r="A460"/>
      <c r="B460" s="24" t="str">
        <f t="shared" si="19"/>
        <v>-</v>
      </c>
      <c r="C460" s="24"/>
      <c r="D460" s="24"/>
      <c r="E460" s="24"/>
      <c r="F460" s="24"/>
      <c r="G460"/>
    </row>
    <row r="461" spans="1:7" s="23" customFormat="1" x14ac:dyDescent="0.25">
      <c r="A461"/>
      <c r="B461" s="24" t="str">
        <f t="shared" si="19"/>
        <v>-</v>
      </c>
      <c r="C461" s="24"/>
      <c r="D461" s="24"/>
      <c r="E461" s="24"/>
      <c r="F461" s="24"/>
      <c r="G461"/>
    </row>
    <row r="462" spans="1:7" s="23" customFormat="1" x14ac:dyDescent="0.25">
      <c r="A462"/>
      <c r="B462" s="24" t="str">
        <f t="shared" si="19"/>
        <v>-</v>
      </c>
      <c r="C462" s="24"/>
      <c r="D462" s="24"/>
      <c r="E462" s="24"/>
      <c r="F462" s="24"/>
      <c r="G462"/>
    </row>
    <row r="463" spans="1:7" s="23" customFormat="1" x14ac:dyDescent="0.25">
      <c r="A463"/>
      <c r="B463" s="24" t="str">
        <f t="shared" si="19"/>
        <v>-</v>
      </c>
      <c r="C463" s="24"/>
      <c r="D463" s="24"/>
      <c r="E463" s="24"/>
      <c r="F463" s="24"/>
      <c r="G463"/>
    </row>
    <row r="464" spans="1:7" s="23" customFormat="1" x14ac:dyDescent="0.25">
      <c r="A464"/>
      <c r="B464" s="24" t="str">
        <f t="shared" si="19"/>
        <v>-</v>
      </c>
      <c r="C464" s="24"/>
      <c r="D464" s="24"/>
      <c r="E464" s="24"/>
      <c r="F464" s="24"/>
      <c r="G464"/>
    </row>
    <row r="465" spans="1:7" s="23" customFormat="1" x14ac:dyDescent="0.25">
      <c r="A465"/>
      <c r="B465" s="24" t="str">
        <f t="shared" si="19"/>
        <v>-</v>
      </c>
      <c r="C465" s="24"/>
      <c r="D465" s="24"/>
      <c r="E465" s="24"/>
      <c r="F465" s="24"/>
      <c r="G465"/>
    </row>
    <row r="466" spans="1:7" s="23" customFormat="1" x14ac:dyDescent="0.25">
      <c r="A466"/>
      <c r="B466" s="24" t="str">
        <f t="shared" si="19"/>
        <v>-</v>
      </c>
      <c r="C466" s="24"/>
      <c r="D466" s="24"/>
      <c r="E466" s="24"/>
      <c r="F466" s="24"/>
      <c r="G466"/>
    </row>
    <row r="467" spans="1:7" s="23" customFormat="1" x14ac:dyDescent="0.25">
      <c r="A467"/>
      <c r="B467" s="24" t="str">
        <f t="shared" ref="B467:B505" si="20">IF(A467&gt;A466,1+B466,"-")</f>
        <v>-</v>
      </c>
      <c r="C467" s="24"/>
      <c r="D467" s="24"/>
      <c r="E467" s="24"/>
      <c r="F467" s="24"/>
      <c r="G467"/>
    </row>
    <row r="468" spans="1:7" s="23" customFormat="1" x14ac:dyDescent="0.25">
      <c r="A468"/>
      <c r="B468" s="24" t="str">
        <f t="shared" si="20"/>
        <v>-</v>
      </c>
      <c r="C468" s="24"/>
      <c r="D468" s="24"/>
      <c r="E468" s="24"/>
      <c r="F468" s="24"/>
      <c r="G468"/>
    </row>
    <row r="469" spans="1:7" s="23" customFormat="1" x14ac:dyDescent="0.25">
      <c r="A469"/>
      <c r="B469" s="24" t="str">
        <f t="shared" si="20"/>
        <v>-</v>
      </c>
      <c r="C469" s="24"/>
      <c r="D469" s="24"/>
      <c r="E469" s="24"/>
      <c r="F469" s="24"/>
      <c r="G469"/>
    </row>
    <row r="470" spans="1:7" s="23" customFormat="1" x14ac:dyDescent="0.25">
      <c r="A470"/>
      <c r="B470" s="24" t="str">
        <f t="shared" si="20"/>
        <v>-</v>
      </c>
      <c r="C470" s="24"/>
      <c r="D470" s="24"/>
      <c r="E470" s="24"/>
      <c r="F470" s="24"/>
      <c r="G470"/>
    </row>
    <row r="471" spans="1:7" s="23" customFormat="1" x14ac:dyDescent="0.25">
      <c r="A471"/>
      <c r="B471" s="24" t="str">
        <f t="shared" si="20"/>
        <v>-</v>
      </c>
      <c r="C471" s="24"/>
      <c r="D471" s="24"/>
      <c r="E471" s="24"/>
      <c r="F471" s="24"/>
      <c r="G471"/>
    </row>
    <row r="472" spans="1:7" s="23" customFormat="1" x14ac:dyDescent="0.25">
      <c r="A472"/>
      <c r="B472" s="24" t="str">
        <f t="shared" si="20"/>
        <v>-</v>
      </c>
      <c r="C472" s="24"/>
      <c r="D472" s="24"/>
      <c r="E472" s="24"/>
      <c r="F472" s="24"/>
      <c r="G472"/>
    </row>
    <row r="473" spans="1:7" s="23" customFormat="1" x14ac:dyDescent="0.25">
      <c r="A473"/>
      <c r="B473" s="24" t="str">
        <f t="shared" si="20"/>
        <v>-</v>
      </c>
      <c r="C473" s="24"/>
      <c r="D473" s="24"/>
      <c r="E473" s="24"/>
      <c r="F473" s="24"/>
      <c r="G473"/>
    </row>
    <row r="474" spans="1:7" s="23" customFormat="1" x14ac:dyDescent="0.25">
      <c r="A474"/>
      <c r="B474" s="24" t="str">
        <f t="shared" si="20"/>
        <v>-</v>
      </c>
      <c r="C474" s="24"/>
      <c r="D474" s="24"/>
      <c r="E474" s="24"/>
      <c r="F474" s="24"/>
      <c r="G474"/>
    </row>
    <row r="475" spans="1:7" s="23" customFormat="1" x14ac:dyDescent="0.25">
      <c r="A475"/>
      <c r="B475" s="24" t="str">
        <f t="shared" si="20"/>
        <v>-</v>
      </c>
      <c r="C475" s="24"/>
      <c r="D475" s="24"/>
      <c r="E475" s="24"/>
      <c r="F475" s="24"/>
      <c r="G475"/>
    </row>
    <row r="476" spans="1:7" s="23" customFormat="1" x14ac:dyDescent="0.25">
      <c r="A476"/>
      <c r="B476" s="24" t="str">
        <f t="shared" si="20"/>
        <v>-</v>
      </c>
      <c r="C476" s="24"/>
      <c r="D476" s="24"/>
      <c r="E476" s="24"/>
      <c r="F476" s="24"/>
      <c r="G476"/>
    </row>
    <row r="477" spans="1:7" s="23" customFormat="1" x14ac:dyDescent="0.25">
      <c r="A477"/>
      <c r="B477" s="24" t="str">
        <f t="shared" si="20"/>
        <v>-</v>
      </c>
      <c r="C477" s="24"/>
      <c r="D477" s="24"/>
      <c r="E477" s="24"/>
      <c r="F477" s="24"/>
      <c r="G477"/>
    </row>
    <row r="478" spans="1:7" s="23" customFormat="1" x14ac:dyDescent="0.25">
      <c r="A478"/>
      <c r="B478" s="24" t="str">
        <f t="shared" si="20"/>
        <v>-</v>
      </c>
      <c r="C478" s="24"/>
      <c r="D478" s="24"/>
      <c r="E478" s="24"/>
      <c r="F478" s="24"/>
      <c r="G478"/>
    </row>
    <row r="479" spans="1:7" s="23" customFormat="1" x14ac:dyDescent="0.25">
      <c r="A479"/>
      <c r="B479" s="24" t="str">
        <f t="shared" si="20"/>
        <v>-</v>
      </c>
      <c r="C479" s="24"/>
      <c r="D479" s="24"/>
      <c r="E479" s="24"/>
      <c r="F479" s="24"/>
      <c r="G479"/>
    </row>
    <row r="480" spans="1:7" s="23" customFormat="1" x14ac:dyDescent="0.25">
      <c r="A480"/>
      <c r="B480" s="24" t="str">
        <f t="shared" si="20"/>
        <v>-</v>
      </c>
      <c r="C480" s="24"/>
      <c r="D480" s="24"/>
      <c r="E480" s="24"/>
      <c r="F480" s="24"/>
      <c r="G480"/>
    </row>
    <row r="481" spans="1:7" s="23" customFormat="1" x14ac:dyDescent="0.25">
      <c r="A481"/>
      <c r="B481" s="24" t="str">
        <f t="shared" si="20"/>
        <v>-</v>
      </c>
      <c r="C481" s="24"/>
      <c r="D481" s="24"/>
      <c r="E481" s="24"/>
      <c r="F481" s="24"/>
      <c r="G481"/>
    </row>
    <row r="482" spans="1:7" s="23" customFormat="1" x14ac:dyDescent="0.25">
      <c r="A482"/>
      <c r="B482" s="24" t="str">
        <f t="shared" si="20"/>
        <v>-</v>
      </c>
      <c r="C482" s="24"/>
      <c r="D482" s="24"/>
      <c r="E482" s="24"/>
      <c r="F482" s="24"/>
      <c r="G482"/>
    </row>
    <row r="483" spans="1:7" s="23" customFormat="1" x14ac:dyDescent="0.25">
      <c r="A483"/>
      <c r="B483" s="24" t="str">
        <f t="shared" si="20"/>
        <v>-</v>
      </c>
      <c r="C483" s="24"/>
      <c r="D483" s="24"/>
      <c r="E483" s="24"/>
      <c r="F483" s="24"/>
      <c r="G483"/>
    </row>
    <row r="484" spans="1:7" s="23" customFormat="1" x14ac:dyDescent="0.25">
      <c r="A484"/>
      <c r="B484" s="24" t="str">
        <f t="shared" si="20"/>
        <v>-</v>
      </c>
      <c r="C484" s="24"/>
      <c r="D484" s="24"/>
      <c r="E484" s="24"/>
      <c r="F484" s="24"/>
      <c r="G484"/>
    </row>
    <row r="485" spans="1:7" s="23" customFormat="1" x14ac:dyDescent="0.25">
      <c r="A485"/>
      <c r="B485" s="24" t="str">
        <f t="shared" si="20"/>
        <v>-</v>
      </c>
      <c r="C485" s="24"/>
      <c r="D485" s="24"/>
      <c r="E485" s="24"/>
      <c r="F485" s="24"/>
      <c r="G485"/>
    </row>
    <row r="486" spans="1:7" s="23" customFormat="1" x14ac:dyDescent="0.25">
      <c r="A486"/>
      <c r="B486" s="24" t="str">
        <f t="shared" si="20"/>
        <v>-</v>
      </c>
      <c r="C486" s="24"/>
      <c r="D486" s="24"/>
      <c r="E486" s="24"/>
      <c r="F486" s="24"/>
      <c r="G486"/>
    </row>
    <row r="487" spans="1:7" s="23" customFormat="1" x14ac:dyDescent="0.25">
      <c r="A487"/>
      <c r="B487" s="24" t="str">
        <f t="shared" si="20"/>
        <v>-</v>
      </c>
      <c r="C487" s="24"/>
      <c r="D487" s="24"/>
      <c r="E487" s="24"/>
      <c r="F487" s="24"/>
      <c r="G487"/>
    </row>
    <row r="488" spans="1:7" s="23" customFormat="1" x14ac:dyDescent="0.25">
      <c r="A488"/>
      <c r="B488" s="24" t="str">
        <f t="shared" si="20"/>
        <v>-</v>
      </c>
      <c r="C488" s="24"/>
      <c r="D488" s="24"/>
      <c r="E488" s="24"/>
      <c r="F488" s="24"/>
      <c r="G488"/>
    </row>
    <row r="489" spans="1:7" s="23" customFormat="1" x14ac:dyDescent="0.25">
      <c r="A489"/>
      <c r="B489" s="24" t="str">
        <f t="shared" si="20"/>
        <v>-</v>
      </c>
      <c r="C489" s="24"/>
      <c r="D489" s="24"/>
      <c r="E489" s="24"/>
      <c r="F489" s="24"/>
      <c r="G489"/>
    </row>
    <row r="490" spans="1:7" s="23" customFormat="1" x14ac:dyDescent="0.25">
      <c r="A490"/>
      <c r="B490" s="24" t="str">
        <f t="shared" si="20"/>
        <v>-</v>
      </c>
      <c r="C490" s="24"/>
      <c r="D490" s="24"/>
      <c r="E490" s="24"/>
      <c r="F490" s="24"/>
      <c r="G490"/>
    </row>
    <row r="491" spans="1:7" s="23" customFormat="1" x14ac:dyDescent="0.25">
      <c r="A491"/>
      <c r="B491" s="24" t="str">
        <f t="shared" si="20"/>
        <v>-</v>
      </c>
      <c r="C491" s="24"/>
      <c r="D491" s="24"/>
      <c r="E491" s="24"/>
      <c r="F491" s="24"/>
      <c r="G491"/>
    </row>
    <row r="492" spans="1:7" s="23" customFormat="1" x14ac:dyDescent="0.25">
      <c r="A492"/>
      <c r="B492" s="24" t="str">
        <f t="shared" si="20"/>
        <v>-</v>
      </c>
      <c r="C492" s="24"/>
      <c r="D492" s="24"/>
      <c r="E492" s="24"/>
      <c r="F492" s="24"/>
      <c r="G492"/>
    </row>
    <row r="493" spans="1:7" s="23" customFormat="1" x14ac:dyDescent="0.25">
      <c r="A493"/>
      <c r="B493" s="24" t="str">
        <f t="shared" si="20"/>
        <v>-</v>
      </c>
      <c r="C493" s="24"/>
      <c r="D493" s="24"/>
      <c r="E493" s="24"/>
      <c r="F493" s="24"/>
      <c r="G493"/>
    </row>
    <row r="494" spans="1:7" s="23" customFormat="1" x14ac:dyDescent="0.25">
      <c r="A494"/>
      <c r="B494" s="24" t="str">
        <f t="shared" si="20"/>
        <v>-</v>
      </c>
      <c r="C494" s="24"/>
      <c r="D494" s="24"/>
      <c r="E494" s="24"/>
      <c r="F494" s="24"/>
      <c r="G494"/>
    </row>
    <row r="495" spans="1:7" s="23" customFormat="1" x14ac:dyDescent="0.25">
      <c r="A495"/>
      <c r="B495" s="24" t="str">
        <f t="shared" si="20"/>
        <v>-</v>
      </c>
      <c r="C495" s="24"/>
      <c r="D495" s="24"/>
      <c r="E495" s="24"/>
      <c r="F495" s="24"/>
      <c r="G495"/>
    </row>
    <row r="496" spans="1:7" s="23" customFormat="1" x14ac:dyDescent="0.25">
      <c r="A496"/>
      <c r="B496" s="24" t="str">
        <f t="shared" si="20"/>
        <v>-</v>
      </c>
      <c r="C496" s="24"/>
      <c r="D496" s="24"/>
      <c r="E496" s="24"/>
      <c r="F496" s="24"/>
      <c r="G496"/>
    </row>
    <row r="497" spans="1:7" s="23" customFormat="1" x14ac:dyDescent="0.25">
      <c r="A497"/>
      <c r="B497" s="24" t="str">
        <f t="shared" si="20"/>
        <v>-</v>
      </c>
      <c r="C497" s="24"/>
      <c r="D497" s="24"/>
      <c r="E497" s="24"/>
      <c r="F497" s="24"/>
      <c r="G497"/>
    </row>
    <row r="498" spans="1:7" s="23" customFormat="1" x14ac:dyDescent="0.25">
      <c r="A498"/>
      <c r="B498" s="24" t="str">
        <f t="shared" si="20"/>
        <v>-</v>
      </c>
      <c r="C498" s="24"/>
      <c r="D498" s="24"/>
      <c r="E498" s="24"/>
      <c r="F498" s="24"/>
      <c r="G498"/>
    </row>
    <row r="499" spans="1:7" s="23" customFormat="1" x14ac:dyDescent="0.25">
      <c r="A499"/>
      <c r="B499" s="24" t="str">
        <f t="shared" si="20"/>
        <v>-</v>
      </c>
      <c r="C499" s="24"/>
      <c r="D499" s="24"/>
      <c r="E499" s="24"/>
      <c r="F499" s="24"/>
      <c r="G499"/>
    </row>
    <row r="500" spans="1:7" s="23" customFormat="1" x14ac:dyDescent="0.25">
      <c r="A500"/>
      <c r="B500" s="24" t="str">
        <f t="shared" si="20"/>
        <v>-</v>
      </c>
      <c r="C500" s="24"/>
      <c r="D500" s="24"/>
      <c r="E500" s="24"/>
      <c r="F500" s="24"/>
      <c r="G500"/>
    </row>
    <row r="501" spans="1:7" s="23" customFormat="1" x14ac:dyDescent="0.25">
      <c r="A501"/>
      <c r="B501" s="24" t="str">
        <f t="shared" si="20"/>
        <v>-</v>
      </c>
      <c r="C501" s="24"/>
      <c r="D501" s="24"/>
      <c r="E501" s="24"/>
      <c r="F501" s="24"/>
      <c r="G501"/>
    </row>
    <row r="502" spans="1:7" s="23" customFormat="1" x14ac:dyDescent="0.25">
      <c r="A502"/>
      <c r="B502" s="24" t="str">
        <f t="shared" si="20"/>
        <v>-</v>
      </c>
      <c r="C502" s="24"/>
      <c r="D502" s="24"/>
      <c r="E502" s="24"/>
      <c r="F502" s="24"/>
      <c r="G502"/>
    </row>
    <row r="503" spans="1:7" s="23" customFormat="1" x14ac:dyDescent="0.25">
      <c r="A503"/>
      <c r="B503" s="24" t="str">
        <f t="shared" si="20"/>
        <v>-</v>
      </c>
      <c r="C503" s="24"/>
      <c r="D503" s="24"/>
      <c r="E503" s="24"/>
      <c r="F503" s="24"/>
      <c r="G503"/>
    </row>
    <row r="504" spans="1:7" s="23" customFormat="1" x14ac:dyDescent="0.25">
      <c r="A504"/>
      <c r="B504" s="24" t="str">
        <f t="shared" si="20"/>
        <v>-</v>
      </c>
      <c r="C504" s="24"/>
      <c r="D504" s="24"/>
      <c r="E504" s="24"/>
      <c r="F504" s="24"/>
      <c r="G504"/>
    </row>
    <row r="505" spans="1:7" s="23" customFormat="1" x14ac:dyDescent="0.25">
      <c r="A505"/>
      <c r="B505" s="24" t="str">
        <f t="shared" si="20"/>
        <v>-</v>
      </c>
      <c r="C505" s="24"/>
      <c r="D505" s="24"/>
      <c r="E505" s="24"/>
      <c r="F505" s="24"/>
      <c r="G505"/>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dimension ref="A1:AP506"/>
  <sheetViews>
    <sheetView workbookViewId="0">
      <pane xSplit="2" ySplit="15" topLeftCell="C145" activePane="bottomRight" state="frozen"/>
      <selection pane="topRight" activeCell="L16" sqref="L16:L53"/>
      <selection pane="bottomLeft" activeCell="L16" sqref="L16:L53"/>
      <selection pane="bottomRight" activeCell="A161" sqref="A161"/>
    </sheetView>
  </sheetViews>
  <sheetFormatPr defaultColWidth="11" defaultRowHeight="15.75" x14ac:dyDescent="0.25"/>
  <cols>
    <col min="1" max="1" width="13.125" customWidth="1"/>
    <col min="2" max="2" width="4.5" style="23" hidden="1" customWidth="1"/>
    <col min="3" max="3" width="19.125" style="23" bestFit="1" customWidth="1"/>
    <col min="4" max="4" width="10.125" style="23" bestFit="1" customWidth="1"/>
    <col min="5" max="5" width="11.625" style="2" bestFit="1" customWidth="1"/>
    <col min="6" max="6" width="7" bestFit="1" customWidth="1"/>
    <col min="7" max="7" width="9.125" bestFit="1" customWidth="1"/>
    <col min="8" max="8" width="10.125" bestFit="1" customWidth="1"/>
    <col min="9" max="9" width="11.625" bestFit="1" customWidth="1"/>
    <col min="10" max="10" width="1.625" customWidth="1"/>
    <col min="11" max="11" width="12.5" customWidth="1"/>
    <col min="12" max="12" width="10.125" bestFit="1" customWidth="1"/>
    <col min="13" max="13" width="13.625" bestFit="1" customWidth="1"/>
    <col min="14" max="14" width="7.125" style="3" bestFit="1" customWidth="1"/>
    <col min="15" max="15" width="9.125" bestFit="1" customWidth="1"/>
    <col min="16" max="16" width="9.125" customWidth="1"/>
    <col min="17" max="17" width="1.625" customWidth="1"/>
    <col min="18" max="18" width="12.125" customWidth="1"/>
    <col min="19" max="19" width="10.125" bestFit="1" customWidth="1"/>
    <col min="20" max="20" width="13.625" bestFit="1" customWidth="1"/>
    <col min="21" max="21" width="7.125" bestFit="1" customWidth="1"/>
    <col min="22" max="22" width="9.125" bestFit="1" customWidth="1"/>
    <col min="23" max="23" width="9.125" customWidth="1"/>
    <col min="24" max="24" width="2" customWidth="1"/>
  </cols>
  <sheetData>
    <row r="1" spans="1:24" x14ac:dyDescent="0.25">
      <c r="C1" s="13"/>
      <c r="D1" s="74" t="s">
        <v>161</v>
      </c>
      <c r="E1" s="14"/>
      <c r="F1" s="15"/>
      <c r="J1" s="39"/>
      <c r="K1" s="7" t="s">
        <v>38</v>
      </c>
      <c r="L1" s="13"/>
      <c r="M1" s="13"/>
      <c r="N1" s="14"/>
      <c r="O1" s="15"/>
      <c r="P1" s="15"/>
      <c r="Q1" s="39"/>
      <c r="R1" s="73" t="s">
        <v>162</v>
      </c>
      <c r="S1" s="13"/>
      <c r="T1" s="13"/>
      <c r="U1" s="14"/>
      <c r="V1" s="15"/>
      <c r="W1" s="15"/>
      <c r="X1" s="39"/>
    </row>
    <row r="2" spans="1:24" ht="16.5" thickBot="1" x14ac:dyDescent="0.3">
      <c r="C2" s="36"/>
      <c r="D2" s="7"/>
      <c r="E2" s="16"/>
      <c r="F2" s="16"/>
      <c r="G2" s="16"/>
      <c r="J2" s="39"/>
      <c r="L2" s="16"/>
      <c r="M2" s="36"/>
      <c r="N2" s="33"/>
      <c r="O2" s="16"/>
      <c r="P2" s="16"/>
      <c r="Q2" s="39"/>
      <c r="S2" s="16"/>
      <c r="T2" s="36"/>
      <c r="U2" s="16"/>
      <c r="V2" s="16"/>
      <c r="W2" s="16"/>
      <c r="X2" s="39"/>
    </row>
    <row r="3" spans="1:24" ht="16.5" thickBot="1" x14ac:dyDescent="0.3">
      <c r="C3" s="7" t="s">
        <v>163</v>
      </c>
      <c r="D3" s="26">
        <v>0</v>
      </c>
      <c r="E3" s="16"/>
      <c r="F3" s="16"/>
      <c r="G3" s="16"/>
      <c r="H3" s="16"/>
      <c r="J3" s="39"/>
      <c r="L3" s="16"/>
      <c r="M3" s="16"/>
      <c r="N3" s="33"/>
      <c r="O3" s="16"/>
      <c r="P3" s="16"/>
      <c r="Q3" s="39"/>
      <c r="R3" s="43" t="s">
        <v>40</v>
      </c>
      <c r="S3" s="42">
        <f ca="1">F12</f>
        <v>0.64675139906016754</v>
      </c>
      <c r="T3" s="16"/>
      <c r="U3" s="16"/>
      <c r="V3" s="16"/>
      <c r="W3" s="16"/>
      <c r="X3" s="39"/>
    </row>
    <row r="4" spans="1:24" x14ac:dyDescent="0.25">
      <c r="C4" s="7"/>
      <c r="D4" s="16" t="s">
        <v>41</v>
      </c>
      <c r="E4" s="23" t="s">
        <v>42</v>
      </c>
      <c r="F4" s="17" t="s">
        <v>43</v>
      </c>
      <c r="G4" s="35" t="s">
        <v>44</v>
      </c>
      <c r="H4" s="17" t="s">
        <v>45</v>
      </c>
      <c r="J4" s="39"/>
      <c r="L4" s="23" t="s">
        <v>41</v>
      </c>
      <c r="M4" s="23" t="s">
        <v>42</v>
      </c>
      <c r="N4" s="17" t="s">
        <v>43</v>
      </c>
      <c r="O4" s="35" t="s">
        <v>44</v>
      </c>
      <c r="P4" s="17" t="s">
        <v>45</v>
      </c>
      <c r="Q4" s="40"/>
      <c r="S4" s="23" t="s">
        <v>41</v>
      </c>
      <c r="T4" s="23" t="s">
        <v>42</v>
      </c>
      <c r="U4" s="17" t="s">
        <v>43</v>
      </c>
      <c r="V4" s="35" t="s">
        <v>44</v>
      </c>
      <c r="W4" s="17" t="s">
        <v>45</v>
      </c>
      <c r="X4" s="40"/>
    </row>
    <row r="5" spans="1:24" x14ac:dyDescent="0.25">
      <c r="B5" s="23" t="e">
        <f ca="1">MAX(B16:B506)-VLOOKUP(DATE(YEAR(TODAY())-1,12,31),A:B,2,0)</f>
        <v>#N/A</v>
      </c>
      <c r="C5" s="7" t="s">
        <v>7</v>
      </c>
      <c r="D5" s="16" t="str">
        <f t="array" aca="1" ref="D5" ca="1">IFERROR((GEOMEAN(1+OFFSET(D$16,MAX($B$16:$B$506)-$B$5+1,0,$B$5,1)/100)^$B$5-1)*100,"N/A")</f>
        <v>N/A</v>
      </c>
      <c r="E5" s="36" t="str">
        <f t="shared" ref="E5:E13" ca="1" si="0">IFERROR(D5-$L5,"N/A")</f>
        <v>N/A</v>
      </c>
      <c r="F5" s="16" t="str">
        <f ca="1">IFERROR(SLOPE(OFFSET(D$16,MAX($B$16:$B$506)-$B$5+1,0,$B$5,1),OFFSET($L$16,MAX($B$16:$B$506)-$B$5+1,0,$B$5,1)),"N/A")</f>
        <v>N/A</v>
      </c>
      <c r="G5" s="16" t="str">
        <f t="array" aca="1" ref="G5" ca="1">IFERROR(INTERCEPT(OFFSET(D$16,MAX($B$16:$B$506)-$B$5+1,0,$B$5,1),OFFSET($L$16,MAX($B$16:$B$506)-$B$5+1,0,$B$5,1))*12,"N/A")</f>
        <v>N/A</v>
      </c>
      <c r="H5" s="16" t="str">
        <f ca="1">IFERROR(STDEVP(OFFSET(D$16,MAX($B$16:$B$506)-$B$5+1,0,$B$5,1))*SQRT(12),"N/A")</f>
        <v>N/A</v>
      </c>
      <c r="J5" s="39"/>
      <c r="K5" s="7" t="s">
        <v>7</v>
      </c>
      <c r="L5" s="16" t="str">
        <f t="array" aca="1" ref="L5" ca="1">IFERROR((GEOMEAN(1+OFFSET(L$16,MAX($B$16:$B$506)-$B$5+1,0,$B$5,1)/100)^$B$5-1)*100,"N/A")</f>
        <v>N/A</v>
      </c>
      <c r="M5" s="36" t="str">
        <f ca="1">IFERROR(L5-$L5,"N/A")</f>
        <v>N/A</v>
      </c>
      <c r="N5" s="16" t="str">
        <f ca="1">IFERROR(SLOPE(OFFSET(L$16,MAX($B$16:$B$506)-$B$5+1,0,$B$5,1),OFFSET($L$16,MAX($B$16:$B$506)-$B$5+1,0,$B$5,1)),"N/A")</f>
        <v>N/A</v>
      </c>
      <c r="O5" s="16" t="str">
        <f t="array" aca="1" ref="O5" ca="1">IFERROR(INTERCEPT(OFFSET(L$16,MAX($B$16:$B$506)-$B$5+1,0,$B$5,1),OFFSET($L$16,MAX($B$16:$B$506)-$B$5+1,0,$B$5,1))*12,"N/A")</f>
        <v>N/A</v>
      </c>
      <c r="P5" s="16" t="str">
        <f ca="1">IFERROR(STDEVP(OFFSET(L$16,MAX($B$16:$B$506)-$B$5+1,0,$B$5,1))*SQRT(12),"N/A")</f>
        <v>N/A</v>
      </c>
      <c r="Q5" s="39"/>
      <c r="R5" s="7" t="s">
        <v>7</v>
      </c>
      <c r="S5" s="16" t="str">
        <f t="array" aca="1" ref="S5" ca="1">IFERROR((GEOMEAN(1+OFFSET(S$16,MAX($B$16:$B$506)-$B$5+1,0,$B$5,1)/100)^$B$5-1)*100,"N/A")</f>
        <v>N/A</v>
      </c>
      <c r="T5" s="36" t="str">
        <f ca="1">IFERROR(S5-$L5,"N/A")</f>
        <v>N/A</v>
      </c>
      <c r="U5" s="16" t="str">
        <f ca="1">IFERROR(SLOPE(OFFSET(S$16,MAX($B$16:$B$506)-$B$5+1,0,$B$5,1),OFFSET($L$16,MAX($B$16:$B$506)-$B$5+1,0,$B$5,1)),"N/A")</f>
        <v>N/A</v>
      </c>
      <c r="V5" s="16" t="str">
        <f t="array" aca="1" ref="V5" ca="1">IFERROR(INTERCEPT(OFFSET(S$16,MAX($B$16:$B$506)-$B$5+1,0,$B$5,1),OFFSET($L$16,MAX($B$16:$B$506)-$B$5+1,0,$B$5,1))*12,"N/A")</f>
        <v>N/A</v>
      </c>
      <c r="W5" s="16" t="str">
        <f ca="1">IFERROR(STDEVP(OFFSET(S$16,MAX($B$16:$B$506)-$B$5+1,0,$B$5,1))*SQRT(12),"N/A")</f>
        <v>N/A</v>
      </c>
      <c r="X5" s="40"/>
    </row>
    <row r="6" spans="1:24" x14ac:dyDescent="0.25">
      <c r="C6" s="7" t="s">
        <v>46</v>
      </c>
      <c r="D6" s="16">
        <f t="array" aca="1" ref="D6" ca="1">IFERROR((GEOMEAN(1+OFFSET(D$16,MAX($B$16:$B$506)-11,0,12,1)/100)^12-1)*100,"N/A")</f>
        <v>5.1385658427024694</v>
      </c>
      <c r="E6" s="36">
        <f t="shared" ca="1" si="0"/>
        <v>-19.842318178975617</v>
      </c>
      <c r="F6" s="16">
        <f ca="1">IFERROR(SLOPE(OFFSET(D$16,MAX($B$16:$B$506)-11,0,12,1),OFFSET($L$16,MAX($B$16:$B$506)-11,0,12,1)),"N/A")</f>
        <v>0.95730295101950957</v>
      </c>
      <c r="G6" s="16">
        <f ca="1">IFERROR(INTERCEPT(OFFSET(D$16,MAX($B$16:$B$506)-11,0,12,1),OFFSET($L$16,MAX($B$16:$B$506)-11,0,12,1))*12,"N/A")</f>
        <v>-11.948336196335818</v>
      </c>
      <c r="H6" s="16">
        <f ca="1">IFERROR(STDEVP(OFFSET(D$16,MAX($B$16:$B$506)-11,0,12,1))*SQRT(12),"N/A")</f>
        <v>9.5166676396185537</v>
      </c>
      <c r="J6" s="39"/>
      <c r="K6" s="7" t="s">
        <v>46</v>
      </c>
      <c r="L6" s="16">
        <f t="array" aca="1" ref="L6" ca="1">IFERROR((GEOMEAN(1+OFFSET(L$16,MAX($B$16:$B$506)-11,0,12,1)/100)^12-1)*100,"N/A")</f>
        <v>24.980884021678087</v>
      </c>
      <c r="M6" s="36">
        <f t="shared" ref="M6:M13" ca="1" si="1">IFERROR(L6-$L6,"N/A")</f>
        <v>0</v>
      </c>
      <c r="N6" s="16">
        <f ca="1">IFERROR(SLOPE(OFFSET(L$16,MAX($B$16:$B$506)-11,0,12,1),OFFSET($L$16,MAX($B$16:$B$506)-11,0,12,1)),"N/A")</f>
        <v>1</v>
      </c>
      <c r="O6" s="16">
        <f ca="1">IFERROR(INTERCEPT(OFFSET(L$16,MAX($B$16:$B$506)-11,0,12,1),OFFSET($L$16,MAX($B$16:$B$506)-11,0,12,1))*12,"N/A")</f>
        <v>0</v>
      </c>
      <c r="P6" s="16">
        <f ca="1">IFERROR(STDEVP(OFFSET(L$16,MAX($B$16:$B$506)-11,0,12,1))*SQRT(12),"N/A")</f>
        <v>7.7458634121703955</v>
      </c>
      <c r="Q6" s="41"/>
      <c r="R6" s="7" t="s">
        <v>46</v>
      </c>
      <c r="S6" s="16">
        <f t="array" aca="1" ref="S6" ca="1">IFERROR((GEOMEAN(1+OFFSET(S$16,MAX($B$16:$B$506)-11,0,12,1)/100)^12-1)*100,"N/A")</f>
        <v>0</v>
      </c>
      <c r="T6" s="36">
        <f t="shared" ref="T6:T13" ca="1" si="2">IFERROR(S6-$L6,"N/A")</f>
        <v>-24.980884021678087</v>
      </c>
      <c r="U6" s="16" t="str">
        <f ca="1">IFERROR(SLOPE(OFFSET(S$16,MAX($B$16:$B$506)-11,0,12,1),OFFSET($L$16,MAX($B$16:$B$506)-11,0,12,1)),"N/A")</f>
        <v>N/A</v>
      </c>
      <c r="V6" s="16" t="str">
        <f ca="1">IFERROR(INTERCEPT(OFFSET(S$16,MAX($B$16:$B$506)-11,0,12,1),OFFSET($L$16,MAX($B$16:$B$506)-11,0,12,1))*12,"N/A")</f>
        <v>N/A</v>
      </c>
      <c r="W6" s="16" t="str">
        <f ca="1">IFERROR(STDEVP(OFFSET(S$16,MAX($B$16:$B$506)-11,0,12,1))*SQRT(12),"N/A")</f>
        <v>N/A</v>
      </c>
      <c r="X6" s="41"/>
    </row>
    <row r="7" spans="1:24" x14ac:dyDescent="0.25">
      <c r="C7" s="7" t="s">
        <v>47</v>
      </c>
      <c r="D7" s="16">
        <f t="array" aca="1" ref="D7" ca="1">IFERROR((GEOMEAN(1+OFFSET(D$16,MAX($B$16:$B$506)-23,0,24,1)/100)^12-1)*100,"N/A")</f>
        <v>1.779828938368988</v>
      </c>
      <c r="E7" s="36">
        <f t="shared" ca="1" si="0"/>
        <v>-6.5134775436255001</v>
      </c>
      <c r="F7" s="16">
        <f ca="1">IFERROR(SLOPE(OFFSET(D$16,MAX($B$16:$B$506)-23,0,24,1),OFFSET($L$16,MAX($B$16:$B$506)-23,0,24,1)),"N/A")</f>
        <v>0.71537654740724876</v>
      </c>
      <c r="G7" s="16">
        <f ca="1">IFERROR(INTERCEPT(OFFSET(D$16,MAX($B$16:$B$506)-23,0,24,1),OFFSET($L$16,MAX($B$16:$B$506)-23,0,24,1))*12,"N/A")</f>
        <v>-1.2948139907039133</v>
      </c>
      <c r="H7" s="16">
        <f ca="1">IFERROR(STDEVP(OFFSET(D$16,MAX($B$16:$B$506)-23,0,24,1))*SQRT(12),"N/A")</f>
        <v>10.17794761664034</v>
      </c>
      <c r="J7" s="39"/>
      <c r="K7" s="7" t="s">
        <v>47</v>
      </c>
      <c r="L7" s="16">
        <f t="array" aca="1" ref="L7" ca="1">IFERROR((GEOMEAN(1+OFFSET(L$16,MAX($B$16:$B$506)-23,0,24,1)/100)^12-1)*100,"N/A")</f>
        <v>8.2933064819944882</v>
      </c>
      <c r="M7" s="36">
        <f t="shared" ca="1" si="1"/>
        <v>0</v>
      </c>
      <c r="N7" s="16">
        <f ca="1">IFERROR(SLOPE(OFFSET(L$16,MAX($B$16:$B$506)-23,0,24,1),OFFSET($L$16,MAX($B$16:$B$506)-23,0,24,1)),"N/A")</f>
        <v>1</v>
      </c>
      <c r="O7" s="16">
        <f ca="1">IFERROR(INTERCEPT(OFFSET(L$16,MAX($B$16:$B$506)-23,0,24,1),OFFSET($L$16,MAX($B$16:$B$506)-23,0,24,1))*12,"N/A")</f>
        <v>0</v>
      </c>
      <c r="P7" s="16">
        <f ca="1">IFERROR(STDEVP(OFFSET(L$16,MAX($B$16:$B$506)-23,0,24,1))*SQRT(12),"N/A")</f>
        <v>11.071308263555244</v>
      </c>
      <c r="Q7" s="41"/>
      <c r="R7" s="7" t="s">
        <v>47</v>
      </c>
      <c r="S7" s="16">
        <f t="array" aca="1" ref="S7" ca="1">IFERROR((GEOMEAN(1+OFFSET(S$16,MAX($B$16:$B$506)-23,0,24,1)/100)^12-1)*100,"N/A")</f>
        <v>-1.234294061695429</v>
      </c>
      <c r="T7" s="36">
        <f t="shared" ca="1" si="2"/>
        <v>-9.5276005436899176</v>
      </c>
      <c r="U7" s="16">
        <f ca="1">IFERROR(SLOPE(OFFSET(S$16,MAX($B$16:$B$506)-23,0,24,1),OFFSET($L$16,MAX($B$16:$B$506)-23,0,24,1)),"N/A")</f>
        <v>0.83013953168177168</v>
      </c>
      <c r="V7" s="16">
        <f ca="1">IFERROR(INTERCEPT(OFFSET(S$16,MAX($B$16:$B$506)-23,0,24,1),OFFSET($L$16,MAX($B$16:$B$506)-23,0,24,1))*12,"N/A")</f>
        <v>7.0951489279986113</v>
      </c>
      <c r="W7" s="16">
        <f ca="1">IFERROR(STDEVP(OFFSET(S$16,MAX($B$16:$B$506)-23,0,24,1))*SQRT(12),"N/A")</f>
        <v>9.2882967837412007</v>
      </c>
      <c r="X7" s="41"/>
    </row>
    <row r="8" spans="1:24" x14ac:dyDescent="0.25">
      <c r="C8" s="7" t="s">
        <v>48</v>
      </c>
      <c r="D8" s="16">
        <f t="array" aca="1" ref="D8" ca="1">IFERROR((GEOMEAN(1+OFFSET(D$16,MAX($B$16:$B$506)-35,0,36,1)/100)^12-1)*100,"N/A")</f>
        <v>5.8664076905100782</v>
      </c>
      <c r="E8" s="36">
        <f t="shared" ca="1" si="0"/>
        <v>-4.784247049851853</v>
      </c>
      <c r="F8" s="16">
        <f ca="1">IFERROR(SLOPE(OFFSET(D$16,MAX($B$16:$B$506)-35,0,36,1),OFFSET($L$16,MAX($B$16:$B$506)-35,0,36,1)),"N/A")</f>
        <v>0.71406806345272178</v>
      </c>
      <c r="G8" s="16">
        <f ca="1">IFERROR(INTERCEPT(OFFSET(D$16,MAX($B$16:$B$506)-35,0,36,1),OFFSET($L$16,MAX($B$16:$B$506)-35,0,36,1))*12,"N/A")</f>
        <v>0.36451352138531323</v>
      </c>
      <c r="H8" s="16">
        <f ca="1">IFERROR(STDEVP(OFFSET(D$16,MAX($B$16:$B$506)-35,0,36,1))*SQRT(12),"N/A")</f>
        <v>9.1530502826426119</v>
      </c>
      <c r="J8" s="39"/>
      <c r="K8" s="7" t="s">
        <v>48</v>
      </c>
      <c r="L8" s="16">
        <f t="array" aca="1" ref="L8" ca="1">IFERROR((GEOMEAN(1+OFFSET(L$16,MAX($B$16:$B$506)-35,0,36,1)/100)^12-1)*100,"N/A")</f>
        <v>10.650654740361931</v>
      </c>
      <c r="M8" s="36">
        <f t="shared" ca="1" si="1"/>
        <v>0</v>
      </c>
      <c r="N8" s="16">
        <f ca="1">IFERROR(SLOPE(OFFSET(L$16,MAX($B$16:$B$506)-35,0,36,1),OFFSET($L$16,MAX($B$16:$B$506)-35,0,36,1)),"N/A")</f>
        <v>1</v>
      </c>
      <c r="O8" s="16">
        <f ca="1">IFERROR(INTERCEPT(OFFSET(L$16,MAX($B$16:$B$506)-35,0,36,1),OFFSET($L$16,MAX($B$16:$B$506)-35,0,36,1))*12,"N/A")</f>
        <v>0</v>
      </c>
      <c r="P8" s="16">
        <f ca="1">IFERROR(STDEVP(OFFSET(L$16,MAX($B$16:$B$506)-35,0,36,1))*SQRT(12),"N/A")</f>
        <v>10.249889385130331</v>
      </c>
      <c r="Q8" s="41"/>
      <c r="R8" s="7" t="s">
        <v>48</v>
      </c>
      <c r="S8" s="16">
        <f t="array" aca="1" ref="S8" ca="1">IFERROR((GEOMEAN(1+OFFSET(S$16,MAX($B$16:$B$506)-35,0,36,1)/100)^12-1)*100,"N/A")</f>
        <v>4.9204346195524495</v>
      </c>
      <c r="T8" s="36">
        <f t="shared" ca="1" si="2"/>
        <v>-5.7302201208094816</v>
      </c>
      <c r="U8" s="16">
        <f ca="1">IFERROR(SLOPE(OFFSET(S$16,MAX($B$16:$B$506)-35,0,36,1),OFFSET($L$16,MAX($B$16:$B$506)-35,0,36,1)),"N/A")</f>
        <v>0.73498988875157245</v>
      </c>
      <c r="V8" s="16">
        <f ca="1">IFERROR(INTERCEPT(OFFSET(S$16,MAX($B$16:$B$506)-35,0,36,1),OFFSET($L$16,MAX($B$16:$B$506)-35,0,36,1))*12,"N/A")</f>
        <v>6.1280669044823455</v>
      </c>
      <c r="W8" s="16">
        <f ca="1">IFERROR(STDEVP(OFFSET(S$16,MAX($B$16:$B$506)-35,0,36,1))*SQRT(12),"N/A")</f>
        <v>8.0856358392650698</v>
      </c>
      <c r="X8" s="41"/>
    </row>
    <row r="9" spans="1:24" x14ac:dyDescent="0.25">
      <c r="C9" s="7" t="s">
        <v>49</v>
      </c>
      <c r="D9" s="16">
        <f t="array" aca="1" ref="D9" ca="1">IFERROR((GEOMEAN(1+OFFSET(D$16,MAX($B$16:$B$506)-47,0,48,1)/100)^12-1)*100,"N/A")</f>
        <v>8.4694463019022734</v>
      </c>
      <c r="E9" s="36">
        <f t="shared" ca="1" si="0"/>
        <v>-5.6928910143969169</v>
      </c>
      <c r="F9" s="16">
        <f ca="1">IFERROR(SLOPE(OFFSET(D$16,MAX($B$16:$B$506)-47,0,48,1),OFFSET($L$16,MAX($B$16:$B$506)-47,0,48,1)),"N/A")</f>
        <v>0.74957304354948151</v>
      </c>
      <c r="G9" s="16">
        <f ca="1">IFERROR(INTERCEPT(OFFSET(D$16,MAX($B$16:$B$506)-47,0,48,1),OFFSET($L$16,MAX($B$16:$B$506)-47,0,48,1))*12,"N/A")</f>
        <v>-0.35525741307623004</v>
      </c>
      <c r="H9" s="16">
        <f ca="1">IFERROR(STDEVP(OFFSET(D$16,MAX($B$16:$B$506)-47,0,48,1))*SQRT(12),"N/A")</f>
        <v>9.3880471207136988</v>
      </c>
      <c r="J9" s="39"/>
      <c r="K9" s="7" t="s">
        <v>49</v>
      </c>
      <c r="L9" s="16">
        <f t="array" aca="1" ref="L9" ca="1">IFERROR((GEOMEAN(1+OFFSET(L$16,MAX($B$16:$B$506)-47,0,48,1)/100)^12-1)*100,"N/A")</f>
        <v>14.16233731629919</v>
      </c>
      <c r="M9" s="36">
        <f t="shared" ca="1" si="1"/>
        <v>0</v>
      </c>
      <c r="N9" s="16">
        <f ca="1">IFERROR(SLOPE(OFFSET(L$16,MAX($B$16:$B$506)-47,0,48,1),OFFSET($L$16,MAX($B$16:$B$506)-47,0,48,1)),"N/A")</f>
        <v>1</v>
      </c>
      <c r="O9" s="16">
        <f ca="1">IFERROR(INTERCEPT(OFFSET(L$16,MAX($B$16:$B$506)-47,0,48,1),OFFSET($L$16,MAX($B$16:$B$506)-47,0,48,1))*12,"N/A")</f>
        <v>0</v>
      </c>
      <c r="P9" s="16">
        <f ca="1">IFERROR(STDEVP(OFFSET(L$16,MAX($B$16:$B$506)-47,0,48,1))*SQRT(12),"N/A")</f>
        <v>10.232849447368022</v>
      </c>
      <c r="Q9" s="39"/>
      <c r="R9" s="7" t="s">
        <v>49</v>
      </c>
      <c r="S9" s="16">
        <f t="array" aca="1" ref="S9" ca="1">IFERROR((GEOMEAN(1+OFFSET(S$16,MAX($B$16:$B$506)-47,0,48,1)/100)^12-1)*100,"N/A")</f>
        <v>8.382976312309399</v>
      </c>
      <c r="T9" s="36">
        <f t="shared" ca="1" si="2"/>
        <v>-5.7793610039897914</v>
      </c>
      <c r="U9" s="16">
        <f ca="1">IFERROR(SLOPE(OFFSET(S$16,MAX($B$16:$B$506)-47,0,48,1),OFFSET($L$16,MAX($B$16:$B$506)-47,0,48,1)),"N/A")</f>
        <v>0.77854606603734589</v>
      </c>
      <c r="V9" s="16">
        <f ca="1">IFERROR(INTERCEPT(OFFSET(S$16,MAX($B$16:$B$506)-47,0,48,1),OFFSET($L$16,MAX($B$16:$B$506)-47,0,48,1))*12,"N/A")</f>
        <v>3.7431932543929158</v>
      </c>
      <c r="W9" s="16">
        <f ca="1">IFERROR(STDEVP(OFFSET(S$16,MAX($B$16:$B$506)-47,0,48,1))*SQRT(12),"N/A")</f>
        <v>8.9535992448894728</v>
      </c>
      <c r="X9" s="41"/>
    </row>
    <row r="10" spans="1:24" x14ac:dyDescent="0.25">
      <c r="C10" s="7" t="s">
        <v>50</v>
      </c>
      <c r="D10" s="16">
        <f t="array" aca="1" ref="D10" ca="1">IFERROR((GEOMEAN(1+OFFSET(D$16,MAX($B$16:$B$506)-59,0,60,1)/100)^12-1)*100,"N/A")</f>
        <v>10.413423968464496</v>
      </c>
      <c r="E10" s="36">
        <f t="shared" ca="1" si="0"/>
        <v>-3.6051396415194503</v>
      </c>
      <c r="F10" s="16">
        <f ca="1">IFERROR(SLOPE(OFFSET(D$16,MAX($B$16:$B$506)-59,0,60,1),OFFSET($L$16,MAX($B$16:$B$506)-59,0,60,1)),"N/A")</f>
        <v>0.70214058421991243</v>
      </c>
      <c r="G10" s="16">
        <f ca="1">IFERROR(INTERCEPT(OFFSET(D$16,MAX($B$16:$B$506)-59,0,60,1),OFFSET($L$16,MAX($B$16:$B$506)-59,0,60,1))*12,"N/A")</f>
        <v>1.9005142490250631</v>
      </c>
      <c r="H10" s="16">
        <f ca="1">IFERROR(STDEVP(OFFSET(D$16,MAX($B$16:$B$506)-59,0,60,1))*SQRT(12),"N/A")</f>
        <v>8.9418237423660045</v>
      </c>
      <c r="J10" s="39"/>
      <c r="K10" s="7" t="s">
        <v>50</v>
      </c>
      <c r="L10" s="16">
        <f t="array" aca="1" ref="L10" ca="1">IFERROR((GEOMEAN(1+OFFSET(L$16,MAX($B$16:$B$506)-59,0,60,1)/100)^12-1)*100,"N/A")</f>
        <v>14.018563609983946</v>
      </c>
      <c r="M10" s="36">
        <f t="shared" ca="1" si="1"/>
        <v>0</v>
      </c>
      <c r="N10" s="16">
        <f ca="1">IFERROR(SLOPE(OFFSET(L$16,MAX($B$16:$B$506)-59,0,60,1),OFFSET($L$16,MAX($B$16:$B$506)-59,0,60,1)),"N/A")</f>
        <v>1</v>
      </c>
      <c r="O10" s="16">
        <f ca="1">IFERROR(INTERCEPT(OFFSET(L$16,MAX($B$16:$B$506)-59,0,60,1),OFFSET($L$16,MAX($B$16:$B$506)-59,0,60,1))*12,"N/A")</f>
        <v>0</v>
      </c>
      <c r="P10" s="16">
        <f ca="1">IFERROR(STDEVP(OFFSET(L$16,MAX($B$16:$B$506)-59,0,60,1))*SQRT(12),"N/A")</f>
        <v>10.155352874223524</v>
      </c>
      <c r="Q10" s="41"/>
      <c r="R10" s="7" t="s">
        <v>50</v>
      </c>
      <c r="S10" s="16">
        <f t="array" aca="1" ref="S10" ca="1">IFERROR((GEOMEAN(1+OFFSET(S$16,MAX($B$16:$B$506)-59,0,60,1)/100)^12-1)*100,"N/A")</f>
        <v>10.919953311076824</v>
      </c>
      <c r="T10" s="36">
        <f t="shared" ca="1" si="2"/>
        <v>-3.098610298907122</v>
      </c>
      <c r="U10" s="16">
        <f ca="1">IFERROR(SLOPE(OFFSET(S$16,MAX($B$16:$B$506)-59,0,60,1),OFFSET($L$16,MAX($B$16:$B$506)-59,0,60,1)),"N/A")</f>
        <v>0.68848267814552011</v>
      </c>
      <c r="V10" s="16">
        <f ca="1">IFERROR(INTERCEPT(OFFSET(S$16,MAX($B$16:$B$506)-59,0,60,1),OFFSET($L$16,MAX($B$16:$B$506)-59,0,60,1))*12,"N/A")</f>
        <v>6.5072737950552613</v>
      </c>
      <c r="W10" s="16">
        <f ca="1">IFERROR(STDEVP(OFFSET(S$16,MAX($B$16:$B$506)-59,0,60,1))*SQRT(12),"N/A")</f>
        <v>8.3336913598951021</v>
      </c>
      <c r="X10" s="41"/>
    </row>
    <row r="11" spans="1:24" x14ac:dyDescent="0.25">
      <c r="C11" s="7" t="s">
        <v>51</v>
      </c>
      <c r="D11" s="16">
        <f t="array" aca="1" ref="D11" ca="1">IFERROR((GEOMEAN(1+OFFSET(D$16,MAX($B$16:$B$506)-119,0,120,1)/100)^12-1)*100,"N/A")</f>
        <v>6.6561494939670895</v>
      </c>
      <c r="E11" s="36">
        <f t="shared" ca="1" si="0"/>
        <v>-0.96276315856724803</v>
      </c>
      <c r="F11" s="16">
        <f ca="1">IFERROR(SLOPE(OFFSET(D$16,MAX($B$16:$B$506)-119,0,120,1),OFFSET($L$16,MAX($B$16:$B$506)-119,0,120,1)),"N/A")</f>
        <v>0.64752642201425725</v>
      </c>
      <c r="G11" s="16">
        <f ca="1">IFERROR(INTERCEPT(OFFSET(D$16,MAX($B$16:$B$506)-119,0,120,1),OFFSET($L$16,MAX($B$16:$B$506)-119,0,120,1))*12,"N/A")</f>
        <v>2.1715212775986359</v>
      </c>
      <c r="H11" s="16">
        <f ca="1">IFERROR(STDEVP(OFFSET(D$16,MAX($B$16:$B$506)-119,0,120,1))*SQRT(12),"N/A")</f>
        <v>11.653212555581451</v>
      </c>
      <c r="J11" s="39"/>
      <c r="K11" s="7" t="s">
        <v>51</v>
      </c>
      <c r="L11" s="16">
        <f t="array" aca="1" ref="L11" ca="1">IFERROR((GEOMEAN(1+OFFSET(L$16,MAX($B$16:$B$506)-119,0,120,1)/100)^12-1)*100,"N/A")</f>
        <v>7.6189126525343376</v>
      </c>
      <c r="M11" s="36">
        <f t="shared" ca="1" si="1"/>
        <v>0</v>
      </c>
      <c r="N11" s="16">
        <f ca="1">IFERROR(SLOPE(OFFSET(L$16,MAX($B$16:$B$506)-119,0,120,1),OFFSET($L$16,MAX($B$16:$B$506)-119,0,120,1)),"N/A")</f>
        <v>1</v>
      </c>
      <c r="O11" s="16">
        <f ca="1">IFERROR(INTERCEPT(OFFSET(L$16,MAX($B$16:$B$506)-119,0,120,1),OFFSET($L$16,MAX($B$16:$B$506)-119,0,120,1))*12,"N/A")</f>
        <v>0</v>
      </c>
      <c r="P11" s="16">
        <f ca="1">IFERROR(STDEVP(OFFSET(L$16,MAX($B$16:$B$506)-119,0,120,1))*SQRT(12),"N/A")</f>
        <v>15.230933118711626</v>
      </c>
      <c r="Q11" s="41"/>
      <c r="R11" s="7" t="s">
        <v>51</v>
      </c>
      <c r="S11" s="16">
        <f t="array" aca="1" ref="S11" ca="1">IFERROR((GEOMEAN(1+OFFSET(S$16,MAX($B$16:$B$506)-119,0,120,1)/100)^12-1)*100,"N/A")</f>
        <v>8.5941411984330038</v>
      </c>
      <c r="T11" s="36">
        <f t="shared" ca="1" si="2"/>
        <v>0.97522854589866625</v>
      </c>
      <c r="U11" s="16">
        <f ca="1">IFERROR(SLOPE(OFFSET(S$16,MAX($B$16:$B$506)-119,0,120,1),OFFSET($L$16,MAX($B$16:$B$506)-119,0,120,1)),"N/A")</f>
        <v>0.624767667186229</v>
      </c>
      <c r="V11" s="16">
        <f ca="1">IFERROR(INTERCEPT(OFFSET(S$16,MAX($B$16:$B$506)-119,0,120,1),OFFSET($L$16,MAX($B$16:$B$506)-119,0,120,1))*12,"N/A")</f>
        <v>5.9458633450702569</v>
      </c>
      <c r="W11" s="16">
        <f ca="1">IFERROR(STDEVP(OFFSET(S$16,MAX($B$16:$B$506)-119,0,120,1))*SQRT(12),"N/A")</f>
        <v>11.741495746615968</v>
      </c>
      <c r="X11" s="41"/>
    </row>
    <row r="12" spans="1:24" x14ac:dyDescent="0.25">
      <c r="C12" s="7" t="s">
        <v>53</v>
      </c>
      <c r="D12" s="16">
        <f t="array" aca="1" ref="D12" ca="1">IFERROR((GEOMEAN(1+OFFSET(D$16,1,0,MAX($B$16:$B$506),1)/100)^12-1)*100,"N/A")</f>
        <v>7.2144571446140615</v>
      </c>
      <c r="E12" s="36">
        <f t="shared" ca="1" si="0"/>
        <v>-0.67456940702064205</v>
      </c>
      <c r="F12" s="16">
        <f ca="1">IFERROR(SLOPE(OFFSET(D$16,1,0,MAX($B$16:$B$506),1),OFFSET($L$16,1,0,MAX($B$16:$B$506),1)),"N/A")</f>
        <v>0.64675139906016754</v>
      </c>
      <c r="G12" s="16">
        <f ca="1">IFERROR(INTERCEPT(OFFSET(D$16,1,0,MAX($B$16:$B$506),1),OFFSET($L$16,1,0,MAX($B$16:$B$506),1))*12,"N/A")</f>
        <v>2.4689148891156916</v>
      </c>
      <c r="H12" s="16">
        <f ca="1">IFERROR(STDEVP(OFFSET(D$16,1,0,MAX($B$16:$B$506),1))*SQRT(12),"N/A")</f>
        <v>10.873437263141058</v>
      </c>
      <c r="J12" s="39"/>
      <c r="K12" s="7" t="s">
        <v>53</v>
      </c>
      <c r="L12" s="16">
        <f t="array" aca="1" ref="L12" ca="1">IFERROR((GEOMEAN(1+OFFSET(L$16,1,0,MAX($B$16:$B$506),1)/100)^12-1)*100,"N/A")</f>
        <v>7.8890265516347036</v>
      </c>
      <c r="M12" s="36">
        <f t="shared" ca="1" si="1"/>
        <v>0</v>
      </c>
      <c r="N12" s="16">
        <f ca="1">IFERROR(SLOPE(OFFSET(L$16,1,0,MAX($B$16:$B$506),1),OFFSET($L$16,1,0,MAX($B$16:$B$506),1)),"N/A")</f>
        <v>1</v>
      </c>
      <c r="O12" s="16">
        <f ca="1">IFERROR(INTERCEPT(OFFSET(L$16,1,0,MAX($B$16:$B$506),1),OFFSET($L$16,1,0,MAX($B$16:$B$506),1))*12,"N/A")</f>
        <v>0</v>
      </c>
      <c r="P12" s="16">
        <f ca="1">IFERROR(STDEVP(OFFSET(L$16,1,0,MAX($B$16:$B$506),1))*SQRT(12),"N/A")</f>
        <v>14.099246455391521</v>
      </c>
      <c r="Q12" s="41"/>
      <c r="R12" s="7" t="s">
        <v>52</v>
      </c>
      <c r="S12" s="16">
        <f t="array" aca="1" ref="S12" ca="1">IFERROR((GEOMEAN(1+OFFSET(S$16,1,0,MAX($B$16:$B$506),1)/100)^12-1)*100,"N/A")</f>
        <v>9.2365894038190621</v>
      </c>
      <c r="T12" s="36">
        <f t="shared" ca="1" si="2"/>
        <v>1.3475628521843586</v>
      </c>
      <c r="U12" s="16">
        <f ca="1">IFERROR(SLOPE(OFFSET(S$16,1,0,MAX($B$16:$B$506),1),OFFSET($L$16,1,0,MAX($B$16:$B$506),1)),"N/A")</f>
        <v>0.62485723796531645</v>
      </c>
      <c r="V12" s="16">
        <f ca="1">IFERROR(INTERCEPT(OFFSET(S$16,1,0,MAX($B$16:$B$506),1),OFFSET($L$16,1,0,MAX($B$16:$B$506),1))*12,"N/A")</f>
        <v>5.9918778294510249</v>
      </c>
      <c r="W12" s="16">
        <f ca="1">IFERROR(STDEVP(OFFSET(S$16,1,0,MAX($B$16:$B$506),1))*SQRT(12),"N/A")</f>
        <v>10.859610842354204</v>
      </c>
      <c r="X12" s="41"/>
    </row>
    <row r="13" spans="1:24" x14ac:dyDescent="0.25">
      <c r="C13" s="7" t="s">
        <v>164</v>
      </c>
      <c r="D13" s="16">
        <f t="array" aca="1" ref="D13" ca="1">IFERROR((GEOMEAN(1+OFFSET(D$107,1,0,MAX($B$16:$B$506)-91,1)/100)^(MIN(COUNTA(OFFSET(D$107,1,0,MAX($B$16:$B$506)-91,1)),12))-1)*100,"N/A")</f>
        <v>9.6193395177873064</v>
      </c>
      <c r="E13" s="36">
        <f t="shared" ca="1" si="0"/>
        <v>-5.3087482403247463</v>
      </c>
      <c r="F13" s="16">
        <f ca="1">IFERROR(SLOPE(OFFSET(D$107,1,0,MAX($B$16:$B$506)-91,1),OFFSET($L$107,1,0,MAX($B$16:$B$506)-91,1)),"N/A")</f>
        <v>0.76061528864530059</v>
      </c>
      <c r="G13" s="16">
        <f ca="1">IFERROR(INTERCEPT(OFFSET(D$107,1,0,MAX($B$16:$B$506)-91,1),OFFSET($L$107,1,0,MAX($B$16:$B$506)-91,1))*12,"N/A")</f>
        <v>-9.7201544197613732E-2</v>
      </c>
      <c r="H13" s="16">
        <f ca="1">IFERROR(STDEVP(OFFSET(D$107,1,0,MAX($B$16:$B$506)-91,1))*SQRT(12),"N/A")</f>
        <v>9.20572648669995</v>
      </c>
      <c r="J13" s="39"/>
      <c r="K13" s="7" t="s">
        <v>55</v>
      </c>
      <c r="L13" s="16">
        <f t="array" aca="1" ref="L13" ca="1">IFERROR((GEOMEAN(1+OFFSET(L$107,1,0,MAX($B$16:$B$506)-91,1)/100)^(MIN(COUNTA(OFFSET(L$107,1,0,MAX($B$16:$B$506)-91,1)),12))-1)*100,"N/A")</f>
        <v>14.928087758112053</v>
      </c>
      <c r="M13" s="36">
        <f t="shared" ca="1" si="1"/>
        <v>0</v>
      </c>
      <c r="N13" s="16">
        <f ca="1">IFERROR(SLOPE(OFFSET(L$107,1,0,MAX($B$16:$B$506)-91,1),OFFSET($L$107,1,0,MAX($B$16:$B$506)-91,1)),"N/A")</f>
        <v>1</v>
      </c>
      <c r="O13" s="16">
        <f ca="1">IFERROR(INTERCEPT(OFFSET(L$107,1,0,MAX($B$16:$B$506)-91,1),OFFSET($L$107,1,0,MAX($B$16:$B$506)-91,1))*12,"N/A")</f>
        <v>0</v>
      </c>
      <c r="P13" s="16">
        <f ca="1">IFERROR(STDEVP(OFFSET(L$107,1,0,MAX($B$16:$B$506)-91,1))*SQRT(12),"N/A")</f>
        <v>9.8821253912270262</v>
      </c>
      <c r="Q13" s="39"/>
      <c r="R13" s="7" t="s">
        <v>55</v>
      </c>
      <c r="S13" s="16">
        <f t="array" aca="1" ref="S13" ca="1">IFERROR((GEOMEAN(1+OFFSET(S$107,1,0,MAX($B$16:$B$506)-91,1)/100)^(MIN(COUNTA(OFFSET(S$107,1,0,MAX($B$16:$B$506)-91,1)),12))-1)*100,"N/A")</f>
        <v>9.9513605920712234</v>
      </c>
      <c r="T13" s="36">
        <f t="shared" ca="1" si="2"/>
        <v>-4.9767271660408294</v>
      </c>
      <c r="U13" s="16">
        <f ca="1">IFERROR(SLOPE(OFFSET(S$107,1,0,MAX($B$16:$B$506)-91,1),OFFSET($L$107,1,0,MAX($B$16:$B$506)-91,1)),"N/A")</f>
        <v>0.77377871618620664</v>
      </c>
      <c r="V13" s="16">
        <f ca="1">IFERROR(INTERCEPT(OFFSET(S$107,1,0,MAX($B$16:$B$506)-91,1),OFFSET($L$107,1,0,MAX($B$16:$B$506)-91,1))*12,"N/A")</f>
        <v>4.0439750732950319</v>
      </c>
      <c r="W13" s="16">
        <f ca="1">IFERROR(STDEVP(OFFSET(S$107,1,0,MAX($B$16:$B$506)-91,1))*SQRT(12),"N/A")</f>
        <v>8.6537555775263186</v>
      </c>
      <c r="X13" s="41"/>
    </row>
    <row r="14" spans="1:24" x14ac:dyDescent="0.25">
      <c r="C14" s="7"/>
      <c r="D14" s="16"/>
      <c r="E14" s="36"/>
      <c r="F14" s="16"/>
      <c r="G14" s="16"/>
      <c r="H14" s="16"/>
      <c r="J14" s="39"/>
      <c r="K14" s="7"/>
      <c r="L14" s="16"/>
      <c r="M14" s="36"/>
      <c r="N14" s="33"/>
      <c r="O14" s="16"/>
      <c r="P14" s="16"/>
      <c r="Q14" s="41"/>
      <c r="R14" s="7"/>
      <c r="S14" s="16"/>
      <c r="T14" s="36"/>
      <c r="U14" s="16"/>
      <c r="V14" s="16"/>
      <c r="W14" s="16"/>
      <c r="X14" s="41"/>
    </row>
    <row r="15" spans="1:24" x14ac:dyDescent="0.25">
      <c r="A15" s="7" t="s">
        <v>69</v>
      </c>
      <c r="B15" s="23" t="s">
        <v>70</v>
      </c>
      <c r="C15" s="13" t="s">
        <v>71</v>
      </c>
      <c r="D15" s="19" t="s">
        <v>89</v>
      </c>
      <c r="E15" s="13" t="s">
        <v>97</v>
      </c>
      <c r="F15" s="9" t="s">
        <v>74</v>
      </c>
      <c r="G15" s="9" t="s">
        <v>75</v>
      </c>
      <c r="H15" s="33" t="s">
        <v>160</v>
      </c>
      <c r="I15" s="19" t="s">
        <v>72</v>
      </c>
      <c r="J15" s="44"/>
      <c r="K15" s="7" t="s">
        <v>69</v>
      </c>
      <c r="L15" s="33" t="s">
        <v>89</v>
      </c>
      <c r="M15" s="13" t="s">
        <v>97</v>
      </c>
      <c r="N15" s="9" t="s">
        <v>74</v>
      </c>
      <c r="O15" s="9" t="s">
        <v>75</v>
      </c>
      <c r="P15" s="33" t="s">
        <v>160</v>
      </c>
      <c r="Q15" s="44"/>
      <c r="R15" s="13" t="s">
        <v>69</v>
      </c>
      <c r="S15" s="33" t="s">
        <v>89</v>
      </c>
      <c r="T15" s="13" t="s">
        <v>97</v>
      </c>
      <c r="U15" s="13" t="s">
        <v>74</v>
      </c>
      <c r="V15" s="13" t="s">
        <v>75</v>
      </c>
      <c r="W15" s="33" t="s">
        <v>160</v>
      </c>
      <c r="X15" s="44"/>
    </row>
    <row r="16" spans="1:24" x14ac:dyDescent="0.25">
      <c r="A16" s="20">
        <v>38352</v>
      </c>
      <c r="B16" s="23">
        <v>0</v>
      </c>
      <c r="C16" s="17"/>
      <c r="D16" s="16"/>
      <c r="E16" s="46">
        <v>1000000</v>
      </c>
      <c r="F16" s="8"/>
      <c r="I16" s="11"/>
      <c r="J16" s="39"/>
      <c r="K16" s="20">
        <f>$A16</f>
        <v>38352</v>
      </c>
      <c r="L16" s="16"/>
      <c r="M16" s="46">
        <v>1000000</v>
      </c>
      <c r="N16" s="7"/>
      <c r="Q16" s="39"/>
      <c r="R16" s="20">
        <f>$A16</f>
        <v>38352</v>
      </c>
      <c r="S16" s="16"/>
      <c r="T16" s="46">
        <v>1000000</v>
      </c>
      <c r="U16" s="8"/>
      <c r="X16" s="39"/>
    </row>
    <row r="17" spans="1:24" x14ac:dyDescent="0.25">
      <c r="A17" s="20">
        <v>38383</v>
      </c>
      <c r="B17" s="24">
        <f>IF(A17&gt;A16,1+B16,"-")</f>
        <v>1</v>
      </c>
      <c r="C17" s="96" t="s">
        <v>77</v>
      </c>
      <c r="D17" s="102">
        <f t="shared" ref="D17:D80" si="3">I17-2.2/12</f>
        <v>-0.82333333333333336</v>
      </c>
      <c r="E17" s="46">
        <f t="shared" ref="E17:E79" si="4">E16*D17/100+E16</f>
        <v>991766.66666666663</v>
      </c>
      <c r="F17" s="10"/>
      <c r="H17" s="49"/>
      <c r="I17" s="27">
        <v>-0.64</v>
      </c>
      <c r="J17" s="39"/>
      <c r="K17" s="20">
        <f t="shared" ref="K17:K79" si="5">$A17</f>
        <v>38383</v>
      </c>
      <c r="L17" s="34">
        <v>-2.44</v>
      </c>
      <c r="M17" s="46">
        <f t="shared" ref="M17:M79" si="6">M16*L17/100+M16</f>
        <v>975600</v>
      </c>
      <c r="N17" s="15"/>
      <c r="P17" s="49"/>
      <c r="Q17" s="39"/>
      <c r="R17" s="20">
        <f t="shared" ref="R17:R79" si="7">$A17</f>
        <v>38383</v>
      </c>
      <c r="S17" s="27">
        <v>-0.64</v>
      </c>
      <c r="T17" s="46">
        <f t="shared" ref="T17:T79" si="8">T16*S17/100+T16</f>
        <v>993600</v>
      </c>
      <c r="U17" s="10"/>
      <c r="W17" s="49"/>
      <c r="X17" s="39"/>
    </row>
    <row r="18" spans="1:24" x14ac:dyDescent="0.25">
      <c r="A18" s="20">
        <v>38411</v>
      </c>
      <c r="B18" s="24">
        <f t="shared" ref="B18:B81" si="9">IF(A18&gt;A17,1+B17,"-")</f>
        <v>2</v>
      </c>
      <c r="C18" s="96" t="s">
        <v>77</v>
      </c>
      <c r="D18" s="102">
        <f t="shared" si="3"/>
        <v>0.65666666666666662</v>
      </c>
      <c r="E18" s="46">
        <f t="shared" si="4"/>
        <v>998279.26777777774</v>
      </c>
      <c r="F18" s="8"/>
      <c r="H18" s="49"/>
      <c r="I18" s="27">
        <v>0.84</v>
      </c>
      <c r="J18" s="39"/>
      <c r="K18" s="20">
        <f t="shared" si="5"/>
        <v>38411</v>
      </c>
      <c r="L18" s="34">
        <v>2.1</v>
      </c>
      <c r="M18" s="46">
        <f t="shared" si="6"/>
        <v>996087.6</v>
      </c>
      <c r="N18" s="7"/>
      <c r="P18" s="49"/>
      <c r="Q18" s="39"/>
      <c r="R18" s="20">
        <f t="shared" si="7"/>
        <v>38411</v>
      </c>
      <c r="S18" s="27">
        <v>0.84</v>
      </c>
      <c r="T18" s="46">
        <f t="shared" si="8"/>
        <v>1001946.24</v>
      </c>
      <c r="U18" s="8"/>
      <c r="W18" s="49"/>
      <c r="X18" s="39"/>
    </row>
    <row r="19" spans="1:24" x14ac:dyDescent="0.25">
      <c r="A19" s="20">
        <v>38442</v>
      </c>
      <c r="B19" s="24">
        <f t="shared" si="9"/>
        <v>3</v>
      </c>
      <c r="C19" s="96" t="s">
        <v>77</v>
      </c>
      <c r="D19" s="102">
        <f t="shared" si="3"/>
        <v>-0.71333333333333337</v>
      </c>
      <c r="E19" s="46">
        <f t="shared" si="4"/>
        <v>991158.2090009629</v>
      </c>
      <c r="F19" s="8"/>
      <c r="G19" s="5">
        <f>(E19/E16-1)*100</f>
        <v>-0.88417909990371468</v>
      </c>
      <c r="H19" s="49"/>
      <c r="I19" s="27">
        <v>-0.53</v>
      </c>
      <c r="J19" s="39"/>
      <c r="K19" s="20">
        <f t="shared" si="5"/>
        <v>38442</v>
      </c>
      <c r="L19" s="34">
        <v>-1.77</v>
      </c>
      <c r="M19" s="46">
        <f t="shared" si="6"/>
        <v>978456.84947999998</v>
      </c>
      <c r="N19" s="7"/>
      <c r="O19" s="49">
        <f>(M19/M16-1)*100</f>
        <v>-2.1543150519999998</v>
      </c>
      <c r="P19" s="49"/>
      <c r="Q19" s="39"/>
      <c r="R19" s="20">
        <f t="shared" si="7"/>
        <v>38442</v>
      </c>
      <c r="S19" s="27">
        <v>-0.53</v>
      </c>
      <c r="T19" s="46">
        <f t="shared" si="8"/>
        <v>996635.92492799996</v>
      </c>
      <c r="U19" s="8"/>
      <c r="V19" s="5">
        <f>(T19/T16-1)*100</f>
        <v>-0.33640750719999835</v>
      </c>
      <c r="W19" s="49"/>
      <c r="X19" s="39"/>
    </row>
    <row r="20" spans="1:24" x14ac:dyDescent="0.25">
      <c r="A20" s="20">
        <v>38472</v>
      </c>
      <c r="B20" s="24">
        <f t="shared" si="9"/>
        <v>4</v>
      </c>
      <c r="C20" s="96" t="s">
        <v>77</v>
      </c>
      <c r="D20" s="102">
        <f t="shared" si="3"/>
        <v>-1.8433333333333333</v>
      </c>
      <c r="E20" s="46">
        <f t="shared" si="4"/>
        <v>972887.85934837849</v>
      </c>
      <c r="F20" s="8"/>
      <c r="H20" s="49"/>
      <c r="I20" s="27">
        <v>-1.66</v>
      </c>
      <c r="J20" s="39"/>
      <c r="K20" s="20">
        <f t="shared" si="5"/>
        <v>38472</v>
      </c>
      <c r="L20" s="34">
        <v>-1.9</v>
      </c>
      <c r="M20" s="46">
        <f t="shared" si="6"/>
        <v>959866.16933988</v>
      </c>
      <c r="N20" s="7"/>
      <c r="P20" s="49"/>
      <c r="Q20" s="39"/>
      <c r="R20" s="20">
        <f t="shared" si="7"/>
        <v>38472</v>
      </c>
      <c r="S20" s="27">
        <v>-1.66</v>
      </c>
      <c r="T20" s="46">
        <f t="shared" si="8"/>
        <v>980091.76857419522</v>
      </c>
      <c r="U20" s="8"/>
      <c r="W20" s="49"/>
      <c r="X20" s="39"/>
    </row>
    <row r="21" spans="1:24" x14ac:dyDescent="0.25">
      <c r="A21" s="20">
        <v>38503</v>
      </c>
      <c r="B21" s="24">
        <f t="shared" si="9"/>
        <v>5</v>
      </c>
      <c r="C21" s="96" t="s">
        <v>77</v>
      </c>
      <c r="D21" s="102">
        <f t="shared" si="3"/>
        <v>3.2766666666666664</v>
      </c>
      <c r="E21" s="46">
        <f t="shared" si="4"/>
        <v>1004766.1515396937</v>
      </c>
      <c r="F21" s="8"/>
      <c r="H21" s="49"/>
      <c r="I21" s="27">
        <v>3.46</v>
      </c>
      <c r="J21" s="39"/>
      <c r="K21" s="20">
        <f t="shared" si="5"/>
        <v>38503</v>
      </c>
      <c r="L21" s="34">
        <v>3.18</v>
      </c>
      <c r="M21" s="46">
        <f t="shared" si="6"/>
        <v>990389.91352488822</v>
      </c>
      <c r="N21" s="7"/>
      <c r="P21" s="49"/>
      <c r="Q21" s="39"/>
      <c r="R21" s="20">
        <f t="shared" si="7"/>
        <v>38503</v>
      </c>
      <c r="S21" s="27">
        <v>3.46</v>
      </c>
      <c r="T21" s="46">
        <f t="shared" si="8"/>
        <v>1014002.9437668624</v>
      </c>
      <c r="U21" s="8"/>
      <c r="W21" s="49"/>
      <c r="X21" s="39"/>
    </row>
    <row r="22" spans="1:24" x14ac:dyDescent="0.25">
      <c r="A22" s="20">
        <v>38533</v>
      </c>
      <c r="B22" s="24">
        <f t="shared" si="9"/>
        <v>6</v>
      </c>
      <c r="C22" s="96" t="s">
        <v>77</v>
      </c>
      <c r="D22" s="102">
        <f t="shared" si="3"/>
        <v>3.1966666666666663</v>
      </c>
      <c r="E22" s="46">
        <f t="shared" si="4"/>
        <v>1036885.1761839126</v>
      </c>
      <c r="F22" s="8"/>
      <c r="G22" s="5">
        <f>(E22/E19-1)*100</f>
        <v>4.6134882168851865</v>
      </c>
      <c r="H22" s="49"/>
      <c r="I22" s="27">
        <v>3.38</v>
      </c>
      <c r="J22" s="39"/>
      <c r="K22" s="20">
        <f t="shared" si="5"/>
        <v>38533</v>
      </c>
      <c r="L22" s="34">
        <v>0.13999999999999999</v>
      </c>
      <c r="M22" s="46">
        <f t="shared" si="6"/>
        <v>991776.45940382301</v>
      </c>
      <c r="N22" s="7"/>
      <c r="O22" s="49">
        <f>(M22/M19-1)*100</f>
        <v>1.3612874120000118</v>
      </c>
      <c r="P22" s="49"/>
      <c r="Q22" s="39"/>
      <c r="R22" s="20">
        <f t="shared" si="7"/>
        <v>38533</v>
      </c>
      <c r="S22" s="27">
        <v>3.38</v>
      </c>
      <c r="T22" s="46">
        <f t="shared" si="8"/>
        <v>1048276.2432661824</v>
      </c>
      <c r="U22" s="8"/>
      <c r="V22" s="5">
        <f>(T22/T19-1)*100</f>
        <v>5.1814626632000094</v>
      </c>
      <c r="W22" s="49"/>
      <c r="X22" s="39"/>
    </row>
    <row r="23" spans="1:24" x14ac:dyDescent="0.25">
      <c r="A23" s="20">
        <v>38564</v>
      </c>
      <c r="B23" s="24">
        <f t="shared" si="9"/>
        <v>7</v>
      </c>
      <c r="C23" s="96" t="s">
        <v>77</v>
      </c>
      <c r="D23" s="102">
        <f t="shared" si="3"/>
        <v>2.4366666666666665</v>
      </c>
      <c r="E23" s="46">
        <f t="shared" si="4"/>
        <v>1062150.611643594</v>
      </c>
      <c r="F23" s="8"/>
      <c r="H23" s="49"/>
      <c r="I23" s="27">
        <v>2.62</v>
      </c>
      <c r="J23" s="39"/>
      <c r="K23" s="20">
        <f t="shared" si="5"/>
        <v>38564</v>
      </c>
      <c r="L23" s="34">
        <v>3.7199999999999998</v>
      </c>
      <c r="M23" s="46">
        <f t="shared" si="6"/>
        <v>1028670.5436936453</v>
      </c>
      <c r="N23" s="7"/>
      <c r="P23" s="49"/>
      <c r="Q23" s="39"/>
      <c r="R23" s="20">
        <f t="shared" si="7"/>
        <v>38564</v>
      </c>
      <c r="S23" s="27">
        <v>2.62</v>
      </c>
      <c r="T23" s="46">
        <f t="shared" si="8"/>
        <v>1075741.0808397564</v>
      </c>
      <c r="U23" s="8"/>
      <c r="W23" s="49"/>
      <c r="X23" s="39"/>
    </row>
    <row r="24" spans="1:24" x14ac:dyDescent="0.25">
      <c r="A24" s="20">
        <v>38595</v>
      </c>
      <c r="B24" s="24">
        <f t="shared" si="9"/>
        <v>8</v>
      </c>
      <c r="C24" s="96" t="s">
        <v>77</v>
      </c>
      <c r="D24" s="102">
        <f t="shared" si="3"/>
        <v>-1.8733333333333333</v>
      </c>
      <c r="E24" s="46">
        <f t="shared" si="4"/>
        <v>1042252.9901854707</v>
      </c>
      <c r="F24" s="8"/>
      <c r="H24" s="49"/>
      <c r="I24" s="27">
        <v>-1.69</v>
      </c>
      <c r="J24" s="39"/>
      <c r="K24" s="20">
        <f t="shared" si="5"/>
        <v>38595</v>
      </c>
      <c r="L24" s="34">
        <v>-0.91</v>
      </c>
      <c r="M24" s="46">
        <f t="shared" si="6"/>
        <v>1019309.6417460331</v>
      </c>
      <c r="N24" s="7"/>
      <c r="P24" s="49"/>
      <c r="Q24" s="39"/>
      <c r="R24" s="20">
        <f t="shared" si="7"/>
        <v>38595</v>
      </c>
      <c r="S24" s="27">
        <v>-1.69</v>
      </c>
      <c r="T24" s="46">
        <f t="shared" si="8"/>
        <v>1057561.0565735644</v>
      </c>
      <c r="U24" s="8"/>
      <c r="W24" s="49"/>
      <c r="X24" s="39"/>
    </row>
    <row r="25" spans="1:24" x14ac:dyDescent="0.25">
      <c r="A25" s="20">
        <v>38625</v>
      </c>
      <c r="B25" s="24">
        <f t="shared" si="9"/>
        <v>9</v>
      </c>
      <c r="C25" s="96" t="s">
        <v>77</v>
      </c>
      <c r="D25" s="102">
        <f t="shared" si="3"/>
        <v>1.0566666666666666</v>
      </c>
      <c r="E25" s="46">
        <f t="shared" si="4"/>
        <v>1053266.1301150972</v>
      </c>
      <c r="F25" s="8"/>
      <c r="G25" s="5">
        <f>(E25/E22-1)*100</f>
        <v>1.5798233312074084</v>
      </c>
      <c r="H25" s="49"/>
      <c r="I25" s="27">
        <v>1.24</v>
      </c>
      <c r="J25" s="39"/>
      <c r="K25" s="20">
        <f t="shared" si="5"/>
        <v>38625</v>
      </c>
      <c r="L25" s="34">
        <v>0.80999999999999994</v>
      </c>
      <c r="M25" s="46">
        <f t="shared" si="6"/>
        <v>1027566.0498441759</v>
      </c>
      <c r="N25" s="7"/>
      <c r="O25" s="49">
        <f>(M25/M22-1)*100</f>
        <v>3.6086347988000034</v>
      </c>
      <c r="P25" s="49"/>
      <c r="Q25" s="39"/>
      <c r="R25" s="20">
        <f t="shared" si="7"/>
        <v>38625</v>
      </c>
      <c r="S25" s="27">
        <v>1.24</v>
      </c>
      <c r="T25" s="46">
        <f t="shared" si="8"/>
        <v>1070674.8136750767</v>
      </c>
      <c r="U25" s="8"/>
      <c r="V25" s="5">
        <f>(T25/T22-1)*100</f>
        <v>2.1367049528000059</v>
      </c>
      <c r="W25" s="49"/>
      <c r="X25" s="39"/>
    </row>
    <row r="26" spans="1:24" x14ac:dyDescent="0.25">
      <c r="A26" s="20">
        <v>38656</v>
      </c>
      <c r="B26" s="24">
        <f t="shared" si="9"/>
        <v>10</v>
      </c>
      <c r="C26" s="96" t="s">
        <v>77</v>
      </c>
      <c r="D26" s="102">
        <f t="shared" si="3"/>
        <v>-3.1333333333333337</v>
      </c>
      <c r="E26" s="46">
        <f t="shared" si="4"/>
        <v>1020263.7913714908</v>
      </c>
      <c r="F26" s="8"/>
      <c r="H26" s="49"/>
      <c r="I26" s="27">
        <v>-2.95</v>
      </c>
      <c r="J26" s="39"/>
      <c r="K26" s="20">
        <f t="shared" si="5"/>
        <v>38656</v>
      </c>
      <c r="L26" s="34">
        <v>-1.67</v>
      </c>
      <c r="M26" s="46">
        <f t="shared" si="6"/>
        <v>1010405.6968117782</v>
      </c>
      <c r="N26" s="7"/>
      <c r="P26" s="49"/>
      <c r="Q26" s="39"/>
      <c r="R26" s="20">
        <f t="shared" si="7"/>
        <v>38656</v>
      </c>
      <c r="S26" s="27">
        <v>-2.95</v>
      </c>
      <c r="T26" s="46">
        <f t="shared" si="8"/>
        <v>1039089.9066716619</v>
      </c>
      <c r="U26" s="8"/>
      <c r="W26" s="49"/>
      <c r="X26" s="39"/>
    </row>
    <row r="27" spans="1:24" x14ac:dyDescent="0.25">
      <c r="A27" s="20">
        <v>38686</v>
      </c>
      <c r="B27" s="24">
        <f t="shared" si="9"/>
        <v>11</v>
      </c>
      <c r="C27" s="96" t="s">
        <v>77</v>
      </c>
      <c r="D27" s="102">
        <f t="shared" si="3"/>
        <v>0.14666666666666667</v>
      </c>
      <c r="E27" s="46">
        <f t="shared" si="4"/>
        <v>1021760.1782655023</v>
      </c>
      <c r="F27" s="8"/>
      <c r="H27" s="49"/>
      <c r="I27" s="27">
        <v>0.33</v>
      </c>
      <c r="J27" s="39"/>
      <c r="K27" s="20">
        <f t="shared" si="5"/>
        <v>38686</v>
      </c>
      <c r="L27" s="34">
        <v>3.7800000000000002</v>
      </c>
      <c r="M27" s="46">
        <f t="shared" si="6"/>
        <v>1048599.0321512634</v>
      </c>
      <c r="N27" s="7"/>
      <c r="P27" s="49"/>
      <c r="Q27" s="39"/>
      <c r="R27" s="20">
        <f t="shared" si="7"/>
        <v>38686</v>
      </c>
      <c r="S27" s="27">
        <v>0.33</v>
      </c>
      <c r="T27" s="46">
        <f t="shared" si="8"/>
        <v>1042518.9033636784</v>
      </c>
      <c r="U27" s="8"/>
      <c r="W27" s="49"/>
      <c r="X27" s="39"/>
    </row>
    <row r="28" spans="1:24" x14ac:dyDescent="0.25">
      <c r="A28" s="20">
        <v>38717</v>
      </c>
      <c r="B28" s="24">
        <f t="shared" si="9"/>
        <v>12</v>
      </c>
      <c r="C28" s="96" t="s">
        <v>77</v>
      </c>
      <c r="D28" s="102">
        <f t="shared" si="3"/>
        <v>3.1366666666666667</v>
      </c>
      <c r="E28" s="46">
        <f t="shared" si="4"/>
        <v>1053809.3891904303</v>
      </c>
      <c r="F28" s="11">
        <f>(E28-E16)/E16*100</f>
        <v>5.3809389190430288</v>
      </c>
      <c r="G28" s="5">
        <f>(E28/E25-1)*100</f>
        <v>5.157851940742475E-2</v>
      </c>
      <c r="H28" s="49"/>
      <c r="I28" s="27">
        <v>3.32</v>
      </c>
      <c r="J28" s="39"/>
      <c r="K28" s="20">
        <f t="shared" si="5"/>
        <v>38717</v>
      </c>
      <c r="L28" s="34">
        <v>0.03</v>
      </c>
      <c r="M28" s="46">
        <f t="shared" si="6"/>
        <v>1048913.6118609088</v>
      </c>
      <c r="N28" s="19">
        <f>(M28-M16)/M16*100</f>
        <v>4.8913611860908794</v>
      </c>
      <c r="O28" s="49">
        <f>(M28/M25-1)*100</f>
        <v>2.0774880622000058</v>
      </c>
      <c r="P28" s="49"/>
      <c r="Q28" s="39"/>
      <c r="R28" s="20">
        <f t="shared" si="7"/>
        <v>38717</v>
      </c>
      <c r="S28" s="27">
        <v>3.32</v>
      </c>
      <c r="T28" s="46">
        <f t="shared" si="8"/>
        <v>1077130.5309553526</v>
      </c>
      <c r="U28" s="11">
        <f>(T28-T16)/T16*100</f>
        <v>7.7130530955352592</v>
      </c>
      <c r="V28" s="5">
        <f>(T28/T25-1)*100</f>
        <v>0.60295779800001448</v>
      </c>
      <c r="W28" s="49"/>
      <c r="X28" s="39"/>
    </row>
    <row r="29" spans="1:24" x14ac:dyDescent="0.25">
      <c r="A29" s="20">
        <v>38748</v>
      </c>
      <c r="B29" s="24">
        <f t="shared" si="9"/>
        <v>13</v>
      </c>
      <c r="C29" s="96" t="s">
        <v>77</v>
      </c>
      <c r="D29" s="102">
        <f t="shared" si="3"/>
        <v>0.81666666666666665</v>
      </c>
      <c r="E29" s="46">
        <f t="shared" si="4"/>
        <v>1062415.4992021522</v>
      </c>
      <c r="F29" s="10"/>
      <c r="H29" s="49"/>
      <c r="I29" s="27">
        <v>1</v>
      </c>
      <c r="J29" s="39"/>
      <c r="K29" s="20">
        <f t="shared" si="5"/>
        <v>38748</v>
      </c>
      <c r="L29" s="34">
        <v>2.65</v>
      </c>
      <c r="M29" s="46">
        <f t="shared" si="6"/>
        <v>1076709.8225752229</v>
      </c>
      <c r="N29" s="15"/>
      <c r="P29" s="49"/>
      <c r="Q29" s="39"/>
      <c r="R29" s="20">
        <f t="shared" si="7"/>
        <v>38748</v>
      </c>
      <c r="S29" s="27">
        <v>1</v>
      </c>
      <c r="T29" s="46">
        <f t="shared" si="8"/>
        <v>1087901.8362649062</v>
      </c>
      <c r="U29" s="10"/>
      <c r="W29" s="49"/>
      <c r="X29" s="39"/>
    </row>
    <row r="30" spans="1:24" x14ac:dyDescent="0.25">
      <c r="A30" s="20">
        <v>38776</v>
      </c>
      <c r="B30" s="24">
        <f t="shared" si="9"/>
        <v>14</v>
      </c>
      <c r="C30" s="96" t="s">
        <v>77</v>
      </c>
      <c r="D30" s="102">
        <f t="shared" si="3"/>
        <v>1.5366666666666666</v>
      </c>
      <c r="E30" s="46">
        <f t="shared" si="4"/>
        <v>1078741.284039892</v>
      </c>
      <c r="F30" s="8"/>
      <c r="H30" s="49"/>
      <c r="I30" s="27">
        <v>1.72</v>
      </c>
      <c r="J30" s="39"/>
      <c r="K30" s="20">
        <f t="shared" si="5"/>
        <v>38776</v>
      </c>
      <c r="L30" s="34">
        <v>0.27</v>
      </c>
      <c r="M30" s="46">
        <f t="shared" si="6"/>
        <v>1079616.9390961761</v>
      </c>
      <c r="N30" s="7"/>
      <c r="P30" s="49"/>
      <c r="Q30" s="39"/>
      <c r="R30" s="20">
        <f t="shared" si="7"/>
        <v>38776</v>
      </c>
      <c r="S30" s="27">
        <v>1.72</v>
      </c>
      <c r="T30" s="46">
        <f t="shared" si="8"/>
        <v>1106613.7478486625</v>
      </c>
      <c r="U30" s="8"/>
      <c r="W30" s="49"/>
      <c r="X30" s="39"/>
    </row>
    <row r="31" spans="1:24" x14ac:dyDescent="0.25">
      <c r="A31" s="20">
        <v>38807</v>
      </c>
      <c r="B31" s="24">
        <f t="shared" si="9"/>
        <v>15</v>
      </c>
      <c r="C31" s="96" t="s">
        <v>77</v>
      </c>
      <c r="D31" s="102">
        <f t="shared" si="3"/>
        <v>1.2866666666666666</v>
      </c>
      <c r="E31" s="46">
        <f t="shared" si="4"/>
        <v>1092621.0885612052</v>
      </c>
      <c r="F31" s="8"/>
      <c r="G31" s="5">
        <f>(E31/E28-1)*100</f>
        <v>3.6829904695185212</v>
      </c>
      <c r="H31" s="49"/>
      <c r="I31" s="27">
        <v>1.47</v>
      </c>
      <c r="J31" s="39"/>
      <c r="K31" s="20">
        <f t="shared" si="5"/>
        <v>38807</v>
      </c>
      <c r="L31" s="34">
        <v>1.24</v>
      </c>
      <c r="M31" s="46">
        <f t="shared" si="6"/>
        <v>1093004.1891409687</v>
      </c>
      <c r="N31" s="7"/>
      <c r="O31" s="49">
        <f>(M31/M28-1)*100</f>
        <v>4.2034517220000067</v>
      </c>
      <c r="P31" s="49"/>
      <c r="Q31" s="39"/>
      <c r="R31" s="20">
        <f t="shared" si="7"/>
        <v>38807</v>
      </c>
      <c r="S31" s="27">
        <v>1.47</v>
      </c>
      <c r="T31" s="46">
        <f t="shared" si="8"/>
        <v>1122880.9699420379</v>
      </c>
      <c r="U31" s="8"/>
      <c r="V31" s="5">
        <f>(T31/T28-1)*100</f>
        <v>4.2474368400000184</v>
      </c>
      <c r="W31" s="49"/>
      <c r="X31" s="39"/>
    </row>
    <row r="32" spans="1:24" x14ac:dyDescent="0.25">
      <c r="A32" s="20">
        <v>38837</v>
      </c>
      <c r="B32" s="24">
        <f t="shared" si="9"/>
        <v>16</v>
      </c>
      <c r="C32" s="96" t="s">
        <v>77</v>
      </c>
      <c r="D32" s="102">
        <f t="shared" si="3"/>
        <v>-0.60333333333333328</v>
      </c>
      <c r="E32" s="46">
        <f t="shared" si="4"/>
        <v>1086028.9413268859</v>
      </c>
      <c r="F32" s="8"/>
      <c r="H32" s="49"/>
      <c r="I32" s="27">
        <v>-0.42</v>
      </c>
      <c r="J32" s="39"/>
      <c r="K32" s="20">
        <f t="shared" si="5"/>
        <v>38837</v>
      </c>
      <c r="L32" s="34">
        <v>1.34</v>
      </c>
      <c r="M32" s="46">
        <f t="shared" si="6"/>
        <v>1107650.4452754578</v>
      </c>
      <c r="N32" s="7"/>
      <c r="P32" s="49"/>
      <c r="Q32" s="39"/>
      <c r="R32" s="20">
        <f t="shared" si="7"/>
        <v>38837</v>
      </c>
      <c r="S32" s="27">
        <v>-0.42</v>
      </c>
      <c r="T32" s="46">
        <f t="shared" si="8"/>
        <v>1118164.8698682813</v>
      </c>
      <c r="U32" s="8"/>
      <c r="W32" s="49"/>
      <c r="X32" s="39"/>
    </row>
    <row r="33" spans="1:24" x14ac:dyDescent="0.25">
      <c r="A33" s="20">
        <v>38868</v>
      </c>
      <c r="B33" s="24">
        <f t="shared" si="9"/>
        <v>17</v>
      </c>
      <c r="C33" s="96" t="s">
        <v>77</v>
      </c>
      <c r="D33" s="102">
        <f t="shared" si="3"/>
        <v>-1.0433333333333334</v>
      </c>
      <c r="E33" s="46">
        <f t="shared" si="4"/>
        <v>1074698.0393723755</v>
      </c>
      <c r="F33" s="8"/>
      <c r="H33" s="49"/>
      <c r="I33" s="27">
        <v>-0.86</v>
      </c>
      <c r="J33" s="39"/>
      <c r="K33" s="20">
        <f t="shared" si="5"/>
        <v>38868</v>
      </c>
      <c r="L33" s="34">
        <v>-2.88</v>
      </c>
      <c r="M33" s="46">
        <f t="shared" si="6"/>
        <v>1075750.1124515247</v>
      </c>
      <c r="N33" s="7"/>
      <c r="P33" s="49"/>
      <c r="Q33" s="39"/>
      <c r="R33" s="20">
        <f t="shared" si="7"/>
        <v>38868</v>
      </c>
      <c r="S33" s="27">
        <v>-0.86</v>
      </c>
      <c r="T33" s="46">
        <f t="shared" si="8"/>
        <v>1108548.6519874141</v>
      </c>
      <c r="U33" s="8"/>
      <c r="W33" s="49"/>
      <c r="X33" s="39"/>
    </row>
    <row r="34" spans="1:24" x14ac:dyDescent="0.25">
      <c r="A34" s="20">
        <v>38898</v>
      </c>
      <c r="B34" s="24">
        <f t="shared" si="9"/>
        <v>18</v>
      </c>
      <c r="C34" s="96" t="s">
        <v>77</v>
      </c>
      <c r="D34" s="102">
        <f t="shared" si="3"/>
        <v>1.3066666666666666</v>
      </c>
      <c r="E34" s="46">
        <f t="shared" si="4"/>
        <v>1088740.7604201746</v>
      </c>
      <c r="F34" s="8"/>
      <c r="G34" s="5">
        <f>(E34/E31-1)*100</f>
        <v>-0.3551394149036935</v>
      </c>
      <c r="H34" s="49"/>
      <c r="I34" s="27">
        <v>1.49</v>
      </c>
      <c r="J34" s="39"/>
      <c r="K34" s="20">
        <f t="shared" si="5"/>
        <v>38898</v>
      </c>
      <c r="L34" s="34">
        <v>0.13999999999999999</v>
      </c>
      <c r="M34" s="46">
        <f t="shared" si="6"/>
        <v>1077256.1626089569</v>
      </c>
      <c r="N34" s="7"/>
      <c r="O34" s="49">
        <f>(M34/M31-1)*100</f>
        <v>-1.4408020287999812</v>
      </c>
      <c r="P34" s="49"/>
      <c r="Q34" s="39"/>
      <c r="R34" s="20">
        <f t="shared" si="7"/>
        <v>38898</v>
      </c>
      <c r="S34" s="27">
        <v>1.49</v>
      </c>
      <c r="T34" s="46">
        <f t="shared" si="8"/>
        <v>1125066.0269020265</v>
      </c>
      <c r="U34" s="8"/>
      <c r="V34" s="5">
        <f>(T34/T31-1)*100</f>
        <v>0.19459381879998183</v>
      </c>
      <c r="W34" s="49"/>
      <c r="X34" s="39"/>
    </row>
    <row r="35" spans="1:24" x14ac:dyDescent="0.25">
      <c r="A35" s="20">
        <v>38929</v>
      </c>
      <c r="B35" s="24">
        <f t="shared" si="9"/>
        <v>19</v>
      </c>
      <c r="C35" s="96" t="s">
        <v>77</v>
      </c>
      <c r="D35" s="102">
        <f t="shared" si="3"/>
        <v>-3.3333333333333548E-3</v>
      </c>
      <c r="E35" s="46">
        <f t="shared" si="4"/>
        <v>1088704.4690614939</v>
      </c>
      <c r="F35" s="8"/>
      <c r="H35" s="49"/>
      <c r="I35" s="27">
        <v>0.18</v>
      </c>
      <c r="J35" s="39"/>
      <c r="K35" s="20">
        <f t="shared" si="5"/>
        <v>38929</v>
      </c>
      <c r="L35" s="34">
        <v>0.62</v>
      </c>
      <c r="M35" s="46">
        <f t="shared" si="6"/>
        <v>1083935.1508171326</v>
      </c>
      <c r="N35" s="7"/>
      <c r="P35" s="49"/>
      <c r="Q35" s="39"/>
      <c r="R35" s="20">
        <f t="shared" si="7"/>
        <v>38929</v>
      </c>
      <c r="S35" s="27">
        <v>0.18</v>
      </c>
      <c r="T35" s="46">
        <f t="shared" si="8"/>
        <v>1127091.1457504502</v>
      </c>
      <c r="U35" s="8"/>
      <c r="W35" s="49"/>
      <c r="X35" s="39"/>
    </row>
    <row r="36" spans="1:24" x14ac:dyDescent="0.25">
      <c r="A36" s="20">
        <v>38960</v>
      </c>
      <c r="B36" s="24">
        <f t="shared" si="9"/>
        <v>20</v>
      </c>
      <c r="C36" s="96" t="s">
        <v>77</v>
      </c>
      <c r="D36" s="102">
        <f t="shared" si="3"/>
        <v>2.416666666666667</v>
      </c>
      <c r="E36" s="46">
        <f t="shared" si="4"/>
        <v>1115014.8270638133</v>
      </c>
      <c r="F36" s="8"/>
      <c r="H36" s="49"/>
      <c r="I36" s="27">
        <v>2.6</v>
      </c>
      <c r="J36" s="39"/>
      <c r="K36" s="20">
        <f t="shared" si="5"/>
        <v>38960</v>
      </c>
      <c r="L36" s="34">
        <v>2.3800000000000003</v>
      </c>
      <c r="M36" s="46">
        <f t="shared" si="6"/>
        <v>1109732.8074065803</v>
      </c>
      <c r="N36" s="7"/>
      <c r="P36" s="49"/>
      <c r="Q36" s="39"/>
      <c r="R36" s="20">
        <f t="shared" si="7"/>
        <v>38960</v>
      </c>
      <c r="S36" s="27">
        <v>2.6</v>
      </c>
      <c r="T36" s="46">
        <f t="shared" si="8"/>
        <v>1156395.5155399619</v>
      </c>
      <c r="U36" s="8"/>
      <c r="W36" s="49"/>
      <c r="X36" s="39"/>
    </row>
    <row r="37" spans="1:24" x14ac:dyDescent="0.25">
      <c r="A37" s="20">
        <v>38990</v>
      </c>
      <c r="B37" s="24">
        <f t="shared" si="9"/>
        <v>21</v>
      </c>
      <c r="C37" s="96" t="s">
        <v>77</v>
      </c>
      <c r="D37" s="102">
        <f t="shared" si="3"/>
        <v>2.5366666666666671</v>
      </c>
      <c r="E37" s="46">
        <f t="shared" si="4"/>
        <v>1143299.036510332</v>
      </c>
      <c r="F37" s="8"/>
      <c r="G37" s="5">
        <f>(E37/E34-1)*100</f>
        <v>5.0111356232407367</v>
      </c>
      <c r="H37" s="49"/>
      <c r="I37" s="27">
        <v>2.72</v>
      </c>
      <c r="J37" s="39"/>
      <c r="K37" s="20">
        <f t="shared" si="5"/>
        <v>38990</v>
      </c>
      <c r="L37" s="34">
        <v>2.58</v>
      </c>
      <c r="M37" s="46">
        <f t="shared" si="6"/>
        <v>1138363.9138376701</v>
      </c>
      <c r="N37" s="7"/>
      <c r="O37" s="49">
        <f>(M37/M34-1)*100</f>
        <v>5.672536704800013</v>
      </c>
      <c r="P37" s="49"/>
      <c r="Q37" s="39"/>
      <c r="R37" s="20">
        <f t="shared" si="7"/>
        <v>38990</v>
      </c>
      <c r="S37" s="27">
        <v>2.72</v>
      </c>
      <c r="T37" s="46">
        <f t="shared" si="8"/>
        <v>1187849.4735626488</v>
      </c>
      <c r="U37" s="8"/>
      <c r="V37" s="5">
        <f>(T37/T34-1)*100</f>
        <v>5.5804232959999922</v>
      </c>
      <c r="W37" s="49"/>
      <c r="X37" s="39"/>
    </row>
    <row r="38" spans="1:24" x14ac:dyDescent="0.25">
      <c r="A38" s="20">
        <v>39021</v>
      </c>
      <c r="B38" s="24">
        <f t="shared" si="9"/>
        <v>22</v>
      </c>
      <c r="C38" s="96" t="s">
        <v>77</v>
      </c>
      <c r="D38" s="102">
        <f t="shared" si="3"/>
        <v>2.5666666666666664</v>
      </c>
      <c r="E38" s="46">
        <f t="shared" si="4"/>
        <v>1172643.7117807639</v>
      </c>
      <c r="F38" s="8"/>
      <c r="H38" s="49"/>
      <c r="I38" s="27">
        <v>2.75</v>
      </c>
      <c r="J38" s="39"/>
      <c r="K38" s="20">
        <f t="shared" si="5"/>
        <v>39021</v>
      </c>
      <c r="L38" s="34">
        <v>3.26</v>
      </c>
      <c r="M38" s="46">
        <f t="shared" si="6"/>
        <v>1175474.5774287782</v>
      </c>
      <c r="N38" s="7"/>
      <c r="P38" s="49"/>
      <c r="Q38" s="39"/>
      <c r="R38" s="20">
        <f t="shared" si="7"/>
        <v>39021</v>
      </c>
      <c r="S38" s="27">
        <v>2.75</v>
      </c>
      <c r="T38" s="46">
        <f t="shared" si="8"/>
        <v>1220515.3340856216</v>
      </c>
      <c r="U38" s="8"/>
      <c r="W38" s="49"/>
      <c r="X38" s="39"/>
    </row>
    <row r="39" spans="1:24" x14ac:dyDescent="0.25">
      <c r="A39" s="20">
        <v>39051</v>
      </c>
      <c r="B39" s="24">
        <f t="shared" si="9"/>
        <v>23</v>
      </c>
      <c r="C39" s="96" t="s">
        <v>77</v>
      </c>
      <c r="D39" s="102">
        <f t="shared" si="3"/>
        <v>1.5666666666666667</v>
      </c>
      <c r="E39" s="46">
        <f t="shared" si="4"/>
        <v>1191015.1299319959</v>
      </c>
      <c r="F39" s="8"/>
      <c r="H39" s="49"/>
      <c r="I39" s="27">
        <v>1.75</v>
      </c>
      <c r="J39" s="39"/>
      <c r="K39" s="20">
        <f t="shared" si="5"/>
        <v>39051</v>
      </c>
      <c r="L39" s="34">
        <v>1.9</v>
      </c>
      <c r="M39" s="46">
        <f t="shared" si="6"/>
        <v>1197808.5943999249</v>
      </c>
      <c r="N39" s="7"/>
      <c r="P39" s="49"/>
      <c r="Q39" s="39"/>
      <c r="R39" s="20">
        <f t="shared" si="7"/>
        <v>39051</v>
      </c>
      <c r="S39" s="27">
        <v>1.75</v>
      </c>
      <c r="T39" s="46">
        <f t="shared" si="8"/>
        <v>1241874.3524321201</v>
      </c>
      <c r="U39" s="8"/>
      <c r="W39" s="49"/>
      <c r="X39" s="39"/>
    </row>
    <row r="40" spans="1:24" x14ac:dyDescent="0.25">
      <c r="A40" s="20">
        <v>39082</v>
      </c>
      <c r="B40" s="24">
        <f t="shared" si="9"/>
        <v>24</v>
      </c>
      <c r="C40" s="96" t="s">
        <v>77</v>
      </c>
      <c r="D40" s="102">
        <f t="shared" si="3"/>
        <v>2.666666666666667</v>
      </c>
      <c r="E40" s="46">
        <f t="shared" si="4"/>
        <v>1222775.5333968492</v>
      </c>
      <c r="F40" s="11">
        <f>(E40-E28)/E28*100</f>
        <v>16.033843116184798</v>
      </c>
      <c r="G40" s="5">
        <f>(E40/E37-1)*100</f>
        <v>6.9515056296296285</v>
      </c>
      <c r="H40" s="49"/>
      <c r="I40" s="27">
        <v>2.85</v>
      </c>
      <c r="J40" s="39"/>
      <c r="K40" s="20">
        <f t="shared" si="5"/>
        <v>39082</v>
      </c>
      <c r="L40" s="34">
        <v>1.4000000000000001</v>
      </c>
      <c r="M40" s="46">
        <f t="shared" si="6"/>
        <v>1214577.9147215239</v>
      </c>
      <c r="N40" s="19">
        <f>(M40-M28)/M28*100</f>
        <v>15.793893890527849</v>
      </c>
      <c r="O40" s="49">
        <f>(M40/M37-1)*100</f>
        <v>6.6950471600000006</v>
      </c>
      <c r="P40" s="49"/>
      <c r="Q40" s="39"/>
      <c r="R40" s="20">
        <f t="shared" si="7"/>
        <v>39082</v>
      </c>
      <c r="S40" s="27">
        <v>2.85</v>
      </c>
      <c r="T40" s="46">
        <f t="shared" si="8"/>
        <v>1277267.7714764355</v>
      </c>
      <c r="U40" s="11">
        <f>(T40-T28)/T28*100</f>
        <v>18.580593045076228</v>
      </c>
      <c r="V40" s="5">
        <f>(T40/T37-1)*100</f>
        <v>7.5277465625000151</v>
      </c>
      <c r="W40" s="49"/>
      <c r="X40" s="39"/>
    </row>
    <row r="41" spans="1:24" x14ac:dyDescent="0.25">
      <c r="A41" s="20">
        <v>39113</v>
      </c>
      <c r="B41" s="24">
        <f t="shared" si="9"/>
        <v>25</v>
      </c>
      <c r="C41" s="96" t="s">
        <v>77</v>
      </c>
      <c r="D41" s="102">
        <f t="shared" si="3"/>
        <v>2.1566666666666663</v>
      </c>
      <c r="E41" s="46">
        <f t="shared" si="4"/>
        <v>1249146.7257337745</v>
      </c>
      <c r="F41" s="10"/>
      <c r="H41" s="49"/>
      <c r="I41" s="27">
        <v>2.34</v>
      </c>
      <c r="J41" s="39"/>
      <c r="K41" s="20">
        <f t="shared" si="5"/>
        <v>39113</v>
      </c>
      <c r="L41" s="34">
        <v>1.51</v>
      </c>
      <c r="M41" s="46">
        <f t="shared" si="6"/>
        <v>1232918.041233819</v>
      </c>
      <c r="N41" s="15"/>
      <c r="P41" s="49"/>
      <c r="Q41" s="39"/>
      <c r="R41" s="20">
        <f t="shared" si="7"/>
        <v>39113</v>
      </c>
      <c r="S41" s="27">
        <v>2.34</v>
      </c>
      <c r="T41" s="46">
        <f t="shared" si="8"/>
        <v>1307155.8373289842</v>
      </c>
      <c r="U41" s="10"/>
      <c r="W41" s="49"/>
      <c r="X41" s="39"/>
    </row>
    <row r="42" spans="1:24" x14ac:dyDescent="0.25">
      <c r="A42" s="20">
        <v>39141</v>
      </c>
      <c r="B42" s="24">
        <f t="shared" si="9"/>
        <v>26</v>
      </c>
      <c r="C42" s="96" t="s">
        <v>77</v>
      </c>
      <c r="D42" s="102">
        <f t="shared" si="3"/>
        <v>-1.9133333333333333</v>
      </c>
      <c r="E42" s="46">
        <f t="shared" si="4"/>
        <v>1225246.3850480684</v>
      </c>
      <c r="F42" s="8"/>
      <c r="H42" s="49"/>
      <c r="I42" s="27">
        <v>-1.73</v>
      </c>
      <c r="J42" s="39"/>
      <c r="K42" s="20">
        <f t="shared" si="5"/>
        <v>39141</v>
      </c>
      <c r="L42" s="34">
        <v>-1.96</v>
      </c>
      <c r="M42" s="46">
        <f t="shared" si="6"/>
        <v>1208752.847625636</v>
      </c>
      <c r="N42" s="7"/>
      <c r="P42" s="49"/>
      <c r="Q42" s="39"/>
      <c r="R42" s="20">
        <f t="shared" si="7"/>
        <v>39141</v>
      </c>
      <c r="S42" s="27">
        <v>-1.73</v>
      </c>
      <c r="T42" s="46">
        <f t="shared" si="8"/>
        <v>1284542.0413431928</v>
      </c>
      <c r="U42" s="8"/>
      <c r="W42" s="49"/>
      <c r="X42" s="39"/>
    </row>
    <row r="43" spans="1:24" x14ac:dyDescent="0.25">
      <c r="A43" s="20">
        <v>39172</v>
      </c>
      <c r="B43" s="24">
        <f t="shared" si="9"/>
        <v>27</v>
      </c>
      <c r="C43" s="96" t="s">
        <v>77</v>
      </c>
      <c r="D43" s="102">
        <f t="shared" si="3"/>
        <v>1.6866666666666668</v>
      </c>
      <c r="E43" s="46">
        <f t="shared" si="4"/>
        <v>1245912.2074092124</v>
      </c>
      <c r="F43" s="8"/>
      <c r="G43" s="5">
        <f>(E43/E40-1)*100</f>
        <v>1.8921440101185238</v>
      </c>
      <c r="H43" s="49"/>
      <c r="I43" s="27">
        <v>1.87</v>
      </c>
      <c r="J43" s="39"/>
      <c r="K43" s="20">
        <f t="shared" si="5"/>
        <v>39172</v>
      </c>
      <c r="L43" s="34">
        <v>1.1199999999999999</v>
      </c>
      <c r="M43" s="46">
        <f t="shared" si="6"/>
        <v>1222290.8795190433</v>
      </c>
      <c r="N43" s="7"/>
      <c r="O43" s="49">
        <f>(M43/M40-1)*100</f>
        <v>0.6350325248000166</v>
      </c>
      <c r="P43" s="49"/>
      <c r="Q43" s="39"/>
      <c r="R43" s="20">
        <f t="shared" si="7"/>
        <v>39172</v>
      </c>
      <c r="S43" s="27">
        <v>1.87</v>
      </c>
      <c r="T43" s="46">
        <f t="shared" si="8"/>
        <v>1308562.9775163105</v>
      </c>
      <c r="U43" s="8"/>
      <c r="V43" s="5">
        <f>(T43/T40-1)*100</f>
        <v>2.4501679866000048</v>
      </c>
      <c r="W43" s="49"/>
      <c r="X43" s="39"/>
    </row>
    <row r="44" spans="1:24" x14ac:dyDescent="0.25">
      <c r="A44" s="20">
        <v>39202</v>
      </c>
      <c r="B44" s="24">
        <f t="shared" si="9"/>
        <v>28</v>
      </c>
      <c r="C44" s="96" t="s">
        <v>77</v>
      </c>
      <c r="D44" s="102">
        <f t="shared" si="3"/>
        <v>1.7766666666666666</v>
      </c>
      <c r="E44" s="46">
        <f t="shared" si="4"/>
        <v>1268047.9142941828</v>
      </c>
      <c r="F44" s="8"/>
      <c r="H44" s="49"/>
      <c r="I44" s="27">
        <v>1.96</v>
      </c>
      <c r="J44" s="39"/>
      <c r="K44" s="20">
        <f t="shared" si="5"/>
        <v>39202</v>
      </c>
      <c r="L44" s="34">
        <v>4.43</v>
      </c>
      <c r="M44" s="46">
        <f t="shared" si="6"/>
        <v>1276438.3654817368</v>
      </c>
      <c r="N44" s="7"/>
      <c r="P44" s="49"/>
      <c r="Q44" s="39"/>
      <c r="R44" s="20">
        <f t="shared" si="7"/>
        <v>39202</v>
      </c>
      <c r="S44" s="27">
        <v>1.96</v>
      </c>
      <c r="T44" s="46">
        <f t="shared" si="8"/>
        <v>1334210.8118756302</v>
      </c>
      <c r="U44" s="8"/>
      <c r="W44" s="49"/>
      <c r="X44" s="39"/>
    </row>
    <row r="45" spans="1:24" x14ac:dyDescent="0.25">
      <c r="A45" s="20">
        <v>39233</v>
      </c>
      <c r="B45" s="24">
        <f t="shared" si="9"/>
        <v>29</v>
      </c>
      <c r="C45" s="96" t="s">
        <v>77</v>
      </c>
      <c r="D45" s="102">
        <f t="shared" si="3"/>
        <v>2.956666666666667</v>
      </c>
      <c r="E45" s="46">
        <f t="shared" si="4"/>
        <v>1305539.8642934808</v>
      </c>
      <c r="F45" s="8"/>
      <c r="H45" s="49"/>
      <c r="I45" s="27">
        <v>3.14</v>
      </c>
      <c r="J45" s="39"/>
      <c r="K45" s="20">
        <f t="shared" si="5"/>
        <v>39233</v>
      </c>
      <c r="L45" s="34">
        <v>3.49</v>
      </c>
      <c r="M45" s="46">
        <f t="shared" si="6"/>
        <v>1320986.0644370494</v>
      </c>
      <c r="N45" s="7"/>
      <c r="P45" s="49"/>
      <c r="Q45" s="39"/>
      <c r="R45" s="20">
        <f t="shared" si="7"/>
        <v>39233</v>
      </c>
      <c r="S45" s="27">
        <v>3.14</v>
      </c>
      <c r="T45" s="46">
        <f t="shared" si="8"/>
        <v>1376105.031368525</v>
      </c>
      <c r="U45" s="8"/>
      <c r="W45" s="49"/>
      <c r="X45" s="39"/>
    </row>
    <row r="46" spans="1:24" x14ac:dyDescent="0.25">
      <c r="A46" s="20">
        <v>39263</v>
      </c>
      <c r="B46" s="24">
        <f t="shared" si="9"/>
        <v>30</v>
      </c>
      <c r="C46" s="96" t="s">
        <v>77</v>
      </c>
      <c r="D46" s="102">
        <f t="shared" si="3"/>
        <v>-0.72333333333333338</v>
      </c>
      <c r="E46" s="46">
        <f t="shared" si="4"/>
        <v>1296096.4592750913</v>
      </c>
      <c r="F46" s="8"/>
      <c r="G46" s="5">
        <f>(E46/E43-1)*100</f>
        <v>4.02791236552964</v>
      </c>
      <c r="H46" s="49"/>
      <c r="I46" s="27">
        <v>-0.54</v>
      </c>
      <c r="J46" s="39"/>
      <c r="K46" s="20">
        <f t="shared" si="5"/>
        <v>39263</v>
      </c>
      <c r="L46" s="34">
        <v>-1.66</v>
      </c>
      <c r="M46" s="46">
        <f t="shared" si="6"/>
        <v>1299057.6957673945</v>
      </c>
      <c r="N46" s="7"/>
      <c r="O46" s="49">
        <f>(M46/M43-1)*100</f>
        <v>6.280568523800012</v>
      </c>
      <c r="P46" s="49"/>
      <c r="Q46" s="39"/>
      <c r="R46" s="20">
        <f t="shared" si="7"/>
        <v>39263</v>
      </c>
      <c r="S46" s="27">
        <v>-0.54</v>
      </c>
      <c r="T46" s="46">
        <f t="shared" si="8"/>
        <v>1368674.0641991349</v>
      </c>
      <c r="U46" s="8"/>
      <c r="V46" s="5">
        <f>(T46/T43-1)*100</f>
        <v>4.5936716623999896</v>
      </c>
      <c r="W46" s="49"/>
      <c r="X46" s="39"/>
    </row>
    <row r="47" spans="1:24" x14ac:dyDescent="0.25">
      <c r="A47" s="20">
        <v>39294</v>
      </c>
      <c r="B47" s="24">
        <f t="shared" si="9"/>
        <v>31</v>
      </c>
      <c r="C47" s="96" t="s">
        <v>77</v>
      </c>
      <c r="D47" s="102">
        <f t="shared" si="3"/>
        <v>-3.9633333333333329</v>
      </c>
      <c r="E47" s="46">
        <f t="shared" si="4"/>
        <v>1244727.8362724886</v>
      </c>
      <c r="F47" s="8"/>
      <c r="H47" s="49"/>
      <c r="I47" s="27">
        <v>-3.78</v>
      </c>
      <c r="J47" s="39"/>
      <c r="K47" s="20">
        <f t="shared" si="5"/>
        <v>39294</v>
      </c>
      <c r="L47" s="34">
        <v>-3.1</v>
      </c>
      <c r="M47" s="46">
        <f t="shared" si="6"/>
        <v>1258786.9071986054</v>
      </c>
      <c r="N47" s="7"/>
      <c r="P47" s="49"/>
      <c r="Q47" s="39"/>
      <c r="R47" s="20">
        <f t="shared" si="7"/>
        <v>39294</v>
      </c>
      <c r="S47" s="27">
        <v>-3.78</v>
      </c>
      <c r="T47" s="46">
        <f t="shared" si="8"/>
        <v>1316938.1845724077</v>
      </c>
      <c r="U47" s="8"/>
      <c r="W47" s="49"/>
      <c r="X47" s="39"/>
    </row>
    <row r="48" spans="1:24" x14ac:dyDescent="0.25">
      <c r="A48" s="20">
        <v>39325</v>
      </c>
      <c r="B48" s="24">
        <f t="shared" si="9"/>
        <v>32</v>
      </c>
      <c r="C48" s="96" t="s">
        <v>77</v>
      </c>
      <c r="D48" s="102">
        <f t="shared" si="3"/>
        <v>1.0266666666666666</v>
      </c>
      <c r="E48" s="46">
        <f t="shared" si="4"/>
        <v>1257507.0420582194</v>
      </c>
      <c r="F48" s="8"/>
      <c r="H48" s="49"/>
      <c r="I48" s="27">
        <v>1.21</v>
      </c>
      <c r="J48" s="39"/>
      <c r="K48" s="20">
        <f t="shared" si="5"/>
        <v>39325</v>
      </c>
      <c r="L48" s="34">
        <v>1.5</v>
      </c>
      <c r="M48" s="46">
        <f t="shared" si="6"/>
        <v>1277668.7108065845</v>
      </c>
      <c r="N48" s="7"/>
      <c r="P48" s="49"/>
      <c r="Q48" s="39"/>
      <c r="R48" s="20">
        <f t="shared" si="7"/>
        <v>39325</v>
      </c>
      <c r="S48" s="27">
        <v>1.21</v>
      </c>
      <c r="T48" s="46">
        <f t="shared" si="8"/>
        <v>1332873.1366057338</v>
      </c>
      <c r="U48" s="8"/>
      <c r="W48" s="49"/>
      <c r="X48" s="39"/>
    </row>
    <row r="49" spans="1:24" x14ac:dyDescent="0.25">
      <c r="A49" s="20">
        <v>39355</v>
      </c>
      <c r="B49" s="24">
        <f t="shared" si="9"/>
        <v>33</v>
      </c>
      <c r="C49" s="96" t="s">
        <v>77</v>
      </c>
      <c r="D49" s="102">
        <f t="shared" si="3"/>
        <v>2.706666666666667</v>
      </c>
      <c r="E49" s="46">
        <f t="shared" si="4"/>
        <v>1291543.5659965952</v>
      </c>
      <c r="F49" s="8"/>
      <c r="G49" s="5">
        <f>(E49/E46-1)*100</f>
        <v>-0.35127734868147797</v>
      </c>
      <c r="H49" s="49"/>
      <c r="I49" s="27">
        <v>2.89</v>
      </c>
      <c r="J49" s="39"/>
      <c r="K49" s="20">
        <f t="shared" si="5"/>
        <v>39355</v>
      </c>
      <c r="L49" s="34">
        <v>3.74</v>
      </c>
      <c r="M49" s="46">
        <f t="shared" si="6"/>
        <v>1325453.5205907507</v>
      </c>
      <c r="N49" s="7"/>
      <c r="O49" s="49">
        <f>(M49/M46-1)*100</f>
        <v>2.0319209000000171</v>
      </c>
      <c r="P49" s="49"/>
      <c r="Q49" s="39"/>
      <c r="R49" s="20">
        <f t="shared" si="7"/>
        <v>39355</v>
      </c>
      <c r="S49" s="27">
        <v>2.89</v>
      </c>
      <c r="T49" s="46">
        <f t="shared" si="8"/>
        <v>1371393.1702536396</v>
      </c>
      <c r="U49" s="8"/>
      <c r="V49" s="5">
        <f>(T49/T46-1)*100</f>
        <v>0.19866717180001547</v>
      </c>
      <c r="W49" s="49"/>
      <c r="X49" s="39"/>
    </row>
    <row r="50" spans="1:24" x14ac:dyDescent="0.25">
      <c r="A50" s="20">
        <v>39386</v>
      </c>
      <c r="B50" s="24">
        <f t="shared" si="9"/>
        <v>34</v>
      </c>
      <c r="C50" s="96" t="s">
        <v>77</v>
      </c>
      <c r="D50" s="102">
        <f t="shared" si="3"/>
        <v>0.67666666666666664</v>
      </c>
      <c r="E50" s="46">
        <f t="shared" si="4"/>
        <v>1300283.0107931721</v>
      </c>
      <c r="F50" s="8"/>
      <c r="H50" s="49"/>
      <c r="I50" s="27">
        <v>0.86</v>
      </c>
      <c r="J50" s="39"/>
      <c r="K50" s="20">
        <f t="shared" si="5"/>
        <v>39386</v>
      </c>
      <c r="L50" s="34">
        <v>1.59</v>
      </c>
      <c r="M50" s="46">
        <f t="shared" si="6"/>
        <v>1346528.2315681437</v>
      </c>
      <c r="N50" s="7"/>
      <c r="P50" s="49"/>
      <c r="Q50" s="39"/>
      <c r="R50" s="20">
        <f t="shared" si="7"/>
        <v>39386</v>
      </c>
      <c r="S50" s="27">
        <v>0.86</v>
      </c>
      <c r="T50" s="46">
        <f t="shared" si="8"/>
        <v>1383187.1515178208</v>
      </c>
      <c r="U50" s="8"/>
      <c r="W50" s="49"/>
      <c r="X50" s="39"/>
    </row>
    <row r="51" spans="1:24" x14ac:dyDescent="0.25">
      <c r="A51" s="20">
        <v>39416</v>
      </c>
      <c r="B51" s="24">
        <f t="shared" si="9"/>
        <v>35</v>
      </c>
      <c r="C51" s="96" t="s">
        <v>77</v>
      </c>
      <c r="D51" s="102">
        <f t="shared" si="3"/>
        <v>-3.0733333333333333</v>
      </c>
      <c r="E51" s="46">
        <f t="shared" si="4"/>
        <v>1260320.9795947953</v>
      </c>
      <c r="F51" s="8"/>
      <c r="H51" s="49"/>
      <c r="I51" s="27">
        <v>-2.89</v>
      </c>
      <c r="J51" s="39"/>
      <c r="K51" s="20">
        <f t="shared" si="5"/>
        <v>39416</v>
      </c>
      <c r="L51" s="34">
        <v>-4.18</v>
      </c>
      <c r="M51" s="46">
        <f t="shared" si="6"/>
        <v>1290243.3514885954</v>
      </c>
      <c r="N51" s="7"/>
      <c r="P51" s="49"/>
      <c r="Q51" s="39"/>
      <c r="R51" s="20">
        <f t="shared" si="7"/>
        <v>39416</v>
      </c>
      <c r="S51" s="27">
        <v>-2.89</v>
      </c>
      <c r="T51" s="46">
        <f t="shared" si="8"/>
        <v>1343213.0428389558</v>
      </c>
      <c r="U51" s="8"/>
      <c r="W51" s="49"/>
      <c r="X51" s="39"/>
    </row>
    <row r="52" spans="1:24" x14ac:dyDescent="0.25">
      <c r="A52" s="20">
        <v>39447</v>
      </c>
      <c r="B52" s="24">
        <f t="shared" si="9"/>
        <v>36</v>
      </c>
      <c r="C52" s="96" t="s">
        <v>77</v>
      </c>
      <c r="D52" s="102">
        <f t="shared" si="3"/>
        <v>4.4166666666666661</v>
      </c>
      <c r="E52" s="46">
        <f t="shared" si="4"/>
        <v>1315985.1561935653</v>
      </c>
      <c r="F52" s="11">
        <f>(E52-E40)/E40*100</f>
        <v>7.6227909580249333</v>
      </c>
      <c r="G52" s="5">
        <f>(E52/E49-1)*100</f>
        <v>1.8924325001851816</v>
      </c>
      <c r="H52" s="49"/>
      <c r="I52" s="27">
        <v>4.5999999999999996</v>
      </c>
      <c r="J52" s="39"/>
      <c r="K52" s="20">
        <f t="shared" si="5"/>
        <v>39447</v>
      </c>
      <c r="L52" s="34">
        <v>-0.69</v>
      </c>
      <c r="M52" s="46">
        <f t="shared" si="6"/>
        <v>1281340.6723633241</v>
      </c>
      <c r="N52" s="19">
        <f>(M52-M40)/M40*100</f>
        <v>5.4967867299898536</v>
      </c>
      <c r="O52" s="49">
        <f>(M52/M49-1)*100</f>
        <v>-3.3281324121999911</v>
      </c>
      <c r="P52" s="49"/>
      <c r="Q52" s="39"/>
      <c r="R52" s="20">
        <f t="shared" si="7"/>
        <v>39447</v>
      </c>
      <c r="S52" s="27">
        <v>4.5999999999999996</v>
      </c>
      <c r="T52" s="46">
        <f t="shared" si="8"/>
        <v>1405000.8428095477</v>
      </c>
      <c r="U52" s="11">
        <f>(T52-T40)/T40*100</f>
        <v>10.000492785115949</v>
      </c>
      <c r="V52" s="5">
        <f>(T52/T49-1)*100</f>
        <v>2.4506227159999838</v>
      </c>
      <c r="W52" s="49"/>
      <c r="X52" s="39"/>
    </row>
    <row r="53" spans="1:24" x14ac:dyDescent="0.25">
      <c r="A53" s="20">
        <v>39478</v>
      </c>
      <c r="B53" s="24">
        <f t="shared" si="9"/>
        <v>37</v>
      </c>
      <c r="C53" s="96" t="s">
        <v>77</v>
      </c>
      <c r="D53" s="102">
        <f t="shared" si="3"/>
        <v>-7.5833333333333339</v>
      </c>
      <c r="E53" s="46">
        <f t="shared" si="4"/>
        <v>1216189.61518222</v>
      </c>
      <c r="F53" s="10"/>
      <c r="H53" s="49"/>
      <c r="I53" s="27">
        <v>-7.4</v>
      </c>
      <c r="J53" s="39"/>
      <c r="K53" s="20">
        <f t="shared" si="5"/>
        <v>39478</v>
      </c>
      <c r="L53" s="34">
        <v>-6</v>
      </c>
      <c r="M53" s="46">
        <f t="shared" si="6"/>
        <v>1204460.2320215246</v>
      </c>
      <c r="N53" s="15"/>
      <c r="P53" s="49"/>
      <c r="Q53" s="39"/>
      <c r="R53" s="20">
        <f t="shared" si="7"/>
        <v>39478</v>
      </c>
      <c r="S53" s="27">
        <v>-7.4</v>
      </c>
      <c r="T53" s="46">
        <f t="shared" si="8"/>
        <v>1301030.7804416411</v>
      </c>
      <c r="U53" s="10"/>
      <c r="W53" s="49"/>
      <c r="X53" s="39"/>
    </row>
    <row r="54" spans="1:24" x14ac:dyDescent="0.25">
      <c r="A54" s="20">
        <v>39507</v>
      </c>
      <c r="B54" s="24">
        <f t="shared" si="9"/>
        <v>38</v>
      </c>
      <c r="C54" s="96" t="s">
        <v>77</v>
      </c>
      <c r="D54" s="102">
        <f t="shared" si="3"/>
        <v>0.13666666666666666</v>
      </c>
      <c r="E54" s="46">
        <f t="shared" si="4"/>
        <v>1217851.7409896357</v>
      </c>
      <c r="F54" s="8"/>
      <c r="H54" s="49"/>
      <c r="I54" s="27">
        <v>0.32</v>
      </c>
      <c r="J54" s="39"/>
      <c r="K54" s="20">
        <f t="shared" si="5"/>
        <v>39507</v>
      </c>
      <c r="L54" s="34">
        <v>-3.25</v>
      </c>
      <c r="M54" s="46">
        <f t="shared" si="6"/>
        <v>1165315.2744808251</v>
      </c>
      <c r="N54" s="7"/>
      <c r="P54" s="49"/>
      <c r="Q54" s="39"/>
      <c r="R54" s="20">
        <f t="shared" si="7"/>
        <v>39507</v>
      </c>
      <c r="S54" s="27">
        <v>0.32</v>
      </c>
      <c r="T54" s="46">
        <f t="shared" si="8"/>
        <v>1305194.0789390544</v>
      </c>
      <c r="U54" s="8"/>
      <c r="W54" s="49"/>
      <c r="X54" s="39"/>
    </row>
    <row r="55" spans="1:24" x14ac:dyDescent="0.25">
      <c r="A55" s="20">
        <v>39538</v>
      </c>
      <c r="B55" s="24">
        <f t="shared" si="9"/>
        <v>39</v>
      </c>
      <c r="C55" s="96" t="s">
        <v>77</v>
      </c>
      <c r="D55" s="102">
        <f t="shared" si="3"/>
        <v>-2.4733333333333336</v>
      </c>
      <c r="E55" s="46">
        <f t="shared" si="4"/>
        <v>1187730.2079291588</v>
      </c>
      <c r="F55" s="8"/>
      <c r="G55" s="5">
        <f>(E55/E52-1)*100</f>
        <v>-9.7459266664814752</v>
      </c>
      <c r="H55" s="49"/>
      <c r="I55" s="27">
        <v>-2.29</v>
      </c>
      <c r="J55" s="39"/>
      <c r="K55" s="20">
        <f t="shared" si="5"/>
        <v>39538</v>
      </c>
      <c r="L55" s="34">
        <v>-0.43</v>
      </c>
      <c r="M55" s="46">
        <f t="shared" si="6"/>
        <v>1160304.4188005575</v>
      </c>
      <c r="N55" s="7"/>
      <c r="O55" s="49">
        <f>(M55/M52-1)*100</f>
        <v>-9.4460635000000011</v>
      </c>
      <c r="P55" s="49"/>
      <c r="Q55" s="39"/>
      <c r="R55" s="20">
        <f t="shared" si="7"/>
        <v>39538</v>
      </c>
      <c r="S55" s="27">
        <v>-2.29</v>
      </c>
      <c r="T55" s="46">
        <f t="shared" si="8"/>
        <v>1275305.1345313501</v>
      </c>
      <c r="U55" s="8"/>
      <c r="V55" s="5">
        <f>(T55/T52-1)*100</f>
        <v>-9.231005727999996</v>
      </c>
      <c r="W55" s="49"/>
      <c r="X55" s="39"/>
    </row>
    <row r="56" spans="1:24" x14ac:dyDescent="0.25">
      <c r="A56" s="20">
        <v>39568</v>
      </c>
      <c r="B56" s="24">
        <f t="shared" si="9"/>
        <v>40</v>
      </c>
      <c r="C56" s="96" t="s">
        <v>77</v>
      </c>
      <c r="D56" s="102">
        <f t="shared" si="3"/>
        <v>1.8766666666666667</v>
      </c>
      <c r="E56" s="46">
        <f t="shared" si="4"/>
        <v>1210019.9448312961</v>
      </c>
      <c r="F56" s="8"/>
      <c r="H56" s="49"/>
      <c r="I56" s="27">
        <v>2.06</v>
      </c>
      <c r="J56" s="39"/>
      <c r="K56" s="20">
        <f t="shared" si="5"/>
        <v>39568</v>
      </c>
      <c r="L56" s="34">
        <v>4.87</v>
      </c>
      <c r="M56" s="46">
        <f t="shared" si="6"/>
        <v>1216811.2439961447</v>
      </c>
      <c r="N56" s="7"/>
      <c r="P56" s="49"/>
      <c r="Q56" s="39"/>
      <c r="R56" s="20">
        <f t="shared" si="7"/>
        <v>39568</v>
      </c>
      <c r="S56" s="27">
        <v>2.06</v>
      </c>
      <c r="T56" s="46">
        <f t="shared" si="8"/>
        <v>1301576.4203026958</v>
      </c>
      <c r="U56" s="8"/>
      <c r="W56" s="49"/>
      <c r="X56" s="39"/>
    </row>
    <row r="57" spans="1:24" x14ac:dyDescent="0.25">
      <c r="A57" s="20">
        <v>39599</v>
      </c>
      <c r="B57" s="24">
        <f t="shared" si="9"/>
        <v>41</v>
      </c>
      <c r="C57" s="96" t="s">
        <v>77</v>
      </c>
      <c r="D57" s="102">
        <f t="shared" si="3"/>
        <v>2.3466666666666667</v>
      </c>
      <c r="E57" s="46">
        <f t="shared" si="4"/>
        <v>1238415.0795366706</v>
      </c>
      <c r="F57" s="8"/>
      <c r="H57" s="49"/>
      <c r="I57" s="27">
        <v>2.5299999999999998</v>
      </c>
      <c r="J57" s="39"/>
      <c r="K57" s="20">
        <f t="shared" si="5"/>
        <v>39599</v>
      </c>
      <c r="L57" s="34">
        <v>1.3</v>
      </c>
      <c r="M57" s="46">
        <f t="shared" si="6"/>
        <v>1232629.7901680947</v>
      </c>
      <c r="N57" s="7"/>
      <c r="P57" s="49"/>
      <c r="Q57" s="39"/>
      <c r="R57" s="20">
        <f t="shared" si="7"/>
        <v>39599</v>
      </c>
      <c r="S57" s="27">
        <v>2.5299999999999998</v>
      </c>
      <c r="T57" s="46">
        <f t="shared" si="8"/>
        <v>1334506.303736354</v>
      </c>
      <c r="U57" s="8"/>
      <c r="W57" s="49"/>
      <c r="X57" s="39"/>
    </row>
    <row r="58" spans="1:24" x14ac:dyDescent="0.25">
      <c r="A58" s="20">
        <v>39629</v>
      </c>
      <c r="B58" s="24">
        <f t="shared" si="9"/>
        <v>42</v>
      </c>
      <c r="C58" s="96" t="s">
        <v>77</v>
      </c>
      <c r="D58" s="102">
        <f t="shared" si="3"/>
        <v>-3.4633333333333329</v>
      </c>
      <c r="E58" s="46">
        <f t="shared" si="4"/>
        <v>1195524.6372820507</v>
      </c>
      <c r="F58" s="8"/>
      <c r="G58" s="5">
        <f>(E58/E55-1)*100</f>
        <v>0.65624577878520274</v>
      </c>
      <c r="H58" s="49"/>
      <c r="I58" s="27">
        <v>-3.28</v>
      </c>
      <c r="J58" s="39"/>
      <c r="K58" s="20">
        <f t="shared" si="5"/>
        <v>39629</v>
      </c>
      <c r="L58" s="34">
        <v>-8.43</v>
      </c>
      <c r="M58" s="46">
        <f t="shared" si="6"/>
        <v>1128719.0988569243</v>
      </c>
      <c r="N58" s="7"/>
      <c r="O58" s="49">
        <f>(M58/M55-1)*100</f>
        <v>-2.7221580329999884</v>
      </c>
      <c r="P58" s="49"/>
      <c r="Q58" s="39"/>
      <c r="R58" s="20">
        <f t="shared" si="7"/>
        <v>39629</v>
      </c>
      <c r="S58" s="27">
        <v>-3.28</v>
      </c>
      <c r="T58" s="46">
        <f t="shared" si="8"/>
        <v>1290734.4969738016</v>
      </c>
      <c r="U58" s="8"/>
      <c r="V58" s="5">
        <f>(T58/T55-1)*100</f>
        <v>1.2098565295999952</v>
      </c>
      <c r="W58" s="49"/>
      <c r="X58" s="39"/>
    </row>
    <row r="59" spans="1:24" x14ac:dyDescent="0.25">
      <c r="A59" s="20">
        <v>39660</v>
      </c>
      <c r="B59" s="24">
        <f t="shared" si="9"/>
        <v>43</v>
      </c>
      <c r="C59" s="96" t="s">
        <v>77</v>
      </c>
      <c r="D59" s="102">
        <f t="shared" si="3"/>
        <v>1.2266666666666666</v>
      </c>
      <c r="E59" s="46">
        <f t="shared" si="4"/>
        <v>1210189.7394993771</v>
      </c>
      <c r="F59" s="8"/>
      <c r="H59" s="49"/>
      <c r="I59" s="27">
        <v>1.41</v>
      </c>
      <c r="J59" s="39"/>
      <c r="K59" s="20">
        <f t="shared" si="5"/>
        <v>39660</v>
      </c>
      <c r="L59" s="34">
        <v>-0.84</v>
      </c>
      <c r="M59" s="46">
        <f t="shared" si="6"/>
        <v>1119237.8584265262</v>
      </c>
      <c r="N59" s="7"/>
      <c r="P59" s="49"/>
      <c r="Q59" s="39"/>
      <c r="R59" s="20">
        <f t="shared" si="7"/>
        <v>39660</v>
      </c>
      <c r="S59" s="27">
        <v>1.41</v>
      </c>
      <c r="T59" s="46">
        <f t="shared" si="8"/>
        <v>1308933.8533811322</v>
      </c>
      <c r="U59" s="8"/>
      <c r="W59" s="49"/>
      <c r="X59" s="39"/>
    </row>
    <row r="60" spans="1:24" x14ac:dyDescent="0.25">
      <c r="A60" s="20">
        <v>39691</v>
      </c>
      <c r="B60" s="24">
        <f t="shared" si="9"/>
        <v>44</v>
      </c>
      <c r="C60" s="96" t="s">
        <v>77</v>
      </c>
      <c r="D60" s="102">
        <f t="shared" si="3"/>
        <v>1.9666666666666666</v>
      </c>
      <c r="E60" s="46">
        <f t="shared" si="4"/>
        <v>1233990.1377095315</v>
      </c>
      <c r="F60" s="8"/>
      <c r="H60" s="49"/>
      <c r="I60" s="27">
        <v>2.15</v>
      </c>
      <c r="J60" s="39"/>
      <c r="K60" s="20">
        <f t="shared" si="5"/>
        <v>39691</v>
      </c>
      <c r="L60" s="34">
        <v>1.4500000000000002</v>
      </c>
      <c r="M60" s="46">
        <f t="shared" si="6"/>
        <v>1135466.8073737109</v>
      </c>
      <c r="N60" s="7"/>
      <c r="P60" s="49"/>
      <c r="Q60" s="39"/>
      <c r="R60" s="20">
        <f t="shared" si="7"/>
        <v>39691</v>
      </c>
      <c r="S60" s="27">
        <v>2.15</v>
      </c>
      <c r="T60" s="46">
        <f t="shared" si="8"/>
        <v>1337075.9312288265</v>
      </c>
      <c r="U60" s="8"/>
      <c r="W60" s="49"/>
      <c r="X60" s="39"/>
    </row>
    <row r="61" spans="1:24" x14ac:dyDescent="0.25">
      <c r="A61" s="20">
        <v>39721</v>
      </c>
      <c r="B61" s="24">
        <f t="shared" si="9"/>
        <v>45</v>
      </c>
      <c r="C61" s="96" t="s">
        <v>77</v>
      </c>
      <c r="D61" s="102">
        <f t="shared" si="3"/>
        <v>-3.6633333333333331</v>
      </c>
      <c r="E61" s="46">
        <f t="shared" si="4"/>
        <v>1188784.9656647723</v>
      </c>
      <c r="F61" s="8"/>
      <c r="G61" s="5">
        <f>(E61/E58-1)*100</f>
        <v>-0.56374175881481747</v>
      </c>
      <c r="H61" s="49"/>
      <c r="I61" s="27">
        <v>-3.48</v>
      </c>
      <c r="J61" s="39"/>
      <c r="K61" s="20">
        <f t="shared" si="5"/>
        <v>39721</v>
      </c>
      <c r="L61" s="34">
        <v>-8.91</v>
      </c>
      <c r="M61" s="46">
        <f t="shared" si="6"/>
        <v>1034296.7148367133</v>
      </c>
      <c r="N61" s="7"/>
      <c r="O61" s="49">
        <f>(M61/M58-1)*100</f>
        <v>-8.3654457619999896</v>
      </c>
      <c r="P61" s="49"/>
      <c r="Q61" s="39"/>
      <c r="R61" s="20">
        <f t="shared" si="7"/>
        <v>39721</v>
      </c>
      <c r="S61" s="27">
        <v>-3.48</v>
      </c>
      <c r="T61" s="46">
        <f t="shared" si="8"/>
        <v>1290545.6888220634</v>
      </c>
      <c r="U61" s="8"/>
      <c r="V61" s="5">
        <f>(T61/T58-1)*100</f>
        <v>-1.462796200000227E-2</v>
      </c>
      <c r="W61" s="49"/>
      <c r="X61" s="39"/>
    </row>
    <row r="62" spans="1:24" x14ac:dyDescent="0.25">
      <c r="A62" s="20">
        <v>39752</v>
      </c>
      <c r="B62" s="24">
        <f t="shared" si="9"/>
        <v>46</v>
      </c>
      <c r="C62" s="96" t="s">
        <v>77</v>
      </c>
      <c r="D62" s="102">
        <f t="shared" si="3"/>
        <v>-16.573333333333334</v>
      </c>
      <c r="E62" s="46">
        <f t="shared" si="4"/>
        <v>991763.67068859737</v>
      </c>
      <c r="F62" s="8"/>
      <c r="H62" s="49"/>
      <c r="I62" s="27">
        <v>-16.39</v>
      </c>
      <c r="J62" s="39"/>
      <c r="K62" s="20">
        <f t="shared" si="5"/>
        <v>39752</v>
      </c>
      <c r="L62" s="34">
        <v>-16.79</v>
      </c>
      <c r="M62" s="46">
        <f t="shared" si="6"/>
        <v>860638.2964156291</v>
      </c>
      <c r="N62" s="7"/>
      <c r="P62" s="49"/>
      <c r="Q62" s="39"/>
      <c r="R62" s="20">
        <f t="shared" si="7"/>
        <v>39752</v>
      </c>
      <c r="S62" s="27">
        <v>-16.39</v>
      </c>
      <c r="T62" s="46">
        <f t="shared" si="8"/>
        <v>1079025.2504241271</v>
      </c>
      <c r="U62" s="8"/>
      <c r="W62" s="49"/>
      <c r="X62" s="39"/>
    </row>
    <row r="63" spans="1:24" x14ac:dyDescent="0.25">
      <c r="A63" s="20">
        <v>39782</v>
      </c>
      <c r="B63" s="24">
        <f t="shared" si="9"/>
        <v>47</v>
      </c>
      <c r="C63" s="96" t="s">
        <v>77</v>
      </c>
      <c r="D63" s="102">
        <f t="shared" si="3"/>
        <v>-5.913333333333334</v>
      </c>
      <c r="E63" s="46">
        <f t="shared" si="4"/>
        <v>933117.37896187836</v>
      </c>
      <c r="F63" s="8"/>
      <c r="H63" s="49"/>
      <c r="I63" s="27">
        <v>-5.73</v>
      </c>
      <c r="J63" s="39"/>
      <c r="K63" s="20">
        <f t="shared" si="5"/>
        <v>39782</v>
      </c>
      <c r="L63" s="34">
        <v>-7.1800000000000006</v>
      </c>
      <c r="M63" s="46">
        <f t="shared" si="6"/>
        <v>798844.46673298697</v>
      </c>
      <c r="N63" s="7"/>
      <c r="P63" s="49"/>
      <c r="Q63" s="39"/>
      <c r="R63" s="20">
        <f t="shared" si="7"/>
        <v>39782</v>
      </c>
      <c r="S63" s="27">
        <v>-5.73</v>
      </c>
      <c r="T63" s="46">
        <f t="shared" si="8"/>
        <v>1017197.1035748246</v>
      </c>
      <c r="U63" s="8"/>
      <c r="W63" s="49"/>
      <c r="X63" s="39"/>
    </row>
    <row r="64" spans="1:24" x14ac:dyDescent="0.25">
      <c r="A64" s="20">
        <v>39813</v>
      </c>
      <c r="B64" s="24">
        <f t="shared" si="9"/>
        <v>48</v>
      </c>
      <c r="C64" s="96" t="s">
        <v>77</v>
      </c>
      <c r="D64" s="102">
        <f t="shared" si="3"/>
        <v>2.7366666666666664</v>
      </c>
      <c r="E64" s="46">
        <f t="shared" si="4"/>
        <v>958653.69123280176</v>
      </c>
      <c r="F64" s="11">
        <f>(E64-E52)/E52*100</f>
        <v>-27.153153155186843</v>
      </c>
      <c r="G64" s="5">
        <f>(E64/E61-1)*100</f>
        <v>-19.358528335970369</v>
      </c>
      <c r="H64" s="49"/>
      <c r="I64" s="27">
        <v>2.92</v>
      </c>
      <c r="J64" s="39"/>
      <c r="K64" s="20">
        <f t="shared" si="5"/>
        <v>39813</v>
      </c>
      <c r="L64" s="34">
        <v>1.06</v>
      </c>
      <c r="M64" s="46">
        <f t="shared" si="6"/>
        <v>807312.2180803566</v>
      </c>
      <c r="N64" s="19">
        <f>(M64-M52)/M52*100</f>
        <v>-36.994724705699241</v>
      </c>
      <c r="O64" s="49">
        <f>(M64/M61-1)*100</f>
        <v>-21.945781466799996</v>
      </c>
      <c r="P64" s="49"/>
      <c r="Q64" s="39"/>
      <c r="R64" s="20">
        <f t="shared" si="7"/>
        <v>39813</v>
      </c>
      <c r="S64" s="27">
        <v>2.92</v>
      </c>
      <c r="T64" s="46">
        <f t="shared" si="8"/>
        <v>1046899.2589992095</v>
      </c>
      <c r="U64" s="11">
        <f>(T64-T52)/T52*100</f>
        <v>-25.487641921570003</v>
      </c>
      <c r="V64" s="5">
        <f>(T64/T61-1)*100</f>
        <v>-18.879333907600003</v>
      </c>
      <c r="W64" s="49"/>
      <c r="X64" s="39"/>
    </row>
    <row r="65" spans="1:24" x14ac:dyDescent="0.25">
      <c r="A65" s="20">
        <v>39844</v>
      </c>
      <c r="B65" s="24">
        <f t="shared" si="9"/>
        <v>49</v>
      </c>
      <c r="C65" s="96" t="s">
        <v>77</v>
      </c>
      <c r="D65" s="102">
        <f t="shared" si="3"/>
        <v>-3.3633333333333333</v>
      </c>
      <c r="E65" s="46">
        <f t="shared" si="4"/>
        <v>926410.97208433854</v>
      </c>
      <c r="F65" s="10"/>
      <c r="H65" s="49"/>
      <c r="I65" s="27">
        <v>-3.18</v>
      </c>
      <c r="J65" s="39"/>
      <c r="K65" s="20">
        <f t="shared" si="5"/>
        <v>39844</v>
      </c>
      <c r="L65" s="34">
        <v>-8.43</v>
      </c>
      <c r="M65" s="46">
        <f t="shared" si="6"/>
        <v>739255.79809618252</v>
      </c>
      <c r="N65" s="15"/>
      <c r="P65" s="49"/>
      <c r="Q65" s="39"/>
      <c r="R65" s="20">
        <f t="shared" si="7"/>
        <v>39844</v>
      </c>
      <c r="S65" s="27">
        <v>-3.18</v>
      </c>
      <c r="T65" s="46">
        <f t="shared" si="8"/>
        <v>1013607.8625630346</v>
      </c>
      <c r="U65" s="10"/>
      <c r="W65" s="49"/>
      <c r="X65" s="39"/>
    </row>
    <row r="66" spans="1:24" x14ac:dyDescent="0.25">
      <c r="A66" s="20">
        <v>39872</v>
      </c>
      <c r="B66" s="24">
        <f t="shared" si="9"/>
        <v>50</v>
      </c>
      <c r="C66" s="96" t="s">
        <v>77</v>
      </c>
      <c r="D66" s="102">
        <f t="shared" si="3"/>
        <v>-8.6833333333333336</v>
      </c>
      <c r="E66" s="46">
        <f t="shared" si="4"/>
        <v>845967.61934168183</v>
      </c>
      <c r="F66" s="8"/>
      <c r="H66" s="49"/>
      <c r="I66" s="27">
        <v>-8.5</v>
      </c>
      <c r="J66" s="39"/>
      <c r="K66" s="20">
        <f t="shared" si="5"/>
        <v>39872</v>
      </c>
      <c r="L66" s="34">
        <v>-10.65</v>
      </c>
      <c r="M66" s="46">
        <f t="shared" si="6"/>
        <v>660525.05559893907</v>
      </c>
      <c r="N66" s="7"/>
      <c r="P66" s="49"/>
      <c r="Q66" s="39"/>
      <c r="R66" s="20">
        <f t="shared" si="7"/>
        <v>39872</v>
      </c>
      <c r="S66" s="27">
        <v>-8.5</v>
      </c>
      <c r="T66" s="46">
        <f t="shared" si="8"/>
        <v>927451.19424517674</v>
      </c>
      <c r="U66" s="8"/>
      <c r="W66" s="49"/>
      <c r="X66" s="39"/>
    </row>
    <row r="67" spans="1:24" x14ac:dyDescent="0.25">
      <c r="A67" s="20">
        <v>39903</v>
      </c>
      <c r="B67" s="24">
        <f t="shared" si="9"/>
        <v>51</v>
      </c>
      <c r="C67" s="96" t="s">
        <v>77</v>
      </c>
      <c r="D67" s="102">
        <f t="shared" si="3"/>
        <v>5.5066666666666668</v>
      </c>
      <c r="E67" s="46">
        <f t="shared" si="4"/>
        <v>892552.23624676373</v>
      </c>
      <c r="F67" s="8"/>
      <c r="G67" s="5">
        <f>(E67/E64-1)*100</f>
        <v>-6.8952381439259298</v>
      </c>
      <c r="H67" s="49"/>
      <c r="I67" s="27">
        <v>5.69</v>
      </c>
      <c r="J67" s="39"/>
      <c r="K67" s="20">
        <f t="shared" si="5"/>
        <v>39903</v>
      </c>
      <c r="L67" s="34">
        <v>8.76</v>
      </c>
      <c r="M67" s="46">
        <f t="shared" si="6"/>
        <v>718387.05046940618</v>
      </c>
      <c r="N67" s="7"/>
      <c r="O67" s="49">
        <f>(M67/M64-1)*100</f>
        <v>-11.014966157999995</v>
      </c>
      <c r="P67" s="49"/>
      <c r="Q67" s="39"/>
      <c r="R67" s="20">
        <f t="shared" si="7"/>
        <v>39903</v>
      </c>
      <c r="S67" s="27">
        <v>5.69</v>
      </c>
      <c r="T67" s="46">
        <f t="shared" si="8"/>
        <v>980223.16719772725</v>
      </c>
      <c r="U67" s="8"/>
      <c r="V67" s="5">
        <f>(T67/T64-1)*100</f>
        <v>-6.3689119299999986</v>
      </c>
      <c r="W67" s="49"/>
      <c r="X67" s="39"/>
    </row>
    <row r="68" spans="1:24" x14ac:dyDescent="0.25">
      <c r="A68" s="20">
        <v>39933</v>
      </c>
      <c r="B68" s="24">
        <f t="shared" si="9"/>
        <v>52</v>
      </c>
      <c r="C68" s="96" t="s">
        <v>77</v>
      </c>
      <c r="D68" s="102">
        <f t="shared" si="3"/>
        <v>2.7566666666666668</v>
      </c>
      <c r="E68" s="46">
        <f t="shared" si="4"/>
        <v>917156.92622596619</v>
      </c>
      <c r="F68" s="8"/>
      <c r="H68" s="49"/>
      <c r="I68" s="27">
        <v>2.94</v>
      </c>
      <c r="J68" s="39"/>
      <c r="K68" s="20">
        <f t="shared" si="5"/>
        <v>39933</v>
      </c>
      <c r="L68" s="34">
        <v>9.5699999999999985</v>
      </c>
      <c r="M68" s="46">
        <f t="shared" si="6"/>
        <v>787136.69119932828</v>
      </c>
      <c r="N68" s="7"/>
      <c r="P68" s="49"/>
      <c r="Q68" s="39"/>
      <c r="R68" s="20">
        <f t="shared" si="7"/>
        <v>39933</v>
      </c>
      <c r="S68" s="27">
        <v>2.94</v>
      </c>
      <c r="T68" s="46">
        <f t="shared" si="8"/>
        <v>1009041.7283133405</v>
      </c>
      <c r="U68" s="8"/>
      <c r="W68" s="49"/>
      <c r="X68" s="39"/>
    </row>
    <row r="69" spans="1:24" x14ac:dyDescent="0.25">
      <c r="A69" s="20">
        <v>39964</v>
      </c>
      <c r="B69" s="24">
        <f t="shared" si="9"/>
        <v>53</v>
      </c>
      <c r="C69" s="96" t="s">
        <v>77</v>
      </c>
      <c r="D69" s="102">
        <f t="shared" si="3"/>
        <v>1.4266666666666667</v>
      </c>
      <c r="E69" s="46">
        <f t="shared" si="4"/>
        <v>930241.6983734566</v>
      </c>
      <c r="F69" s="8"/>
      <c r="H69" s="49"/>
      <c r="I69" s="27">
        <v>1.61</v>
      </c>
      <c r="J69" s="39"/>
      <c r="K69" s="20">
        <f t="shared" si="5"/>
        <v>39964</v>
      </c>
      <c r="L69" s="34">
        <v>5.59</v>
      </c>
      <c r="M69" s="46">
        <f t="shared" si="6"/>
        <v>831137.63223737071</v>
      </c>
      <c r="N69" s="7"/>
      <c r="P69" s="49"/>
      <c r="Q69" s="39"/>
      <c r="R69" s="20">
        <f t="shared" si="7"/>
        <v>39964</v>
      </c>
      <c r="S69" s="27">
        <v>1.61</v>
      </c>
      <c r="T69" s="46">
        <f t="shared" si="8"/>
        <v>1025287.3001391853</v>
      </c>
      <c r="U69" s="8"/>
      <c r="W69" s="49"/>
      <c r="X69" s="39"/>
    </row>
    <row r="70" spans="1:24" x14ac:dyDescent="0.25">
      <c r="A70" s="20">
        <v>39994</v>
      </c>
      <c r="B70" s="24">
        <f t="shared" si="9"/>
        <v>54</v>
      </c>
      <c r="C70" s="96" t="s">
        <v>77</v>
      </c>
      <c r="D70" s="102">
        <f t="shared" si="3"/>
        <v>5.3466666666666667</v>
      </c>
      <c r="E70" s="46">
        <f t="shared" si="4"/>
        <v>979978.62117982411</v>
      </c>
      <c r="F70" s="8"/>
      <c r="G70" s="5">
        <f>(E70/E67-1)*100</f>
        <v>9.7951000941629562</v>
      </c>
      <c r="H70" s="49"/>
      <c r="I70" s="27">
        <v>5.53</v>
      </c>
      <c r="J70" s="39"/>
      <c r="K70" s="20">
        <f t="shared" si="5"/>
        <v>39994</v>
      </c>
      <c r="L70" s="34">
        <v>0.2</v>
      </c>
      <c r="M70" s="46">
        <f t="shared" si="6"/>
        <v>832799.9075018455</v>
      </c>
      <c r="N70" s="7"/>
      <c r="O70" s="49">
        <f>(M70/M67-1)*100</f>
        <v>15.926352925999998</v>
      </c>
      <c r="P70" s="49"/>
      <c r="Q70" s="39"/>
      <c r="R70" s="20">
        <f t="shared" si="7"/>
        <v>39994</v>
      </c>
      <c r="S70" s="27">
        <v>5.53</v>
      </c>
      <c r="T70" s="46">
        <f t="shared" si="8"/>
        <v>1081985.6878368822</v>
      </c>
      <c r="U70" s="8"/>
      <c r="V70" s="5">
        <f>(T70/T67-1)*100</f>
        <v>10.381566570199997</v>
      </c>
      <c r="W70" s="49"/>
      <c r="X70" s="39"/>
    </row>
    <row r="71" spans="1:24" x14ac:dyDescent="0.25">
      <c r="A71" s="20">
        <v>40025</v>
      </c>
      <c r="B71" s="24">
        <f t="shared" si="9"/>
        <v>55</v>
      </c>
      <c r="C71" s="96" t="s">
        <v>77</v>
      </c>
      <c r="D71" s="102">
        <f t="shared" si="3"/>
        <v>4.2366666666666664</v>
      </c>
      <c r="E71" s="46">
        <f t="shared" si="4"/>
        <v>1021497.0487638094</v>
      </c>
      <c r="F71" s="8"/>
      <c r="H71" s="49"/>
      <c r="I71" s="27">
        <v>4.42</v>
      </c>
      <c r="J71" s="39"/>
      <c r="K71" s="20">
        <f t="shared" si="5"/>
        <v>40025</v>
      </c>
      <c r="L71" s="34">
        <v>7.5600000000000005</v>
      </c>
      <c r="M71" s="46">
        <f t="shared" si="6"/>
        <v>895759.58050898509</v>
      </c>
      <c r="N71" s="7"/>
      <c r="P71" s="49"/>
      <c r="Q71" s="39"/>
      <c r="R71" s="20">
        <f t="shared" si="7"/>
        <v>40025</v>
      </c>
      <c r="S71" s="27">
        <v>4.42</v>
      </c>
      <c r="T71" s="46">
        <f t="shared" si="8"/>
        <v>1129809.4552392724</v>
      </c>
      <c r="U71" s="8"/>
      <c r="W71" s="49"/>
      <c r="X71" s="39"/>
    </row>
    <row r="72" spans="1:24" x14ac:dyDescent="0.25">
      <c r="A72" s="20">
        <v>40056</v>
      </c>
      <c r="B72" s="24">
        <f t="shared" si="9"/>
        <v>56</v>
      </c>
      <c r="C72" s="96" t="s">
        <v>77</v>
      </c>
      <c r="D72" s="102">
        <f t="shared" si="3"/>
        <v>1.1266666666666667</v>
      </c>
      <c r="E72" s="46">
        <f t="shared" si="4"/>
        <v>1033005.915513215</v>
      </c>
      <c r="F72" s="8"/>
      <c r="H72" s="49"/>
      <c r="I72" s="27">
        <v>1.31</v>
      </c>
      <c r="J72" s="39"/>
      <c r="K72" s="20">
        <f t="shared" si="5"/>
        <v>40056</v>
      </c>
      <c r="L72" s="34">
        <v>3.61</v>
      </c>
      <c r="M72" s="46">
        <f t="shared" si="6"/>
        <v>928096.50136535941</v>
      </c>
      <c r="N72" s="7"/>
      <c r="P72" s="49"/>
      <c r="Q72" s="39"/>
      <c r="R72" s="20">
        <f t="shared" si="7"/>
        <v>40056</v>
      </c>
      <c r="S72" s="27">
        <v>1.31</v>
      </c>
      <c r="T72" s="46">
        <f t="shared" si="8"/>
        <v>1144609.959102907</v>
      </c>
      <c r="U72" s="8"/>
      <c r="W72" s="49"/>
      <c r="X72" s="39"/>
    </row>
    <row r="73" spans="1:24" x14ac:dyDescent="0.25">
      <c r="A73" s="20">
        <v>40086</v>
      </c>
      <c r="B73" s="24">
        <f t="shared" si="9"/>
        <v>57</v>
      </c>
      <c r="C73" s="96" t="s">
        <v>77</v>
      </c>
      <c r="D73" s="102">
        <f t="shared" si="3"/>
        <v>3.7766666666666664</v>
      </c>
      <c r="E73" s="46">
        <f t="shared" si="4"/>
        <v>1072019.1055890974</v>
      </c>
      <c r="F73" s="8"/>
      <c r="G73" s="5">
        <f>(E73/E70-1)*100</f>
        <v>9.3920910538296312</v>
      </c>
      <c r="H73" s="49"/>
      <c r="I73" s="27">
        <v>3.96</v>
      </c>
      <c r="J73" s="39"/>
      <c r="K73" s="20">
        <f t="shared" si="5"/>
        <v>40086</v>
      </c>
      <c r="L73" s="34">
        <v>3.73</v>
      </c>
      <c r="M73" s="46">
        <f t="shared" si="6"/>
        <v>962714.50086628727</v>
      </c>
      <c r="N73" s="7"/>
      <c r="O73" s="49">
        <f>(M73/M70-1)*100</f>
        <v>15.5997367668</v>
      </c>
      <c r="P73" s="49"/>
      <c r="Q73" s="39"/>
      <c r="R73" s="20">
        <f t="shared" si="7"/>
        <v>40086</v>
      </c>
      <c r="S73" s="27">
        <v>3.96</v>
      </c>
      <c r="T73" s="46">
        <f t="shared" si="8"/>
        <v>1189936.5134833821</v>
      </c>
      <c r="U73" s="8"/>
      <c r="V73" s="5">
        <f>(T73/T70-1)*100</f>
        <v>9.9771029191999983</v>
      </c>
      <c r="W73" s="49"/>
      <c r="X73" s="39"/>
    </row>
    <row r="74" spans="1:24" x14ac:dyDescent="0.25">
      <c r="A74" s="20">
        <v>40117</v>
      </c>
      <c r="B74" s="24">
        <f t="shared" si="9"/>
        <v>58</v>
      </c>
      <c r="C74" s="96" t="s">
        <v>77</v>
      </c>
      <c r="D74" s="102">
        <f t="shared" si="3"/>
        <v>-0.28333333333333333</v>
      </c>
      <c r="E74" s="46">
        <f t="shared" si="4"/>
        <v>1068981.7181232616</v>
      </c>
      <c r="F74" s="8"/>
      <c r="H74" s="49"/>
      <c r="I74" s="27">
        <v>-0.1</v>
      </c>
      <c r="J74" s="39"/>
      <c r="K74" s="20">
        <f t="shared" si="5"/>
        <v>40117</v>
      </c>
      <c r="L74" s="34">
        <v>-1.8599999999999999</v>
      </c>
      <c r="M74" s="46">
        <f t="shared" si="6"/>
        <v>944808.01115017431</v>
      </c>
      <c r="N74" s="7"/>
      <c r="P74" s="49"/>
      <c r="Q74" s="39"/>
      <c r="R74" s="20">
        <f t="shared" si="7"/>
        <v>40117</v>
      </c>
      <c r="S74" s="27">
        <v>-0.1</v>
      </c>
      <c r="T74" s="46">
        <f t="shared" si="8"/>
        <v>1188746.5769698988</v>
      </c>
      <c r="U74" s="8"/>
      <c r="W74" s="49"/>
      <c r="X74" s="39"/>
    </row>
    <row r="75" spans="1:24" x14ac:dyDescent="0.25">
      <c r="A75" s="20">
        <v>40147</v>
      </c>
      <c r="B75" s="24">
        <f t="shared" si="9"/>
        <v>59</v>
      </c>
      <c r="C75" s="96" t="s">
        <v>77</v>
      </c>
      <c r="D75" s="102">
        <f t="shared" si="3"/>
        <v>4.3866666666666667</v>
      </c>
      <c r="E75" s="46">
        <f t="shared" si="4"/>
        <v>1115874.3828249353</v>
      </c>
      <c r="F75" s="8"/>
      <c r="H75" s="49"/>
      <c r="I75" s="27">
        <v>4.57</v>
      </c>
      <c r="J75" s="39"/>
      <c r="K75" s="20">
        <f t="shared" si="5"/>
        <v>40147</v>
      </c>
      <c r="L75" s="34">
        <v>6</v>
      </c>
      <c r="M75" s="46">
        <f t="shared" si="6"/>
        <v>1001496.4918191847</v>
      </c>
      <c r="N75" s="7"/>
      <c r="P75" s="49"/>
      <c r="Q75" s="39"/>
      <c r="R75" s="20">
        <f t="shared" si="7"/>
        <v>40147</v>
      </c>
      <c r="S75" s="27">
        <v>4.57</v>
      </c>
      <c r="T75" s="46">
        <f t="shared" si="8"/>
        <v>1243072.2955374231</v>
      </c>
      <c r="U75" s="8"/>
      <c r="W75" s="49"/>
      <c r="X75" s="39"/>
    </row>
    <row r="76" spans="1:24" x14ac:dyDescent="0.25">
      <c r="A76" s="20">
        <v>40178</v>
      </c>
      <c r="B76" s="24">
        <f t="shared" si="9"/>
        <v>60</v>
      </c>
      <c r="C76" s="96" t="s">
        <v>77</v>
      </c>
      <c r="D76" s="102">
        <f t="shared" si="3"/>
        <v>3.1266666666666669</v>
      </c>
      <c r="E76" s="46">
        <f t="shared" si="4"/>
        <v>1150764.0551945949</v>
      </c>
      <c r="F76" s="11">
        <f>(E76-E64)/E64*100</f>
        <v>20.039599880405675</v>
      </c>
      <c r="G76" s="5">
        <f>(E76/E73-1)*100</f>
        <v>7.3454800567407386</v>
      </c>
      <c r="H76" s="49"/>
      <c r="I76" s="27">
        <v>3.31</v>
      </c>
      <c r="J76" s="39"/>
      <c r="K76" s="20">
        <f t="shared" si="5"/>
        <v>40178</v>
      </c>
      <c r="L76" s="34">
        <v>1.9300000000000002</v>
      </c>
      <c r="M76" s="46">
        <f t="shared" si="6"/>
        <v>1020825.374111295</v>
      </c>
      <c r="N76" s="19">
        <f>(M76-M64)/M64*100</f>
        <v>26.447407985306391</v>
      </c>
      <c r="O76" s="49">
        <f>(M76/M73-1)*100</f>
        <v>6.0361481199999956</v>
      </c>
      <c r="P76" s="49"/>
      <c r="Q76" s="39"/>
      <c r="R76" s="20">
        <f t="shared" si="7"/>
        <v>40178</v>
      </c>
      <c r="S76" s="27">
        <v>3.31</v>
      </c>
      <c r="T76" s="46">
        <f t="shared" si="8"/>
        <v>1284217.9885197119</v>
      </c>
      <c r="U76" s="11">
        <f>(T76-T64)/T64*100</f>
        <v>22.668726477786301</v>
      </c>
      <c r="V76" s="5">
        <f>(T76/T73-1)*100</f>
        <v>7.9232357330000003</v>
      </c>
      <c r="W76" s="49"/>
      <c r="X76" s="39"/>
    </row>
    <row r="77" spans="1:24" x14ac:dyDescent="0.25">
      <c r="A77" s="20">
        <v>40209</v>
      </c>
      <c r="B77" s="24">
        <f t="shared" si="9"/>
        <v>61</v>
      </c>
      <c r="C77" s="96" t="s">
        <v>77</v>
      </c>
      <c r="D77" s="102">
        <f t="shared" si="3"/>
        <v>-1.0933333333333333</v>
      </c>
      <c r="E77" s="46">
        <f t="shared" si="4"/>
        <v>1138182.368191134</v>
      </c>
      <c r="F77" s="10"/>
      <c r="H77" s="49"/>
      <c r="I77" s="27">
        <v>-0.91</v>
      </c>
      <c r="J77" s="39"/>
      <c r="K77" s="20">
        <f t="shared" si="5"/>
        <v>40209</v>
      </c>
      <c r="L77" s="34">
        <v>-3.5999999999999996</v>
      </c>
      <c r="M77" s="46">
        <f t="shared" si="6"/>
        <v>984075.6606432884</v>
      </c>
      <c r="N77" s="15"/>
      <c r="P77" s="49"/>
      <c r="Q77" s="39"/>
      <c r="R77" s="20">
        <f t="shared" si="7"/>
        <v>40209</v>
      </c>
      <c r="S77" s="27">
        <v>-0.91</v>
      </c>
      <c r="T77" s="46">
        <f t="shared" si="8"/>
        <v>1272531.6048241826</v>
      </c>
      <c r="U77" s="10"/>
      <c r="W77" s="49"/>
      <c r="X77" s="39"/>
    </row>
    <row r="78" spans="1:24" x14ac:dyDescent="0.25">
      <c r="A78" s="20">
        <v>40237</v>
      </c>
      <c r="B78" s="24">
        <f t="shared" si="9"/>
        <v>62</v>
      </c>
      <c r="C78" s="96" t="s">
        <v>77</v>
      </c>
      <c r="D78" s="102">
        <f t="shared" si="3"/>
        <v>2.8966666666666665</v>
      </c>
      <c r="E78" s="46">
        <f t="shared" si="4"/>
        <v>1171151.7174564039</v>
      </c>
      <c r="F78" s="8"/>
      <c r="H78" s="49"/>
      <c r="I78" s="27">
        <v>3.08</v>
      </c>
      <c r="J78" s="39"/>
      <c r="K78" s="20">
        <f t="shared" si="5"/>
        <v>40237</v>
      </c>
      <c r="L78" s="34">
        <v>3.1</v>
      </c>
      <c r="M78" s="46">
        <f t="shared" si="6"/>
        <v>1014582.0061232303</v>
      </c>
      <c r="N78" s="7"/>
      <c r="P78" s="49"/>
      <c r="Q78" s="39"/>
      <c r="R78" s="20">
        <f t="shared" si="7"/>
        <v>40237</v>
      </c>
      <c r="S78" s="27">
        <v>3.08</v>
      </c>
      <c r="T78" s="46">
        <f t="shared" si="8"/>
        <v>1311725.5782527674</v>
      </c>
      <c r="U78" s="8"/>
      <c r="W78" s="49"/>
      <c r="X78" s="39"/>
    </row>
    <row r="79" spans="1:24" x14ac:dyDescent="0.25">
      <c r="A79" s="20">
        <v>40268</v>
      </c>
      <c r="B79" s="24">
        <f t="shared" si="9"/>
        <v>63</v>
      </c>
      <c r="C79" s="96" t="s">
        <v>77</v>
      </c>
      <c r="D79" s="102">
        <f t="shared" si="3"/>
        <v>4.3266666666666662</v>
      </c>
      <c r="E79" s="46">
        <f t="shared" si="4"/>
        <v>1221823.5484316843</v>
      </c>
      <c r="F79" s="8"/>
      <c r="G79" s="5">
        <f>(E79/E76-1)*100</f>
        <v>6.1749837350518533</v>
      </c>
      <c r="H79" s="49"/>
      <c r="I79" s="27">
        <v>4.51</v>
      </c>
      <c r="J79" s="39"/>
      <c r="K79" s="20">
        <f t="shared" si="5"/>
        <v>40268</v>
      </c>
      <c r="L79" s="34">
        <v>6.03</v>
      </c>
      <c r="M79" s="46">
        <f t="shared" si="6"/>
        <v>1075761.3010924612</v>
      </c>
      <c r="N79" s="7"/>
      <c r="O79" s="49">
        <f>(M79/M76-1)*100</f>
        <v>5.3815205200000049</v>
      </c>
      <c r="P79" s="49"/>
      <c r="Q79" s="39"/>
      <c r="R79" s="20">
        <f t="shared" si="7"/>
        <v>40268</v>
      </c>
      <c r="S79" s="27">
        <v>4.51</v>
      </c>
      <c r="T79" s="46">
        <f t="shared" si="8"/>
        <v>1370884.4018319673</v>
      </c>
      <c r="U79" s="8"/>
      <c r="V79" s="5">
        <f>(T79/T76-1)*100</f>
        <v>6.7485749372000026</v>
      </c>
      <c r="W79" s="49"/>
      <c r="X79" s="39"/>
    </row>
    <row r="80" spans="1:24" x14ac:dyDescent="0.25">
      <c r="A80" s="20">
        <v>40298</v>
      </c>
      <c r="B80" s="24">
        <f t="shared" si="9"/>
        <v>64</v>
      </c>
      <c r="C80" s="96" t="s">
        <v>77</v>
      </c>
      <c r="D80" s="102">
        <f t="shared" si="3"/>
        <v>2.2566666666666668</v>
      </c>
      <c r="E80" s="46">
        <f t="shared" ref="E80:E107" si="10">E79*D80/100+E79</f>
        <v>1249396.0331746258</v>
      </c>
      <c r="F80" s="8"/>
      <c r="H80" s="49"/>
      <c r="I80" s="27">
        <v>2.44</v>
      </c>
      <c r="J80" s="39"/>
      <c r="K80" s="20">
        <f t="shared" ref="K80:K107" si="11">$A80</f>
        <v>40298</v>
      </c>
      <c r="L80" s="34">
        <v>1.58</v>
      </c>
      <c r="M80" s="46">
        <f t="shared" ref="M80:M107" si="12">M79*L80/100+M79</f>
        <v>1092758.3296497222</v>
      </c>
      <c r="N80" s="7"/>
      <c r="P80" s="49"/>
      <c r="Q80" s="39"/>
      <c r="R80" s="20">
        <f t="shared" ref="R80:R107" si="13">$A80</f>
        <v>40298</v>
      </c>
      <c r="S80" s="27">
        <v>2.44</v>
      </c>
      <c r="T80" s="46">
        <f t="shared" ref="T80:T107" si="14">T79*S80/100+T79</f>
        <v>1404333.9812366674</v>
      </c>
      <c r="U80" s="8"/>
      <c r="W80" s="49"/>
      <c r="X80" s="39"/>
    </row>
    <row r="81" spans="1:24" x14ac:dyDescent="0.25">
      <c r="A81" s="20">
        <v>40329</v>
      </c>
      <c r="B81" s="24">
        <f t="shared" si="9"/>
        <v>65</v>
      </c>
      <c r="C81" s="96" t="s">
        <v>77</v>
      </c>
      <c r="D81" s="102">
        <f t="shared" ref="D81:D106" si="15">I81-2.2/12</f>
        <v>-5.3633333333333333</v>
      </c>
      <c r="E81" s="46">
        <f t="shared" si="10"/>
        <v>1182386.7592620268</v>
      </c>
      <c r="F81" s="8"/>
      <c r="H81" s="49"/>
      <c r="I81" s="27">
        <v>-5.18</v>
      </c>
      <c r="J81" s="39"/>
      <c r="K81" s="20">
        <f t="shared" si="11"/>
        <v>40329</v>
      </c>
      <c r="L81" s="34">
        <v>-7.99</v>
      </c>
      <c r="M81" s="46">
        <f t="shared" si="12"/>
        <v>1005446.9391107094</v>
      </c>
      <c r="N81" s="7"/>
      <c r="P81" s="49"/>
      <c r="Q81" s="39"/>
      <c r="R81" s="20">
        <f t="shared" si="13"/>
        <v>40329</v>
      </c>
      <c r="S81" s="27">
        <v>-5.18</v>
      </c>
      <c r="T81" s="46">
        <f t="shared" si="14"/>
        <v>1331589.4810086079</v>
      </c>
      <c r="U81" s="8"/>
      <c r="W81" s="49"/>
      <c r="X81" s="39"/>
    </row>
    <row r="82" spans="1:24" x14ac:dyDescent="0.25">
      <c r="A82" s="20">
        <v>40359</v>
      </c>
      <c r="B82" s="24">
        <f t="shared" ref="B82:B145" si="16">IF(A82&gt;A81,1+B81,"-")</f>
        <v>66</v>
      </c>
      <c r="C82" s="96" t="s">
        <v>77</v>
      </c>
      <c r="D82" s="102">
        <f t="shared" si="15"/>
        <v>-2.0633333333333335</v>
      </c>
      <c r="E82" s="46">
        <f t="shared" si="10"/>
        <v>1157990.1791292536</v>
      </c>
      <c r="F82" s="8"/>
      <c r="G82" s="5">
        <f>(E82/E79-1)*100</f>
        <v>-5.2244343616037137</v>
      </c>
      <c r="H82" s="49"/>
      <c r="I82" s="27">
        <v>-1.88</v>
      </c>
      <c r="J82" s="39"/>
      <c r="K82" s="20">
        <f t="shared" si="11"/>
        <v>40359</v>
      </c>
      <c r="L82" s="34">
        <v>-5.2299999999999995</v>
      </c>
      <c r="M82" s="46">
        <f t="shared" si="12"/>
        <v>952862.06419521931</v>
      </c>
      <c r="N82" s="7"/>
      <c r="O82" s="49">
        <f>(M82/M79-1)*100</f>
        <v>-11.424396543399995</v>
      </c>
      <c r="P82" s="49"/>
      <c r="Q82" s="39"/>
      <c r="R82" s="20">
        <f t="shared" si="13"/>
        <v>40359</v>
      </c>
      <c r="S82" s="27">
        <v>-1.88</v>
      </c>
      <c r="T82" s="46">
        <f t="shared" si="14"/>
        <v>1306555.5987656461</v>
      </c>
      <c r="U82" s="8"/>
      <c r="V82" s="5">
        <f>(T82/T79-1)*100</f>
        <v>-4.6925038303999962</v>
      </c>
      <c r="W82" s="49"/>
      <c r="X82" s="39"/>
    </row>
    <row r="83" spans="1:24" x14ac:dyDescent="0.25">
      <c r="A83" s="20">
        <v>40390</v>
      </c>
      <c r="B83" s="24">
        <f t="shared" si="16"/>
        <v>67</v>
      </c>
      <c r="C83" s="96" t="s">
        <v>77</v>
      </c>
      <c r="D83" s="102">
        <f t="shared" si="15"/>
        <v>3.5066666666666668</v>
      </c>
      <c r="E83" s="46">
        <f t="shared" si="10"/>
        <v>1198597.0347440527</v>
      </c>
      <c r="F83" s="8"/>
      <c r="H83" s="49"/>
      <c r="I83" s="27">
        <v>3.69</v>
      </c>
      <c r="J83" s="39"/>
      <c r="K83" s="20">
        <f t="shared" si="11"/>
        <v>40390</v>
      </c>
      <c r="L83" s="34">
        <v>7.01</v>
      </c>
      <c r="M83" s="46">
        <f t="shared" si="12"/>
        <v>1019657.6948953042</v>
      </c>
      <c r="N83" s="7"/>
      <c r="P83" s="49"/>
      <c r="Q83" s="39"/>
      <c r="R83" s="20">
        <f t="shared" si="13"/>
        <v>40390</v>
      </c>
      <c r="S83" s="27">
        <v>3.69</v>
      </c>
      <c r="T83" s="46">
        <f t="shared" si="14"/>
        <v>1354767.5003600984</v>
      </c>
      <c r="U83" s="8"/>
      <c r="W83" s="49"/>
      <c r="X83" s="39"/>
    </row>
    <row r="84" spans="1:24" x14ac:dyDescent="0.25">
      <c r="A84" s="20">
        <v>40421</v>
      </c>
      <c r="B84" s="24">
        <f t="shared" si="16"/>
        <v>68</v>
      </c>
      <c r="C84" s="96" t="s">
        <v>77</v>
      </c>
      <c r="D84" s="102">
        <f t="shared" si="15"/>
        <v>-3.1433333333333335</v>
      </c>
      <c r="E84" s="46">
        <f t="shared" si="10"/>
        <v>1160921.134618598</v>
      </c>
      <c r="F84" s="8"/>
      <c r="H84" s="49"/>
      <c r="I84" s="27">
        <v>-2.96</v>
      </c>
      <c r="J84" s="39"/>
      <c r="K84" s="20">
        <f t="shared" si="11"/>
        <v>40421</v>
      </c>
      <c r="L84" s="34">
        <v>-4.51</v>
      </c>
      <c r="M84" s="46">
        <f t="shared" si="12"/>
        <v>973671.13285552594</v>
      </c>
      <c r="N84" s="7"/>
      <c r="P84" s="49"/>
      <c r="Q84" s="39"/>
      <c r="R84" s="20">
        <f t="shared" si="13"/>
        <v>40421</v>
      </c>
      <c r="S84" s="27">
        <v>-2.96</v>
      </c>
      <c r="T84" s="46">
        <f t="shared" si="14"/>
        <v>1314666.3823494394</v>
      </c>
      <c r="U84" s="8"/>
      <c r="W84" s="49"/>
      <c r="X84" s="39"/>
    </row>
    <row r="85" spans="1:24" x14ac:dyDescent="0.25">
      <c r="A85" s="20">
        <v>40451</v>
      </c>
      <c r="B85" s="24">
        <f t="shared" si="16"/>
        <v>69</v>
      </c>
      <c r="C85" s="96" t="s">
        <v>77</v>
      </c>
      <c r="D85" s="102">
        <f t="shared" si="15"/>
        <v>6.336666666666666</v>
      </c>
      <c r="E85" s="46">
        <f t="shared" si="10"/>
        <v>1234484.8371822631</v>
      </c>
      <c r="F85" s="8"/>
      <c r="G85" s="5">
        <f>(E85/E82-1)*100</f>
        <v>6.605812331718508</v>
      </c>
      <c r="H85" s="49"/>
      <c r="I85" s="27">
        <v>6.52</v>
      </c>
      <c r="J85" s="39"/>
      <c r="K85" s="20">
        <f t="shared" si="11"/>
        <v>40451</v>
      </c>
      <c r="L85" s="34">
        <v>8.92</v>
      </c>
      <c r="M85" s="46">
        <f t="shared" si="12"/>
        <v>1060522.5979062389</v>
      </c>
      <c r="N85" s="7"/>
      <c r="O85" s="49">
        <f>(M85/M82-1)*100</f>
        <v>11.298648330799988</v>
      </c>
      <c r="P85" s="49"/>
      <c r="Q85" s="39"/>
      <c r="R85" s="20">
        <f t="shared" si="13"/>
        <v>40451</v>
      </c>
      <c r="S85" s="27">
        <v>6.52</v>
      </c>
      <c r="T85" s="46">
        <f t="shared" si="14"/>
        <v>1400382.6304786229</v>
      </c>
      <c r="U85" s="8"/>
      <c r="V85" s="5">
        <f>(T85/T82-1)*100</f>
        <v>7.1812505951999839</v>
      </c>
      <c r="W85" s="49"/>
      <c r="X85" s="39"/>
    </row>
    <row r="86" spans="1:24" x14ac:dyDescent="0.25">
      <c r="A86" s="20">
        <v>40482</v>
      </c>
      <c r="B86" s="24">
        <f t="shared" si="16"/>
        <v>70</v>
      </c>
      <c r="C86" s="96" t="s">
        <v>77</v>
      </c>
      <c r="D86" s="102">
        <f t="shared" si="15"/>
        <v>2.3566666666666665</v>
      </c>
      <c r="E86" s="46">
        <f t="shared" si="10"/>
        <v>1263577.5298451919</v>
      </c>
      <c r="F86" s="8"/>
      <c r="H86" s="49"/>
      <c r="I86" s="27">
        <v>2.54</v>
      </c>
      <c r="J86" s="39"/>
      <c r="K86" s="20">
        <f t="shared" si="11"/>
        <v>40482</v>
      </c>
      <c r="L86" s="34">
        <v>3.8</v>
      </c>
      <c r="M86" s="46">
        <f t="shared" si="12"/>
        <v>1100822.456626676</v>
      </c>
      <c r="N86" s="7"/>
      <c r="P86" s="49"/>
      <c r="Q86" s="39"/>
      <c r="R86" s="20">
        <f t="shared" si="13"/>
        <v>40482</v>
      </c>
      <c r="S86" s="27">
        <v>2.54</v>
      </c>
      <c r="T86" s="46">
        <f t="shared" si="14"/>
        <v>1435952.3492927798</v>
      </c>
      <c r="U86" s="8"/>
      <c r="W86" s="49"/>
      <c r="X86" s="39"/>
    </row>
    <row r="87" spans="1:24" x14ac:dyDescent="0.25">
      <c r="A87" s="20">
        <v>40512</v>
      </c>
      <c r="B87" s="24">
        <f t="shared" si="16"/>
        <v>71</v>
      </c>
      <c r="C87" s="96" t="s">
        <v>77</v>
      </c>
      <c r="D87" s="102">
        <f t="shared" si="15"/>
        <v>-1.3033333333333335</v>
      </c>
      <c r="E87" s="46">
        <f t="shared" si="10"/>
        <v>1247108.9027062096</v>
      </c>
      <c r="F87" s="8"/>
      <c r="H87" s="49"/>
      <c r="I87" s="27">
        <v>-1.1200000000000001</v>
      </c>
      <c r="J87" s="39"/>
      <c r="K87" s="20">
        <f t="shared" si="11"/>
        <v>40512</v>
      </c>
      <c r="L87" s="34">
        <v>0.01</v>
      </c>
      <c r="M87" s="46">
        <f t="shared" si="12"/>
        <v>1100932.5388723386</v>
      </c>
      <c r="N87" s="7"/>
      <c r="P87" s="49"/>
      <c r="Q87" s="39"/>
      <c r="R87" s="20">
        <f t="shared" si="13"/>
        <v>40512</v>
      </c>
      <c r="S87" s="27">
        <v>-1.1200000000000001</v>
      </c>
      <c r="T87" s="46">
        <f t="shared" si="14"/>
        <v>1419869.6829807006</v>
      </c>
      <c r="U87" s="8"/>
      <c r="W87" s="49"/>
      <c r="X87" s="39"/>
    </row>
    <row r="88" spans="1:24" x14ac:dyDescent="0.25">
      <c r="A88" s="20">
        <v>40543</v>
      </c>
      <c r="B88" s="24">
        <f t="shared" si="16"/>
        <v>72</v>
      </c>
      <c r="C88" s="96" t="s">
        <v>77</v>
      </c>
      <c r="D88" s="102">
        <f t="shared" si="15"/>
        <v>5.4866666666666664</v>
      </c>
      <c r="E88" s="46">
        <f t="shared" si="10"/>
        <v>1315533.6111680237</v>
      </c>
      <c r="F88" s="11">
        <f>(E88-E76)/E76*100</f>
        <v>14.318274474220186</v>
      </c>
      <c r="G88" s="5">
        <f>(E88/E85-1)*100</f>
        <v>6.5653924248074258</v>
      </c>
      <c r="H88" s="49"/>
      <c r="I88" s="27">
        <v>5.67</v>
      </c>
      <c r="J88" s="39"/>
      <c r="K88" s="20">
        <f t="shared" si="11"/>
        <v>40543</v>
      </c>
      <c r="L88" s="34">
        <v>6.68</v>
      </c>
      <c r="M88" s="46">
        <f t="shared" si="12"/>
        <v>1174474.8324690107</v>
      </c>
      <c r="N88" s="19">
        <f>(M88-M76)/M76*100</f>
        <v>15.051492865905603</v>
      </c>
      <c r="O88" s="49">
        <f>(M88/M85-1)*100</f>
        <v>10.744913383999988</v>
      </c>
      <c r="P88" s="49"/>
      <c r="Q88" s="39"/>
      <c r="R88" s="20">
        <f t="shared" si="13"/>
        <v>40543</v>
      </c>
      <c r="S88" s="27">
        <v>5.67</v>
      </c>
      <c r="T88" s="46">
        <f t="shared" si="14"/>
        <v>1500376.2940057064</v>
      </c>
      <c r="U88" s="11">
        <f>(T88-T76)/T76*100</f>
        <v>16.831901392002397</v>
      </c>
      <c r="V88" s="49">
        <f>(T88/T85-1)*100</f>
        <v>7.1404529984000042</v>
      </c>
      <c r="W88" s="49"/>
      <c r="X88" s="39"/>
    </row>
    <row r="89" spans="1:24" x14ac:dyDescent="0.25">
      <c r="A89" s="20">
        <v>40574</v>
      </c>
      <c r="B89" s="24">
        <f t="shared" si="16"/>
        <v>73</v>
      </c>
      <c r="C89" s="96" t="s">
        <v>77</v>
      </c>
      <c r="D89" s="102">
        <f t="shared" si="15"/>
        <v>-1.0433333333333334</v>
      </c>
      <c r="E89" s="46">
        <f t="shared" si="10"/>
        <v>1301808.2104915041</v>
      </c>
      <c r="F89" s="10"/>
      <c r="H89" s="255"/>
      <c r="I89" s="75">
        <v>-0.86</v>
      </c>
      <c r="J89" s="39"/>
      <c r="K89" s="20">
        <f t="shared" si="11"/>
        <v>40574</v>
      </c>
      <c r="L89" s="34">
        <v>2.37</v>
      </c>
      <c r="M89" s="46">
        <f t="shared" si="12"/>
        <v>1202309.8859985264</v>
      </c>
      <c r="N89" s="15"/>
      <c r="P89" s="49"/>
      <c r="Q89" s="39"/>
      <c r="R89" s="20">
        <f t="shared" si="13"/>
        <v>40574</v>
      </c>
      <c r="S89" s="28">
        <v>-1.68</v>
      </c>
      <c r="T89" s="46">
        <f t="shared" si="14"/>
        <v>1475169.9722664105</v>
      </c>
      <c r="U89" s="10"/>
      <c r="W89" s="49"/>
      <c r="X89" s="39"/>
    </row>
    <row r="90" spans="1:24" x14ac:dyDescent="0.25">
      <c r="A90" s="20">
        <v>40602</v>
      </c>
      <c r="B90" s="24">
        <f t="shared" si="16"/>
        <v>74</v>
      </c>
      <c r="C90" s="96" t="s">
        <v>165</v>
      </c>
      <c r="D90" s="102">
        <f t="shared" si="15"/>
        <v>1.8166666666666667</v>
      </c>
      <c r="E90" s="47">
        <f t="shared" si="10"/>
        <v>1325457.7263154332</v>
      </c>
      <c r="F90" s="8"/>
      <c r="H90" s="255"/>
      <c r="I90" s="29">
        <f>1.92+0.08</f>
        <v>2</v>
      </c>
      <c r="J90" s="39"/>
      <c r="K90" s="20">
        <f t="shared" si="11"/>
        <v>40602</v>
      </c>
      <c r="L90" s="34">
        <v>3.4299999999999997</v>
      </c>
      <c r="M90" s="46">
        <f t="shared" si="12"/>
        <v>1243549.1150882759</v>
      </c>
      <c r="N90" s="7"/>
      <c r="P90" s="49"/>
      <c r="Q90" s="39"/>
      <c r="R90" s="20">
        <f t="shared" si="13"/>
        <v>40602</v>
      </c>
      <c r="S90" s="29">
        <v>2.31</v>
      </c>
      <c r="T90" s="46">
        <f t="shared" si="14"/>
        <v>1509246.3986257645</v>
      </c>
      <c r="U90" s="8"/>
      <c r="W90" s="49"/>
      <c r="X90" s="39"/>
    </row>
    <row r="91" spans="1:24" x14ac:dyDescent="0.25">
      <c r="A91" s="20">
        <v>40633</v>
      </c>
      <c r="B91" s="24">
        <f t="shared" si="16"/>
        <v>75</v>
      </c>
      <c r="C91" s="96" t="s">
        <v>165</v>
      </c>
      <c r="D91" s="102">
        <f t="shared" si="15"/>
        <v>1.8666666666666665</v>
      </c>
      <c r="E91" s="47">
        <f t="shared" si="10"/>
        <v>1350199.6038733213</v>
      </c>
      <c r="F91" s="8"/>
      <c r="G91" s="5">
        <f>(E91/E88-1)*100</f>
        <v>2.6351278607407602</v>
      </c>
      <c r="H91" s="255"/>
      <c r="I91" s="29">
        <f>1.97+0.08</f>
        <v>2.0499999999999998</v>
      </c>
      <c r="J91" s="39"/>
      <c r="K91" s="20">
        <f t="shared" si="11"/>
        <v>40633</v>
      </c>
      <c r="L91" s="34">
        <v>0.04</v>
      </c>
      <c r="M91" s="46">
        <f t="shared" si="12"/>
        <v>1244046.5347343113</v>
      </c>
      <c r="N91" s="7"/>
      <c r="O91" s="49">
        <f>(M91/M88-1)*100</f>
        <v>5.9236435164000234</v>
      </c>
      <c r="P91" s="49"/>
      <c r="Q91" s="39"/>
      <c r="R91" s="20">
        <f t="shared" si="13"/>
        <v>40633</v>
      </c>
      <c r="S91" s="29">
        <v>2.61</v>
      </c>
      <c r="T91" s="46">
        <f t="shared" si="14"/>
        <v>1548637.729629897</v>
      </c>
      <c r="U91" s="8"/>
      <c r="V91" s="49">
        <f>(T91/T88-1)*100</f>
        <v>3.216622111199996</v>
      </c>
      <c r="W91" s="49"/>
      <c r="X91" s="39"/>
    </row>
    <row r="92" spans="1:24" x14ac:dyDescent="0.25">
      <c r="A92" s="20">
        <v>40663</v>
      </c>
      <c r="B92" s="24">
        <f t="shared" si="16"/>
        <v>76</v>
      </c>
      <c r="C92" s="96" t="s">
        <v>165</v>
      </c>
      <c r="D92" s="102">
        <f t="shared" si="15"/>
        <v>4.0266666666666664</v>
      </c>
      <c r="E92" s="47">
        <f t="shared" si="10"/>
        <v>1404567.6412559538</v>
      </c>
      <c r="F92" s="10"/>
      <c r="G92" s="3"/>
      <c r="H92" s="255"/>
      <c r="I92" s="29">
        <f>4.13+0.08</f>
        <v>4.21</v>
      </c>
      <c r="J92" s="39"/>
      <c r="K92" s="20">
        <f t="shared" si="11"/>
        <v>40663</v>
      </c>
      <c r="L92" s="34">
        <v>2.96</v>
      </c>
      <c r="M92" s="46">
        <f t="shared" si="12"/>
        <v>1280870.3121624468</v>
      </c>
      <c r="N92" s="15"/>
      <c r="P92" s="49"/>
      <c r="Q92" s="39"/>
      <c r="R92" s="20">
        <f t="shared" si="13"/>
        <v>40663</v>
      </c>
      <c r="S92" s="29">
        <v>4.08</v>
      </c>
      <c r="T92" s="46">
        <f t="shared" si="14"/>
        <v>1611822.1489987969</v>
      </c>
      <c r="U92" s="10"/>
      <c r="W92" s="49"/>
      <c r="X92" s="39"/>
    </row>
    <row r="93" spans="1:24" x14ac:dyDescent="0.25">
      <c r="A93" s="20">
        <v>40694</v>
      </c>
      <c r="B93" s="24">
        <f t="shared" si="16"/>
        <v>77</v>
      </c>
      <c r="C93" s="96" t="s">
        <v>165</v>
      </c>
      <c r="D93" s="102">
        <f t="shared" si="15"/>
        <v>0.60666666666666658</v>
      </c>
      <c r="E93" s="47">
        <f t="shared" si="10"/>
        <v>1413088.6849462399</v>
      </c>
      <c r="F93" s="10"/>
      <c r="G93" s="3"/>
      <c r="H93" s="255"/>
      <c r="I93" s="29">
        <f>0.71+0.08</f>
        <v>0.78999999999999992</v>
      </c>
      <c r="J93" s="39"/>
      <c r="K93" s="20">
        <f t="shared" si="11"/>
        <v>40694</v>
      </c>
      <c r="L93" s="34">
        <v>-1.1299999999999999</v>
      </c>
      <c r="M93" s="46">
        <f t="shared" si="12"/>
        <v>1266396.4776350111</v>
      </c>
      <c r="N93" s="15"/>
      <c r="P93" s="49"/>
      <c r="Q93" s="39"/>
      <c r="R93" s="20">
        <f t="shared" si="13"/>
        <v>40694</v>
      </c>
      <c r="S93" s="29">
        <v>2.16</v>
      </c>
      <c r="T93" s="46">
        <f t="shared" si="14"/>
        <v>1646637.507417171</v>
      </c>
      <c r="U93" s="10"/>
      <c r="W93" s="49"/>
      <c r="X93" s="39"/>
    </row>
    <row r="94" spans="1:24" x14ac:dyDescent="0.25">
      <c r="A94" s="20">
        <v>40724</v>
      </c>
      <c r="B94" s="24">
        <f t="shared" si="16"/>
        <v>78</v>
      </c>
      <c r="C94" s="96" t="s">
        <v>165</v>
      </c>
      <c r="D94" s="102">
        <f t="shared" si="15"/>
        <v>6.6666666666666541E-3</v>
      </c>
      <c r="E94" s="47">
        <f t="shared" si="10"/>
        <v>1413182.8908585696</v>
      </c>
      <c r="F94" s="10"/>
      <c r="G94" s="49">
        <f>(E94/E91-1)*100</f>
        <v>4.6647389618962976</v>
      </c>
      <c r="H94" s="255"/>
      <c r="I94" s="29">
        <f>0.11+0.08</f>
        <v>0.19</v>
      </c>
      <c r="J94" s="39"/>
      <c r="K94" s="20">
        <f t="shared" si="11"/>
        <v>40724</v>
      </c>
      <c r="L94" s="34">
        <v>-1.67</v>
      </c>
      <c r="M94" s="46">
        <f t="shared" si="12"/>
        <v>1245247.6564585064</v>
      </c>
      <c r="N94" s="15"/>
      <c r="O94" s="49">
        <f>(M94/M91-1)*100</f>
        <v>9.6549581599991718E-2</v>
      </c>
      <c r="P94" s="49"/>
      <c r="Q94" s="39"/>
      <c r="R94" s="20">
        <f t="shared" si="13"/>
        <v>40724</v>
      </c>
      <c r="S94" s="29">
        <v>-0.09</v>
      </c>
      <c r="T94" s="46">
        <f t="shared" si="14"/>
        <v>1645155.5336604957</v>
      </c>
      <c r="U94" s="10"/>
      <c r="V94" s="49">
        <f>(T94/T91-1)*100</f>
        <v>6.2324326848000267</v>
      </c>
      <c r="W94" s="49"/>
      <c r="X94" s="39"/>
    </row>
    <row r="95" spans="1:24" x14ac:dyDescent="0.25">
      <c r="A95" s="20">
        <v>40755</v>
      </c>
      <c r="B95" s="24">
        <f t="shared" si="16"/>
        <v>79</v>
      </c>
      <c r="C95" s="96" t="s">
        <v>165</v>
      </c>
      <c r="D95" s="102">
        <f t="shared" si="15"/>
        <v>-2.9233333333333329</v>
      </c>
      <c r="E95" s="47">
        <f t="shared" si="10"/>
        <v>1371870.8443491375</v>
      </c>
      <c r="F95" s="10"/>
      <c r="H95" s="255"/>
      <c r="I95" s="29">
        <f>-2.82+0.08</f>
        <v>-2.7399999999999998</v>
      </c>
      <c r="J95" s="39"/>
      <c r="K95" s="20">
        <f t="shared" si="11"/>
        <v>40755</v>
      </c>
      <c r="L95" s="34">
        <v>-2.0299999999999998</v>
      </c>
      <c r="M95" s="46">
        <f t="shared" si="12"/>
        <v>1219969.1290323986</v>
      </c>
      <c r="N95" s="15"/>
      <c r="P95" s="49"/>
      <c r="Q95" s="39"/>
      <c r="R95" s="20">
        <f t="shared" si="13"/>
        <v>40755</v>
      </c>
      <c r="S95" s="29">
        <v>-1.88</v>
      </c>
      <c r="T95" s="46">
        <f t="shared" si="14"/>
        <v>1614226.6096276783</v>
      </c>
      <c r="U95" s="10"/>
      <c r="W95" s="49"/>
      <c r="X95" s="39"/>
    </row>
    <row r="96" spans="1:24" x14ac:dyDescent="0.25">
      <c r="A96" s="20">
        <v>40786</v>
      </c>
      <c r="B96" s="24">
        <f t="shared" si="16"/>
        <v>80</v>
      </c>
      <c r="C96" s="96" t="s">
        <v>165</v>
      </c>
      <c r="D96" s="102">
        <f t="shared" si="15"/>
        <v>-1.7333333333333332</v>
      </c>
      <c r="E96" s="47">
        <f t="shared" si="10"/>
        <v>1348091.7497137524</v>
      </c>
      <c r="F96" s="10"/>
      <c r="H96" s="255"/>
      <c r="I96" s="29">
        <f>-1.63+0.08</f>
        <v>-1.5499999999999998</v>
      </c>
      <c r="J96" s="39"/>
      <c r="K96" s="20">
        <f t="shared" si="11"/>
        <v>40786</v>
      </c>
      <c r="L96" s="34">
        <v>-5.43</v>
      </c>
      <c r="M96" s="46">
        <f t="shared" si="12"/>
        <v>1153724.8053259393</v>
      </c>
      <c r="N96" s="15"/>
      <c r="P96" s="49"/>
      <c r="Q96" s="39"/>
      <c r="R96" s="20">
        <f t="shared" si="13"/>
        <v>40786</v>
      </c>
      <c r="S96" s="29">
        <v>0.42</v>
      </c>
      <c r="T96" s="46">
        <f t="shared" si="14"/>
        <v>1621006.3613881145</v>
      </c>
      <c r="U96" s="10"/>
      <c r="W96" s="49"/>
      <c r="X96" s="39"/>
    </row>
    <row r="97" spans="1:26" x14ac:dyDescent="0.25">
      <c r="A97" s="20">
        <v>40816</v>
      </c>
      <c r="B97" s="24">
        <f t="shared" si="16"/>
        <v>81</v>
      </c>
      <c r="C97" s="96" t="s">
        <v>165</v>
      </c>
      <c r="D97" s="102">
        <f t="shared" si="15"/>
        <v>-2.2733333333333334</v>
      </c>
      <c r="E97" s="47">
        <f t="shared" si="10"/>
        <v>1317445.1306035931</v>
      </c>
      <c r="F97" s="10"/>
      <c r="G97" s="49">
        <f>(E97/E94-1)*100</f>
        <v>-6.7746192565925956</v>
      </c>
      <c r="H97" s="255"/>
      <c r="I97" s="29">
        <f>-2.17+0.08</f>
        <v>-2.09</v>
      </c>
      <c r="J97" s="39"/>
      <c r="K97" s="20">
        <f t="shared" si="11"/>
        <v>40816</v>
      </c>
      <c r="L97" s="34">
        <v>-7.03</v>
      </c>
      <c r="M97" s="46">
        <f t="shared" si="12"/>
        <v>1072617.9515115258</v>
      </c>
      <c r="N97" s="15"/>
      <c r="O97" s="49">
        <f>(M97/M94-1)*100</f>
        <v>-13.863082098700009</v>
      </c>
      <c r="P97" s="49"/>
      <c r="Q97" s="39"/>
      <c r="R97" s="20">
        <f t="shared" si="13"/>
        <v>40816</v>
      </c>
      <c r="S97" s="29">
        <v>-1.1200000000000001</v>
      </c>
      <c r="T97" s="46">
        <f t="shared" si="14"/>
        <v>1602851.0901405676</v>
      </c>
      <c r="U97" s="10"/>
      <c r="V97" s="49">
        <f>(T97/T94-1)*100</f>
        <v>-2.571455564800007</v>
      </c>
      <c r="W97" s="49"/>
      <c r="X97" s="39"/>
    </row>
    <row r="98" spans="1:26" x14ac:dyDescent="0.25">
      <c r="A98" s="20">
        <v>40847</v>
      </c>
      <c r="B98" s="24">
        <f t="shared" si="16"/>
        <v>82</v>
      </c>
      <c r="C98" s="96" t="s">
        <v>165</v>
      </c>
      <c r="D98" s="102">
        <f t="shared" si="15"/>
        <v>4.6966666666666663</v>
      </c>
      <c r="E98" s="47">
        <f t="shared" si="10"/>
        <v>1379321.136904275</v>
      </c>
      <c r="F98" s="10"/>
      <c r="H98" s="255"/>
      <c r="I98" s="29">
        <f>4.8+0.08</f>
        <v>4.88</v>
      </c>
      <c r="J98" s="39"/>
      <c r="K98" s="20">
        <f t="shared" si="11"/>
        <v>40847</v>
      </c>
      <c r="L98" s="34">
        <v>10.93</v>
      </c>
      <c r="M98" s="46">
        <f t="shared" si="12"/>
        <v>1189855.0936117356</v>
      </c>
      <c r="N98" s="15"/>
      <c r="P98" s="49"/>
      <c r="Q98" s="39"/>
      <c r="R98" s="20">
        <f t="shared" si="13"/>
        <v>40847</v>
      </c>
      <c r="S98" s="29">
        <v>3.47</v>
      </c>
      <c r="T98" s="46">
        <f t="shared" si="14"/>
        <v>1658470.0229684454</v>
      </c>
      <c r="U98" s="10"/>
      <c r="W98" s="49"/>
      <c r="X98" s="39"/>
    </row>
    <row r="99" spans="1:26" x14ac:dyDescent="0.25">
      <c r="A99" s="20">
        <v>40877</v>
      </c>
      <c r="B99" s="24">
        <f t="shared" si="16"/>
        <v>83</v>
      </c>
      <c r="C99" s="96" t="s">
        <v>165</v>
      </c>
      <c r="D99" s="102">
        <f t="shared" si="15"/>
        <v>0.30666666666666664</v>
      </c>
      <c r="E99" s="47">
        <f t="shared" si="10"/>
        <v>1383551.0550574481</v>
      </c>
      <c r="F99" s="10"/>
      <c r="H99" s="255"/>
      <c r="I99" s="29">
        <f>0.41+0.08</f>
        <v>0.49</v>
      </c>
      <c r="J99" s="39"/>
      <c r="K99" s="20">
        <f t="shared" si="11"/>
        <v>40877</v>
      </c>
      <c r="L99" s="34">
        <v>-0.22</v>
      </c>
      <c r="M99" s="46">
        <f t="shared" si="12"/>
        <v>1187237.4124057898</v>
      </c>
      <c r="N99" s="15"/>
      <c r="P99" s="49"/>
      <c r="Q99" s="39"/>
      <c r="R99" s="20">
        <f t="shared" si="13"/>
        <v>40877</v>
      </c>
      <c r="S99" s="29">
        <v>0.51</v>
      </c>
      <c r="T99" s="46">
        <f t="shared" si="14"/>
        <v>1666928.2200855846</v>
      </c>
      <c r="U99" s="10"/>
      <c r="W99" s="49"/>
      <c r="X99" s="39"/>
    </row>
    <row r="100" spans="1:26" x14ac:dyDescent="0.25">
      <c r="A100" s="20">
        <v>40908</v>
      </c>
      <c r="B100" s="24">
        <f t="shared" si="16"/>
        <v>84</v>
      </c>
      <c r="C100" s="96" t="s">
        <v>165</v>
      </c>
      <c r="D100" s="102">
        <f t="shared" si="15"/>
        <v>1.7366666666666668</v>
      </c>
      <c r="E100" s="47">
        <f t="shared" si="10"/>
        <v>1407578.7250469457</v>
      </c>
      <c r="F100" s="12">
        <f>(E100-E88)/E88*100</f>
        <v>6.9967892190301333</v>
      </c>
      <c r="G100" s="49">
        <f>(E100/E97-1)*100</f>
        <v>6.8415444673629366</v>
      </c>
      <c r="H100" s="255"/>
      <c r="I100" s="29">
        <f>1.84+0.08</f>
        <v>1.9200000000000002</v>
      </c>
      <c r="J100" s="39"/>
      <c r="K100" s="20">
        <f t="shared" si="11"/>
        <v>40908</v>
      </c>
      <c r="L100" s="34">
        <v>1.02</v>
      </c>
      <c r="M100" s="46">
        <f t="shared" si="12"/>
        <v>1199347.2340123288</v>
      </c>
      <c r="N100" s="12">
        <f>(M100-M88)/M88*100</f>
        <v>2.1177466605249147</v>
      </c>
      <c r="O100" s="49">
        <f>(M100/M97-1)*100</f>
        <v>11.814950730799989</v>
      </c>
      <c r="P100" s="49"/>
      <c r="Q100" s="39"/>
      <c r="R100" s="20">
        <f t="shared" si="13"/>
        <v>40908</v>
      </c>
      <c r="S100" s="29">
        <v>3.22</v>
      </c>
      <c r="T100" s="46">
        <f t="shared" si="14"/>
        <v>1720603.3087723404</v>
      </c>
      <c r="U100" s="37">
        <f>(T100-T88)/T88*100</f>
        <v>14.678118792364522</v>
      </c>
      <c r="V100" s="49">
        <f>(T100/T97-1)*100</f>
        <v>7.3464228434000134</v>
      </c>
      <c r="W100" s="49"/>
      <c r="X100" s="39"/>
    </row>
    <row r="101" spans="1:26" x14ac:dyDescent="0.25">
      <c r="A101" s="20">
        <v>40939</v>
      </c>
      <c r="B101" s="24">
        <f t="shared" si="16"/>
        <v>85</v>
      </c>
      <c r="C101" s="96" t="s">
        <v>166</v>
      </c>
      <c r="D101" s="102">
        <f t="shared" si="15"/>
        <v>-0.14333333333333334</v>
      </c>
      <c r="E101" s="47">
        <f t="shared" si="10"/>
        <v>1405561.1955410452</v>
      </c>
      <c r="F101" s="84">
        <f>(E100-E89)/E89*100</f>
        <v>8.1248922616264281</v>
      </c>
      <c r="H101" s="49"/>
      <c r="I101" s="29">
        <f>-0.04+0.08</f>
        <v>0.04</v>
      </c>
      <c r="J101" s="39"/>
      <c r="K101" s="20">
        <f t="shared" si="11"/>
        <v>40939</v>
      </c>
      <c r="L101" s="34">
        <v>4.4799999999999995</v>
      </c>
      <c r="M101" s="46">
        <f t="shared" si="12"/>
        <v>1253077.990096081</v>
      </c>
      <c r="N101" s="84">
        <f>(M100-M89)/M89*100</f>
        <v>-0.24641334324029671</v>
      </c>
      <c r="P101" s="49"/>
      <c r="Q101" s="39"/>
      <c r="R101" s="20">
        <f t="shared" si="13"/>
        <v>40939</v>
      </c>
      <c r="S101" s="29">
        <v>0.04</v>
      </c>
      <c r="T101" s="46">
        <f t="shared" si="14"/>
        <v>1721291.5500958494</v>
      </c>
      <c r="U101" s="10"/>
      <c r="W101" s="49"/>
      <c r="X101" s="39"/>
    </row>
    <row r="102" spans="1:26" x14ac:dyDescent="0.25">
      <c r="A102" s="20">
        <v>40968</v>
      </c>
      <c r="B102" s="24">
        <f t="shared" si="16"/>
        <v>86</v>
      </c>
      <c r="C102" s="96" t="s">
        <v>166</v>
      </c>
      <c r="D102" s="102">
        <f t="shared" si="15"/>
        <v>1.1866666666666668</v>
      </c>
      <c r="E102" s="47">
        <f t="shared" si="10"/>
        <v>1422240.5217281322</v>
      </c>
      <c r="F102" s="10"/>
      <c r="H102" s="49"/>
      <c r="I102" s="29">
        <f>1.29+0.08</f>
        <v>1.37</v>
      </c>
      <c r="J102" s="39"/>
      <c r="K102" s="20">
        <f t="shared" si="11"/>
        <v>40968</v>
      </c>
      <c r="L102" s="34">
        <v>4.32</v>
      </c>
      <c r="M102" s="46">
        <f t="shared" si="12"/>
        <v>1307210.9592682316</v>
      </c>
      <c r="N102" s="15"/>
      <c r="P102" s="49"/>
      <c r="Q102" s="39"/>
      <c r="R102" s="20">
        <f t="shared" si="13"/>
        <v>40968</v>
      </c>
      <c r="S102" s="29">
        <v>1.37</v>
      </c>
      <c r="T102" s="46">
        <f t="shared" si="14"/>
        <v>1744873.2443321627</v>
      </c>
      <c r="U102" s="10"/>
      <c r="W102" s="49"/>
      <c r="X102" s="39"/>
    </row>
    <row r="103" spans="1:26" x14ac:dyDescent="0.25">
      <c r="A103" s="20">
        <v>40999</v>
      </c>
      <c r="B103" s="24">
        <f t="shared" si="16"/>
        <v>87</v>
      </c>
      <c r="C103" s="96" t="s">
        <v>166</v>
      </c>
      <c r="D103" s="102">
        <f t="shared" si="15"/>
        <v>2.6566666666666663</v>
      </c>
      <c r="E103" s="47">
        <f t="shared" si="10"/>
        <v>1460024.7115887096</v>
      </c>
      <c r="F103" s="10"/>
      <c r="G103" s="49">
        <f>(E103/E100-1)*100</f>
        <v>3.7259718130518538</v>
      </c>
      <c r="H103" s="49"/>
      <c r="I103" s="29">
        <f>2.76+0.08</f>
        <v>2.84</v>
      </c>
      <c r="J103" s="39"/>
      <c r="K103" s="20">
        <f t="shared" si="11"/>
        <v>40999</v>
      </c>
      <c r="L103" s="34">
        <v>3.29</v>
      </c>
      <c r="M103" s="46">
        <f t="shared" si="12"/>
        <v>1350218.1998281565</v>
      </c>
      <c r="N103" s="15"/>
      <c r="O103" s="49">
        <f>(M103/M100-1)*100</f>
        <v>12.579423334399987</v>
      </c>
      <c r="P103" s="49"/>
      <c r="Q103" s="39"/>
      <c r="R103" s="20">
        <f t="shared" si="13"/>
        <v>40999</v>
      </c>
      <c r="S103" s="29">
        <v>2.84</v>
      </c>
      <c r="T103" s="46">
        <f t="shared" si="14"/>
        <v>1794427.644471196</v>
      </c>
      <c r="U103" s="10"/>
      <c r="V103" s="49">
        <f>(T103/T100-1)*100</f>
        <v>4.2906075632000107</v>
      </c>
      <c r="W103" s="49"/>
      <c r="X103" s="39"/>
      <c r="Y103" s="61"/>
      <c r="Z103" s="90"/>
    </row>
    <row r="104" spans="1:26" x14ac:dyDescent="0.25">
      <c r="A104" s="20">
        <v>41029</v>
      </c>
      <c r="B104" s="24">
        <f t="shared" si="16"/>
        <v>88</v>
      </c>
      <c r="C104" s="96" t="s">
        <v>166</v>
      </c>
      <c r="D104" s="102">
        <f t="shared" si="15"/>
        <v>0.96666666666666679</v>
      </c>
      <c r="E104" s="47">
        <f t="shared" si="10"/>
        <v>1474138.2838007337</v>
      </c>
      <c r="F104" s="10"/>
      <c r="H104" s="49"/>
      <c r="I104" s="29">
        <f>1.07+0.08</f>
        <v>1.1500000000000001</v>
      </c>
      <c r="J104" s="39"/>
      <c r="K104" s="20">
        <f t="shared" si="11"/>
        <v>41029</v>
      </c>
      <c r="L104" s="34">
        <v>-0.63</v>
      </c>
      <c r="M104" s="46">
        <f t="shared" si="12"/>
        <v>1341711.8251692392</v>
      </c>
      <c r="N104" s="15"/>
      <c r="P104" s="49"/>
      <c r="Q104" s="39"/>
      <c r="R104" s="20">
        <f t="shared" si="13"/>
        <v>41029</v>
      </c>
      <c r="S104" s="29">
        <v>1.1499999999999999</v>
      </c>
      <c r="T104" s="46">
        <f t="shared" si="14"/>
        <v>1815063.5623826147</v>
      </c>
      <c r="U104" s="10"/>
      <c r="W104" s="49"/>
      <c r="X104" s="39"/>
      <c r="Y104" s="61"/>
      <c r="Z104" s="90"/>
    </row>
    <row r="105" spans="1:26" x14ac:dyDescent="0.25">
      <c r="A105" s="20">
        <v>41060</v>
      </c>
      <c r="B105" s="24">
        <f t="shared" si="16"/>
        <v>89</v>
      </c>
      <c r="C105" s="96" t="s">
        <v>167</v>
      </c>
      <c r="D105" s="102">
        <f t="shared" si="15"/>
        <v>-0.49333333333333335</v>
      </c>
      <c r="E105" s="47">
        <f t="shared" si="10"/>
        <v>1466865.8682673168</v>
      </c>
      <c r="F105" s="10"/>
      <c r="H105" s="49"/>
      <c r="I105" s="29">
        <f>-0.39+0.08</f>
        <v>-0.31</v>
      </c>
      <c r="J105" s="39"/>
      <c r="K105" s="20">
        <f t="shared" si="11"/>
        <v>41060</v>
      </c>
      <c r="L105" s="34">
        <v>-6.01</v>
      </c>
      <c r="M105" s="46">
        <f t="shared" si="12"/>
        <v>1261074.9444765679</v>
      </c>
      <c r="N105" s="15"/>
      <c r="P105" s="49"/>
      <c r="Q105" s="39"/>
      <c r="R105" s="20">
        <f t="shared" si="13"/>
        <v>41060</v>
      </c>
      <c r="S105" s="29">
        <v>-0.31</v>
      </c>
      <c r="T105" s="46">
        <f t="shared" si="14"/>
        <v>1809436.8653392287</v>
      </c>
      <c r="U105" s="10"/>
      <c r="W105" s="49"/>
      <c r="X105" s="39"/>
      <c r="Y105" s="61"/>
      <c r="Z105" s="90"/>
    </row>
    <row r="106" spans="1:26" x14ac:dyDescent="0.25">
      <c r="A106" s="20">
        <v>41090</v>
      </c>
      <c r="B106" s="24">
        <f t="shared" si="16"/>
        <v>90</v>
      </c>
      <c r="C106" s="96" t="s">
        <v>168</v>
      </c>
      <c r="D106" s="102">
        <f t="shared" si="15"/>
        <v>3.6166666666666663</v>
      </c>
      <c r="E106" s="47">
        <f t="shared" si="10"/>
        <v>1519917.5171696513</v>
      </c>
      <c r="F106" s="10"/>
      <c r="G106" s="49">
        <f>(E106/E103-1)*100</f>
        <v>4.10217752518518</v>
      </c>
      <c r="H106" s="49"/>
      <c r="I106" s="29">
        <v>3.8</v>
      </c>
      <c r="J106" s="39"/>
      <c r="K106" s="20">
        <f t="shared" si="11"/>
        <v>41090</v>
      </c>
      <c r="L106" s="34">
        <v>4.12</v>
      </c>
      <c r="M106" s="46">
        <f t="shared" si="12"/>
        <v>1313031.2321890024</v>
      </c>
      <c r="N106" s="15"/>
      <c r="O106" s="49">
        <f>(M106/M103-1)*100</f>
        <v>-2.7541450444000026</v>
      </c>
      <c r="P106" s="49"/>
      <c r="Q106" s="39"/>
      <c r="R106" s="20">
        <f t="shared" si="13"/>
        <v>41090</v>
      </c>
      <c r="S106" s="29">
        <v>3.8</v>
      </c>
      <c r="T106" s="46">
        <f t="shared" si="14"/>
        <v>1878195.4662221193</v>
      </c>
      <c r="U106" s="10"/>
      <c r="V106" s="49">
        <f>(T106/T103-1)*100</f>
        <v>4.6682195300000062</v>
      </c>
      <c r="W106" s="49"/>
      <c r="X106" s="39"/>
      <c r="Y106" s="61"/>
      <c r="Z106" s="90"/>
    </row>
    <row r="107" spans="1:26" x14ac:dyDescent="0.25">
      <c r="A107" s="20">
        <v>41121</v>
      </c>
      <c r="B107" s="24">
        <f t="shared" si="16"/>
        <v>91</v>
      </c>
      <c r="C107" s="96" t="s">
        <v>168</v>
      </c>
      <c r="D107" s="102">
        <f>I107-2.2/12</f>
        <v>0.79666666666666652</v>
      </c>
      <c r="E107" s="47">
        <f t="shared" si="10"/>
        <v>1532026.1933897696</v>
      </c>
      <c r="F107" s="10"/>
      <c r="H107" s="49"/>
      <c r="I107" s="29">
        <v>0.97999999999999987</v>
      </c>
      <c r="J107" s="39"/>
      <c r="K107" s="20">
        <f t="shared" si="11"/>
        <v>41121</v>
      </c>
      <c r="L107" s="34">
        <v>1.39</v>
      </c>
      <c r="M107" s="46">
        <f t="shared" si="12"/>
        <v>1331282.3663164296</v>
      </c>
      <c r="N107" s="15"/>
      <c r="P107" s="49"/>
      <c r="Q107" s="39"/>
      <c r="R107" s="20">
        <f t="shared" si="13"/>
        <v>41121</v>
      </c>
      <c r="S107" s="29">
        <v>0.98</v>
      </c>
      <c r="T107" s="46">
        <f t="shared" si="14"/>
        <v>1896601.7817910961</v>
      </c>
      <c r="U107" s="10"/>
      <c r="W107" s="49"/>
      <c r="X107" s="39"/>
    </row>
    <row r="108" spans="1:26" x14ac:dyDescent="0.25">
      <c r="A108" s="21">
        <v>41152</v>
      </c>
      <c r="B108" s="24">
        <f t="shared" si="16"/>
        <v>92</v>
      </c>
      <c r="C108" s="13" t="s">
        <v>169</v>
      </c>
      <c r="D108" s="33">
        <f t="shared" ref="D108:D159" si="17">I108-$D$3/12</f>
        <v>0.69</v>
      </c>
      <c r="E108" s="47">
        <f t="shared" ref="E108:E162" si="18">E107*D108/100+E107</f>
        <v>1542597.1741241592</v>
      </c>
      <c r="F108" s="10"/>
      <c r="I108" s="29">
        <v>0.69</v>
      </c>
      <c r="J108" s="39"/>
      <c r="K108" s="20">
        <f t="shared" ref="K108:K162" si="19">$A108</f>
        <v>41152</v>
      </c>
      <c r="L108" s="34">
        <v>2.25</v>
      </c>
      <c r="M108" s="46">
        <f t="shared" ref="M108:M143" si="20">M107*L108/100+M107</f>
        <v>1361236.2195585493</v>
      </c>
      <c r="N108" s="15"/>
      <c r="P108" s="49"/>
      <c r="Q108" s="39"/>
      <c r="R108" s="20">
        <f t="shared" ref="R108:R144" si="21">$A108</f>
        <v>41152</v>
      </c>
      <c r="S108" s="29">
        <v>0.67</v>
      </c>
      <c r="T108" s="46">
        <f t="shared" ref="T108:T141" si="22">T107*S108/100+T107</f>
        <v>1909309.0137290964</v>
      </c>
      <c r="U108" s="10"/>
      <c r="W108" s="49"/>
      <c r="X108" s="39"/>
    </row>
    <row r="109" spans="1:26" x14ac:dyDescent="0.25">
      <c r="A109" s="21">
        <v>41182</v>
      </c>
      <c r="B109" s="24">
        <f t="shared" si="16"/>
        <v>93</v>
      </c>
      <c r="C109" s="13" t="s">
        <v>169</v>
      </c>
      <c r="D109" s="33">
        <f t="shared" si="17"/>
        <v>1.65</v>
      </c>
      <c r="E109" s="47">
        <f t="shared" si="18"/>
        <v>1568050.0274972077</v>
      </c>
      <c r="F109" s="10"/>
      <c r="G109" s="99">
        <f>(E109/E107-1)*100</f>
        <v>2.3513850000000058</v>
      </c>
      <c r="I109" s="29">
        <v>1.65</v>
      </c>
      <c r="J109" s="39"/>
      <c r="K109" s="20">
        <f t="shared" si="19"/>
        <v>41182</v>
      </c>
      <c r="L109" s="34">
        <v>2.58</v>
      </c>
      <c r="M109" s="46">
        <f t="shared" si="20"/>
        <v>1396356.11402316</v>
      </c>
      <c r="N109" s="15"/>
      <c r="O109" s="99">
        <f>(M109/M107-1)*100</f>
        <v>4.8880500000000104</v>
      </c>
      <c r="P109" s="49"/>
      <c r="Q109" s="39"/>
      <c r="R109" s="20">
        <f t="shared" si="21"/>
        <v>41182</v>
      </c>
      <c r="S109" s="29">
        <v>1.65</v>
      </c>
      <c r="T109" s="46">
        <f t="shared" si="22"/>
        <v>1940812.6124556265</v>
      </c>
      <c r="U109" s="10"/>
      <c r="V109" s="99">
        <f>(T109/T107-1)*100</f>
        <v>2.331054999999993</v>
      </c>
      <c r="W109" s="49"/>
      <c r="X109" s="39"/>
    </row>
    <row r="110" spans="1:26" x14ac:dyDescent="0.25">
      <c r="A110" s="21">
        <v>41213</v>
      </c>
      <c r="B110" s="24">
        <f t="shared" si="16"/>
        <v>94</v>
      </c>
      <c r="C110" s="13" t="s">
        <v>169</v>
      </c>
      <c r="D110" s="33">
        <f t="shared" si="17"/>
        <v>-1.96</v>
      </c>
      <c r="E110" s="47">
        <f t="shared" si="18"/>
        <v>1537316.2469582625</v>
      </c>
      <c r="F110" s="10"/>
      <c r="I110" s="29">
        <v>-1.96</v>
      </c>
      <c r="J110" s="39"/>
      <c r="K110" s="20">
        <f t="shared" si="19"/>
        <v>41213</v>
      </c>
      <c r="L110" s="34">
        <v>-1.8499999999999999</v>
      </c>
      <c r="M110" s="46">
        <f t="shared" si="20"/>
        <v>1370523.5259137314</v>
      </c>
      <c r="N110" s="15"/>
      <c r="P110" s="49"/>
      <c r="Q110" s="39"/>
      <c r="R110" s="20">
        <f t="shared" si="21"/>
        <v>41213</v>
      </c>
      <c r="S110" s="29">
        <v>-0.4</v>
      </c>
      <c r="T110" s="46">
        <f t="shared" si="22"/>
        <v>1933049.362005804</v>
      </c>
      <c r="U110" s="10"/>
      <c r="W110" s="49"/>
      <c r="X110" s="39"/>
    </row>
    <row r="111" spans="1:26" x14ac:dyDescent="0.25">
      <c r="A111" s="21">
        <v>41243</v>
      </c>
      <c r="B111" s="24">
        <f t="shared" si="16"/>
        <v>95</v>
      </c>
      <c r="C111" s="13" t="s">
        <v>169</v>
      </c>
      <c r="D111" s="33">
        <f t="shared" si="17"/>
        <v>1.27</v>
      </c>
      <c r="E111" s="47">
        <f t="shared" si="18"/>
        <v>1556840.1632946325</v>
      </c>
      <c r="F111" s="10"/>
      <c r="I111" s="29">
        <v>1.27</v>
      </c>
      <c r="J111" s="39"/>
      <c r="K111" s="20">
        <f t="shared" si="19"/>
        <v>41243</v>
      </c>
      <c r="L111" s="34">
        <v>0.57999999999999996</v>
      </c>
      <c r="M111" s="46">
        <f t="shared" si="20"/>
        <v>1378472.5623640311</v>
      </c>
      <c r="N111" s="15"/>
      <c r="P111" s="49"/>
      <c r="Q111" s="39"/>
      <c r="R111" s="20">
        <f t="shared" si="21"/>
        <v>41243</v>
      </c>
      <c r="S111" s="29">
        <v>1.1499999999999999</v>
      </c>
      <c r="T111" s="46">
        <f t="shared" si="22"/>
        <v>1955279.4296688708</v>
      </c>
      <c r="U111" s="10"/>
      <c r="W111" s="49"/>
      <c r="X111" s="39"/>
    </row>
    <row r="112" spans="1:26" x14ac:dyDescent="0.25">
      <c r="A112" s="21">
        <v>41274</v>
      </c>
      <c r="B112" s="24">
        <f t="shared" si="16"/>
        <v>96</v>
      </c>
      <c r="C112" s="13" t="s">
        <v>169</v>
      </c>
      <c r="D112" s="33">
        <f t="shared" si="17"/>
        <v>-0.61</v>
      </c>
      <c r="E112" s="47">
        <f t="shared" si="18"/>
        <v>1547343.4382985353</v>
      </c>
      <c r="F112" s="84">
        <f>(E112-E107)/E107*100</f>
        <v>0.99980306961166487</v>
      </c>
      <c r="G112" s="49">
        <f>(E112/E109-1)*100</f>
        <v>-1.3205311587999868</v>
      </c>
      <c r="I112" s="29">
        <v>-0.61</v>
      </c>
      <c r="J112" s="39"/>
      <c r="K112" s="20">
        <f t="shared" si="19"/>
        <v>41274</v>
      </c>
      <c r="L112" s="34">
        <v>0.91</v>
      </c>
      <c r="M112" s="46">
        <f t="shared" si="20"/>
        <v>1391016.6626815437</v>
      </c>
      <c r="N112" s="84">
        <f>(M112-M107)/M107*100</f>
        <v>4.4869742044578427</v>
      </c>
      <c r="O112" s="49">
        <f>(M112/M109-1)*100</f>
        <v>-0.38238464300001107</v>
      </c>
      <c r="P112" s="49"/>
      <c r="Q112" s="39"/>
      <c r="R112" s="20">
        <f t="shared" si="21"/>
        <v>41274</v>
      </c>
      <c r="S112" s="29">
        <v>-0.69</v>
      </c>
      <c r="T112" s="46">
        <f t="shared" si="22"/>
        <v>1941788.0016041556</v>
      </c>
      <c r="U112" s="100">
        <f>(T112-T107)/T107*100</f>
        <v>2.3824832522506116</v>
      </c>
      <c r="V112" s="49">
        <f>(T112/T109-1)*100</f>
        <v>5.0256740000009792E-2</v>
      </c>
      <c r="W112" s="49"/>
      <c r="X112" s="39"/>
    </row>
    <row r="113" spans="1:27" x14ac:dyDescent="0.25">
      <c r="A113" s="21">
        <v>41305</v>
      </c>
      <c r="B113" s="24">
        <f t="shared" si="16"/>
        <v>97</v>
      </c>
      <c r="C113" s="13" t="s">
        <v>169</v>
      </c>
      <c r="D113" s="33">
        <f t="shared" si="17"/>
        <v>4.8899999999999997</v>
      </c>
      <c r="E113" s="47">
        <f t="shared" si="18"/>
        <v>1623008.5324313338</v>
      </c>
      <c r="F113" s="10"/>
      <c r="I113" s="29">
        <v>4.8899999999999997</v>
      </c>
      <c r="J113" s="39"/>
      <c r="K113" s="20">
        <f t="shared" si="19"/>
        <v>41305</v>
      </c>
      <c r="L113" s="34">
        <v>5.18</v>
      </c>
      <c r="M113" s="46">
        <f t="shared" si="20"/>
        <v>1463071.3258084478</v>
      </c>
      <c r="N113" s="15"/>
      <c r="P113" s="284"/>
      <c r="Q113" s="39"/>
      <c r="R113" s="20">
        <f t="shared" si="21"/>
        <v>41305</v>
      </c>
      <c r="S113" s="29">
        <v>4.97</v>
      </c>
      <c r="T113" s="46">
        <f t="shared" si="22"/>
        <v>2038294.8652838822</v>
      </c>
      <c r="U113" s="10"/>
      <c r="W113" s="284"/>
      <c r="X113" s="39"/>
    </row>
    <row r="114" spans="1:27" x14ac:dyDescent="0.25">
      <c r="A114" s="21">
        <v>41333</v>
      </c>
      <c r="B114" s="24">
        <f t="shared" si="16"/>
        <v>98</v>
      </c>
      <c r="C114" s="13" t="s">
        <v>169</v>
      </c>
      <c r="D114" s="33">
        <f t="shared" si="17"/>
        <v>3.88</v>
      </c>
      <c r="E114" s="47">
        <f t="shared" si="18"/>
        <v>1685981.2634896697</v>
      </c>
      <c r="F114" s="10"/>
      <c r="I114" s="29">
        <v>3.88</v>
      </c>
      <c r="J114" s="39"/>
      <c r="K114" s="20">
        <f t="shared" si="19"/>
        <v>41333</v>
      </c>
      <c r="L114" s="34">
        <v>1.3599999999999999</v>
      </c>
      <c r="M114" s="46">
        <f t="shared" si="20"/>
        <v>1482969.0958394427</v>
      </c>
      <c r="N114" s="15"/>
      <c r="P114" s="284"/>
      <c r="Q114" s="39"/>
      <c r="R114" s="20">
        <f t="shared" si="21"/>
        <v>41333</v>
      </c>
      <c r="S114" s="29">
        <v>4.16</v>
      </c>
      <c r="T114" s="46">
        <f t="shared" si="22"/>
        <v>2123087.9316796917</v>
      </c>
      <c r="U114" s="10"/>
      <c r="W114" s="284"/>
      <c r="X114" s="39"/>
    </row>
    <row r="115" spans="1:27" x14ac:dyDescent="0.25">
      <c r="A115" s="21">
        <v>41364</v>
      </c>
      <c r="B115" s="24">
        <f t="shared" si="16"/>
        <v>99</v>
      </c>
      <c r="C115" s="13" t="s">
        <v>169</v>
      </c>
      <c r="D115" s="33">
        <f t="shared" si="17"/>
        <v>4.7</v>
      </c>
      <c r="E115" s="47">
        <f t="shared" si="18"/>
        <v>1765222.3828736842</v>
      </c>
      <c r="F115" s="10"/>
      <c r="G115" s="49">
        <f>(E115/E112-1)*100</f>
        <v>14.080839404000024</v>
      </c>
      <c r="I115" s="29">
        <v>4.7</v>
      </c>
      <c r="J115" s="39"/>
      <c r="K115" s="20">
        <f t="shared" si="19"/>
        <v>41364</v>
      </c>
      <c r="L115" s="34">
        <v>3.75</v>
      </c>
      <c r="M115" s="46">
        <f t="shared" si="20"/>
        <v>1538580.4369334218</v>
      </c>
      <c r="N115" s="15"/>
      <c r="O115" s="49">
        <f>(M115/M112-1)*100</f>
        <v>10.6083398</v>
      </c>
      <c r="P115" s="284"/>
      <c r="Q115" s="39"/>
      <c r="R115" s="20">
        <f t="shared" si="21"/>
        <v>41364</v>
      </c>
      <c r="S115" s="29">
        <v>4.97</v>
      </c>
      <c r="T115" s="46">
        <f t="shared" si="22"/>
        <v>2228605.4018841721</v>
      </c>
      <c r="U115" s="10"/>
      <c r="V115" s="49">
        <f>(T115/T112-1)*100</f>
        <v>14.770788574399996</v>
      </c>
      <c r="W115" s="284"/>
      <c r="X115" s="39"/>
    </row>
    <row r="116" spans="1:27" x14ac:dyDescent="0.25">
      <c r="A116" s="21">
        <v>41394</v>
      </c>
      <c r="B116" s="24">
        <f t="shared" si="16"/>
        <v>100</v>
      </c>
      <c r="C116" s="13" t="s">
        <v>169</v>
      </c>
      <c r="D116" s="33">
        <f t="shared" si="17"/>
        <v>2.78</v>
      </c>
      <c r="E116" s="47">
        <f t="shared" si="18"/>
        <v>1814295.5651175727</v>
      </c>
      <c r="F116" s="10"/>
      <c r="I116" s="29">
        <v>2.78</v>
      </c>
      <c r="J116" s="39"/>
      <c r="K116" s="20">
        <f t="shared" si="19"/>
        <v>41394</v>
      </c>
      <c r="L116" s="34">
        <v>1.9300000000000002</v>
      </c>
      <c r="M116" s="46">
        <f t="shared" si="20"/>
        <v>1568275.0393662369</v>
      </c>
      <c r="N116" s="15"/>
      <c r="P116" s="284"/>
      <c r="Q116" s="39"/>
      <c r="R116" s="20">
        <f t="shared" si="21"/>
        <v>41394</v>
      </c>
      <c r="S116" s="29">
        <v>2.9</v>
      </c>
      <c r="T116" s="46">
        <f t="shared" si="22"/>
        <v>2293234.9585388131</v>
      </c>
      <c r="U116" s="10"/>
      <c r="W116" s="284"/>
      <c r="X116" s="39"/>
    </row>
    <row r="117" spans="1:27" x14ac:dyDescent="0.25">
      <c r="A117" s="21">
        <v>41425</v>
      </c>
      <c r="B117" s="24">
        <f t="shared" si="16"/>
        <v>101</v>
      </c>
      <c r="C117" s="13" t="s">
        <v>169</v>
      </c>
      <c r="D117" s="33">
        <f t="shared" si="17"/>
        <v>-1.72</v>
      </c>
      <c r="E117" s="47">
        <f t="shared" si="18"/>
        <v>1783089.6813975505</v>
      </c>
      <c r="F117" s="10"/>
      <c r="I117" s="29">
        <v>-1.72</v>
      </c>
      <c r="J117" s="39"/>
      <c r="K117" s="20">
        <f t="shared" si="19"/>
        <v>41425</v>
      </c>
      <c r="L117" s="34">
        <v>2.34</v>
      </c>
      <c r="M117" s="46">
        <f t="shared" si="20"/>
        <v>1604972.6752874069</v>
      </c>
      <c r="N117" s="15"/>
      <c r="P117" s="284"/>
      <c r="Q117" s="39"/>
      <c r="R117" s="20">
        <f t="shared" si="21"/>
        <v>41425</v>
      </c>
      <c r="S117" s="29">
        <v>-1.62</v>
      </c>
      <c r="T117" s="46">
        <f t="shared" si="22"/>
        <v>2256084.5522104842</v>
      </c>
      <c r="U117" s="10"/>
      <c r="W117" s="284"/>
      <c r="X117" s="39"/>
    </row>
    <row r="118" spans="1:27" x14ac:dyDescent="0.25">
      <c r="A118" s="21">
        <v>41455</v>
      </c>
      <c r="B118" s="24">
        <f t="shared" si="16"/>
        <v>102</v>
      </c>
      <c r="C118" s="13" t="s">
        <v>169</v>
      </c>
      <c r="D118" s="33">
        <f t="shared" si="17"/>
        <v>0.24</v>
      </c>
      <c r="E118" s="47">
        <f t="shared" si="18"/>
        <v>1787369.0966329046</v>
      </c>
      <c r="F118" s="10"/>
      <c r="G118" s="49">
        <f>(E118/E115-1)*100</f>
        <v>1.2546132416000111</v>
      </c>
      <c r="I118" s="29">
        <v>0.24</v>
      </c>
      <c r="J118" s="39"/>
      <c r="K118" s="20">
        <f t="shared" si="19"/>
        <v>41455</v>
      </c>
      <c r="L118" s="34">
        <v>-1.34</v>
      </c>
      <c r="M118" s="46">
        <f t="shared" si="20"/>
        <v>1583466.0414385556</v>
      </c>
      <c r="N118" s="15"/>
      <c r="O118" s="49">
        <f>(M118/M115-1)*100</f>
        <v>2.9173388292000002</v>
      </c>
      <c r="P118" s="284"/>
      <c r="Q118" s="39"/>
      <c r="R118" s="20">
        <f t="shared" si="21"/>
        <v>41455</v>
      </c>
      <c r="S118" s="29">
        <v>0.57999999999999996</v>
      </c>
      <c r="T118" s="46">
        <f t="shared" si="22"/>
        <v>2269169.842613305</v>
      </c>
      <c r="U118" s="10"/>
      <c r="V118" s="49">
        <f>(T118/T115-1)*100</f>
        <v>1.820171516000002</v>
      </c>
      <c r="W118" s="284"/>
      <c r="X118" s="39"/>
    </row>
    <row r="119" spans="1:27" x14ac:dyDescent="0.25">
      <c r="A119" s="21">
        <v>41486</v>
      </c>
      <c r="B119" s="24">
        <f t="shared" si="16"/>
        <v>103</v>
      </c>
      <c r="C119" s="13" t="s">
        <v>169</v>
      </c>
      <c r="D119" s="33">
        <f t="shared" si="17"/>
        <v>4.5999999999999996</v>
      </c>
      <c r="E119" s="47">
        <f t="shared" si="18"/>
        <v>1869588.0750780182</v>
      </c>
      <c r="F119" s="10"/>
      <c r="I119" s="29">
        <v>4.5999999999999996</v>
      </c>
      <c r="J119" s="39"/>
      <c r="K119" s="20">
        <f t="shared" si="19"/>
        <v>41486</v>
      </c>
      <c r="L119" s="34">
        <v>5.09</v>
      </c>
      <c r="M119" s="46">
        <f t="shared" si="20"/>
        <v>1664064.4629477779</v>
      </c>
      <c r="N119" s="15"/>
      <c r="P119" s="284"/>
      <c r="Q119" s="39"/>
      <c r="R119" s="20">
        <f t="shared" si="21"/>
        <v>41486</v>
      </c>
      <c r="S119" s="29">
        <v>4.74</v>
      </c>
      <c r="T119" s="46">
        <f t="shared" si="22"/>
        <v>2376728.4931531758</v>
      </c>
      <c r="U119" s="10"/>
      <c r="W119" s="284"/>
      <c r="X119" s="39"/>
    </row>
    <row r="120" spans="1:27" x14ac:dyDescent="0.25">
      <c r="A120" s="21">
        <v>41517</v>
      </c>
      <c r="B120" s="24">
        <f t="shared" si="16"/>
        <v>104</v>
      </c>
      <c r="C120" s="13" t="s">
        <v>169</v>
      </c>
      <c r="D120" s="33">
        <f t="shared" si="17"/>
        <v>-4.07</v>
      </c>
      <c r="E120" s="47">
        <f t="shared" si="18"/>
        <v>1793495.840422343</v>
      </c>
      <c r="F120" s="10"/>
      <c r="I120" s="29">
        <v>-4.07</v>
      </c>
      <c r="J120" s="39"/>
      <c r="K120" s="20">
        <f t="shared" si="19"/>
        <v>41517</v>
      </c>
      <c r="L120" s="34">
        <v>-2.9000000000000004</v>
      </c>
      <c r="M120" s="46">
        <f t="shared" si="20"/>
        <v>1615806.5935222923</v>
      </c>
      <c r="N120" s="15"/>
      <c r="P120" s="284"/>
      <c r="Q120" s="39"/>
      <c r="R120" s="20">
        <f t="shared" si="21"/>
        <v>41517</v>
      </c>
      <c r="S120" s="29">
        <v>-3.92</v>
      </c>
      <c r="T120" s="46">
        <f t="shared" si="22"/>
        <v>2283560.7362215715</v>
      </c>
      <c r="U120" s="10"/>
      <c r="W120" s="284"/>
      <c r="X120" s="39"/>
    </row>
    <row r="121" spans="1:27" x14ac:dyDescent="0.25">
      <c r="A121" s="21">
        <v>41547</v>
      </c>
      <c r="B121" s="24">
        <f t="shared" si="16"/>
        <v>105</v>
      </c>
      <c r="C121" s="13" t="s">
        <v>169</v>
      </c>
      <c r="D121" s="33">
        <f t="shared" si="17"/>
        <v>1.81</v>
      </c>
      <c r="E121" s="47">
        <f t="shared" si="18"/>
        <v>1825958.1151339875</v>
      </c>
      <c r="F121" s="10"/>
      <c r="G121" s="49">
        <f>(E121/E118-1)*100</f>
        <v>2.1589843180000123</v>
      </c>
      <c r="I121" s="29">
        <v>1.81</v>
      </c>
      <c r="J121" s="39"/>
      <c r="K121" s="20">
        <f t="shared" si="19"/>
        <v>41547</v>
      </c>
      <c r="L121" s="34">
        <v>3.1399999999999997</v>
      </c>
      <c r="M121" s="46">
        <f t="shared" si="20"/>
        <v>1666542.9205588922</v>
      </c>
      <c r="N121" s="15"/>
      <c r="O121" s="49">
        <f>(M121/M118-1)*100</f>
        <v>5.2465210459999856</v>
      </c>
      <c r="P121" s="284"/>
      <c r="Q121" s="39"/>
      <c r="R121" s="20">
        <f t="shared" si="21"/>
        <v>41547</v>
      </c>
      <c r="S121" s="29">
        <v>2.2599999999999998</v>
      </c>
      <c r="T121" s="46">
        <f t="shared" si="22"/>
        <v>2335169.2088601789</v>
      </c>
      <c r="U121" s="10"/>
      <c r="V121" s="49">
        <f>(T121/T118-1)*100</f>
        <v>2.9085247392000024</v>
      </c>
      <c r="W121" s="284"/>
      <c r="X121" s="39"/>
    </row>
    <row r="122" spans="1:27" x14ac:dyDescent="0.25">
      <c r="A122" s="21">
        <v>41578</v>
      </c>
      <c r="B122" s="24">
        <f t="shared" si="16"/>
        <v>106</v>
      </c>
      <c r="C122" s="13" t="s">
        <v>169</v>
      </c>
      <c r="D122" s="33">
        <f t="shared" si="17"/>
        <v>3.79</v>
      </c>
      <c r="E122" s="47">
        <f t="shared" si="18"/>
        <v>1895161.9276975656</v>
      </c>
      <c r="F122" s="1"/>
      <c r="I122" s="29">
        <v>3.79</v>
      </c>
      <c r="J122" s="39"/>
      <c r="K122" s="20">
        <f t="shared" si="19"/>
        <v>41578</v>
      </c>
      <c r="L122" s="34">
        <v>4.5999999999999996</v>
      </c>
      <c r="M122" s="46">
        <f t="shared" si="20"/>
        <v>1743203.8949046012</v>
      </c>
      <c r="N122" s="4"/>
      <c r="P122" s="284"/>
      <c r="Q122" s="39"/>
      <c r="R122" s="20">
        <f t="shared" si="21"/>
        <v>41578</v>
      </c>
      <c r="S122" s="29">
        <v>3.97</v>
      </c>
      <c r="T122" s="46">
        <f t="shared" si="22"/>
        <v>2427875.426451928</v>
      </c>
      <c r="U122" s="54"/>
      <c r="W122" s="284"/>
      <c r="X122" s="39"/>
    </row>
    <row r="123" spans="1:27" x14ac:dyDescent="0.25">
      <c r="A123" s="21">
        <v>41608</v>
      </c>
      <c r="B123" s="24">
        <f t="shared" si="16"/>
        <v>107</v>
      </c>
      <c r="C123" s="13" t="s">
        <v>169</v>
      </c>
      <c r="D123" s="33">
        <f t="shared" si="17"/>
        <v>1.88</v>
      </c>
      <c r="E123" s="47">
        <f t="shared" si="18"/>
        <v>1930790.9719382799</v>
      </c>
      <c r="F123" s="1"/>
      <c r="I123" s="29">
        <v>1.88</v>
      </c>
      <c r="J123" s="39"/>
      <c r="K123" s="20">
        <f t="shared" si="19"/>
        <v>41608</v>
      </c>
      <c r="L123" s="34">
        <v>3.05</v>
      </c>
      <c r="M123" s="46">
        <f t="shared" si="20"/>
        <v>1796371.6136991915</v>
      </c>
      <c r="N123" s="4"/>
      <c r="P123" s="284"/>
      <c r="Q123" s="39"/>
      <c r="R123" s="20">
        <f t="shared" si="21"/>
        <v>41608</v>
      </c>
      <c r="S123" s="29">
        <v>1.89</v>
      </c>
      <c r="T123" s="46">
        <f t="shared" si="22"/>
        <v>2473762.2720118696</v>
      </c>
      <c r="U123" s="54"/>
      <c r="W123" s="284"/>
      <c r="X123" s="39"/>
    </row>
    <row r="124" spans="1:27" x14ac:dyDescent="0.25">
      <c r="A124" s="21">
        <v>41639</v>
      </c>
      <c r="B124" s="24">
        <f t="shared" si="16"/>
        <v>108</v>
      </c>
      <c r="C124" s="13" t="s">
        <v>169</v>
      </c>
      <c r="D124" s="33">
        <f t="shared" si="17"/>
        <v>1.48</v>
      </c>
      <c r="E124" s="47">
        <f t="shared" si="18"/>
        <v>1959366.6783229664</v>
      </c>
      <c r="F124" s="12">
        <f>(E124-E112)/E112*100</f>
        <v>26.627782160468101</v>
      </c>
      <c r="G124" s="49">
        <f>(E124/E121-1)*100</f>
        <v>7.3062225296000038</v>
      </c>
      <c r="I124" s="29">
        <v>1.48</v>
      </c>
      <c r="J124" s="39"/>
      <c r="K124" s="20">
        <f t="shared" si="19"/>
        <v>41639</v>
      </c>
      <c r="L124" s="34">
        <v>2.5299999999999998</v>
      </c>
      <c r="M124" s="46">
        <f t="shared" si="20"/>
        <v>1841819.8155257811</v>
      </c>
      <c r="N124" s="12">
        <f>(M124-M112)/M112*100</f>
        <v>32.408177769430736</v>
      </c>
      <c r="O124" s="49">
        <f>(M124/M121-1)*100</f>
        <v>10.517394590000006</v>
      </c>
      <c r="P124" s="284"/>
      <c r="Q124" s="39"/>
      <c r="R124" s="20">
        <f t="shared" si="21"/>
        <v>41639</v>
      </c>
      <c r="S124" s="29">
        <v>2.1</v>
      </c>
      <c r="T124" s="46">
        <f t="shared" si="22"/>
        <v>2525711.2797241188</v>
      </c>
      <c r="U124" s="37">
        <f>(T124-T112)/T112*100</f>
        <v>30.071422711314042</v>
      </c>
      <c r="V124" s="49">
        <f>(T124/T121-1)*100</f>
        <v>8.1596686930000004</v>
      </c>
      <c r="W124" s="284"/>
      <c r="X124" s="39"/>
      <c r="Y124" s="61"/>
    </row>
    <row r="125" spans="1:27" x14ac:dyDescent="0.25">
      <c r="A125" s="21">
        <v>41670</v>
      </c>
      <c r="B125" s="24">
        <f t="shared" si="16"/>
        <v>109</v>
      </c>
      <c r="C125" s="13" t="s">
        <v>169</v>
      </c>
      <c r="D125" s="33">
        <f t="shared" si="17"/>
        <v>-3.07</v>
      </c>
      <c r="E125" s="47">
        <f t="shared" si="18"/>
        <v>1899214.1212984514</v>
      </c>
      <c r="F125" s="10"/>
      <c r="I125" s="77">
        <f>-3.57+0.5</f>
        <v>-3.07</v>
      </c>
      <c r="J125" s="39"/>
      <c r="K125" s="20">
        <f t="shared" si="19"/>
        <v>41670</v>
      </c>
      <c r="L125" s="34">
        <v>-3.46</v>
      </c>
      <c r="M125" s="46">
        <f t="shared" si="20"/>
        <v>1778092.8499085892</v>
      </c>
      <c r="N125" s="15"/>
      <c r="P125" s="284"/>
      <c r="Q125" s="39"/>
      <c r="R125" s="20">
        <f t="shared" si="21"/>
        <v>41670</v>
      </c>
      <c r="S125" s="29">
        <v>-3.25</v>
      </c>
      <c r="T125" s="46">
        <f t="shared" si="22"/>
        <v>2443625.6631330848</v>
      </c>
      <c r="U125" s="10"/>
      <c r="W125" s="284"/>
      <c r="X125" s="39"/>
      <c r="Y125" s="61"/>
    </row>
    <row r="126" spans="1:27" x14ac:dyDescent="0.25">
      <c r="A126" s="21">
        <v>41698</v>
      </c>
      <c r="B126" s="24">
        <f t="shared" si="16"/>
        <v>110</v>
      </c>
      <c r="C126" s="13" t="s">
        <v>169</v>
      </c>
      <c r="D126" s="33">
        <f t="shared" si="17"/>
        <v>3.57</v>
      </c>
      <c r="E126" s="47">
        <f t="shared" si="18"/>
        <v>1967016.0654288062</v>
      </c>
      <c r="F126" s="10"/>
      <c r="I126" s="29">
        <v>3.57</v>
      </c>
      <c r="J126" s="39"/>
      <c r="K126" s="20">
        <f t="shared" si="19"/>
        <v>41698</v>
      </c>
      <c r="L126" s="34">
        <v>4.5699999999999994</v>
      </c>
      <c r="M126" s="46">
        <f t="shared" si="20"/>
        <v>1859351.6931494116</v>
      </c>
      <c r="N126" s="15"/>
      <c r="P126" s="284"/>
      <c r="Q126" s="39"/>
      <c r="R126" s="20">
        <f t="shared" si="21"/>
        <v>41698</v>
      </c>
      <c r="S126" s="29">
        <v>3.8</v>
      </c>
      <c r="T126" s="46">
        <f t="shared" si="22"/>
        <v>2536483.4383321418</v>
      </c>
      <c r="U126" s="10"/>
      <c r="W126" s="284"/>
      <c r="X126" s="39"/>
      <c r="Y126" s="61"/>
    </row>
    <row r="127" spans="1:27" x14ac:dyDescent="0.25">
      <c r="A127" s="21">
        <v>41729</v>
      </c>
      <c r="B127" s="24">
        <f t="shared" si="16"/>
        <v>111</v>
      </c>
      <c r="C127" s="13" t="s">
        <v>169</v>
      </c>
      <c r="D127" s="33">
        <f t="shared" si="17"/>
        <v>1.82</v>
      </c>
      <c r="E127" s="47">
        <f t="shared" si="18"/>
        <v>2002815.7578196104</v>
      </c>
      <c r="F127" s="10"/>
      <c r="G127" s="49">
        <f>(E127/E124-1)*100</f>
        <v>2.2175062982000115</v>
      </c>
      <c r="I127" s="29">
        <v>1.82</v>
      </c>
      <c r="J127" s="39"/>
      <c r="K127" s="20">
        <f t="shared" si="19"/>
        <v>41729</v>
      </c>
      <c r="L127" s="34">
        <v>0.84</v>
      </c>
      <c r="M127" s="46">
        <f t="shared" si="20"/>
        <v>1874970.2473718666</v>
      </c>
      <c r="N127" s="15"/>
      <c r="O127" s="49">
        <f>(M127/M124-1)*100</f>
        <v>1.7998737751999894</v>
      </c>
      <c r="P127" s="284"/>
      <c r="Q127" s="39"/>
      <c r="R127" s="20">
        <f t="shared" si="21"/>
        <v>41729</v>
      </c>
      <c r="S127" s="29">
        <v>2.2599999999999998</v>
      </c>
      <c r="T127" s="46">
        <f t="shared" si="22"/>
        <v>2593807.9640384484</v>
      </c>
      <c r="U127" s="10"/>
      <c r="V127" s="49">
        <f>(T127/T124-1)*100</f>
        <v>2.6961389000000002</v>
      </c>
      <c r="W127" s="284"/>
      <c r="X127" s="39"/>
      <c r="Y127" s="61"/>
      <c r="AA127" s="91"/>
    </row>
    <row r="128" spans="1:27" x14ac:dyDescent="0.25">
      <c r="A128" s="21">
        <v>41759</v>
      </c>
      <c r="B128" s="24">
        <f t="shared" si="16"/>
        <v>112</v>
      </c>
      <c r="C128" s="13" t="s">
        <v>169</v>
      </c>
      <c r="D128" s="33">
        <f t="shared" si="17"/>
        <v>0.28000000000000003</v>
      </c>
      <c r="E128" s="47">
        <f t="shared" si="18"/>
        <v>2008423.6419415053</v>
      </c>
      <c r="F128" s="10"/>
      <c r="I128" s="29">
        <v>0.28000000000000003</v>
      </c>
      <c r="J128" s="39"/>
      <c r="K128" s="20">
        <f t="shared" si="19"/>
        <v>41759</v>
      </c>
      <c r="L128" s="34">
        <v>0.74</v>
      </c>
      <c r="M128" s="46">
        <f t="shared" si="20"/>
        <v>1888845.0272024183</v>
      </c>
      <c r="N128" s="15"/>
      <c r="P128" s="284"/>
      <c r="Q128" s="39"/>
      <c r="R128" s="20">
        <f t="shared" si="21"/>
        <v>41759</v>
      </c>
      <c r="S128" s="29">
        <v>0.73</v>
      </c>
      <c r="T128" s="46">
        <f t="shared" si="22"/>
        <v>2612742.7621759293</v>
      </c>
      <c r="U128" s="10"/>
      <c r="W128" s="284"/>
      <c r="X128" s="39"/>
      <c r="Y128" s="61"/>
      <c r="AA128" s="91"/>
    </row>
    <row r="129" spans="1:24" x14ac:dyDescent="0.25">
      <c r="A129" s="21">
        <v>41790</v>
      </c>
      <c r="B129" s="24">
        <f t="shared" si="16"/>
        <v>113</v>
      </c>
      <c r="C129" s="13" t="s">
        <v>169</v>
      </c>
      <c r="D129" s="33">
        <f t="shared" si="17"/>
        <v>0.91</v>
      </c>
      <c r="E129" s="47">
        <f t="shared" si="18"/>
        <v>2026700.2970831729</v>
      </c>
      <c r="F129" s="10"/>
      <c r="I129" s="29">
        <v>0.91</v>
      </c>
      <c r="J129" s="39"/>
      <c r="K129" s="20">
        <f t="shared" si="19"/>
        <v>41790</v>
      </c>
      <c r="L129" s="34">
        <v>2.35</v>
      </c>
      <c r="M129" s="46">
        <f t="shared" si="20"/>
        <v>1933232.8853416753</v>
      </c>
      <c r="N129" s="15"/>
      <c r="P129" s="284"/>
      <c r="Q129" s="39"/>
      <c r="R129" s="20">
        <f t="shared" si="21"/>
        <v>41790</v>
      </c>
      <c r="S129" s="29">
        <v>1.23</v>
      </c>
      <c r="T129" s="46">
        <f t="shared" si="22"/>
        <v>2644879.4981506933</v>
      </c>
      <c r="U129" s="10"/>
      <c r="W129" s="284"/>
      <c r="X129" s="39"/>
    </row>
    <row r="130" spans="1:24" x14ac:dyDescent="0.25">
      <c r="A130" s="21">
        <v>41820</v>
      </c>
      <c r="B130" s="24">
        <f t="shared" si="16"/>
        <v>114</v>
      </c>
      <c r="C130" s="13" t="s">
        <v>169</v>
      </c>
      <c r="D130" s="33">
        <f t="shared" si="17"/>
        <v>1.31</v>
      </c>
      <c r="E130" s="47">
        <f t="shared" si="18"/>
        <v>2053250.0709749626</v>
      </c>
      <c r="F130" s="10"/>
      <c r="G130" s="49">
        <f>(E130/E127-1)*100</f>
        <v>2.5181703787999998</v>
      </c>
      <c r="I130" s="29">
        <v>1.31</v>
      </c>
      <c r="J130" s="39"/>
      <c r="K130" s="20">
        <f t="shared" si="19"/>
        <v>41820</v>
      </c>
      <c r="L130" s="34">
        <v>2.0699999999999998</v>
      </c>
      <c r="M130" s="46">
        <f t="shared" si="20"/>
        <v>1973250.8060682479</v>
      </c>
      <c r="N130" s="15"/>
      <c r="O130" s="49">
        <f>(M130/M127-1)*100</f>
        <v>5.2417129730000012</v>
      </c>
      <c r="P130" s="284"/>
      <c r="Q130" s="39"/>
      <c r="R130" s="20">
        <f t="shared" si="21"/>
        <v>41820</v>
      </c>
      <c r="S130" s="29">
        <v>1.44</v>
      </c>
      <c r="T130" s="46">
        <f t="shared" si="22"/>
        <v>2682965.762924063</v>
      </c>
      <c r="U130" s="10"/>
      <c r="V130" s="49">
        <f>(T130/T127-1)*100</f>
        <v>3.4373322975999931</v>
      </c>
      <c r="W130" s="284"/>
      <c r="X130" s="39"/>
    </row>
    <row r="131" spans="1:24" x14ac:dyDescent="0.25">
      <c r="A131" s="21">
        <v>41851</v>
      </c>
      <c r="B131" s="24">
        <f t="shared" si="16"/>
        <v>115</v>
      </c>
      <c r="C131" s="13" t="s">
        <v>169</v>
      </c>
      <c r="D131" s="33">
        <f t="shared" si="17"/>
        <v>-1.37</v>
      </c>
      <c r="E131" s="47">
        <f t="shared" si="18"/>
        <v>2025120.5450026055</v>
      </c>
      <c r="F131" s="22"/>
      <c r="I131" s="29">
        <v>-1.37</v>
      </c>
      <c r="J131" s="39"/>
      <c r="K131" s="20">
        <f t="shared" si="19"/>
        <v>41851</v>
      </c>
      <c r="L131" s="34">
        <v>-1.38</v>
      </c>
      <c r="M131" s="46">
        <f t="shared" si="20"/>
        <v>1946019.944944506</v>
      </c>
      <c r="N131" s="113"/>
      <c r="P131" s="284"/>
      <c r="Q131" s="39"/>
      <c r="R131" s="20">
        <f t="shared" si="21"/>
        <v>41851</v>
      </c>
      <c r="S131" s="29">
        <v>-0.97</v>
      </c>
      <c r="T131" s="46">
        <f t="shared" si="22"/>
        <v>2656940.9950236995</v>
      </c>
      <c r="U131" s="22"/>
      <c r="W131" s="284"/>
      <c r="X131" s="39"/>
    </row>
    <row r="132" spans="1:24" x14ac:dyDescent="0.25">
      <c r="A132" s="21">
        <v>41882</v>
      </c>
      <c r="B132" s="24">
        <f t="shared" si="16"/>
        <v>116</v>
      </c>
      <c r="C132" s="13" t="s">
        <v>169</v>
      </c>
      <c r="D132" s="33">
        <f t="shared" si="17"/>
        <v>3.47</v>
      </c>
      <c r="E132" s="47">
        <f t="shared" si="18"/>
        <v>2095392.227914196</v>
      </c>
      <c r="F132" s="4"/>
      <c r="I132" s="29">
        <v>3.47</v>
      </c>
      <c r="J132" s="39"/>
      <c r="K132" s="20">
        <f t="shared" si="19"/>
        <v>41882</v>
      </c>
      <c r="L132" s="34">
        <v>4</v>
      </c>
      <c r="M132" s="46">
        <f t="shared" si="20"/>
        <v>2023860.7427422863</v>
      </c>
      <c r="N132" s="4"/>
      <c r="P132" s="284"/>
      <c r="Q132" s="39"/>
      <c r="R132" s="20">
        <f t="shared" si="21"/>
        <v>41882</v>
      </c>
      <c r="S132" s="30">
        <v>3.71</v>
      </c>
      <c r="T132" s="46">
        <f t="shared" si="22"/>
        <v>2755513.5059390785</v>
      </c>
      <c r="U132" s="54"/>
      <c r="W132" s="284"/>
      <c r="X132" s="39"/>
    </row>
    <row r="133" spans="1:24" x14ac:dyDescent="0.25">
      <c r="A133" s="21">
        <v>41912</v>
      </c>
      <c r="B133" s="24">
        <f t="shared" si="16"/>
        <v>117</v>
      </c>
      <c r="C133" s="13" t="s">
        <v>169</v>
      </c>
      <c r="D133" s="33">
        <f t="shared" si="17"/>
        <v>-1.1399999999999999</v>
      </c>
      <c r="E133" s="47">
        <f t="shared" si="18"/>
        <v>2071504.7565159742</v>
      </c>
      <c r="F133" s="12"/>
      <c r="G133" s="49">
        <f>(E133/E130-1)*100</f>
        <v>0.88906294460000534</v>
      </c>
      <c r="I133" s="29">
        <v>-1.1399999999999999</v>
      </c>
      <c r="J133" s="39"/>
      <c r="K133" s="20">
        <f t="shared" si="19"/>
        <v>41912</v>
      </c>
      <c r="L133" s="34">
        <v>-1.4000000000000001</v>
      </c>
      <c r="M133" s="46">
        <f t="shared" si="20"/>
        <v>1995526.6923438944</v>
      </c>
      <c r="N133" s="12"/>
      <c r="O133" s="49">
        <f>(M133/M130-1)*100</f>
        <v>1.1288928000000142</v>
      </c>
      <c r="P133" s="284"/>
      <c r="Q133" s="39"/>
      <c r="R133" s="20">
        <f t="shared" si="21"/>
        <v>41912</v>
      </c>
      <c r="S133" s="30">
        <v>-0.79</v>
      </c>
      <c r="T133" s="46">
        <f t="shared" si="22"/>
        <v>2733744.9492421597</v>
      </c>
      <c r="U133" s="37"/>
      <c r="V133" s="49">
        <f>(T133/T130-1)*100</f>
        <v>1.8926512972999854</v>
      </c>
      <c r="W133" s="284"/>
      <c r="X133" s="39"/>
    </row>
    <row r="134" spans="1:24" x14ac:dyDescent="0.25">
      <c r="A134" s="21">
        <v>41943</v>
      </c>
      <c r="B134" s="24">
        <f t="shared" si="16"/>
        <v>118</v>
      </c>
      <c r="C134" s="13" t="s">
        <v>169</v>
      </c>
      <c r="D134" s="33">
        <f t="shared" si="17"/>
        <v>3.11</v>
      </c>
      <c r="E134" s="47">
        <f t="shared" si="18"/>
        <v>2135928.5544436211</v>
      </c>
      <c r="F134" s="12"/>
      <c r="G134" s="49"/>
      <c r="I134" s="29">
        <v>3.11</v>
      </c>
      <c r="J134" s="39"/>
      <c r="K134" s="20">
        <f t="shared" si="19"/>
        <v>41943</v>
      </c>
      <c r="L134" s="34">
        <v>2.44</v>
      </c>
      <c r="M134" s="46">
        <f t="shared" si="20"/>
        <v>2044217.5436370855</v>
      </c>
      <c r="N134" s="12"/>
      <c r="O134" s="49"/>
      <c r="P134" s="284"/>
      <c r="Q134" s="39"/>
      <c r="R134" s="20">
        <f t="shared" si="21"/>
        <v>41943</v>
      </c>
      <c r="S134" s="31">
        <v>3.3216666666666668</v>
      </c>
      <c r="T134" s="46">
        <f t="shared" si="22"/>
        <v>2824550.8439728203</v>
      </c>
      <c r="U134" s="37"/>
      <c r="V134" s="49"/>
      <c r="W134" s="284"/>
      <c r="X134" s="39"/>
    </row>
    <row r="135" spans="1:24" x14ac:dyDescent="0.25">
      <c r="A135" s="21">
        <v>41973</v>
      </c>
      <c r="B135" s="24">
        <f t="shared" si="16"/>
        <v>119</v>
      </c>
      <c r="C135" s="13" t="s">
        <v>169</v>
      </c>
      <c r="D135" s="33">
        <f t="shared" si="17"/>
        <v>4.2300000000000004</v>
      </c>
      <c r="E135" s="47">
        <f t="shared" si="18"/>
        <v>2226278.3322965861</v>
      </c>
      <c r="F135" s="12"/>
      <c r="I135" s="29">
        <v>4.2300000000000004</v>
      </c>
      <c r="J135" s="39"/>
      <c r="K135" s="20">
        <f t="shared" si="19"/>
        <v>41973</v>
      </c>
      <c r="L135" s="34">
        <v>2.69</v>
      </c>
      <c r="M135" s="46">
        <f t="shared" si="20"/>
        <v>2099206.9955609231</v>
      </c>
      <c r="N135" s="12"/>
      <c r="O135" s="22"/>
      <c r="P135" s="284"/>
      <c r="Q135" s="39"/>
      <c r="R135" s="20">
        <f t="shared" si="21"/>
        <v>41973</v>
      </c>
      <c r="S135" s="31">
        <v>4.2116666666666669</v>
      </c>
      <c r="T135" s="46">
        <f t="shared" si="22"/>
        <v>2943511.5103514758</v>
      </c>
      <c r="U135" s="37"/>
      <c r="W135" s="284"/>
      <c r="X135" s="39"/>
    </row>
    <row r="136" spans="1:24" x14ac:dyDescent="0.25">
      <c r="A136" s="21">
        <v>42004</v>
      </c>
      <c r="B136" s="24">
        <f t="shared" si="16"/>
        <v>120</v>
      </c>
      <c r="C136" s="13" t="s">
        <v>169</v>
      </c>
      <c r="D136" s="33">
        <f t="shared" si="17"/>
        <v>-0.12</v>
      </c>
      <c r="E136" s="47">
        <f t="shared" si="18"/>
        <v>2223606.7982978304</v>
      </c>
      <c r="F136" s="12">
        <f>(E136-E124)/E124*100</f>
        <v>13.485996413954974</v>
      </c>
      <c r="G136" s="49">
        <f>(E136/E133-1)*100</f>
        <v>7.3425871364000139</v>
      </c>
      <c r="I136" s="29">
        <v>-0.12</v>
      </c>
      <c r="J136" s="39"/>
      <c r="K136" s="20">
        <f t="shared" si="19"/>
        <v>42004</v>
      </c>
      <c r="L136" s="34">
        <v>-0.25</v>
      </c>
      <c r="M136" s="46">
        <f t="shared" si="20"/>
        <v>2093958.9780720209</v>
      </c>
      <c r="N136" s="12">
        <f>(M136-M124)/M124*100</f>
        <v>13.689675853240946</v>
      </c>
      <c r="O136" s="49">
        <f>(M136/M133-1)*100</f>
        <v>4.9326469100000159</v>
      </c>
      <c r="P136" s="284"/>
      <c r="Q136" s="39"/>
      <c r="R136" s="20">
        <f t="shared" si="21"/>
        <v>42004</v>
      </c>
      <c r="S136" s="31">
        <v>8.1666666666666665E-2</v>
      </c>
      <c r="T136" s="46">
        <f t="shared" si="22"/>
        <v>2945915.3780849297</v>
      </c>
      <c r="U136" s="12">
        <f>(T136-T124)/T124*100</f>
        <v>16.63705989414235</v>
      </c>
      <c r="V136" s="49">
        <f>(T136/T133-1)*100</f>
        <v>7.7611639996477022</v>
      </c>
      <c r="W136" s="284"/>
      <c r="X136" s="39"/>
    </row>
    <row r="137" spans="1:24" x14ac:dyDescent="0.25">
      <c r="A137" s="21">
        <v>42035</v>
      </c>
      <c r="B137" s="24">
        <f t="shared" si="16"/>
        <v>121</v>
      </c>
      <c r="C137" s="13" t="s">
        <v>169</v>
      </c>
      <c r="D137" s="33">
        <f t="shared" si="17"/>
        <v>-1.4</v>
      </c>
      <c r="E137" s="47">
        <f t="shared" si="18"/>
        <v>2192476.3031216608</v>
      </c>
      <c r="F137" s="82"/>
      <c r="G137" s="83"/>
      <c r="I137" s="29">
        <v>-1.4</v>
      </c>
      <c r="J137" s="39"/>
      <c r="K137" s="20">
        <f t="shared" si="19"/>
        <v>42035</v>
      </c>
      <c r="L137" s="34">
        <v>-3</v>
      </c>
      <c r="M137" s="46">
        <f t="shared" si="20"/>
        <v>2031140.2087298604</v>
      </c>
      <c r="N137" s="12"/>
      <c r="P137" s="284"/>
      <c r="Q137" s="39"/>
      <c r="R137" s="20">
        <f t="shared" si="21"/>
        <v>42035</v>
      </c>
      <c r="S137" s="31">
        <v>-1.1283333333333334</v>
      </c>
      <c r="T137" s="46">
        <f t="shared" si="22"/>
        <v>2912675.6329022045</v>
      </c>
      <c r="W137" s="284"/>
      <c r="X137" s="39"/>
    </row>
    <row r="138" spans="1:24" x14ac:dyDescent="0.25">
      <c r="A138" s="21">
        <v>42063</v>
      </c>
      <c r="B138" s="24">
        <f t="shared" si="16"/>
        <v>122</v>
      </c>
      <c r="C138" s="13" t="s">
        <v>169</v>
      </c>
      <c r="D138" s="33">
        <f t="shared" si="17"/>
        <v>2.76</v>
      </c>
      <c r="E138" s="47">
        <f t="shared" si="18"/>
        <v>2252988.6490878188</v>
      </c>
      <c r="F138" s="22"/>
      <c r="I138" s="29">
        <v>2.76</v>
      </c>
      <c r="J138" s="39"/>
      <c r="K138" s="20">
        <f t="shared" si="19"/>
        <v>42063</v>
      </c>
      <c r="L138" s="34">
        <v>5.75</v>
      </c>
      <c r="M138" s="46">
        <f t="shared" si="20"/>
        <v>2147930.7707318272</v>
      </c>
      <c r="N138" s="12"/>
      <c r="P138" s="284"/>
      <c r="Q138" s="39"/>
      <c r="R138" s="20">
        <f t="shared" si="21"/>
        <v>42063</v>
      </c>
      <c r="S138" s="31">
        <v>3.1116666666666664</v>
      </c>
      <c r="T138" s="46">
        <f t="shared" si="22"/>
        <v>3003308.3896793448</v>
      </c>
      <c r="W138" s="284"/>
      <c r="X138" s="39"/>
    </row>
    <row r="139" spans="1:24" x14ac:dyDescent="0.25">
      <c r="A139" s="21">
        <v>42094</v>
      </c>
      <c r="B139" s="24">
        <f t="shared" si="16"/>
        <v>123</v>
      </c>
      <c r="C139" s="13" t="s">
        <v>169</v>
      </c>
      <c r="D139" s="33">
        <f t="shared" si="17"/>
        <v>-0.94</v>
      </c>
      <c r="E139" s="47">
        <f t="shared" si="18"/>
        <v>2231810.5557863931</v>
      </c>
      <c r="F139" s="12"/>
      <c r="G139" s="49">
        <f>(E139/E136-1)*100</f>
        <v>0.36893921600000823</v>
      </c>
      <c r="I139" s="29">
        <v>-0.94</v>
      </c>
      <c r="J139" s="39"/>
      <c r="K139" s="20">
        <f t="shared" si="19"/>
        <v>42094</v>
      </c>
      <c r="L139" s="34">
        <v>-1.58</v>
      </c>
      <c r="M139" s="46">
        <f t="shared" si="20"/>
        <v>2113993.4645542642</v>
      </c>
      <c r="N139" s="12"/>
      <c r="O139" s="49">
        <f>(M139/M136-1)*100</f>
        <v>0.95677549999999556</v>
      </c>
      <c r="P139" s="284"/>
      <c r="Q139" s="39"/>
      <c r="R139" s="20">
        <f t="shared" si="21"/>
        <v>42094</v>
      </c>
      <c r="S139" s="31">
        <v>-0.61833333333333329</v>
      </c>
      <c r="T139" s="46">
        <f t="shared" si="22"/>
        <v>2984737.932803161</v>
      </c>
      <c r="V139" s="49">
        <f>(T139/T136-1)*100</f>
        <v>1.3178435133282429</v>
      </c>
      <c r="W139" s="284"/>
      <c r="X139" s="39"/>
    </row>
    <row r="140" spans="1:24" x14ac:dyDescent="0.25">
      <c r="A140" s="21">
        <v>42124</v>
      </c>
      <c r="B140" s="24">
        <f t="shared" si="16"/>
        <v>124</v>
      </c>
      <c r="C140" s="13" t="s">
        <v>169</v>
      </c>
      <c r="D140" s="33">
        <f t="shared" si="17"/>
        <v>-1.69</v>
      </c>
      <c r="E140" s="47">
        <f t="shared" si="18"/>
        <v>2194092.9573936029</v>
      </c>
      <c r="F140" s="12"/>
      <c r="G140" s="49"/>
      <c r="I140" s="29">
        <v>-1.69</v>
      </c>
      <c r="J140" s="39"/>
      <c r="K140" s="20">
        <f t="shared" si="19"/>
        <v>42124</v>
      </c>
      <c r="L140" s="34">
        <v>0.96</v>
      </c>
      <c r="M140" s="46">
        <f t="shared" si="20"/>
        <v>2134287.8018139852</v>
      </c>
      <c r="N140" s="12"/>
      <c r="O140" s="54"/>
      <c r="P140" s="284"/>
      <c r="Q140" s="39"/>
      <c r="R140" s="20">
        <f t="shared" si="21"/>
        <v>42124</v>
      </c>
      <c r="S140" s="31">
        <v>-1.3283333333333331</v>
      </c>
      <c r="T140" s="46">
        <f t="shared" si="22"/>
        <v>2945090.6639290922</v>
      </c>
      <c r="V140" s="49"/>
      <c r="W140" s="284"/>
      <c r="X140" s="39"/>
    </row>
    <row r="141" spans="1:24" x14ac:dyDescent="0.25">
      <c r="A141" s="21">
        <v>42155</v>
      </c>
      <c r="B141" s="24">
        <f t="shared" si="16"/>
        <v>125</v>
      </c>
      <c r="C141" s="13" t="s">
        <v>169</v>
      </c>
      <c r="D141" s="33">
        <f t="shared" si="17"/>
        <v>0.81</v>
      </c>
      <c r="E141" s="47">
        <f t="shared" si="18"/>
        <v>2211865.110348491</v>
      </c>
      <c r="F141" s="12"/>
      <c r="G141" s="49"/>
      <c r="I141" s="29">
        <v>0.81</v>
      </c>
      <c r="J141" s="39"/>
      <c r="K141" s="20">
        <f t="shared" si="19"/>
        <v>42155</v>
      </c>
      <c r="L141" s="34">
        <v>1.29</v>
      </c>
      <c r="M141" s="46">
        <f t="shared" si="20"/>
        <v>2161820.1144573856</v>
      </c>
      <c r="N141" s="12"/>
      <c r="O141" s="54"/>
      <c r="P141" s="284"/>
      <c r="Q141" s="39"/>
      <c r="R141" s="20">
        <f t="shared" si="21"/>
        <v>42155</v>
      </c>
      <c r="S141" s="31">
        <v>1.0816666666666666</v>
      </c>
      <c r="T141" s="46">
        <f t="shared" si="22"/>
        <v>2976946.7279439252</v>
      </c>
      <c r="V141" s="49"/>
      <c r="W141" s="284"/>
      <c r="X141" s="39"/>
    </row>
    <row r="142" spans="1:24" x14ac:dyDescent="0.25">
      <c r="A142" s="21">
        <v>42185</v>
      </c>
      <c r="B142" s="24">
        <f t="shared" si="16"/>
        <v>126</v>
      </c>
      <c r="C142" s="13" t="s">
        <v>169</v>
      </c>
      <c r="D142" s="33">
        <f t="shared" si="17"/>
        <v>-2.2200000000000002</v>
      </c>
      <c r="E142" s="47">
        <f t="shared" si="18"/>
        <v>2162761.7048987546</v>
      </c>
      <c r="F142" s="12"/>
      <c r="G142" s="49">
        <f>(E142/E139-1)*100</f>
        <v>-3.0938491042000082</v>
      </c>
      <c r="I142" s="29">
        <v>-2.2200000000000002</v>
      </c>
      <c r="J142" s="39"/>
      <c r="K142" s="20">
        <f t="shared" si="19"/>
        <v>42185</v>
      </c>
      <c r="L142" s="34">
        <v>-1.94</v>
      </c>
      <c r="M142" s="46">
        <f t="shared" si="20"/>
        <v>2119880.8042369122</v>
      </c>
      <c r="N142" s="12"/>
      <c r="O142" s="49">
        <f>(M142/M139-1)*100</f>
        <v>0.27849375039998847</v>
      </c>
      <c r="P142" s="284"/>
      <c r="Q142" s="39"/>
      <c r="R142" s="20">
        <f t="shared" si="21"/>
        <v>42185</v>
      </c>
      <c r="S142" s="31">
        <v>-1.8283333333333331</v>
      </c>
      <c r="T142" s="46">
        <f>T141*S142/100+T141</f>
        <v>2922518.2186013502</v>
      </c>
      <c r="V142" s="49">
        <f>(T142/T139-1)*100</f>
        <v>-2.0845955525273241</v>
      </c>
      <c r="W142" s="284"/>
      <c r="X142" s="39"/>
    </row>
    <row r="143" spans="1:24" x14ac:dyDescent="0.25">
      <c r="A143" s="21">
        <v>42216</v>
      </c>
      <c r="B143" s="24">
        <f t="shared" si="16"/>
        <v>127</v>
      </c>
      <c r="C143" s="13" t="s">
        <v>169</v>
      </c>
      <c r="D143" s="33">
        <f t="shared" si="17"/>
        <v>4.55</v>
      </c>
      <c r="E143" s="47">
        <f t="shared" si="18"/>
        <v>2261167.362471648</v>
      </c>
      <c r="F143" s="12"/>
      <c r="G143" s="49"/>
      <c r="H143" s="284">
        <f>STDEVP(D108:D143)*SQRT(12)</f>
        <v>8.3186311974987799</v>
      </c>
      <c r="I143" s="29">
        <v>4.55</v>
      </c>
      <c r="J143" s="39"/>
      <c r="K143" s="20">
        <f t="shared" si="19"/>
        <v>42216</v>
      </c>
      <c r="L143" s="34">
        <v>2.1</v>
      </c>
      <c r="M143" s="46">
        <f t="shared" si="20"/>
        <v>2164398.3011258873</v>
      </c>
      <c r="N143" s="12"/>
      <c r="O143" s="54"/>
      <c r="P143" s="284">
        <f>STDEVP(L108:L143)*SQRT(12)</f>
        <v>8.4463568192753105</v>
      </c>
      <c r="Q143" s="39"/>
      <c r="R143" s="20">
        <f t="shared" si="21"/>
        <v>42216</v>
      </c>
      <c r="S143" s="31">
        <v>4.7116666666666669</v>
      </c>
      <c r="T143" s="46">
        <f>T142*S143/100+T142</f>
        <v>3060217.5353344507</v>
      </c>
      <c r="V143" s="49"/>
      <c r="W143" s="284">
        <f>STDEVP(S108:S143)*SQRT(12)</f>
        <v>8.1837865467519588</v>
      </c>
      <c r="X143" s="39"/>
    </row>
    <row r="144" spans="1:24" x14ac:dyDescent="0.25">
      <c r="A144" s="21">
        <v>42247</v>
      </c>
      <c r="B144" s="24">
        <f t="shared" si="16"/>
        <v>128</v>
      </c>
      <c r="C144" s="13" t="s">
        <v>169</v>
      </c>
      <c r="D144" s="33">
        <f t="shared" si="17"/>
        <v>-5.15</v>
      </c>
      <c r="E144" s="47">
        <f t="shared" si="18"/>
        <v>2144717.2433043583</v>
      </c>
      <c r="F144" s="12"/>
      <c r="G144" s="105"/>
      <c r="H144" s="284">
        <f>STDEVP(D109:D144)*SQRT(12)</f>
        <v>9.050429650124455</v>
      </c>
      <c r="I144" s="29">
        <v>-5.15</v>
      </c>
      <c r="J144" s="39"/>
      <c r="K144" s="20">
        <f t="shared" si="19"/>
        <v>42247</v>
      </c>
      <c r="L144" s="34">
        <v>-6.03</v>
      </c>
      <c r="M144" s="46">
        <f>M143*L144/100+M143</f>
        <v>2033885.0835679963</v>
      </c>
      <c r="N144" s="12"/>
      <c r="O144" s="105"/>
      <c r="P144" s="284">
        <f>STDEVP(L109:L144)*SQRT(12)</f>
        <v>9.4235915049333432</v>
      </c>
      <c r="Q144" s="39"/>
      <c r="R144" s="20">
        <f t="shared" si="21"/>
        <v>42247</v>
      </c>
      <c r="S144" s="31">
        <v>-4.6883333333333326</v>
      </c>
      <c r="T144" s="46">
        <f>T143*S144/100+T143</f>
        <v>2916744.3365528537</v>
      </c>
      <c r="V144" s="65"/>
      <c r="W144" s="284">
        <f>STDEVP(S109:S144)*SQRT(12)</f>
        <v>8.8748768886725777</v>
      </c>
      <c r="X144" s="39"/>
    </row>
    <row r="145" spans="1:24" x14ac:dyDescent="0.25">
      <c r="A145" s="21">
        <v>42277</v>
      </c>
      <c r="B145" s="24">
        <f t="shared" si="16"/>
        <v>129</v>
      </c>
      <c r="C145" s="13" t="s">
        <v>169</v>
      </c>
      <c r="D145" s="33">
        <f t="shared" si="17"/>
        <v>-0.04</v>
      </c>
      <c r="E145" s="47">
        <f t="shared" si="18"/>
        <v>2143859.3564070365</v>
      </c>
      <c r="F145" s="37">
        <f>(E145/E$136-1)*100</f>
        <v>-3.5864003452337201</v>
      </c>
      <c r="G145" s="49">
        <f>(E145/E142-1)*100</f>
        <v>-0.87399126999998522</v>
      </c>
      <c r="H145" s="284">
        <f>STDEVP(D110:D145)*SQRT(12)</f>
        <v>9.0582154239489512</v>
      </c>
      <c r="I145" s="29">
        <v>-0.04</v>
      </c>
      <c r="J145" s="39"/>
      <c r="K145" s="20">
        <f t="shared" si="19"/>
        <v>42277</v>
      </c>
      <c r="L145" s="34">
        <v>-2.4700000000000002</v>
      </c>
      <c r="M145" s="46">
        <f>M144*L145/100+M144</f>
        <v>1983648.1220038668</v>
      </c>
      <c r="N145" s="37">
        <f>(M145/M$136-1)*100</f>
        <v>-5.2680523937351005</v>
      </c>
      <c r="O145" s="49">
        <f>(M145/M142-1)*100</f>
        <v>-6.4264312389999967</v>
      </c>
      <c r="P145" s="284">
        <f>STDEVP(L110:L145)*SQRT(12)</f>
        <v>9.6064266682952066</v>
      </c>
      <c r="Q145" s="39"/>
      <c r="R145" s="20">
        <f>$A145</f>
        <v>42277</v>
      </c>
      <c r="S145" s="31">
        <v>0.44166666666666665</v>
      </c>
      <c r="T145" s="46">
        <f>T144*S145/100+T144</f>
        <v>2929626.6240392956</v>
      </c>
      <c r="U145" s="12">
        <f>(T145/T$136-1)*100</f>
        <v>-0.55292674619265014</v>
      </c>
      <c r="V145" s="49">
        <f>(T145/T142-1)*100</f>
        <v>0.24322878101157297</v>
      </c>
      <c r="W145" s="284">
        <f>STDEVP(S110:S145)*SQRT(12)</f>
        <v>8.8818634910740482</v>
      </c>
      <c r="X145" s="39"/>
    </row>
    <row r="146" spans="1:24" x14ac:dyDescent="0.25">
      <c r="A146" s="21">
        <v>42308</v>
      </c>
      <c r="B146" s="24">
        <f t="shared" ref="B146:B209" si="23">IF(A146&gt;A145,1+B145,"-")</f>
        <v>130</v>
      </c>
      <c r="C146" s="13" t="s">
        <v>169</v>
      </c>
      <c r="D146" s="254">
        <f t="shared" si="17"/>
        <v>5.81</v>
      </c>
      <c r="E146" s="47">
        <f t="shared" si="18"/>
        <v>2268417.5850142855</v>
      </c>
      <c r="F146" s="1"/>
      <c r="H146" s="284">
        <f t="shared" ref="H146:H157" si="24">STDEVP(D111:D146)*SQRT(12)</f>
        <v>9.3148926456508345</v>
      </c>
      <c r="I146" s="29">
        <v>5.81</v>
      </c>
      <c r="J146" s="39"/>
      <c r="K146" s="20">
        <f t="shared" si="19"/>
        <v>42308</v>
      </c>
      <c r="L146" s="34">
        <v>8.44</v>
      </c>
      <c r="M146" s="46">
        <f t="shared" ref="M146:M162" si="25">M145*L146/100+M145</f>
        <v>2151068.0235009934</v>
      </c>
      <c r="N146" s="14"/>
      <c r="O146" s="8"/>
      <c r="P146" s="284">
        <f t="shared" ref="P146:P157" si="26">STDEVP(L111:L146)*SQRT(12)</f>
        <v>10.340259103781362</v>
      </c>
      <c r="Q146" s="39"/>
      <c r="R146" s="20"/>
      <c r="S146" s="27"/>
      <c r="T146" s="17"/>
      <c r="U146" s="18"/>
      <c r="V146" s="8"/>
    </row>
    <row r="147" spans="1:24" x14ac:dyDescent="0.25">
      <c r="A147" s="21">
        <v>42338</v>
      </c>
      <c r="B147" s="24">
        <f t="shared" si="23"/>
        <v>131</v>
      </c>
      <c r="C147" s="13" t="s">
        <v>169</v>
      </c>
      <c r="D147" s="254">
        <f t="shared" si="17"/>
        <v>-2.76</v>
      </c>
      <c r="E147" s="47">
        <f t="shared" si="18"/>
        <v>2205809.2596678911</v>
      </c>
      <c r="H147" s="284">
        <f t="shared" si="24"/>
        <v>9.5725752175836316</v>
      </c>
      <c r="I147" s="29">
        <v>-2.76</v>
      </c>
      <c r="J147" s="39"/>
      <c r="K147" s="20">
        <f t="shared" si="19"/>
        <v>42338</v>
      </c>
      <c r="L147" s="34">
        <v>0.3</v>
      </c>
      <c r="M147" s="46">
        <f t="shared" si="25"/>
        <v>2157521.2275714963</v>
      </c>
      <c r="N147" s="14"/>
      <c r="O147" s="8"/>
      <c r="P147" s="284">
        <f t="shared" si="26"/>
        <v>10.348021236860628</v>
      </c>
      <c r="Q147" s="39"/>
      <c r="R147" s="20"/>
      <c r="S147" s="27"/>
      <c r="T147" s="17"/>
      <c r="U147" s="18"/>
      <c r="V147" s="8"/>
    </row>
    <row r="148" spans="1:24" x14ac:dyDescent="0.25">
      <c r="A148" s="21">
        <v>42369</v>
      </c>
      <c r="B148" s="24">
        <f t="shared" si="23"/>
        <v>132</v>
      </c>
      <c r="C148" s="13" t="s">
        <v>169</v>
      </c>
      <c r="D148" s="254">
        <f t="shared" si="17"/>
        <v>1.61</v>
      </c>
      <c r="E148" s="47">
        <f t="shared" si="18"/>
        <v>2241322.7887485442</v>
      </c>
      <c r="F148" s="12">
        <f>(E148/E$136-1)*100</f>
        <v>0.79672316455747794</v>
      </c>
      <c r="G148" s="49">
        <f>(E148/E145-1)*100</f>
        <v>4.5461672684000032</v>
      </c>
      <c r="H148" s="284">
        <f t="shared" si="24"/>
        <v>9.5306317073287801</v>
      </c>
      <c r="I148" s="29">
        <v>1.61</v>
      </c>
      <c r="J148" s="39"/>
      <c r="K148" s="20">
        <f t="shared" si="19"/>
        <v>42369</v>
      </c>
      <c r="L148" s="34">
        <v>-1.58</v>
      </c>
      <c r="M148" s="46">
        <f t="shared" si="25"/>
        <v>2123432.3921758668</v>
      </c>
      <c r="N148" s="12">
        <f>(M148-M$136)/M$136*100</f>
        <v>1.4075449620786269</v>
      </c>
      <c r="O148" s="49">
        <f>(M148/M145-1)*100</f>
        <v>7.0468279440000225</v>
      </c>
      <c r="P148" s="284">
        <f t="shared" si="26"/>
        <v>10.475315782387696</v>
      </c>
      <c r="Q148" s="39"/>
      <c r="R148" s="20"/>
      <c r="S148" s="27"/>
      <c r="T148" s="17"/>
      <c r="U148" s="18"/>
      <c r="V148" s="11"/>
      <c r="W148" s="1"/>
    </row>
    <row r="149" spans="1:24" x14ac:dyDescent="0.25">
      <c r="A149" s="21">
        <v>42400</v>
      </c>
      <c r="B149" s="24">
        <f t="shared" si="23"/>
        <v>133</v>
      </c>
      <c r="C149" s="13" t="s">
        <v>169</v>
      </c>
      <c r="D149" s="254">
        <f t="shared" si="17"/>
        <v>-2.71</v>
      </c>
      <c r="E149" s="47">
        <f t="shared" si="18"/>
        <v>2180582.9411734585</v>
      </c>
      <c r="H149" s="284">
        <f t="shared" si="24"/>
        <v>9.4977919461236802</v>
      </c>
      <c r="I149" s="29">
        <v>-2.71</v>
      </c>
      <c r="J149" s="39"/>
      <c r="K149" s="20">
        <f t="shared" si="19"/>
        <v>42400</v>
      </c>
      <c r="L149" s="34">
        <v>-4.96</v>
      </c>
      <c r="M149" s="46">
        <f t="shared" si="25"/>
        <v>2018110.1455239437</v>
      </c>
      <c r="N149" s="14"/>
      <c r="O149" s="10"/>
      <c r="P149" s="284">
        <f t="shared" si="26"/>
        <v>10.785760503072076</v>
      </c>
      <c r="Q149" s="39"/>
      <c r="R149" s="20"/>
      <c r="S149" s="27"/>
      <c r="T149" s="17"/>
      <c r="U149" s="18"/>
      <c r="V149" s="10"/>
      <c r="W149" s="3"/>
    </row>
    <row r="150" spans="1:24" x14ac:dyDescent="0.25">
      <c r="A150" s="21">
        <v>42429</v>
      </c>
      <c r="B150" s="24">
        <f t="shared" si="23"/>
        <v>134</v>
      </c>
      <c r="C150" s="13" t="s">
        <v>169</v>
      </c>
      <c r="D150" s="254">
        <f t="shared" si="17"/>
        <v>1.8</v>
      </c>
      <c r="E150" s="47">
        <f t="shared" si="18"/>
        <v>2219833.4341145805</v>
      </c>
      <c r="H150" s="284">
        <f t="shared" si="24"/>
        <v>9.3500766485271836</v>
      </c>
      <c r="I150" s="29">
        <v>1.8</v>
      </c>
      <c r="J150" s="39"/>
      <c r="K150" s="20">
        <f t="shared" si="19"/>
        <v>42429</v>
      </c>
      <c r="L150" s="34">
        <v>-0.13</v>
      </c>
      <c r="M150" s="46">
        <f t="shared" si="25"/>
        <v>2015486.6023347627</v>
      </c>
      <c r="N150" s="14"/>
      <c r="O150" s="8"/>
      <c r="P150" s="284">
        <f t="shared" si="26"/>
        <v>10.800019675908002</v>
      </c>
      <c r="Q150" s="39"/>
      <c r="R150" s="20"/>
      <c r="S150" s="27"/>
      <c r="T150" s="17"/>
      <c r="U150" s="18"/>
      <c r="V150" s="8"/>
      <c r="W150" s="3"/>
    </row>
    <row r="151" spans="1:24" x14ac:dyDescent="0.25">
      <c r="A151" s="21">
        <v>42460</v>
      </c>
      <c r="B151" s="24">
        <f t="shared" si="23"/>
        <v>135</v>
      </c>
      <c r="C151" s="13" t="s">
        <v>169</v>
      </c>
      <c r="D151" s="254">
        <f t="shared" si="17"/>
        <v>5.94</v>
      </c>
      <c r="E151" s="47">
        <f t="shared" si="18"/>
        <v>2351691.5401009866</v>
      </c>
      <c r="G151" s="49">
        <f>(E151/E148-1)*100</f>
        <v>4.9242684679999815</v>
      </c>
      <c r="H151" s="284">
        <f t="shared" si="24"/>
        <v>9.5469091372063488</v>
      </c>
      <c r="I151" s="29">
        <v>5.94</v>
      </c>
      <c r="J151" s="39"/>
      <c r="K151" s="20">
        <f t="shared" si="19"/>
        <v>42460</v>
      </c>
      <c r="L151" s="34">
        <v>6.78</v>
      </c>
      <c r="M151" s="46">
        <f t="shared" si="25"/>
        <v>2152136.5939730597</v>
      </c>
      <c r="N151" s="14"/>
      <c r="O151" s="8"/>
      <c r="P151" s="284">
        <f t="shared" si="26"/>
        <v>11.196620025704183</v>
      </c>
      <c r="Q151" s="39"/>
      <c r="R151" s="20"/>
      <c r="S151" s="27"/>
      <c r="T151" s="17"/>
      <c r="U151" s="18"/>
      <c r="V151" s="8"/>
      <c r="W151" s="4"/>
    </row>
    <row r="152" spans="1:24" x14ac:dyDescent="0.25">
      <c r="A152" s="21">
        <v>42490</v>
      </c>
      <c r="B152" s="24">
        <f t="shared" si="23"/>
        <v>136</v>
      </c>
      <c r="C152" s="13" t="s">
        <v>169</v>
      </c>
      <c r="D152" s="254">
        <f t="shared" si="17"/>
        <v>-1.71</v>
      </c>
      <c r="E152" s="47">
        <f t="shared" si="18"/>
        <v>2311477.6147652599</v>
      </c>
      <c r="H152" s="284">
        <f t="shared" si="24"/>
        <v>9.5845250949797354</v>
      </c>
      <c r="I152" s="29">
        <v>-1.71</v>
      </c>
      <c r="J152" s="39"/>
      <c r="K152" s="20">
        <f t="shared" si="19"/>
        <v>42490</v>
      </c>
      <c r="L152" s="34">
        <v>0.39</v>
      </c>
      <c r="M152" s="46">
        <f t="shared" si="25"/>
        <v>2160529.9266895545</v>
      </c>
      <c r="N152" s="14"/>
      <c r="O152" s="10"/>
      <c r="P152" s="284">
        <f t="shared" si="26"/>
        <v>11.187765473779665</v>
      </c>
      <c r="Q152" s="39"/>
      <c r="R152" s="20"/>
      <c r="S152" s="27"/>
      <c r="T152" s="17"/>
      <c r="U152" s="18"/>
      <c r="V152" s="10"/>
      <c r="W152" s="3"/>
    </row>
    <row r="153" spans="1:24" x14ac:dyDescent="0.25">
      <c r="A153" s="21">
        <v>42521</v>
      </c>
      <c r="B153" s="24">
        <f t="shared" si="23"/>
        <v>137</v>
      </c>
      <c r="C153" s="13" t="s">
        <v>169</v>
      </c>
      <c r="D153" s="254">
        <f t="shared" si="17"/>
        <v>1.77</v>
      </c>
      <c r="E153" s="47">
        <f t="shared" si="18"/>
        <v>2352390.768546605</v>
      </c>
      <c r="H153" s="284">
        <f t="shared" si="24"/>
        <v>9.4947072975772482</v>
      </c>
      <c r="I153" s="29">
        <v>1.77</v>
      </c>
      <c r="J153" s="39"/>
      <c r="K153" s="20">
        <f t="shared" si="19"/>
        <v>42521</v>
      </c>
      <c r="L153" s="34">
        <v>1.8</v>
      </c>
      <c r="M153" s="46">
        <f t="shared" si="25"/>
        <v>2199419.4653699663</v>
      </c>
      <c r="N153" s="14"/>
      <c r="O153" s="10"/>
      <c r="P153" s="284">
        <f t="shared" si="26"/>
        <v>11.169538768288344</v>
      </c>
      <c r="Q153" s="39"/>
      <c r="R153" s="20"/>
      <c r="S153" s="27"/>
      <c r="T153" s="17"/>
      <c r="U153" s="18"/>
      <c r="V153" s="10"/>
      <c r="W153" s="3"/>
    </row>
    <row r="154" spans="1:24" x14ac:dyDescent="0.25">
      <c r="A154" s="21">
        <v>42551</v>
      </c>
      <c r="B154" s="24">
        <f t="shared" si="23"/>
        <v>138</v>
      </c>
      <c r="C154" s="13" t="s">
        <v>169</v>
      </c>
      <c r="D154" s="254">
        <f t="shared" si="17"/>
        <v>2.4700000000000002</v>
      </c>
      <c r="E154" s="47">
        <f t="shared" si="18"/>
        <v>2410494.8205297063</v>
      </c>
      <c r="G154" s="49">
        <f>(E154/E151-1)*100</f>
        <v>2.5004674051000153</v>
      </c>
      <c r="H154" s="284">
        <f t="shared" si="24"/>
        <v>9.5348652129765128</v>
      </c>
      <c r="I154" s="29">
        <v>2.4700000000000002</v>
      </c>
      <c r="J154" s="39"/>
      <c r="K154" s="20">
        <f t="shared" si="19"/>
        <v>42551</v>
      </c>
      <c r="L154" s="34">
        <v>0.26</v>
      </c>
      <c r="M154" s="46">
        <f t="shared" si="25"/>
        <v>2205137.9559799284</v>
      </c>
      <c r="N154" s="14"/>
      <c r="O154" s="10"/>
      <c r="P154" s="284">
        <f t="shared" si="26"/>
        <v>11.098031356956962</v>
      </c>
      <c r="Q154" s="39"/>
      <c r="R154" s="20"/>
      <c r="S154" s="27"/>
      <c r="T154" s="17"/>
      <c r="U154" s="18"/>
      <c r="V154" s="10"/>
    </row>
    <row r="155" spans="1:24" x14ac:dyDescent="0.25">
      <c r="A155" s="21">
        <v>42582</v>
      </c>
      <c r="B155" s="24">
        <f t="shared" si="23"/>
        <v>139</v>
      </c>
      <c r="C155" s="13" t="s">
        <v>169</v>
      </c>
      <c r="D155" s="254">
        <f t="shared" si="17"/>
        <v>1.35</v>
      </c>
      <c r="E155" s="47">
        <f t="shared" si="18"/>
        <v>2443036.5006068572</v>
      </c>
      <c r="H155" s="284">
        <f t="shared" si="24"/>
        <v>9.2875849031561124</v>
      </c>
      <c r="I155" s="29">
        <v>1.35</v>
      </c>
      <c r="J155" s="39"/>
      <c r="K155" s="20">
        <f t="shared" si="19"/>
        <v>42582</v>
      </c>
      <c r="L155" s="34">
        <v>3.69</v>
      </c>
      <c r="M155" s="46">
        <f t="shared" si="25"/>
        <v>2286507.5465555876</v>
      </c>
      <c r="N155" s="14"/>
      <c r="O155" s="10"/>
      <c r="P155" s="284">
        <f t="shared" si="26"/>
        <v>10.952662622326979</v>
      </c>
      <c r="Q155" s="39"/>
      <c r="R155" s="20"/>
      <c r="S155" s="27"/>
      <c r="T155" s="17"/>
      <c r="U155" s="18"/>
      <c r="V155" s="10"/>
    </row>
    <row r="156" spans="1:24" x14ac:dyDescent="0.25">
      <c r="A156" s="21">
        <v>42613</v>
      </c>
      <c r="B156" s="24">
        <f t="shared" si="23"/>
        <v>140</v>
      </c>
      <c r="C156" s="13" t="s">
        <v>169</v>
      </c>
      <c r="D156" s="254">
        <f t="shared" si="17"/>
        <v>-2.2000000000000002</v>
      </c>
      <c r="E156" s="47">
        <f t="shared" si="18"/>
        <v>2389289.6975935064</v>
      </c>
      <c r="H156" s="284">
        <f t="shared" si="24"/>
        <v>9.0190951237833072</v>
      </c>
      <c r="I156" s="29">
        <v>-2.2000000000000002</v>
      </c>
      <c r="J156" s="39"/>
      <c r="K156" s="20">
        <f t="shared" si="19"/>
        <v>42613</v>
      </c>
      <c r="L156" s="34">
        <v>0.14000000000000001</v>
      </c>
      <c r="M156" s="46">
        <f t="shared" si="25"/>
        <v>2289708.6571207652</v>
      </c>
      <c r="N156" s="14"/>
      <c r="O156" s="10"/>
      <c r="P156" s="284">
        <f t="shared" si="26"/>
        <v>10.732253396326559</v>
      </c>
      <c r="Q156" s="39"/>
      <c r="R156" s="20"/>
      <c r="S156" s="27"/>
      <c r="T156" s="17"/>
      <c r="U156" s="18"/>
      <c r="V156" s="10"/>
    </row>
    <row r="157" spans="1:24" x14ac:dyDescent="0.25">
      <c r="A157" s="21">
        <v>42643</v>
      </c>
      <c r="B157" s="24">
        <f t="shared" si="23"/>
        <v>141</v>
      </c>
      <c r="C157" s="13" t="s">
        <v>169</v>
      </c>
      <c r="D157" s="254">
        <f t="shared" si="17"/>
        <v>-2.11</v>
      </c>
      <c r="E157" s="47">
        <f t="shared" si="18"/>
        <v>2338875.6849742834</v>
      </c>
      <c r="F157" s="12">
        <f>(E157-E$148)/E$136*100</f>
        <v>4.3871468777850451</v>
      </c>
      <c r="G157" s="139">
        <f>(E157/E$154-1)*100</f>
        <v>-2.9711383300000005</v>
      </c>
      <c r="H157" s="284">
        <f t="shared" si="24"/>
        <v>9.1527208563396094</v>
      </c>
      <c r="I157" s="29">
        <v>-2.11</v>
      </c>
      <c r="J157" s="39"/>
      <c r="K157" s="20">
        <f t="shared" si="19"/>
        <v>42643</v>
      </c>
      <c r="L157" s="34">
        <v>0.02</v>
      </c>
      <c r="M157" s="46">
        <f t="shared" si="25"/>
        <v>2290166.5988521893</v>
      </c>
      <c r="N157" s="12">
        <f>(M157-M$148)/M$136*100</f>
        <v>7.9626300430126067</v>
      </c>
      <c r="O157" s="139">
        <f>(M157/M$154-1)*100</f>
        <v>3.8559330331999764</v>
      </c>
      <c r="P157" s="284">
        <f t="shared" si="26"/>
        <v>10.673681894509746</v>
      </c>
      <c r="Q157" s="39"/>
      <c r="R157" s="20"/>
      <c r="S157" s="27"/>
      <c r="T157" s="17"/>
      <c r="U157" s="18"/>
      <c r="V157" s="10"/>
    </row>
    <row r="158" spans="1:24" x14ac:dyDescent="0.25">
      <c r="A158" s="21">
        <v>42674</v>
      </c>
      <c r="B158" s="24">
        <f t="shared" si="23"/>
        <v>142</v>
      </c>
      <c r="C158" s="13" t="s">
        <v>169</v>
      </c>
      <c r="D158" s="254">
        <f t="shared" si="17"/>
        <v>-2.58</v>
      </c>
      <c r="E158" s="47">
        <f t="shared" si="18"/>
        <v>2278532.6923019472</v>
      </c>
      <c r="F158" s="104"/>
      <c r="I158" s="29">
        <v>-2.58</v>
      </c>
      <c r="J158" s="39"/>
      <c r="K158" s="20">
        <f t="shared" si="19"/>
        <v>42674</v>
      </c>
      <c r="L158" s="34">
        <v>-1.82</v>
      </c>
      <c r="M158" s="46">
        <f t="shared" si="25"/>
        <v>2248485.5667530792</v>
      </c>
      <c r="N158" s="14"/>
      <c r="O158" s="10"/>
      <c r="Q158" s="39"/>
      <c r="R158" s="20"/>
      <c r="S158" s="27"/>
      <c r="T158" s="17"/>
      <c r="U158" s="18"/>
      <c r="V158" s="10"/>
    </row>
    <row r="159" spans="1:24" x14ac:dyDescent="0.25">
      <c r="A159" s="21">
        <v>42704</v>
      </c>
      <c r="B159" s="24">
        <f t="shared" si="23"/>
        <v>143</v>
      </c>
      <c r="C159" s="13" t="s">
        <v>169</v>
      </c>
      <c r="D159" s="254">
        <f t="shared" si="17"/>
        <v>2.4300000000000002</v>
      </c>
      <c r="E159" s="47">
        <f t="shared" si="18"/>
        <v>2333901.0367248845</v>
      </c>
      <c r="F159" s="104"/>
      <c r="G159" s="139"/>
      <c r="I159" s="29">
        <v>2.4300000000000002</v>
      </c>
      <c r="J159" s="39"/>
      <c r="K159" s="20">
        <f t="shared" si="19"/>
        <v>42704</v>
      </c>
      <c r="L159" s="34">
        <v>3.7</v>
      </c>
      <c r="M159" s="46">
        <f t="shared" si="25"/>
        <v>2331679.532722943</v>
      </c>
      <c r="N159" s="104"/>
      <c r="O159" s="104"/>
      <c r="Q159" s="39"/>
      <c r="R159" s="20"/>
      <c r="S159" s="27"/>
      <c r="T159" s="17"/>
      <c r="U159" s="18"/>
      <c r="V159" s="10"/>
    </row>
    <row r="160" spans="1:24" x14ac:dyDescent="0.25">
      <c r="A160" s="21">
        <v>42735</v>
      </c>
      <c r="B160" s="24">
        <f t="shared" si="23"/>
        <v>144</v>
      </c>
      <c r="C160" s="13" t="s">
        <v>169</v>
      </c>
      <c r="E160" s="47">
        <f t="shared" si="18"/>
        <v>2333901.0367248845</v>
      </c>
      <c r="J160" s="39"/>
      <c r="K160" s="20">
        <f t="shared" si="19"/>
        <v>42735</v>
      </c>
      <c r="L160" s="34">
        <v>1.97</v>
      </c>
      <c r="M160" s="46">
        <f t="shared" si="25"/>
        <v>2377613.6195175848</v>
      </c>
      <c r="N160" s="14"/>
      <c r="O160" s="37"/>
      <c r="P160" s="37"/>
      <c r="Q160" s="39"/>
      <c r="R160" s="20"/>
      <c r="S160" s="27"/>
      <c r="T160" s="17"/>
      <c r="U160" s="18"/>
      <c r="V160" s="37"/>
      <c r="W160" s="37"/>
    </row>
    <row r="161" spans="1:23" x14ac:dyDescent="0.25">
      <c r="A161" s="21">
        <v>42766</v>
      </c>
      <c r="B161" s="24">
        <f t="shared" si="23"/>
        <v>145</v>
      </c>
      <c r="C161" s="13" t="s">
        <v>169</v>
      </c>
      <c r="E161" s="47">
        <f t="shared" si="18"/>
        <v>2333901.0367248845</v>
      </c>
      <c r="J161" s="39"/>
      <c r="K161" s="20">
        <f t="shared" si="19"/>
        <v>42766</v>
      </c>
      <c r="L161" s="34">
        <v>1.9</v>
      </c>
      <c r="M161" s="46">
        <f t="shared" si="25"/>
        <v>2422788.2782884189</v>
      </c>
      <c r="N161" s="14"/>
      <c r="O161" s="10"/>
      <c r="P161" s="10"/>
      <c r="Q161" s="39"/>
      <c r="R161" s="20"/>
      <c r="S161" s="27"/>
      <c r="T161" s="17"/>
      <c r="U161" s="18"/>
      <c r="V161" s="10"/>
      <c r="W161" s="10"/>
    </row>
    <row r="162" spans="1:23" x14ac:dyDescent="0.25">
      <c r="A162" s="21">
        <v>42794</v>
      </c>
      <c r="B162" s="24">
        <f t="shared" si="23"/>
        <v>146</v>
      </c>
      <c r="C162" s="13" t="s">
        <v>169</v>
      </c>
      <c r="E162" s="47">
        <f t="shared" si="18"/>
        <v>2333901.0367248845</v>
      </c>
      <c r="J162" s="39"/>
      <c r="K162" s="20">
        <f t="shared" si="19"/>
        <v>42794</v>
      </c>
      <c r="L162" s="34">
        <v>3.97</v>
      </c>
      <c r="M162" s="46">
        <f t="shared" si="25"/>
        <v>2518972.9729364691</v>
      </c>
      <c r="N162" s="14"/>
      <c r="O162" s="10"/>
      <c r="P162" s="10"/>
      <c r="Q162" s="39"/>
      <c r="R162" s="20"/>
      <c r="S162" s="27"/>
      <c r="T162" s="17"/>
      <c r="U162" s="18"/>
      <c r="V162" s="10"/>
      <c r="W162" s="10"/>
    </row>
    <row r="163" spans="1:23" x14ac:dyDescent="0.25">
      <c r="B163" s="24" t="str">
        <f t="shared" si="23"/>
        <v>-</v>
      </c>
      <c r="K163" s="20"/>
      <c r="L163" s="34"/>
      <c r="M163" s="17"/>
      <c r="N163" s="14"/>
      <c r="O163" s="10"/>
      <c r="P163" s="10"/>
      <c r="R163" s="20"/>
      <c r="S163" s="27"/>
      <c r="T163" s="17"/>
      <c r="U163" s="18"/>
      <c r="V163" s="10"/>
      <c r="W163" s="10"/>
    </row>
    <row r="164" spans="1:23" x14ac:dyDescent="0.25">
      <c r="B164" s="24" t="str">
        <f t="shared" si="23"/>
        <v>-</v>
      </c>
      <c r="K164" s="20"/>
      <c r="L164" s="34"/>
      <c r="M164" s="17"/>
      <c r="N164" s="14"/>
      <c r="O164" s="10"/>
      <c r="P164" s="10"/>
      <c r="R164" s="20"/>
      <c r="S164" s="27"/>
      <c r="T164" s="17"/>
      <c r="U164" s="18"/>
      <c r="V164" s="10"/>
      <c r="W164" s="10"/>
    </row>
    <row r="165" spans="1:23" x14ac:dyDescent="0.25">
      <c r="B165" s="24" t="str">
        <f t="shared" si="23"/>
        <v>-</v>
      </c>
      <c r="K165" s="20"/>
      <c r="L165" s="34"/>
      <c r="M165" s="17"/>
      <c r="N165" s="14"/>
      <c r="O165" s="10"/>
      <c r="P165" s="10"/>
      <c r="R165" s="20"/>
      <c r="S165" s="27"/>
      <c r="T165" s="17"/>
      <c r="U165" s="18"/>
      <c r="V165" s="10"/>
      <c r="W165" s="10"/>
    </row>
    <row r="166" spans="1:23" x14ac:dyDescent="0.25">
      <c r="B166" s="24" t="str">
        <f t="shared" si="23"/>
        <v>-</v>
      </c>
      <c r="K166" s="20"/>
      <c r="L166" s="34"/>
      <c r="M166" s="17"/>
      <c r="N166" s="14"/>
      <c r="O166" s="10"/>
      <c r="P166" s="10"/>
      <c r="R166" s="20"/>
      <c r="S166" s="27"/>
      <c r="T166" s="17"/>
      <c r="U166" s="18"/>
      <c r="V166" s="10"/>
      <c r="W166" s="10"/>
    </row>
    <row r="167" spans="1:23" x14ac:dyDescent="0.25">
      <c r="B167" s="24" t="str">
        <f t="shared" si="23"/>
        <v>-</v>
      </c>
      <c r="K167" s="20"/>
      <c r="L167" s="27"/>
      <c r="M167" s="17"/>
      <c r="N167" s="14"/>
      <c r="O167" s="10"/>
      <c r="P167" s="10"/>
      <c r="R167" s="20"/>
      <c r="S167" s="27"/>
      <c r="T167" s="17"/>
      <c r="U167" s="18"/>
      <c r="V167" s="10"/>
      <c r="W167" s="10"/>
    </row>
    <row r="168" spans="1:23" x14ac:dyDescent="0.25">
      <c r="B168" s="24" t="str">
        <f t="shared" si="23"/>
        <v>-</v>
      </c>
      <c r="K168" s="20"/>
      <c r="L168" s="27"/>
      <c r="M168" s="17"/>
      <c r="N168" s="14"/>
      <c r="O168" s="10"/>
      <c r="P168" s="10"/>
      <c r="R168" s="20"/>
      <c r="S168" s="27"/>
      <c r="T168" s="17"/>
      <c r="U168" s="18"/>
      <c r="V168" s="10"/>
      <c r="W168" s="10"/>
    </row>
    <row r="169" spans="1:23" x14ac:dyDescent="0.25">
      <c r="B169" s="24" t="str">
        <f t="shared" si="23"/>
        <v>-</v>
      </c>
      <c r="K169" s="20"/>
      <c r="L169" s="27"/>
      <c r="M169" s="17"/>
      <c r="N169" s="14"/>
      <c r="O169" s="10"/>
      <c r="P169" s="10"/>
      <c r="R169" s="20"/>
      <c r="S169" s="27"/>
      <c r="T169" s="17"/>
      <c r="U169" s="18"/>
      <c r="V169" s="10"/>
      <c r="W169" s="10"/>
    </row>
    <row r="170" spans="1:23" x14ac:dyDescent="0.25">
      <c r="B170" s="24" t="str">
        <f t="shared" si="23"/>
        <v>-</v>
      </c>
      <c r="K170" s="20"/>
      <c r="L170" s="27"/>
      <c r="M170" s="17"/>
      <c r="N170" s="14"/>
      <c r="O170" s="10"/>
      <c r="P170" s="10"/>
      <c r="R170" s="20"/>
      <c r="S170" s="27"/>
      <c r="T170" s="17"/>
      <c r="U170" s="18"/>
      <c r="V170" s="10"/>
      <c r="W170" s="10"/>
    </row>
    <row r="171" spans="1:23" x14ac:dyDescent="0.25">
      <c r="B171" s="24" t="str">
        <f t="shared" si="23"/>
        <v>-</v>
      </c>
      <c r="K171" s="20"/>
      <c r="L171" s="27"/>
      <c r="M171" s="17"/>
      <c r="N171" s="14"/>
      <c r="O171" s="10"/>
      <c r="P171" s="10"/>
      <c r="R171" s="20"/>
      <c r="S171" s="27"/>
      <c r="T171" s="17"/>
      <c r="U171" s="18"/>
      <c r="V171" s="10"/>
      <c r="W171" s="10"/>
    </row>
    <row r="172" spans="1:23" x14ac:dyDescent="0.25">
      <c r="B172" s="24" t="str">
        <f t="shared" si="23"/>
        <v>-</v>
      </c>
      <c r="K172" s="20"/>
      <c r="L172" s="27"/>
      <c r="M172" s="17"/>
      <c r="N172" s="14"/>
      <c r="O172" s="37"/>
      <c r="P172" s="37"/>
      <c r="R172" s="20"/>
      <c r="S172" s="27"/>
      <c r="T172" s="17"/>
      <c r="U172" s="18"/>
      <c r="V172" s="37"/>
      <c r="W172" s="37"/>
    </row>
    <row r="173" spans="1:23" x14ac:dyDescent="0.25">
      <c r="B173" s="24" t="str">
        <f t="shared" si="23"/>
        <v>-</v>
      </c>
      <c r="K173" s="20"/>
      <c r="L173" s="27"/>
      <c r="M173" s="17"/>
      <c r="N173" s="14"/>
      <c r="O173" s="10"/>
      <c r="P173" s="10"/>
      <c r="R173" s="20"/>
      <c r="S173" s="27"/>
      <c r="T173" s="17"/>
      <c r="U173" s="18"/>
      <c r="V173" s="10"/>
      <c r="W173" s="10"/>
    </row>
    <row r="174" spans="1:23" x14ac:dyDescent="0.25">
      <c r="B174" s="24" t="str">
        <f t="shared" si="23"/>
        <v>-</v>
      </c>
      <c r="K174" s="20"/>
      <c r="L174" s="27"/>
      <c r="M174" s="17"/>
      <c r="N174" s="14"/>
      <c r="O174" s="10"/>
      <c r="P174" s="10"/>
      <c r="R174" s="20"/>
      <c r="S174" s="27"/>
      <c r="T174" s="17"/>
      <c r="U174" s="18"/>
      <c r="V174" s="10"/>
      <c r="W174" s="10"/>
    </row>
    <row r="175" spans="1:23" x14ac:dyDescent="0.25">
      <c r="B175" s="24" t="str">
        <f t="shared" si="23"/>
        <v>-</v>
      </c>
      <c r="K175" s="20"/>
      <c r="L175" s="27"/>
      <c r="M175" s="17"/>
      <c r="N175" s="14"/>
      <c r="O175" s="10"/>
      <c r="P175" s="10"/>
      <c r="R175" s="20"/>
      <c r="S175" s="27"/>
      <c r="T175" s="17"/>
      <c r="U175" s="18"/>
      <c r="V175" s="10"/>
      <c r="W175" s="10"/>
    </row>
    <row r="176" spans="1:23" x14ac:dyDescent="0.25">
      <c r="B176" s="24" t="str">
        <f t="shared" si="23"/>
        <v>-</v>
      </c>
      <c r="K176" s="20"/>
      <c r="L176" s="27"/>
      <c r="M176" s="17"/>
      <c r="N176" s="14"/>
      <c r="O176" s="10"/>
      <c r="P176" s="10"/>
      <c r="R176" s="20"/>
      <c r="S176" s="27"/>
      <c r="T176" s="17"/>
      <c r="U176" s="18"/>
      <c r="V176" s="10"/>
      <c r="W176" s="10"/>
    </row>
    <row r="177" spans="2:23" x14ac:dyDescent="0.25">
      <c r="B177" s="24" t="str">
        <f t="shared" si="23"/>
        <v>-</v>
      </c>
      <c r="K177" s="20"/>
      <c r="L177" s="27"/>
      <c r="M177" s="17"/>
      <c r="N177" s="14"/>
      <c r="O177" s="10"/>
      <c r="P177" s="10"/>
      <c r="R177" s="20"/>
      <c r="S177" s="27"/>
      <c r="T177" s="17"/>
      <c r="U177" s="18"/>
      <c r="V177" s="10"/>
      <c r="W177" s="10"/>
    </row>
    <row r="178" spans="2:23" x14ac:dyDescent="0.25">
      <c r="B178" s="24" t="str">
        <f t="shared" si="23"/>
        <v>-</v>
      </c>
      <c r="K178" s="20"/>
      <c r="L178" s="27"/>
      <c r="M178" s="17"/>
      <c r="N178" s="14"/>
      <c r="O178" s="10"/>
      <c r="P178" s="10"/>
      <c r="R178" s="20"/>
      <c r="S178" s="27"/>
      <c r="T178" s="17"/>
      <c r="U178" s="18"/>
      <c r="V178" s="10"/>
      <c r="W178" s="10"/>
    </row>
    <row r="179" spans="2:23" x14ac:dyDescent="0.25">
      <c r="B179" s="24" t="str">
        <f t="shared" si="23"/>
        <v>-</v>
      </c>
      <c r="K179" s="20"/>
      <c r="L179" s="27"/>
      <c r="M179" s="17"/>
      <c r="N179" s="14"/>
      <c r="O179" s="10"/>
      <c r="P179" s="10"/>
      <c r="R179" s="20"/>
      <c r="S179" s="27"/>
      <c r="T179" s="17"/>
      <c r="U179" s="18"/>
      <c r="V179" s="10"/>
      <c r="W179" s="10"/>
    </row>
    <row r="180" spans="2:23" x14ac:dyDescent="0.25">
      <c r="B180" s="24" t="str">
        <f t="shared" si="23"/>
        <v>-</v>
      </c>
      <c r="K180" s="20"/>
      <c r="L180" s="27"/>
      <c r="M180" s="17"/>
      <c r="N180" s="14"/>
      <c r="O180" s="10"/>
      <c r="P180" s="10"/>
      <c r="R180" s="20"/>
      <c r="S180" s="27"/>
      <c r="T180" s="17"/>
      <c r="U180" s="18"/>
      <c r="V180" s="10"/>
      <c r="W180" s="10"/>
    </row>
    <row r="181" spans="2:23" x14ac:dyDescent="0.25">
      <c r="B181" s="24" t="str">
        <f t="shared" si="23"/>
        <v>-</v>
      </c>
      <c r="K181" s="20"/>
      <c r="L181" s="27"/>
      <c r="M181" s="17"/>
      <c r="N181" s="14"/>
      <c r="O181" s="10"/>
      <c r="P181" s="10"/>
      <c r="R181" s="20"/>
      <c r="S181" s="27"/>
      <c r="T181" s="17"/>
      <c r="U181" s="18"/>
      <c r="V181" s="10"/>
      <c r="W181" s="10"/>
    </row>
    <row r="182" spans="2:23" x14ac:dyDescent="0.25">
      <c r="B182" s="24" t="str">
        <f t="shared" si="23"/>
        <v>-</v>
      </c>
      <c r="K182" s="20"/>
      <c r="L182" s="27"/>
      <c r="M182" s="17"/>
      <c r="N182" s="14"/>
      <c r="O182" s="54"/>
      <c r="P182" s="54"/>
      <c r="R182" s="20"/>
      <c r="S182" s="27"/>
      <c r="T182" s="17"/>
      <c r="U182" s="18"/>
      <c r="V182" s="54"/>
      <c r="W182" s="54"/>
    </row>
    <row r="183" spans="2:23" x14ac:dyDescent="0.25">
      <c r="B183" s="24" t="str">
        <f t="shared" si="23"/>
        <v>-</v>
      </c>
      <c r="K183" s="20"/>
      <c r="L183" s="27"/>
      <c r="M183" s="17"/>
      <c r="N183" s="14"/>
      <c r="O183" s="54"/>
      <c r="P183" s="54"/>
      <c r="R183" s="20"/>
      <c r="S183" s="27"/>
      <c r="T183" s="17"/>
      <c r="U183" s="18"/>
      <c r="V183" s="54"/>
      <c r="W183" s="54"/>
    </row>
    <row r="184" spans="2:23" x14ac:dyDescent="0.25">
      <c r="B184" s="24" t="str">
        <f t="shared" si="23"/>
        <v>-</v>
      </c>
      <c r="K184" s="20"/>
      <c r="L184" s="27"/>
      <c r="M184" s="17"/>
      <c r="N184" s="14"/>
      <c r="O184" s="37"/>
      <c r="P184" s="37"/>
      <c r="R184" s="20"/>
      <c r="S184" s="27"/>
      <c r="T184" s="17"/>
      <c r="U184" s="18"/>
      <c r="V184" s="37"/>
      <c r="W184" s="37"/>
    </row>
    <row r="185" spans="2:23" x14ac:dyDescent="0.25">
      <c r="B185" s="24" t="str">
        <f t="shared" si="23"/>
        <v>-</v>
      </c>
      <c r="K185" s="20"/>
      <c r="L185" s="27"/>
      <c r="M185" s="17"/>
      <c r="N185" s="14"/>
      <c r="O185" s="10"/>
      <c r="P185" s="10"/>
      <c r="R185" s="20"/>
      <c r="S185" s="27"/>
      <c r="T185" s="17"/>
      <c r="U185" s="18"/>
      <c r="V185" s="10"/>
      <c r="W185" s="10"/>
    </row>
    <row r="186" spans="2:23" x14ac:dyDescent="0.25">
      <c r="B186" s="24" t="str">
        <f t="shared" si="23"/>
        <v>-</v>
      </c>
      <c r="K186" s="20"/>
      <c r="L186" s="27"/>
      <c r="M186" s="17"/>
      <c r="N186" s="14"/>
      <c r="O186" s="10"/>
      <c r="P186" s="10"/>
      <c r="R186" s="20"/>
      <c r="S186" s="27"/>
      <c r="T186" s="17"/>
      <c r="U186" s="18"/>
      <c r="V186" s="10"/>
      <c r="W186" s="10"/>
    </row>
    <row r="187" spans="2:23" x14ac:dyDescent="0.25">
      <c r="B187" s="24" t="str">
        <f t="shared" si="23"/>
        <v>-</v>
      </c>
      <c r="K187" s="20"/>
      <c r="L187" s="27"/>
      <c r="M187" s="17"/>
      <c r="N187" s="14"/>
      <c r="O187" s="10"/>
      <c r="P187" s="10"/>
      <c r="R187" s="20"/>
      <c r="S187" s="27"/>
      <c r="T187" s="17"/>
      <c r="U187" s="18"/>
      <c r="V187" s="10"/>
      <c r="W187" s="10"/>
    </row>
    <row r="188" spans="2:23" x14ac:dyDescent="0.25">
      <c r="B188" s="24" t="str">
        <f t="shared" si="23"/>
        <v>-</v>
      </c>
      <c r="K188" s="20"/>
      <c r="L188" s="27"/>
      <c r="M188" s="17"/>
      <c r="N188" s="14"/>
      <c r="O188" s="10"/>
      <c r="P188" s="10"/>
      <c r="R188" s="20"/>
      <c r="S188" s="27"/>
      <c r="T188" s="17"/>
      <c r="U188" s="18"/>
      <c r="V188" s="10"/>
      <c r="W188" s="10"/>
    </row>
    <row r="189" spans="2:23" x14ac:dyDescent="0.25">
      <c r="B189" s="24" t="str">
        <f t="shared" si="23"/>
        <v>-</v>
      </c>
      <c r="K189" s="20"/>
      <c r="L189" s="27"/>
      <c r="M189" s="17"/>
      <c r="N189" s="14"/>
      <c r="O189" s="10"/>
      <c r="P189" s="10"/>
      <c r="R189" s="20"/>
      <c r="S189" s="27"/>
      <c r="T189" s="17"/>
      <c r="U189" s="18"/>
      <c r="V189" s="10"/>
      <c r="W189" s="10"/>
    </row>
    <row r="190" spans="2:23" x14ac:dyDescent="0.25">
      <c r="B190" s="24" t="str">
        <f t="shared" si="23"/>
        <v>-</v>
      </c>
      <c r="K190" s="20"/>
      <c r="L190" s="27"/>
      <c r="M190" s="17"/>
      <c r="N190" s="14"/>
      <c r="O190" s="10"/>
      <c r="P190" s="10"/>
      <c r="R190" s="20"/>
      <c r="S190" s="27"/>
      <c r="T190" s="17"/>
      <c r="U190" s="18"/>
      <c r="V190" s="10"/>
      <c r="W190" s="10"/>
    </row>
    <row r="191" spans="2:23" x14ac:dyDescent="0.25">
      <c r="B191" s="24" t="str">
        <f t="shared" si="23"/>
        <v>-</v>
      </c>
      <c r="K191" s="20"/>
      <c r="L191" s="27"/>
      <c r="M191" s="17"/>
      <c r="N191" s="14"/>
      <c r="O191" s="22"/>
      <c r="P191" s="22"/>
      <c r="R191" s="20"/>
      <c r="S191" s="27"/>
      <c r="T191" s="17"/>
      <c r="U191" s="18"/>
      <c r="V191" s="22"/>
      <c r="W191" s="22"/>
    </row>
    <row r="192" spans="2:23" x14ac:dyDescent="0.25">
      <c r="B192" s="24" t="str">
        <f t="shared" si="23"/>
        <v>-</v>
      </c>
      <c r="K192" s="20"/>
      <c r="L192" s="27"/>
      <c r="M192" s="17"/>
      <c r="N192" s="14"/>
      <c r="O192" s="54"/>
      <c r="P192" s="54"/>
      <c r="R192" s="20"/>
      <c r="S192" s="27"/>
      <c r="T192" s="17"/>
      <c r="U192" s="18"/>
      <c r="V192" s="54"/>
      <c r="W192" s="54"/>
    </row>
    <row r="193" spans="2:23" x14ac:dyDescent="0.25">
      <c r="B193" s="24" t="str">
        <f t="shared" si="23"/>
        <v>-</v>
      </c>
      <c r="K193" s="20"/>
      <c r="L193" s="27"/>
      <c r="M193" s="17"/>
      <c r="N193" s="14"/>
      <c r="O193" s="37"/>
      <c r="P193" s="37"/>
      <c r="R193" s="20"/>
      <c r="S193" s="27"/>
      <c r="T193" s="17"/>
      <c r="U193" s="18"/>
      <c r="V193" s="37"/>
      <c r="W193" s="37"/>
    </row>
    <row r="194" spans="2:23" x14ac:dyDescent="0.25">
      <c r="B194" s="24" t="str">
        <f t="shared" si="23"/>
        <v>-</v>
      </c>
      <c r="K194" s="20"/>
      <c r="L194" s="27"/>
      <c r="M194" s="17"/>
      <c r="N194" s="14"/>
      <c r="O194" s="37"/>
      <c r="P194" s="37"/>
      <c r="R194" s="20"/>
      <c r="S194" s="27"/>
      <c r="T194" s="17"/>
      <c r="U194" s="18"/>
      <c r="V194" s="37"/>
      <c r="W194" s="37"/>
    </row>
    <row r="195" spans="2:23" x14ac:dyDescent="0.25">
      <c r="B195" s="24" t="str">
        <f t="shared" si="23"/>
        <v>-</v>
      </c>
      <c r="L195" s="27"/>
      <c r="M195" s="34"/>
      <c r="N195" s="144"/>
      <c r="O195" s="22"/>
      <c r="P195" s="22"/>
      <c r="S195" s="27"/>
      <c r="T195" s="34"/>
      <c r="U195" s="38"/>
      <c r="V195" s="22"/>
      <c r="W195" s="22"/>
    </row>
    <row r="196" spans="2:23" x14ac:dyDescent="0.25">
      <c r="B196" s="24" t="str">
        <f t="shared" si="23"/>
        <v>-</v>
      </c>
      <c r="L196" s="27"/>
      <c r="M196" s="34"/>
      <c r="S196" s="27"/>
      <c r="T196" s="34"/>
    </row>
    <row r="197" spans="2:23" x14ac:dyDescent="0.25">
      <c r="B197" s="24" t="str">
        <f t="shared" si="23"/>
        <v>-</v>
      </c>
      <c r="L197" s="27"/>
      <c r="M197" s="34"/>
      <c r="S197" s="27"/>
      <c r="T197" s="34"/>
    </row>
    <row r="198" spans="2:23" x14ac:dyDescent="0.25">
      <c r="B198" s="24" t="str">
        <f t="shared" si="23"/>
        <v>-</v>
      </c>
      <c r="L198" s="27"/>
      <c r="M198" s="34"/>
      <c r="S198" s="27"/>
      <c r="T198" s="34"/>
    </row>
    <row r="199" spans="2:23" x14ac:dyDescent="0.25">
      <c r="B199" s="24" t="str">
        <f t="shared" si="23"/>
        <v>-</v>
      </c>
      <c r="L199" s="27"/>
      <c r="M199" s="34"/>
      <c r="S199" s="27"/>
      <c r="T199" s="34"/>
    </row>
    <row r="200" spans="2:23" x14ac:dyDescent="0.25">
      <c r="B200" s="24" t="str">
        <f t="shared" si="23"/>
        <v>-</v>
      </c>
      <c r="L200" s="27"/>
      <c r="M200" s="34"/>
      <c r="S200" s="27"/>
      <c r="T200" s="34"/>
    </row>
    <row r="201" spans="2:23" x14ac:dyDescent="0.25">
      <c r="B201" s="24" t="str">
        <f t="shared" si="23"/>
        <v>-</v>
      </c>
      <c r="L201" s="27"/>
      <c r="M201" s="34"/>
      <c r="S201" s="27"/>
      <c r="T201" s="34"/>
    </row>
    <row r="202" spans="2:23" x14ac:dyDescent="0.25">
      <c r="B202" s="24" t="str">
        <f t="shared" si="23"/>
        <v>-</v>
      </c>
      <c r="L202" s="27"/>
      <c r="M202" s="34"/>
      <c r="S202" s="27"/>
      <c r="T202" s="34"/>
    </row>
    <row r="203" spans="2:23" x14ac:dyDescent="0.25">
      <c r="B203" s="24" t="str">
        <f t="shared" si="23"/>
        <v>-</v>
      </c>
      <c r="L203" s="27"/>
      <c r="M203" s="34"/>
      <c r="S203" s="27"/>
      <c r="T203" s="34"/>
    </row>
    <row r="204" spans="2:23" x14ac:dyDescent="0.25">
      <c r="B204" s="24" t="str">
        <f t="shared" si="23"/>
        <v>-</v>
      </c>
      <c r="L204" s="27"/>
      <c r="M204" s="34"/>
      <c r="S204" s="27"/>
      <c r="T204" s="34"/>
    </row>
    <row r="205" spans="2:23" x14ac:dyDescent="0.25">
      <c r="B205" s="24" t="str">
        <f t="shared" si="23"/>
        <v>-</v>
      </c>
      <c r="L205" s="27"/>
      <c r="M205" s="34"/>
      <c r="S205" s="27"/>
      <c r="T205" s="34"/>
    </row>
    <row r="206" spans="2:23" x14ac:dyDescent="0.25">
      <c r="B206" s="24" t="str">
        <f t="shared" si="23"/>
        <v>-</v>
      </c>
      <c r="L206" s="27"/>
      <c r="M206" s="34"/>
      <c r="S206" s="27"/>
      <c r="T206" s="34"/>
    </row>
    <row r="207" spans="2:23" x14ac:dyDescent="0.25">
      <c r="B207" s="24" t="str">
        <f t="shared" si="23"/>
        <v>-</v>
      </c>
      <c r="L207" s="27"/>
      <c r="M207" s="34"/>
      <c r="S207" s="27"/>
      <c r="T207" s="34"/>
    </row>
    <row r="208" spans="2:23" x14ac:dyDescent="0.25">
      <c r="B208" s="24" t="str">
        <f t="shared" si="23"/>
        <v>-</v>
      </c>
      <c r="L208" s="27"/>
      <c r="M208" s="34"/>
      <c r="S208" s="27"/>
      <c r="T208" s="34"/>
    </row>
    <row r="209" spans="2:20" x14ac:dyDescent="0.25">
      <c r="B209" s="24" t="str">
        <f t="shared" si="23"/>
        <v>-</v>
      </c>
      <c r="L209" s="27"/>
      <c r="M209" s="34"/>
      <c r="S209" s="27"/>
      <c r="T209" s="34"/>
    </row>
    <row r="210" spans="2:20" x14ac:dyDescent="0.25">
      <c r="B210" s="24" t="str">
        <f t="shared" ref="B210:B273" si="27">IF(A210&gt;A209,1+B209,"-")</f>
        <v>-</v>
      </c>
      <c r="L210" s="27"/>
      <c r="M210" s="34"/>
      <c r="S210" s="27"/>
      <c r="T210" s="34"/>
    </row>
    <row r="211" spans="2:20" x14ac:dyDescent="0.25">
      <c r="B211" s="24" t="str">
        <f t="shared" si="27"/>
        <v>-</v>
      </c>
      <c r="L211" s="27"/>
      <c r="M211" s="34"/>
      <c r="S211" s="27"/>
      <c r="T211" s="34"/>
    </row>
    <row r="212" spans="2:20" x14ac:dyDescent="0.25">
      <c r="B212" s="24" t="str">
        <f t="shared" si="27"/>
        <v>-</v>
      </c>
      <c r="L212" s="27"/>
      <c r="M212" s="34"/>
      <c r="S212" s="27"/>
      <c r="T212" s="34"/>
    </row>
    <row r="213" spans="2:20" x14ac:dyDescent="0.25">
      <c r="B213" s="24" t="str">
        <f t="shared" si="27"/>
        <v>-</v>
      </c>
      <c r="L213" s="27"/>
      <c r="M213" s="34"/>
      <c r="S213" s="27"/>
      <c r="T213" s="34"/>
    </row>
    <row r="214" spans="2:20" x14ac:dyDescent="0.25">
      <c r="B214" s="24" t="str">
        <f t="shared" si="27"/>
        <v>-</v>
      </c>
      <c r="L214" s="27"/>
      <c r="M214" s="34"/>
      <c r="S214" s="27"/>
      <c r="T214" s="34"/>
    </row>
    <row r="215" spans="2:20" x14ac:dyDescent="0.25">
      <c r="B215" s="24" t="str">
        <f t="shared" si="27"/>
        <v>-</v>
      </c>
      <c r="L215" s="27"/>
      <c r="M215" s="34"/>
      <c r="S215" s="27"/>
      <c r="T215" s="34"/>
    </row>
    <row r="216" spans="2:20" x14ac:dyDescent="0.25">
      <c r="B216" s="24" t="str">
        <f t="shared" si="27"/>
        <v>-</v>
      </c>
      <c r="L216" s="27"/>
      <c r="M216" s="34"/>
      <c r="S216" s="27"/>
      <c r="T216" s="34"/>
    </row>
    <row r="217" spans="2:20" x14ac:dyDescent="0.25">
      <c r="B217" s="24" t="str">
        <f t="shared" si="27"/>
        <v>-</v>
      </c>
      <c r="L217" s="27"/>
      <c r="M217" s="34"/>
      <c r="S217" s="27"/>
      <c r="T217" s="34"/>
    </row>
    <row r="218" spans="2:20" x14ac:dyDescent="0.25">
      <c r="B218" s="24" t="str">
        <f t="shared" si="27"/>
        <v>-</v>
      </c>
      <c r="L218" s="27"/>
      <c r="M218" s="34"/>
      <c r="S218" s="27"/>
      <c r="T218" s="34"/>
    </row>
    <row r="219" spans="2:20" x14ac:dyDescent="0.25">
      <c r="B219" s="24" t="str">
        <f t="shared" si="27"/>
        <v>-</v>
      </c>
      <c r="L219" s="27"/>
      <c r="M219" s="34"/>
      <c r="S219" s="27"/>
      <c r="T219" s="34"/>
    </row>
    <row r="220" spans="2:20" x14ac:dyDescent="0.25">
      <c r="B220" s="24" t="str">
        <f t="shared" si="27"/>
        <v>-</v>
      </c>
      <c r="L220" s="27"/>
      <c r="M220" s="34"/>
      <c r="S220" s="27"/>
      <c r="T220" s="34"/>
    </row>
    <row r="221" spans="2:20" x14ac:dyDescent="0.25">
      <c r="B221" s="24" t="str">
        <f t="shared" si="27"/>
        <v>-</v>
      </c>
      <c r="L221" s="27"/>
      <c r="M221" s="34"/>
      <c r="S221" s="27"/>
      <c r="T221" s="34"/>
    </row>
    <row r="222" spans="2:20" x14ac:dyDescent="0.25">
      <c r="B222" s="24" t="str">
        <f t="shared" si="27"/>
        <v>-</v>
      </c>
      <c r="L222" s="27"/>
      <c r="M222" s="34"/>
      <c r="S222" s="27"/>
      <c r="T222" s="34"/>
    </row>
    <row r="223" spans="2:20" x14ac:dyDescent="0.25">
      <c r="B223" s="24" t="str">
        <f t="shared" si="27"/>
        <v>-</v>
      </c>
      <c r="L223" s="27"/>
      <c r="S223" s="27"/>
    </row>
    <row r="224" spans="2:20" x14ac:dyDescent="0.25">
      <c r="B224" s="24" t="str">
        <f t="shared" si="27"/>
        <v>-</v>
      </c>
      <c r="L224" s="27"/>
      <c r="S224" s="27"/>
    </row>
    <row r="225" spans="2:19" x14ac:dyDescent="0.25">
      <c r="B225" s="24" t="str">
        <f t="shared" si="27"/>
        <v>-</v>
      </c>
      <c r="L225" s="27"/>
      <c r="S225" s="27"/>
    </row>
    <row r="226" spans="2:19" x14ac:dyDescent="0.25">
      <c r="B226" s="24" t="str">
        <f t="shared" si="27"/>
        <v>-</v>
      </c>
      <c r="L226" s="27"/>
      <c r="S226" s="27"/>
    </row>
    <row r="227" spans="2:19" x14ac:dyDescent="0.25">
      <c r="B227" s="24" t="str">
        <f t="shared" si="27"/>
        <v>-</v>
      </c>
      <c r="L227" s="27"/>
      <c r="S227" s="27"/>
    </row>
    <row r="228" spans="2:19" x14ac:dyDescent="0.25">
      <c r="B228" s="24" t="str">
        <f t="shared" si="27"/>
        <v>-</v>
      </c>
      <c r="L228" s="27"/>
      <c r="S228" s="27"/>
    </row>
    <row r="229" spans="2:19" x14ac:dyDescent="0.25">
      <c r="B229" s="24" t="str">
        <f t="shared" si="27"/>
        <v>-</v>
      </c>
      <c r="L229" s="27"/>
      <c r="S229" s="27"/>
    </row>
    <row r="230" spans="2:19" x14ac:dyDescent="0.25">
      <c r="B230" s="24" t="str">
        <f t="shared" si="27"/>
        <v>-</v>
      </c>
      <c r="L230" s="27"/>
      <c r="S230" s="27"/>
    </row>
    <row r="231" spans="2:19" x14ac:dyDescent="0.25">
      <c r="B231" s="24" t="str">
        <f t="shared" si="27"/>
        <v>-</v>
      </c>
      <c r="L231" s="27"/>
      <c r="S231" s="27"/>
    </row>
    <row r="232" spans="2:19" x14ac:dyDescent="0.25">
      <c r="B232" s="24" t="str">
        <f t="shared" si="27"/>
        <v>-</v>
      </c>
      <c r="L232" s="27"/>
      <c r="S232" s="27"/>
    </row>
    <row r="233" spans="2:19" x14ac:dyDescent="0.25">
      <c r="B233" s="24" t="str">
        <f t="shared" si="27"/>
        <v>-</v>
      </c>
      <c r="L233" s="27"/>
      <c r="S233" s="27"/>
    </row>
    <row r="234" spans="2:19" x14ac:dyDescent="0.25">
      <c r="B234" s="24" t="str">
        <f t="shared" si="27"/>
        <v>-</v>
      </c>
      <c r="L234" s="27"/>
      <c r="S234" s="27"/>
    </row>
    <row r="235" spans="2:19" x14ac:dyDescent="0.25">
      <c r="B235" s="24" t="str">
        <f t="shared" si="27"/>
        <v>-</v>
      </c>
      <c r="L235" s="27"/>
      <c r="S235" s="27"/>
    </row>
    <row r="236" spans="2:19" x14ac:dyDescent="0.25">
      <c r="B236" s="24" t="str">
        <f t="shared" si="27"/>
        <v>-</v>
      </c>
      <c r="L236" s="27"/>
      <c r="S236" s="27"/>
    </row>
    <row r="237" spans="2:19" x14ac:dyDescent="0.25">
      <c r="B237" s="24" t="str">
        <f t="shared" si="27"/>
        <v>-</v>
      </c>
      <c r="L237" s="27"/>
      <c r="S237" s="27"/>
    </row>
    <row r="238" spans="2:19" x14ac:dyDescent="0.25">
      <c r="B238" s="24" t="str">
        <f t="shared" si="27"/>
        <v>-</v>
      </c>
      <c r="L238" s="27"/>
      <c r="S238" s="27"/>
    </row>
    <row r="239" spans="2:19" x14ac:dyDescent="0.25">
      <c r="B239" s="24" t="str">
        <f t="shared" si="27"/>
        <v>-</v>
      </c>
      <c r="L239" s="27"/>
      <c r="S239" s="27"/>
    </row>
    <row r="240" spans="2:19" x14ac:dyDescent="0.25">
      <c r="B240" s="24" t="str">
        <f t="shared" si="27"/>
        <v>-</v>
      </c>
      <c r="L240" s="27"/>
      <c r="S240" s="27"/>
    </row>
    <row r="241" spans="2:19" x14ac:dyDescent="0.25">
      <c r="B241" s="24" t="str">
        <f t="shared" si="27"/>
        <v>-</v>
      </c>
      <c r="L241" s="27"/>
      <c r="S241" s="27"/>
    </row>
    <row r="242" spans="2:19" x14ac:dyDescent="0.25">
      <c r="B242" s="24" t="str">
        <f t="shared" si="27"/>
        <v>-</v>
      </c>
      <c r="L242" s="27"/>
      <c r="S242" s="27"/>
    </row>
    <row r="243" spans="2:19" x14ac:dyDescent="0.25">
      <c r="B243" s="24" t="str">
        <f t="shared" si="27"/>
        <v>-</v>
      </c>
      <c r="L243" s="27"/>
      <c r="S243" s="27"/>
    </row>
    <row r="244" spans="2:19" x14ac:dyDescent="0.25">
      <c r="B244" s="24" t="str">
        <f t="shared" si="27"/>
        <v>-</v>
      </c>
      <c r="L244" s="27"/>
      <c r="S244" s="27"/>
    </row>
    <row r="245" spans="2:19" x14ac:dyDescent="0.25">
      <c r="B245" s="24" t="str">
        <f t="shared" si="27"/>
        <v>-</v>
      </c>
      <c r="L245" s="27"/>
      <c r="S245" s="27"/>
    </row>
    <row r="246" spans="2:19" x14ac:dyDescent="0.25">
      <c r="B246" s="24" t="str">
        <f t="shared" si="27"/>
        <v>-</v>
      </c>
      <c r="L246" s="27"/>
      <c r="S246" s="27"/>
    </row>
    <row r="247" spans="2:19" x14ac:dyDescent="0.25">
      <c r="B247" s="24" t="str">
        <f t="shared" si="27"/>
        <v>-</v>
      </c>
      <c r="L247" s="27"/>
      <c r="S247" s="27"/>
    </row>
    <row r="248" spans="2:19" x14ac:dyDescent="0.25">
      <c r="B248" s="24" t="str">
        <f t="shared" si="27"/>
        <v>-</v>
      </c>
      <c r="L248" s="27"/>
      <c r="S248" s="27"/>
    </row>
    <row r="249" spans="2:19" x14ac:dyDescent="0.25">
      <c r="B249" s="24" t="str">
        <f t="shared" si="27"/>
        <v>-</v>
      </c>
      <c r="L249" s="27"/>
      <c r="S249" s="27"/>
    </row>
    <row r="250" spans="2:19" x14ac:dyDescent="0.25">
      <c r="B250" s="24" t="str">
        <f t="shared" si="27"/>
        <v>-</v>
      </c>
      <c r="L250" s="27"/>
      <c r="S250" s="27"/>
    </row>
    <row r="251" spans="2:19" x14ac:dyDescent="0.25">
      <c r="B251" s="24" t="str">
        <f t="shared" si="27"/>
        <v>-</v>
      </c>
      <c r="L251" s="27"/>
      <c r="S251" s="27"/>
    </row>
    <row r="252" spans="2:19" x14ac:dyDescent="0.25">
      <c r="B252" s="24" t="str">
        <f t="shared" si="27"/>
        <v>-</v>
      </c>
      <c r="L252" s="27"/>
      <c r="S252" s="27"/>
    </row>
    <row r="253" spans="2:19" x14ac:dyDescent="0.25">
      <c r="B253" s="24" t="str">
        <f t="shared" si="27"/>
        <v>-</v>
      </c>
      <c r="L253" s="27"/>
      <c r="S253" s="27"/>
    </row>
    <row r="254" spans="2:19" x14ac:dyDescent="0.25">
      <c r="B254" s="24" t="str">
        <f t="shared" si="27"/>
        <v>-</v>
      </c>
      <c r="L254" s="27"/>
      <c r="S254" s="27"/>
    </row>
    <row r="255" spans="2:19" x14ac:dyDescent="0.25">
      <c r="B255" s="24" t="str">
        <f t="shared" si="27"/>
        <v>-</v>
      </c>
      <c r="L255" s="27"/>
      <c r="S255" s="27"/>
    </row>
    <row r="256" spans="2:19" x14ac:dyDescent="0.25">
      <c r="B256" s="24" t="str">
        <f t="shared" si="27"/>
        <v>-</v>
      </c>
      <c r="L256" s="27"/>
      <c r="S256" s="27"/>
    </row>
    <row r="257" spans="2:19" x14ac:dyDescent="0.25">
      <c r="B257" s="24" t="str">
        <f t="shared" si="27"/>
        <v>-</v>
      </c>
      <c r="L257" s="27"/>
      <c r="S257" s="27"/>
    </row>
    <row r="258" spans="2:19" x14ac:dyDescent="0.25">
      <c r="B258" s="24" t="str">
        <f t="shared" si="27"/>
        <v>-</v>
      </c>
      <c r="L258" s="27"/>
      <c r="S258" s="27"/>
    </row>
    <row r="259" spans="2:19" x14ac:dyDescent="0.25">
      <c r="B259" s="24" t="str">
        <f t="shared" si="27"/>
        <v>-</v>
      </c>
      <c r="L259" s="27"/>
      <c r="S259" s="27"/>
    </row>
    <row r="260" spans="2:19" x14ac:dyDescent="0.25">
      <c r="B260" s="24" t="str">
        <f t="shared" si="27"/>
        <v>-</v>
      </c>
      <c r="L260" s="27"/>
      <c r="S260" s="27"/>
    </row>
    <row r="261" spans="2:19" x14ac:dyDescent="0.25">
      <c r="B261" s="24" t="str">
        <f t="shared" si="27"/>
        <v>-</v>
      </c>
      <c r="L261" s="27"/>
      <c r="S261" s="27"/>
    </row>
    <row r="262" spans="2:19" x14ac:dyDescent="0.25">
      <c r="B262" s="24" t="str">
        <f t="shared" si="27"/>
        <v>-</v>
      </c>
      <c r="L262" s="27"/>
      <c r="S262" s="27"/>
    </row>
    <row r="263" spans="2:19" x14ac:dyDescent="0.25">
      <c r="B263" s="24" t="str">
        <f t="shared" si="27"/>
        <v>-</v>
      </c>
      <c r="L263" s="27"/>
      <c r="S263" s="27"/>
    </row>
    <row r="264" spans="2:19" x14ac:dyDescent="0.25">
      <c r="B264" s="24" t="str">
        <f t="shared" si="27"/>
        <v>-</v>
      </c>
      <c r="L264" s="27"/>
      <c r="S264" s="27"/>
    </row>
    <row r="265" spans="2:19" x14ac:dyDescent="0.25">
      <c r="B265" s="24" t="str">
        <f t="shared" si="27"/>
        <v>-</v>
      </c>
      <c r="L265" s="27"/>
      <c r="S265" s="27"/>
    </row>
    <row r="266" spans="2:19" x14ac:dyDescent="0.25">
      <c r="B266" s="24" t="str">
        <f t="shared" si="27"/>
        <v>-</v>
      </c>
      <c r="L266" s="27"/>
      <c r="S266" s="27"/>
    </row>
    <row r="267" spans="2:19" x14ac:dyDescent="0.25">
      <c r="B267" s="24" t="str">
        <f t="shared" si="27"/>
        <v>-</v>
      </c>
      <c r="L267" s="27"/>
      <c r="S267" s="27"/>
    </row>
    <row r="268" spans="2:19" x14ac:dyDescent="0.25">
      <c r="B268" s="24" t="str">
        <f t="shared" si="27"/>
        <v>-</v>
      </c>
      <c r="L268" s="27"/>
      <c r="S268" s="27"/>
    </row>
    <row r="269" spans="2:19" x14ac:dyDescent="0.25">
      <c r="B269" s="24" t="str">
        <f t="shared" si="27"/>
        <v>-</v>
      </c>
      <c r="L269" s="27"/>
      <c r="S269" s="27"/>
    </row>
    <row r="270" spans="2:19" x14ac:dyDescent="0.25">
      <c r="B270" s="24" t="str">
        <f t="shared" si="27"/>
        <v>-</v>
      </c>
      <c r="L270" s="27"/>
      <c r="S270" s="27"/>
    </row>
    <row r="271" spans="2:19" x14ac:dyDescent="0.25">
      <c r="B271" s="24" t="str">
        <f t="shared" si="27"/>
        <v>-</v>
      </c>
      <c r="L271" s="27"/>
      <c r="S271" s="27"/>
    </row>
    <row r="272" spans="2:19" x14ac:dyDescent="0.25">
      <c r="B272" s="24" t="str">
        <f t="shared" si="27"/>
        <v>-</v>
      </c>
      <c r="L272" s="27"/>
      <c r="S272" s="27"/>
    </row>
    <row r="273" spans="2:19" x14ac:dyDescent="0.25">
      <c r="B273" s="24" t="str">
        <f t="shared" si="27"/>
        <v>-</v>
      </c>
      <c r="L273" s="27"/>
      <c r="S273" s="27"/>
    </row>
    <row r="274" spans="2:19" x14ac:dyDescent="0.25">
      <c r="B274" s="24" t="str">
        <f t="shared" ref="B274:B337" si="28">IF(A274&gt;A273,1+B273,"-")</f>
        <v>-</v>
      </c>
      <c r="L274" s="27"/>
      <c r="S274" s="27"/>
    </row>
    <row r="275" spans="2:19" x14ac:dyDescent="0.25">
      <c r="B275" s="24" t="str">
        <f t="shared" si="28"/>
        <v>-</v>
      </c>
      <c r="L275" s="27"/>
      <c r="S275" s="27"/>
    </row>
    <row r="276" spans="2:19" x14ac:dyDescent="0.25">
      <c r="B276" s="24" t="str">
        <f t="shared" si="28"/>
        <v>-</v>
      </c>
      <c r="L276" s="27"/>
      <c r="S276" s="27"/>
    </row>
    <row r="277" spans="2:19" x14ac:dyDescent="0.25">
      <c r="B277" s="24" t="str">
        <f t="shared" si="28"/>
        <v>-</v>
      </c>
      <c r="L277" s="27"/>
      <c r="S277" s="27"/>
    </row>
    <row r="278" spans="2:19" x14ac:dyDescent="0.25">
      <c r="B278" s="24" t="str">
        <f t="shared" si="28"/>
        <v>-</v>
      </c>
      <c r="L278" s="27"/>
      <c r="S278" s="27"/>
    </row>
    <row r="279" spans="2:19" x14ac:dyDescent="0.25">
      <c r="B279" s="24" t="str">
        <f t="shared" si="28"/>
        <v>-</v>
      </c>
      <c r="L279" s="27"/>
      <c r="S279" s="27"/>
    </row>
    <row r="280" spans="2:19" x14ac:dyDescent="0.25">
      <c r="B280" s="24" t="str">
        <f t="shared" si="28"/>
        <v>-</v>
      </c>
      <c r="L280" s="27"/>
      <c r="S280" s="27"/>
    </row>
    <row r="281" spans="2:19" x14ac:dyDescent="0.25">
      <c r="B281" s="24" t="str">
        <f t="shared" si="28"/>
        <v>-</v>
      </c>
      <c r="L281" s="27"/>
      <c r="S281" s="27"/>
    </row>
    <row r="282" spans="2:19" x14ac:dyDescent="0.25">
      <c r="B282" s="24" t="str">
        <f t="shared" si="28"/>
        <v>-</v>
      </c>
      <c r="L282" s="27"/>
      <c r="S282" s="27"/>
    </row>
    <row r="283" spans="2:19" x14ac:dyDescent="0.25">
      <c r="B283" s="24" t="str">
        <f t="shared" si="28"/>
        <v>-</v>
      </c>
      <c r="L283" s="27"/>
      <c r="S283" s="27"/>
    </row>
    <row r="284" spans="2:19" x14ac:dyDescent="0.25">
      <c r="B284" s="24" t="str">
        <f t="shared" si="28"/>
        <v>-</v>
      </c>
      <c r="L284" s="27"/>
      <c r="S284" s="27"/>
    </row>
    <row r="285" spans="2:19" x14ac:dyDescent="0.25">
      <c r="B285" s="24" t="str">
        <f t="shared" si="28"/>
        <v>-</v>
      </c>
      <c r="L285" s="27"/>
      <c r="S285" s="27"/>
    </row>
    <row r="286" spans="2:19" x14ac:dyDescent="0.25">
      <c r="B286" s="24" t="str">
        <f t="shared" si="28"/>
        <v>-</v>
      </c>
      <c r="L286" s="27"/>
      <c r="S286" s="27"/>
    </row>
    <row r="287" spans="2:19" x14ac:dyDescent="0.25">
      <c r="B287" s="24" t="str">
        <f t="shared" si="28"/>
        <v>-</v>
      </c>
      <c r="L287" s="27"/>
      <c r="S287" s="27"/>
    </row>
    <row r="288" spans="2:19" x14ac:dyDescent="0.25">
      <c r="B288" s="24" t="str">
        <f t="shared" si="28"/>
        <v>-</v>
      </c>
      <c r="L288" s="27"/>
      <c r="S288" s="27"/>
    </row>
    <row r="289" spans="2:19" x14ac:dyDescent="0.25">
      <c r="B289" s="24" t="str">
        <f t="shared" si="28"/>
        <v>-</v>
      </c>
      <c r="L289" s="27"/>
      <c r="S289" s="27"/>
    </row>
    <row r="290" spans="2:19" x14ac:dyDescent="0.25">
      <c r="B290" s="24" t="str">
        <f t="shared" si="28"/>
        <v>-</v>
      </c>
      <c r="L290" s="27"/>
      <c r="S290" s="27"/>
    </row>
    <row r="291" spans="2:19" x14ac:dyDescent="0.25">
      <c r="B291" s="24" t="str">
        <f t="shared" si="28"/>
        <v>-</v>
      </c>
      <c r="L291" s="27"/>
      <c r="S291" s="27"/>
    </row>
    <row r="292" spans="2:19" x14ac:dyDescent="0.25">
      <c r="B292" s="24" t="str">
        <f t="shared" si="28"/>
        <v>-</v>
      </c>
    </row>
    <row r="293" spans="2:19" x14ac:dyDescent="0.25">
      <c r="B293" s="24" t="str">
        <f t="shared" si="28"/>
        <v>-</v>
      </c>
    </row>
    <row r="294" spans="2:19" x14ac:dyDescent="0.25">
      <c r="B294" s="24" t="str">
        <f t="shared" si="28"/>
        <v>-</v>
      </c>
    </row>
    <row r="295" spans="2:19" x14ac:dyDescent="0.25">
      <c r="B295" s="24" t="str">
        <f t="shared" si="28"/>
        <v>-</v>
      </c>
    </row>
    <row r="296" spans="2:19" x14ac:dyDescent="0.25">
      <c r="B296" s="24" t="str">
        <f t="shared" si="28"/>
        <v>-</v>
      </c>
    </row>
    <row r="297" spans="2:19" x14ac:dyDescent="0.25">
      <c r="B297" s="24" t="str">
        <f t="shared" si="28"/>
        <v>-</v>
      </c>
    </row>
    <row r="298" spans="2:19" x14ac:dyDescent="0.25">
      <c r="B298" s="24" t="str">
        <f t="shared" si="28"/>
        <v>-</v>
      </c>
    </row>
    <row r="299" spans="2:19" x14ac:dyDescent="0.25">
      <c r="B299" s="24" t="str">
        <f t="shared" si="28"/>
        <v>-</v>
      </c>
    </row>
    <row r="300" spans="2:19" x14ac:dyDescent="0.25">
      <c r="B300" s="24" t="str">
        <f t="shared" si="28"/>
        <v>-</v>
      </c>
    </row>
    <row r="301" spans="2:19" x14ac:dyDescent="0.25">
      <c r="B301" s="24" t="str">
        <f t="shared" si="28"/>
        <v>-</v>
      </c>
    </row>
    <row r="302" spans="2:19" x14ac:dyDescent="0.25">
      <c r="B302" s="24" t="str">
        <f t="shared" si="28"/>
        <v>-</v>
      </c>
    </row>
    <row r="303" spans="2:19" x14ac:dyDescent="0.25">
      <c r="B303" s="24" t="str">
        <f t="shared" si="28"/>
        <v>-</v>
      </c>
    </row>
    <row r="304" spans="2:19" x14ac:dyDescent="0.25">
      <c r="B304" s="24" t="str">
        <f t="shared" si="28"/>
        <v>-</v>
      </c>
    </row>
    <row r="305" spans="1:42" s="23" customFormat="1" x14ac:dyDescent="0.25">
      <c r="A305"/>
      <c r="B305" s="24" t="str">
        <f t="shared" si="28"/>
        <v>-</v>
      </c>
      <c r="E305" s="2"/>
      <c r="F305"/>
      <c r="G305"/>
      <c r="H305"/>
      <c r="I305"/>
      <c r="J305"/>
      <c r="K305"/>
      <c r="L305"/>
      <c r="M305"/>
      <c r="N305" s="3"/>
      <c r="O305"/>
      <c r="P305"/>
      <c r="Q305"/>
      <c r="R305"/>
      <c r="S305"/>
      <c r="T305"/>
      <c r="U305"/>
      <c r="V305"/>
      <c r="W305"/>
      <c r="X305"/>
      <c r="Y305"/>
      <c r="Z305"/>
      <c r="AA305"/>
      <c r="AB305"/>
      <c r="AC305"/>
      <c r="AD305"/>
      <c r="AE305"/>
      <c r="AF305"/>
      <c r="AG305"/>
      <c r="AH305"/>
      <c r="AI305"/>
      <c r="AJ305"/>
      <c r="AK305"/>
      <c r="AL305"/>
      <c r="AM305"/>
      <c r="AN305"/>
      <c r="AO305"/>
      <c r="AP305"/>
    </row>
    <row r="306" spans="1:42" s="23" customFormat="1" x14ac:dyDescent="0.25">
      <c r="A306"/>
      <c r="B306" s="24" t="str">
        <f t="shared" si="28"/>
        <v>-</v>
      </c>
      <c r="E306" s="2"/>
      <c r="F306"/>
      <c r="G306"/>
      <c r="H306"/>
      <c r="I306"/>
      <c r="J306"/>
      <c r="K306"/>
      <c r="L306"/>
      <c r="M306"/>
      <c r="N306" s="3"/>
      <c r="O306"/>
      <c r="P306"/>
      <c r="Q306"/>
      <c r="R306"/>
      <c r="S306"/>
      <c r="T306"/>
      <c r="U306"/>
      <c r="V306"/>
      <c r="W306"/>
      <c r="X306"/>
      <c r="Y306"/>
      <c r="Z306"/>
      <c r="AA306"/>
      <c r="AB306"/>
      <c r="AC306"/>
      <c r="AD306"/>
      <c r="AE306"/>
      <c r="AF306"/>
      <c r="AG306"/>
      <c r="AH306"/>
      <c r="AI306"/>
      <c r="AJ306"/>
      <c r="AK306"/>
      <c r="AL306"/>
      <c r="AM306"/>
      <c r="AN306"/>
      <c r="AO306"/>
      <c r="AP306"/>
    </row>
    <row r="307" spans="1:42" s="23" customFormat="1" x14ac:dyDescent="0.25">
      <c r="A307"/>
      <c r="B307" s="24" t="str">
        <f t="shared" si="28"/>
        <v>-</v>
      </c>
      <c r="E307" s="2"/>
      <c r="F307"/>
      <c r="G307"/>
      <c r="H307"/>
      <c r="I307"/>
      <c r="J307"/>
      <c r="K307"/>
      <c r="L307"/>
      <c r="M307"/>
      <c r="N307" s="3"/>
      <c r="O307"/>
      <c r="P307"/>
      <c r="Q307"/>
      <c r="R307"/>
      <c r="S307"/>
      <c r="T307"/>
      <c r="U307"/>
      <c r="V307"/>
      <c r="W307"/>
      <c r="X307"/>
      <c r="Y307"/>
      <c r="Z307"/>
      <c r="AA307"/>
      <c r="AB307"/>
      <c r="AC307"/>
      <c r="AD307"/>
      <c r="AE307"/>
      <c r="AF307"/>
      <c r="AG307"/>
      <c r="AH307"/>
      <c r="AI307"/>
      <c r="AJ307"/>
      <c r="AK307"/>
      <c r="AL307"/>
      <c r="AM307"/>
      <c r="AN307"/>
      <c r="AO307"/>
      <c r="AP307"/>
    </row>
    <row r="308" spans="1:42" s="23" customFormat="1" x14ac:dyDescent="0.25">
      <c r="A308"/>
      <c r="B308" s="24" t="str">
        <f t="shared" si="28"/>
        <v>-</v>
      </c>
      <c r="E308" s="2"/>
      <c r="F308"/>
      <c r="G308"/>
      <c r="H308"/>
      <c r="I308"/>
      <c r="J308"/>
      <c r="K308"/>
      <c r="L308"/>
      <c r="M308"/>
      <c r="N308" s="3"/>
      <c r="O308"/>
      <c r="P308"/>
      <c r="Q308"/>
      <c r="R308"/>
      <c r="S308"/>
      <c r="T308"/>
      <c r="U308"/>
      <c r="V308"/>
      <c r="W308"/>
      <c r="X308"/>
      <c r="Y308"/>
      <c r="Z308"/>
      <c r="AA308"/>
      <c r="AB308"/>
      <c r="AC308"/>
      <c r="AD308"/>
      <c r="AE308"/>
      <c r="AF308"/>
      <c r="AG308"/>
      <c r="AH308"/>
      <c r="AI308"/>
      <c r="AJ308"/>
      <c r="AK308"/>
      <c r="AL308"/>
      <c r="AM308"/>
      <c r="AN308"/>
      <c r="AO308"/>
      <c r="AP308"/>
    </row>
    <row r="309" spans="1:42" s="23" customFormat="1" x14ac:dyDescent="0.25">
      <c r="A309"/>
      <c r="B309" s="24" t="str">
        <f t="shared" si="28"/>
        <v>-</v>
      </c>
      <c r="E309" s="2"/>
      <c r="F309"/>
      <c r="G309"/>
      <c r="H309"/>
      <c r="I309"/>
      <c r="J309"/>
      <c r="K309"/>
      <c r="L309"/>
      <c r="M309"/>
      <c r="N309" s="3"/>
      <c r="O309"/>
      <c r="P309"/>
      <c r="Q309"/>
      <c r="R309"/>
      <c r="S309"/>
      <c r="T309"/>
      <c r="U309"/>
      <c r="V309"/>
      <c r="W309"/>
      <c r="X309"/>
      <c r="Y309"/>
      <c r="Z309"/>
      <c r="AA309"/>
      <c r="AB309"/>
      <c r="AC309"/>
      <c r="AD309"/>
      <c r="AE309"/>
      <c r="AF309"/>
      <c r="AG309"/>
      <c r="AH309"/>
      <c r="AI309"/>
      <c r="AJ309"/>
      <c r="AK309"/>
      <c r="AL309"/>
      <c r="AM309"/>
      <c r="AN309"/>
      <c r="AO309"/>
      <c r="AP309"/>
    </row>
    <row r="310" spans="1:42" s="23" customFormat="1" x14ac:dyDescent="0.25">
      <c r="A310"/>
      <c r="B310" s="24" t="str">
        <f t="shared" si="28"/>
        <v>-</v>
      </c>
      <c r="E310" s="2"/>
      <c r="F310"/>
      <c r="G310"/>
      <c r="H310"/>
      <c r="I310"/>
      <c r="J310"/>
      <c r="K310"/>
      <c r="L310"/>
      <c r="M310"/>
      <c r="N310" s="3"/>
      <c r="O310"/>
      <c r="P310"/>
      <c r="Q310"/>
      <c r="R310"/>
      <c r="S310"/>
      <c r="T310"/>
      <c r="U310"/>
      <c r="V310"/>
      <c r="W310"/>
      <c r="X310"/>
      <c r="Y310"/>
      <c r="Z310"/>
      <c r="AA310"/>
      <c r="AB310"/>
      <c r="AC310"/>
      <c r="AD310"/>
      <c r="AE310"/>
      <c r="AF310"/>
      <c r="AG310"/>
      <c r="AH310"/>
      <c r="AI310"/>
      <c r="AJ310"/>
      <c r="AK310"/>
      <c r="AL310"/>
      <c r="AM310"/>
      <c r="AN310"/>
      <c r="AO310"/>
      <c r="AP310"/>
    </row>
    <row r="311" spans="1:42" s="23" customFormat="1" x14ac:dyDescent="0.25">
      <c r="A311"/>
      <c r="B311" s="24" t="str">
        <f t="shared" si="28"/>
        <v>-</v>
      </c>
      <c r="E311" s="2"/>
      <c r="F311"/>
      <c r="G311"/>
      <c r="H311"/>
      <c r="I311"/>
      <c r="J311"/>
      <c r="K311"/>
      <c r="L311"/>
      <c r="M311"/>
      <c r="N311" s="3"/>
      <c r="O311"/>
      <c r="P311"/>
      <c r="Q311"/>
      <c r="R311"/>
      <c r="S311"/>
      <c r="T311"/>
      <c r="U311"/>
      <c r="V311"/>
      <c r="W311"/>
      <c r="X311"/>
      <c r="Y311"/>
      <c r="Z311"/>
      <c r="AA311"/>
      <c r="AB311"/>
      <c r="AC311"/>
      <c r="AD311"/>
      <c r="AE311"/>
      <c r="AF311"/>
      <c r="AG311"/>
      <c r="AH311"/>
      <c r="AI311"/>
      <c r="AJ311"/>
      <c r="AK311"/>
      <c r="AL311"/>
      <c r="AM311"/>
      <c r="AN311"/>
      <c r="AO311"/>
      <c r="AP311"/>
    </row>
    <row r="312" spans="1:42" s="23" customFormat="1" x14ac:dyDescent="0.25">
      <c r="A312"/>
      <c r="B312" s="24" t="str">
        <f t="shared" si="28"/>
        <v>-</v>
      </c>
      <c r="E312" s="2"/>
      <c r="F312"/>
      <c r="G312"/>
      <c r="H312"/>
      <c r="I312"/>
      <c r="J312"/>
      <c r="K312"/>
      <c r="L312"/>
      <c r="M312"/>
      <c r="N312" s="3"/>
      <c r="O312"/>
      <c r="P312"/>
      <c r="Q312"/>
      <c r="R312"/>
      <c r="S312"/>
      <c r="T312"/>
      <c r="U312"/>
      <c r="V312"/>
      <c r="W312"/>
      <c r="X312"/>
      <c r="Y312"/>
      <c r="Z312"/>
      <c r="AA312"/>
      <c r="AB312"/>
      <c r="AC312"/>
      <c r="AD312"/>
      <c r="AE312"/>
      <c r="AF312"/>
      <c r="AG312"/>
      <c r="AH312"/>
      <c r="AI312"/>
      <c r="AJ312"/>
      <c r="AK312"/>
      <c r="AL312"/>
      <c r="AM312"/>
      <c r="AN312"/>
      <c r="AO312"/>
      <c r="AP312"/>
    </row>
    <row r="313" spans="1:42" s="23" customFormat="1" x14ac:dyDescent="0.25">
      <c r="A313"/>
      <c r="B313" s="24" t="str">
        <f t="shared" si="28"/>
        <v>-</v>
      </c>
      <c r="E313" s="2"/>
      <c r="F313"/>
      <c r="G313"/>
      <c r="H313"/>
      <c r="I313"/>
      <c r="J313"/>
      <c r="K313"/>
      <c r="L313"/>
      <c r="M313"/>
      <c r="N313" s="3"/>
      <c r="O313"/>
      <c r="P313"/>
      <c r="Q313"/>
      <c r="R313"/>
      <c r="S313"/>
      <c r="T313"/>
      <c r="U313"/>
      <c r="V313"/>
      <c r="W313"/>
      <c r="X313"/>
      <c r="Y313"/>
      <c r="Z313"/>
      <c r="AA313"/>
      <c r="AB313"/>
      <c r="AC313"/>
      <c r="AD313"/>
      <c r="AE313"/>
      <c r="AF313"/>
      <c r="AG313"/>
      <c r="AH313"/>
      <c r="AI313"/>
      <c r="AJ313"/>
      <c r="AK313"/>
      <c r="AL313"/>
      <c r="AM313"/>
      <c r="AN313"/>
      <c r="AO313"/>
      <c r="AP313"/>
    </row>
    <row r="314" spans="1:42" s="23" customFormat="1" x14ac:dyDescent="0.25">
      <c r="A314"/>
      <c r="B314" s="24" t="str">
        <f t="shared" si="28"/>
        <v>-</v>
      </c>
      <c r="E314" s="2"/>
      <c r="F314"/>
      <c r="G314"/>
      <c r="H314"/>
      <c r="I314"/>
      <c r="J314"/>
      <c r="K314"/>
      <c r="L314"/>
      <c r="M314"/>
      <c r="N314" s="3"/>
      <c r="O314"/>
      <c r="P314"/>
      <c r="Q314"/>
      <c r="R314"/>
      <c r="S314"/>
      <c r="T314"/>
      <c r="U314"/>
      <c r="V314"/>
      <c r="W314"/>
      <c r="X314"/>
      <c r="Y314"/>
      <c r="Z314"/>
      <c r="AA314"/>
      <c r="AB314"/>
      <c r="AC314"/>
      <c r="AD314"/>
      <c r="AE314"/>
      <c r="AF314"/>
      <c r="AG314"/>
      <c r="AH314"/>
      <c r="AI314"/>
      <c r="AJ314"/>
      <c r="AK314"/>
      <c r="AL314"/>
      <c r="AM314"/>
      <c r="AN314"/>
      <c r="AO314"/>
      <c r="AP314"/>
    </row>
    <row r="315" spans="1:42" s="23" customFormat="1" x14ac:dyDescent="0.25">
      <c r="A315"/>
      <c r="B315" s="24" t="str">
        <f t="shared" si="28"/>
        <v>-</v>
      </c>
      <c r="E315" s="2"/>
      <c r="F315"/>
      <c r="G315"/>
      <c r="H315"/>
      <c r="I315"/>
      <c r="J315"/>
      <c r="K315"/>
      <c r="L315"/>
      <c r="M315"/>
      <c r="N315" s="3"/>
      <c r="O315"/>
      <c r="P315"/>
      <c r="Q315"/>
      <c r="R315"/>
      <c r="S315"/>
      <c r="T315"/>
      <c r="U315"/>
      <c r="V315"/>
      <c r="W315"/>
      <c r="X315"/>
      <c r="Y315"/>
      <c r="Z315"/>
      <c r="AA315"/>
      <c r="AB315"/>
      <c r="AC315"/>
      <c r="AD315"/>
      <c r="AE315"/>
      <c r="AF315"/>
      <c r="AG315"/>
      <c r="AH315"/>
      <c r="AI315"/>
      <c r="AJ315"/>
      <c r="AK315"/>
      <c r="AL315"/>
      <c r="AM315"/>
      <c r="AN315"/>
      <c r="AO315"/>
      <c r="AP315"/>
    </row>
    <row r="316" spans="1:42" s="23" customFormat="1" x14ac:dyDescent="0.25">
      <c r="A316"/>
      <c r="B316" s="24" t="str">
        <f t="shared" si="28"/>
        <v>-</v>
      </c>
      <c r="E316" s="2"/>
      <c r="F316"/>
      <c r="G316"/>
      <c r="H316"/>
      <c r="I316"/>
      <c r="J316"/>
      <c r="K316"/>
      <c r="L316"/>
      <c r="M316"/>
      <c r="N316" s="3"/>
      <c r="O316"/>
      <c r="P316"/>
      <c r="Q316"/>
      <c r="R316"/>
      <c r="S316"/>
      <c r="T316"/>
      <c r="U316"/>
      <c r="V316"/>
      <c r="W316"/>
      <c r="X316"/>
      <c r="Y316"/>
      <c r="Z316"/>
      <c r="AA316"/>
      <c r="AB316"/>
      <c r="AC316"/>
      <c r="AD316"/>
      <c r="AE316"/>
      <c r="AF316"/>
      <c r="AG316"/>
      <c r="AH316"/>
      <c r="AI316"/>
      <c r="AJ316"/>
      <c r="AK316"/>
      <c r="AL316"/>
      <c r="AM316"/>
      <c r="AN316"/>
      <c r="AO316"/>
      <c r="AP316"/>
    </row>
    <row r="317" spans="1:42" s="23" customFormat="1" x14ac:dyDescent="0.25">
      <c r="A317"/>
      <c r="B317" s="24" t="str">
        <f t="shared" si="28"/>
        <v>-</v>
      </c>
      <c r="E317" s="2"/>
      <c r="F317"/>
      <c r="G317"/>
      <c r="H317"/>
      <c r="I317"/>
      <c r="J317"/>
      <c r="K317"/>
      <c r="L317"/>
      <c r="M317"/>
      <c r="N317" s="3"/>
      <c r="O317"/>
      <c r="P317"/>
      <c r="Q317"/>
      <c r="R317"/>
      <c r="S317"/>
      <c r="T317"/>
      <c r="U317"/>
      <c r="V317"/>
      <c r="W317"/>
      <c r="X317"/>
      <c r="Y317"/>
      <c r="Z317"/>
      <c r="AA317"/>
      <c r="AB317"/>
      <c r="AC317"/>
      <c r="AD317"/>
      <c r="AE317"/>
      <c r="AF317"/>
      <c r="AG317"/>
      <c r="AH317"/>
      <c r="AI317"/>
      <c r="AJ317"/>
      <c r="AK317"/>
      <c r="AL317"/>
      <c r="AM317"/>
      <c r="AN317"/>
      <c r="AO317"/>
      <c r="AP317"/>
    </row>
    <row r="318" spans="1:42" s="23" customFormat="1" x14ac:dyDescent="0.25">
      <c r="A318"/>
      <c r="B318" s="24" t="str">
        <f t="shared" si="28"/>
        <v>-</v>
      </c>
      <c r="E318" s="2"/>
      <c r="F318"/>
      <c r="G318"/>
      <c r="H318"/>
      <c r="I318"/>
      <c r="J318"/>
      <c r="K318"/>
      <c r="L318"/>
      <c r="M318"/>
      <c r="N318" s="3"/>
      <c r="O318"/>
      <c r="P318"/>
      <c r="Q318"/>
      <c r="R318"/>
      <c r="S318"/>
      <c r="T318"/>
      <c r="U318"/>
      <c r="V318"/>
      <c r="W318"/>
      <c r="X318"/>
      <c r="Y318"/>
      <c r="Z318"/>
      <c r="AA318"/>
      <c r="AB318"/>
      <c r="AC318"/>
      <c r="AD318"/>
      <c r="AE318"/>
      <c r="AF318"/>
      <c r="AG318"/>
      <c r="AH318"/>
      <c r="AI318"/>
      <c r="AJ318"/>
      <c r="AK318"/>
      <c r="AL318"/>
      <c r="AM318"/>
      <c r="AN318"/>
      <c r="AO318"/>
      <c r="AP318"/>
    </row>
    <row r="319" spans="1:42" s="23" customFormat="1" x14ac:dyDescent="0.25">
      <c r="A319"/>
      <c r="B319" s="24" t="str">
        <f t="shared" si="28"/>
        <v>-</v>
      </c>
      <c r="E319" s="2"/>
      <c r="F319"/>
      <c r="G319"/>
      <c r="H319"/>
      <c r="I319"/>
      <c r="J319"/>
      <c r="K319"/>
      <c r="L319"/>
      <c r="M319"/>
      <c r="N319" s="3"/>
      <c r="O319"/>
      <c r="P319"/>
      <c r="Q319"/>
      <c r="R319"/>
      <c r="S319"/>
      <c r="T319"/>
      <c r="U319"/>
      <c r="V319"/>
      <c r="W319"/>
      <c r="X319"/>
      <c r="Y319"/>
      <c r="Z319"/>
      <c r="AA319"/>
      <c r="AB319"/>
      <c r="AC319"/>
      <c r="AD319"/>
      <c r="AE319"/>
      <c r="AF319"/>
      <c r="AG319"/>
      <c r="AH319"/>
      <c r="AI319"/>
      <c r="AJ319"/>
      <c r="AK319"/>
      <c r="AL319"/>
      <c r="AM319"/>
      <c r="AN319"/>
      <c r="AO319"/>
      <c r="AP319"/>
    </row>
    <row r="320" spans="1:42" s="23" customFormat="1" x14ac:dyDescent="0.25">
      <c r="A320"/>
      <c r="B320" s="24" t="str">
        <f t="shared" si="28"/>
        <v>-</v>
      </c>
      <c r="E320" s="2"/>
      <c r="F320"/>
      <c r="G320"/>
      <c r="H320"/>
      <c r="I320"/>
      <c r="J320"/>
      <c r="K320"/>
      <c r="L320"/>
      <c r="M320"/>
      <c r="N320" s="3"/>
      <c r="O320"/>
      <c r="P320"/>
      <c r="Q320"/>
      <c r="R320"/>
      <c r="S320"/>
      <c r="T320"/>
      <c r="U320"/>
      <c r="V320"/>
      <c r="W320"/>
      <c r="X320"/>
      <c r="Y320"/>
      <c r="Z320"/>
      <c r="AA320"/>
      <c r="AB320"/>
      <c r="AC320"/>
      <c r="AD320"/>
      <c r="AE320"/>
      <c r="AF320"/>
      <c r="AG320"/>
      <c r="AH320"/>
      <c r="AI320"/>
      <c r="AJ320"/>
      <c r="AK320"/>
      <c r="AL320"/>
      <c r="AM320"/>
      <c r="AN320"/>
      <c r="AO320"/>
      <c r="AP320"/>
    </row>
    <row r="321" spans="1:42" s="23" customFormat="1" x14ac:dyDescent="0.25">
      <c r="A321"/>
      <c r="B321" s="24" t="str">
        <f t="shared" si="28"/>
        <v>-</v>
      </c>
      <c r="E321" s="2"/>
      <c r="F321"/>
      <c r="G321"/>
      <c r="H321"/>
      <c r="I321"/>
      <c r="J321"/>
      <c r="K321"/>
      <c r="L321"/>
      <c r="M321"/>
      <c r="N321" s="3"/>
      <c r="O321"/>
      <c r="P321"/>
      <c r="Q321"/>
      <c r="R321"/>
      <c r="S321"/>
      <c r="T321"/>
      <c r="U321"/>
      <c r="V321"/>
      <c r="W321"/>
      <c r="X321"/>
      <c r="Y321"/>
      <c r="Z321"/>
      <c r="AA321"/>
      <c r="AB321"/>
      <c r="AC321"/>
      <c r="AD321"/>
      <c r="AE321"/>
      <c r="AF321"/>
      <c r="AG321"/>
      <c r="AH321"/>
      <c r="AI321"/>
      <c r="AJ321"/>
      <c r="AK321"/>
      <c r="AL321"/>
      <c r="AM321"/>
      <c r="AN321"/>
      <c r="AO321"/>
      <c r="AP321"/>
    </row>
    <row r="322" spans="1:42" s="23" customFormat="1" x14ac:dyDescent="0.25">
      <c r="A322"/>
      <c r="B322" s="24" t="str">
        <f t="shared" si="28"/>
        <v>-</v>
      </c>
      <c r="E322" s="2"/>
      <c r="F322"/>
      <c r="G322"/>
      <c r="H322"/>
      <c r="I322"/>
      <c r="J322"/>
      <c r="K322"/>
      <c r="L322"/>
      <c r="M322"/>
      <c r="N322" s="3"/>
      <c r="O322"/>
      <c r="P322"/>
      <c r="Q322"/>
      <c r="R322"/>
      <c r="S322"/>
      <c r="T322"/>
      <c r="U322"/>
      <c r="V322"/>
      <c r="W322"/>
      <c r="X322"/>
      <c r="Y322"/>
      <c r="Z322"/>
      <c r="AA322"/>
      <c r="AB322"/>
      <c r="AC322"/>
      <c r="AD322"/>
      <c r="AE322"/>
      <c r="AF322"/>
      <c r="AG322"/>
      <c r="AH322"/>
      <c r="AI322"/>
      <c r="AJ322"/>
      <c r="AK322"/>
      <c r="AL322"/>
      <c r="AM322"/>
      <c r="AN322"/>
      <c r="AO322"/>
      <c r="AP322"/>
    </row>
    <row r="323" spans="1:42" s="23" customFormat="1" x14ac:dyDescent="0.25">
      <c r="A323"/>
      <c r="B323" s="24" t="str">
        <f t="shared" si="28"/>
        <v>-</v>
      </c>
      <c r="E323" s="2"/>
      <c r="F323"/>
      <c r="G323"/>
      <c r="H323"/>
      <c r="I323"/>
      <c r="J323"/>
      <c r="K323"/>
      <c r="L323"/>
      <c r="M323"/>
      <c r="N323" s="3"/>
      <c r="O323"/>
      <c r="P323"/>
      <c r="Q323"/>
      <c r="R323"/>
      <c r="S323"/>
      <c r="T323"/>
      <c r="U323"/>
      <c r="V323"/>
      <c r="W323"/>
      <c r="X323"/>
      <c r="Y323"/>
      <c r="Z323"/>
      <c r="AA323"/>
      <c r="AB323"/>
      <c r="AC323"/>
      <c r="AD323"/>
      <c r="AE323"/>
      <c r="AF323"/>
      <c r="AG323"/>
      <c r="AH323"/>
      <c r="AI323"/>
      <c r="AJ323"/>
      <c r="AK323"/>
      <c r="AL323"/>
      <c r="AM323"/>
      <c r="AN323"/>
      <c r="AO323"/>
      <c r="AP323"/>
    </row>
    <row r="324" spans="1:42" s="23" customFormat="1" x14ac:dyDescent="0.25">
      <c r="A324"/>
      <c r="B324" s="24" t="str">
        <f t="shared" si="28"/>
        <v>-</v>
      </c>
      <c r="E324" s="2"/>
      <c r="F324"/>
      <c r="G324"/>
      <c r="H324"/>
      <c r="I324"/>
      <c r="J324"/>
      <c r="K324"/>
      <c r="L324"/>
      <c r="M324"/>
      <c r="N324" s="3"/>
      <c r="O324"/>
      <c r="P324"/>
      <c r="Q324"/>
      <c r="R324"/>
      <c r="S324"/>
      <c r="T324"/>
      <c r="U324"/>
      <c r="V324"/>
      <c r="W324"/>
      <c r="X324"/>
      <c r="Y324"/>
      <c r="Z324"/>
      <c r="AA324"/>
      <c r="AB324"/>
      <c r="AC324"/>
      <c r="AD324"/>
      <c r="AE324"/>
      <c r="AF324"/>
      <c r="AG324"/>
      <c r="AH324"/>
      <c r="AI324"/>
      <c r="AJ324"/>
      <c r="AK324"/>
      <c r="AL324"/>
      <c r="AM324"/>
      <c r="AN324"/>
      <c r="AO324"/>
      <c r="AP324"/>
    </row>
    <row r="325" spans="1:42" s="23" customFormat="1" x14ac:dyDescent="0.25">
      <c r="A325"/>
      <c r="B325" s="24" t="str">
        <f t="shared" si="28"/>
        <v>-</v>
      </c>
      <c r="E325" s="2"/>
      <c r="F325"/>
      <c r="G325"/>
      <c r="H325"/>
      <c r="I325"/>
      <c r="J325"/>
      <c r="K325"/>
      <c r="L325"/>
      <c r="M325"/>
      <c r="N325" s="3"/>
      <c r="O325"/>
      <c r="P325"/>
      <c r="Q325"/>
      <c r="R325"/>
      <c r="S325"/>
      <c r="T325"/>
      <c r="U325"/>
      <c r="V325"/>
      <c r="W325"/>
      <c r="X325"/>
      <c r="Y325"/>
      <c r="Z325"/>
      <c r="AA325"/>
      <c r="AB325"/>
      <c r="AC325"/>
      <c r="AD325"/>
      <c r="AE325"/>
      <c r="AF325"/>
      <c r="AG325"/>
      <c r="AH325"/>
      <c r="AI325"/>
      <c r="AJ325"/>
      <c r="AK325"/>
      <c r="AL325"/>
      <c r="AM325"/>
      <c r="AN325"/>
      <c r="AO325"/>
      <c r="AP325"/>
    </row>
    <row r="326" spans="1:42" s="23" customFormat="1" x14ac:dyDescent="0.25">
      <c r="A326"/>
      <c r="B326" s="24" t="str">
        <f t="shared" si="28"/>
        <v>-</v>
      </c>
      <c r="E326" s="2"/>
      <c r="F326"/>
      <c r="G326"/>
      <c r="H326"/>
      <c r="I326"/>
      <c r="J326"/>
      <c r="K326"/>
      <c r="L326"/>
      <c r="M326"/>
      <c r="N326" s="3"/>
      <c r="O326"/>
      <c r="P326"/>
      <c r="Q326"/>
      <c r="R326"/>
      <c r="S326"/>
      <c r="T326"/>
      <c r="U326"/>
      <c r="V326"/>
      <c r="W326"/>
      <c r="X326"/>
      <c r="Y326"/>
      <c r="Z326"/>
      <c r="AA326"/>
      <c r="AB326"/>
      <c r="AC326"/>
      <c r="AD326"/>
      <c r="AE326"/>
      <c r="AF326"/>
      <c r="AG326"/>
      <c r="AH326"/>
      <c r="AI326"/>
      <c r="AJ326"/>
      <c r="AK326"/>
      <c r="AL326"/>
      <c r="AM326"/>
      <c r="AN326"/>
      <c r="AO326"/>
      <c r="AP326"/>
    </row>
    <row r="327" spans="1:42" s="23" customFormat="1" x14ac:dyDescent="0.25">
      <c r="A327"/>
      <c r="B327" s="24" t="str">
        <f t="shared" si="28"/>
        <v>-</v>
      </c>
      <c r="E327" s="2"/>
      <c r="F327"/>
      <c r="G327"/>
      <c r="H327"/>
      <c r="I327"/>
      <c r="J327"/>
      <c r="K327"/>
      <c r="L327"/>
      <c r="M327"/>
      <c r="N327" s="3"/>
      <c r="O327"/>
      <c r="P327"/>
      <c r="Q327"/>
      <c r="R327"/>
      <c r="S327"/>
      <c r="T327"/>
      <c r="U327"/>
      <c r="V327"/>
      <c r="W327"/>
      <c r="X327"/>
      <c r="Y327"/>
      <c r="Z327"/>
      <c r="AA327"/>
      <c r="AB327"/>
      <c r="AC327"/>
      <c r="AD327"/>
      <c r="AE327"/>
      <c r="AF327"/>
      <c r="AG327"/>
      <c r="AH327"/>
      <c r="AI327"/>
      <c r="AJ327"/>
      <c r="AK327"/>
      <c r="AL327"/>
      <c r="AM327"/>
      <c r="AN327"/>
      <c r="AO327"/>
      <c r="AP327"/>
    </row>
    <row r="328" spans="1:42" s="23" customFormat="1" x14ac:dyDescent="0.25">
      <c r="A328"/>
      <c r="B328" s="24" t="str">
        <f t="shared" si="28"/>
        <v>-</v>
      </c>
      <c r="E328" s="2"/>
      <c r="F328"/>
      <c r="G328"/>
      <c r="H328"/>
      <c r="I328"/>
      <c r="J328"/>
      <c r="K328"/>
      <c r="L328"/>
      <c r="M328"/>
      <c r="N328" s="3"/>
      <c r="O328"/>
      <c r="P328"/>
      <c r="Q328"/>
      <c r="R328"/>
      <c r="S328"/>
      <c r="T328"/>
      <c r="U328"/>
      <c r="V328"/>
      <c r="W328"/>
      <c r="X328"/>
      <c r="Y328"/>
      <c r="Z328"/>
      <c r="AA328"/>
      <c r="AB328"/>
      <c r="AC328"/>
      <c r="AD328"/>
      <c r="AE328"/>
      <c r="AF328"/>
      <c r="AG328"/>
      <c r="AH328"/>
      <c r="AI328"/>
      <c r="AJ328"/>
      <c r="AK328"/>
      <c r="AL328"/>
      <c r="AM328"/>
      <c r="AN328"/>
      <c r="AO328"/>
      <c r="AP328"/>
    </row>
    <row r="329" spans="1:42" s="23" customFormat="1" x14ac:dyDescent="0.25">
      <c r="A329"/>
      <c r="B329" s="24" t="str">
        <f t="shared" si="28"/>
        <v>-</v>
      </c>
      <c r="E329" s="2"/>
      <c r="F329"/>
      <c r="G329"/>
      <c r="H329"/>
      <c r="I329"/>
      <c r="J329"/>
      <c r="K329"/>
      <c r="L329"/>
      <c r="M329"/>
      <c r="N329" s="3"/>
      <c r="O329"/>
      <c r="P329"/>
      <c r="Q329"/>
      <c r="R329"/>
      <c r="S329"/>
      <c r="T329"/>
      <c r="U329"/>
      <c r="V329"/>
      <c r="W329"/>
      <c r="X329"/>
      <c r="Y329"/>
      <c r="Z329"/>
      <c r="AA329"/>
      <c r="AB329"/>
      <c r="AC329"/>
      <c r="AD329"/>
      <c r="AE329"/>
      <c r="AF329"/>
      <c r="AG329"/>
      <c r="AH329"/>
      <c r="AI329"/>
      <c r="AJ329"/>
      <c r="AK329"/>
      <c r="AL329"/>
      <c r="AM329"/>
      <c r="AN329"/>
      <c r="AO329"/>
      <c r="AP329"/>
    </row>
    <row r="330" spans="1:42" s="23" customFormat="1" x14ac:dyDescent="0.25">
      <c r="A330"/>
      <c r="B330" s="24" t="str">
        <f t="shared" si="28"/>
        <v>-</v>
      </c>
      <c r="E330" s="2"/>
      <c r="F330"/>
      <c r="G330"/>
      <c r="H330"/>
      <c r="I330"/>
      <c r="J330"/>
      <c r="K330"/>
      <c r="L330"/>
      <c r="M330"/>
      <c r="N330" s="3"/>
      <c r="O330"/>
      <c r="P330"/>
      <c r="Q330"/>
      <c r="R330"/>
      <c r="S330"/>
      <c r="T330"/>
      <c r="U330"/>
      <c r="V330"/>
      <c r="W330"/>
      <c r="X330"/>
      <c r="Y330"/>
      <c r="Z330"/>
      <c r="AA330"/>
      <c r="AB330"/>
      <c r="AC330"/>
      <c r="AD330"/>
      <c r="AE330"/>
      <c r="AF330"/>
      <c r="AG330"/>
      <c r="AH330"/>
      <c r="AI330"/>
      <c r="AJ330"/>
      <c r="AK330"/>
      <c r="AL330"/>
      <c r="AM330"/>
      <c r="AN330"/>
      <c r="AO330"/>
      <c r="AP330"/>
    </row>
    <row r="331" spans="1:42" s="23" customFormat="1" x14ac:dyDescent="0.25">
      <c r="A331"/>
      <c r="B331" s="24" t="str">
        <f t="shared" si="28"/>
        <v>-</v>
      </c>
      <c r="E331" s="2"/>
      <c r="F331"/>
      <c r="G331"/>
      <c r="H331"/>
      <c r="I331"/>
      <c r="J331"/>
      <c r="K331"/>
      <c r="L331"/>
      <c r="M331"/>
      <c r="N331" s="3"/>
      <c r="O331"/>
      <c r="P331"/>
      <c r="Q331"/>
      <c r="R331"/>
      <c r="S331"/>
      <c r="T331"/>
      <c r="U331"/>
      <c r="V331"/>
      <c r="W331"/>
      <c r="X331"/>
      <c r="Y331"/>
      <c r="Z331"/>
      <c r="AA331"/>
      <c r="AB331"/>
      <c r="AC331"/>
      <c r="AD331"/>
      <c r="AE331"/>
      <c r="AF331"/>
      <c r="AG331"/>
      <c r="AH331"/>
      <c r="AI331"/>
      <c r="AJ331"/>
      <c r="AK331"/>
      <c r="AL331"/>
      <c r="AM331"/>
      <c r="AN331"/>
      <c r="AO331"/>
      <c r="AP331"/>
    </row>
    <row r="332" spans="1:42" s="23" customFormat="1" x14ac:dyDescent="0.25">
      <c r="A332"/>
      <c r="B332" s="24" t="str">
        <f t="shared" si="28"/>
        <v>-</v>
      </c>
      <c r="E332" s="2"/>
      <c r="F332"/>
      <c r="G332"/>
      <c r="H332"/>
      <c r="I332"/>
      <c r="J332"/>
      <c r="K332"/>
      <c r="L332"/>
      <c r="M332"/>
      <c r="N332" s="3"/>
      <c r="O332"/>
      <c r="P332"/>
      <c r="Q332"/>
      <c r="R332"/>
      <c r="S332"/>
      <c r="T332"/>
      <c r="U332"/>
      <c r="V332"/>
      <c r="W332"/>
      <c r="X332"/>
      <c r="Y332"/>
      <c r="Z332"/>
      <c r="AA332"/>
      <c r="AB332"/>
      <c r="AC332"/>
      <c r="AD332"/>
      <c r="AE332"/>
      <c r="AF332"/>
      <c r="AG332"/>
      <c r="AH332"/>
      <c r="AI332"/>
      <c r="AJ332"/>
      <c r="AK332"/>
      <c r="AL332"/>
      <c r="AM332"/>
      <c r="AN332"/>
      <c r="AO332"/>
      <c r="AP332"/>
    </row>
    <row r="333" spans="1:42" s="23" customFormat="1" x14ac:dyDescent="0.25">
      <c r="A333"/>
      <c r="B333" s="24" t="str">
        <f t="shared" si="28"/>
        <v>-</v>
      </c>
      <c r="E333" s="2"/>
      <c r="F333"/>
      <c r="G333"/>
      <c r="H333"/>
      <c r="I333"/>
      <c r="J333"/>
      <c r="K333"/>
      <c r="L333"/>
      <c r="M333"/>
      <c r="N333" s="3"/>
      <c r="O333"/>
      <c r="P333"/>
      <c r="Q333"/>
      <c r="R333"/>
      <c r="S333"/>
      <c r="T333"/>
      <c r="U333"/>
      <c r="V333"/>
      <c r="W333"/>
      <c r="X333"/>
      <c r="Y333"/>
      <c r="Z333"/>
      <c r="AA333"/>
      <c r="AB333"/>
      <c r="AC333"/>
      <c r="AD333"/>
      <c r="AE333"/>
      <c r="AF333"/>
      <c r="AG333"/>
      <c r="AH333"/>
      <c r="AI333"/>
      <c r="AJ333"/>
      <c r="AK333"/>
      <c r="AL333"/>
      <c r="AM333"/>
      <c r="AN333"/>
      <c r="AO333"/>
      <c r="AP333"/>
    </row>
    <row r="334" spans="1:42" s="23" customFormat="1" x14ac:dyDescent="0.25">
      <c r="A334"/>
      <c r="B334" s="24" t="str">
        <f t="shared" si="28"/>
        <v>-</v>
      </c>
      <c r="E334" s="2"/>
      <c r="F334"/>
      <c r="G334"/>
      <c r="H334"/>
      <c r="I334"/>
      <c r="J334"/>
      <c r="K334"/>
      <c r="L334"/>
      <c r="M334"/>
      <c r="N334" s="3"/>
      <c r="O334"/>
      <c r="P334"/>
      <c r="Q334"/>
      <c r="R334"/>
      <c r="S334"/>
      <c r="T334"/>
      <c r="U334"/>
      <c r="V334"/>
      <c r="W334"/>
      <c r="X334"/>
      <c r="Y334"/>
      <c r="Z334"/>
      <c r="AA334"/>
      <c r="AB334"/>
      <c r="AC334"/>
      <c r="AD334"/>
      <c r="AE334"/>
      <c r="AF334"/>
      <c r="AG334"/>
      <c r="AH334"/>
      <c r="AI334"/>
      <c r="AJ334"/>
      <c r="AK334"/>
      <c r="AL334"/>
      <c r="AM334"/>
      <c r="AN334"/>
      <c r="AO334"/>
      <c r="AP334"/>
    </row>
    <row r="335" spans="1:42" s="23" customFormat="1" x14ac:dyDescent="0.25">
      <c r="A335"/>
      <c r="B335" s="24" t="str">
        <f t="shared" si="28"/>
        <v>-</v>
      </c>
      <c r="E335" s="2"/>
      <c r="F335"/>
      <c r="G335"/>
      <c r="H335"/>
      <c r="I335"/>
      <c r="J335"/>
      <c r="K335"/>
      <c r="L335"/>
      <c r="M335"/>
      <c r="N335" s="3"/>
      <c r="O335"/>
      <c r="P335"/>
      <c r="Q335"/>
      <c r="R335"/>
      <c r="S335"/>
      <c r="T335"/>
      <c r="U335"/>
      <c r="V335"/>
      <c r="W335"/>
      <c r="X335"/>
      <c r="Y335"/>
      <c r="Z335"/>
      <c r="AA335"/>
      <c r="AB335"/>
      <c r="AC335"/>
      <c r="AD335"/>
      <c r="AE335"/>
      <c r="AF335"/>
      <c r="AG335"/>
      <c r="AH335"/>
      <c r="AI335"/>
      <c r="AJ335"/>
      <c r="AK335"/>
      <c r="AL335"/>
      <c r="AM335"/>
      <c r="AN335"/>
      <c r="AO335"/>
      <c r="AP335"/>
    </row>
    <row r="336" spans="1:42" s="23" customFormat="1" x14ac:dyDescent="0.25">
      <c r="A336"/>
      <c r="B336" s="24" t="str">
        <f t="shared" si="28"/>
        <v>-</v>
      </c>
      <c r="E336" s="2"/>
      <c r="F336"/>
      <c r="G336"/>
      <c r="H336"/>
      <c r="I336"/>
      <c r="J336"/>
      <c r="K336"/>
      <c r="L336"/>
      <c r="M336"/>
      <c r="N336" s="3"/>
      <c r="O336"/>
      <c r="P336"/>
      <c r="Q336"/>
      <c r="R336"/>
      <c r="S336"/>
      <c r="T336"/>
      <c r="U336"/>
      <c r="V336"/>
      <c r="W336"/>
      <c r="X336"/>
      <c r="Y336"/>
      <c r="Z336"/>
      <c r="AA336"/>
      <c r="AB336"/>
      <c r="AC336"/>
      <c r="AD336"/>
      <c r="AE336"/>
      <c r="AF336"/>
      <c r="AG336"/>
      <c r="AH336"/>
      <c r="AI336"/>
      <c r="AJ336"/>
      <c r="AK336"/>
      <c r="AL336"/>
      <c r="AM336"/>
      <c r="AN336"/>
      <c r="AO336"/>
      <c r="AP336"/>
    </row>
    <row r="337" spans="1:42" s="23" customFormat="1" x14ac:dyDescent="0.25">
      <c r="A337"/>
      <c r="B337" s="24" t="str">
        <f t="shared" si="28"/>
        <v>-</v>
      </c>
      <c r="E337" s="2"/>
      <c r="F337"/>
      <c r="G337"/>
      <c r="H337"/>
      <c r="I337"/>
      <c r="J337"/>
      <c r="K337"/>
      <c r="L337"/>
      <c r="M337"/>
      <c r="N337" s="3"/>
      <c r="O337"/>
      <c r="P337"/>
      <c r="Q337"/>
      <c r="R337"/>
      <c r="S337"/>
      <c r="T337"/>
      <c r="U337"/>
      <c r="V337"/>
      <c r="W337"/>
      <c r="X337"/>
      <c r="Y337"/>
      <c r="Z337"/>
      <c r="AA337"/>
      <c r="AB337"/>
      <c r="AC337"/>
      <c r="AD337"/>
      <c r="AE337"/>
      <c r="AF337"/>
      <c r="AG337"/>
      <c r="AH337"/>
      <c r="AI337"/>
      <c r="AJ337"/>
      <c r="AK337"/>
      <c r="AL337"/>
      <c r="AM337"/>
      <c r="AN337"/>
      <c r="AO337"/>
      <c r="AP337"/>
    </row>
    <row r="338" spans="1:42" s="23" customFormat="1" x14ac:dyDescent="0.25">
      <c r="A338"/>
      <c r="B338" s="24" t="str">
        <f t="shared" ref="B338:B401" si="29">IF(A338&gt;A337,1+B337,"-")</f>
        <v>-</v>
      </c>
      <c r="E338" s="2"/>
      <c r="F338"/>
      <c r="G338"/>
      <c r="H338"/>
      <c r="I338"/>
      <c r="J338"/>
      <c r="K338"/>
      <c r="L338"/>
      <c r="M338"/>
      <c r="N338" s="3"/>
      <c r="O338"/>
      <c r="P338"/>
      <c r="Q338"/>
      <c r="R338"/>
      <c r="S338"/>
      <c r="T338"/>
      <c r="U338"/>
      <c r="V338"/>
      <c r="W338"/>
      <c r="X338"/>
      <c r="Y338"/>
      <c r="Z338"/>
      <c r="AA338"/>
      <c r="AB338"/>
      <c r="AC338"/>
      <c r="AD338"/>
      <c r="AE338"/>
      <c r="AF338"/>
      <c r="AG338"/>
      <c r="AH338"/>
      <c r="AI338"/>
      <c r="AJ338"/>
      <c r="AK338"/>
      <c r="AL338"/>
      <c r="AM338"/>
      <c r="AN338"/>
      <c r="AO338"/>
      <c r="AP338"/>
    </row>
    <row r="339" spans="1:42" s="23" customFormat="1" x14ac:dyDescent="0.25">
      <c r="A339"/>
      <c r="B339" s="24" t="str">
        <f t="shared" si="29"/>
        <v>-</v>
      </c>
      <c r="E339" s="2"/>
      <c r="F339"/>
      <c r="G339"/>
      <c r="H339"/>
      <c r="I339"/>
      <c r="J339"/>
      <c r="K339"/>
      <c r="L339"/>
      <c r="M339"/>
      <c r="N339" s="3"/>
      <c r="O339"/>
      <c r="P339"/>
      <c r="Q339"/>
      <c r="R339"/>
      <c r="S339"/>
      <c r="T339"/>
      <c r="U339"/>
      <c r="V339"/>
      <c r="W339"/>
      <c r="X339"/>
      <c r="Y339"/>
      <c r="Z339"/>
      <c r="AA339"/>
      <c r="AB339"/>
      <c r="AC339"/>
      <c r="AD339"/>
      <c r="AE339"/>
      <c r="AF339"/>
      <c r="AG339"/>
      <c r="AH339"/>
      <c r="AI339"/>
      <c r="AJ339"/>
      <c r="AK339"/>
      <c r="AL339"/>
      <c r="AM339"/>
      <c r="AN339"/>
      <c r="AO339"/>
      <c r="AP339"/>
    </row>
    <row r="340" spans="1:42" s="23" customFormat="1" x14ac:dyDescent="0.25">
      <c r="A340"/>
      <c r="B340" s="24" t="str">
        <f t="shared" si="29"/>
        <v>-</v>
      </c>
      <c r="E340" s="2"/>
      <c r="F340"/>
      <c r="G340"/>
      <c r="H340"/>
      <c r="I340"/>
      <c r="J340"/>
      <c r="K340"/>
      <c r="L340"/>
      <c r="M340"/>
      <c r="N340" s="3"/>
      <c r="O340"/>
      <c r="P340"/>
      <c r="Q340"/>
      <c r="R340"/>
      <c r="S340"/>
      <c r="T340"/>
      <c r="U340"/>
      <c r="V340"/>
      <c r="W340"/>
      <c r="X340"/>
      <c r="Y340"/>
      <c r="Z340"/>
      <c r="AA340"/>
      <c r="AB340"/>
      <c r="AC340"/>
      <c r="AD340"/>
      <c r="AE340"/>
      <c r="AF340"/>
      <c r="AG340"/>
      <c r="AH340"/>
      <c r="AI340"/>
      <c r="AJ340"/>
      <c r="AK340"/>
      <c r="AL340"/>
      <c r="AM340"/>
      <c r="AN340"/>
      <c r="AO340"/>
      <c r="AP340"/>
    </row>
    <row r="341" spans="1:42" s="23" customFormat="1" x14ac:dyDescent="0.25">
      <c r="A341"/>
      <c r="B341" s="24" t="str">
        <f t="shared" si="29"/>
        <v>-</v>
      </c>
      <c r="E341" s="2"/>
      <c r="F341"/>
      <c r="G341"/>
      <c r="H341"/>
      <c r="I341"/>
      <c r="J341"/>
      <c r="K341"/>
      <c r="L341"/>
      <c r="M341"/>
      <c r="N341" s="3"/>
      <c r="O341"/>
      <c r="P341"/>
      <c r="Q341"/>
      <c r="R341"/>
      <c r="S341"/>
      <c r="T341"/>
      <c r="U341"/>
      <c r="V341"/>
      <c r="W341"/>
      <c r="X341"/>
      <c r="Y341"/>
      <c r="Z341"/>
      <c r="AA341"/>
      <c r="AB341"/>
      <c r="AC341"/>
      <c r="AD341"/>
      <c r="AE341"/>
      <c r="AF341"/>
      <c r="AG341"/>
      <c r="AH341"/>
      <c r="AI341"/>
      <c r="AJ341"/>
      <c r="AK341"/>
      <c r="AL341"/>
      <c r="AM341"/>
      <c r="AN341"/>
      <c r="AO341"/>
      <c r="AP341"/>
    </row>
    <row r="342" spans="1:42" s="23" customFormat="1" x14ac:dyDescent="0.25">
      <c r="A342"/>
      <c r="B342" s="24" t="str">
        <f t="shared" si="29"/>
        <v>-</v>
      </c>
      <c r="E342" s="2"/>
      <c r="F342"/>
      <c r="G342"/>
      <c r="H342"/>
      <c r="I342"/>
      <c r="J342"/>
      <c r="K342"/>
      <c r="L342"/>
      <c r="M342"/>
      <c r="N342" s="3"/>
      <c r="O342"/>
      <c r="P342"/>
      <c r="Q342"/>
      <c r="R342"/>
      <c r="S342"/>
      <c r="T342"/>
      <c r="U342"/>
      <c r="V342"/>
      <c r="W342"/>
      <c r="X342"/>
      <c r="Y342"/>
      <c r="Z342"/>
      <c r="AA342"/>
      <c r="AB342"/>
      <c r="AC342"/>
      <c r="AD342"/>
      <c r="AE342"/>
      <c r="AF342"/>
      <c r="AG342"/>
      <c r="AH342"/>
      <c r="AI342"/>
      <c r="AJ342"/>
      <c r="AK342"/>
      <c r="AL342"/>
      <c r="AM342"/>
      <c r="AN342"/>
      <c r="AO342"/>
      <c r="AP342"/>
    </row>
    <row r="343" spans="1:42" s="23" customFormat="1" x14ac:dyDescent="0.25">
      <c r="A343"/>
      <c r="B343" s="24" t="str">
        <f t="shared" si="29"/>
        <v>-</v>
      </c>
      <c r="E343" s="2"/>
      <c r="F343"/>
      <c r="G343"/>
      <c r="H343"/>
      <c r="I343"/>
      <c r="J343"/>
      <c r="K343"/>
      <c r="L343"/>
      <c r="M343"/>
      <c r="N343" s="3"/>
      <c r="O343"/>
      <c r="P343"/>
      <c r="Q343"/>
      <c r="R343"/>
      <c r="S343"/>
      <c r="T343"/>
      <c r="U343"/>
      <c r="V343"/>
      <c r="W343"/>
      <c r="X343"/>
      <c r="Y343"/>
      <c r="Z343"/>
      <c r="AA343"/>
      <c r="AB343"/>
      <c r="AC343"/>
      <c r="AD343"/>
      <c r="AE343"/>
      <c r="AF343"/>
      <c r="AG343"/>
      <c r="AH343"/>
      <c r="AI343"/>
      <c r="AJ343"/>
      <c r="AK343"/>
      <c r="AL343"/>
      <c r="AM343"/>
      <c r="AN343"/>
      <c r="AO343"/>
      <c r="AP343"/>
    </row>
    <row r="344" spans="1:42" s="23" customFormat="1" x14ac:dyDescent="0.25">
      <c r="A344"/>
      <c r="B344" s="24" t="str">
        <f t="shared" si="29"/>
        <v>-</v>
      </c>
      <c r="E344" s="2"/>
      <c r="F344"/>
      <c r="G344"/>
      <c r="H344"/>
      <c r="I344"/>
      <c r="J344"/>
      <c r="K344"/>
      <c r="L344"/>
      <c r="M344"/>
      <c r="N344" s="3"/>
      <c r="O344"/>
      <c r="P344"/>
      <c r="Q344"/>
      <c r="R344"/>
      <c r="S344"/>
      <c r="T344"/>
      <c r="U344"/>
      <c r="V344"/>
      <c r="W344"/>
      <c r="X344"/>
      <c r="Y344"/>
      <c r="Z344"/>
      <c r="AA344"/>
      <c r="AB344"/>
      <c r="AC344"/>
      <c r="AD344"/>
      <c r="AE344"/>
      <c r="AF344"/>
      <c r="AG344"/>
      <c r="AH344"/>
      <c r="AI344"/>
      <c r="AJ344"/>
      <c r="AK344"/>
      <c r="AL344"/>
      <c r="AM344"/>
      <c r="AN344"/>
      <c r="AO344"/>
      <c r="AP344"/>
    </row>
    <row r="345" spans="1:42" s="23" customFormat="1" x14ac:dyDescent="0.25">
      <c r="A345"/>
      <c r="B345" s="24" t="str">
        <f t="shared" si="29"/>
        <v>-</v>
      </c>
      <c r="E345" s="2"/>
      <c r="F345"/>
      <c r="G345"/>
      <c r="H345"/>
      <c r="I345"/>
      <c r="J345"/>
      <c r="K345"/>
      <c r="L345"/>
      <c r="M345"/>
      <c r="N345" s="3"/>
      <c r="O345"/>
      <c r="P345"/>
      <c r="Q345"/>
      <c r="R345"/>
      <c r="S345"/>
      <c r="T345"/>
      <c r="U345"/>
      <c r="V345"/>
      <c r="W345"/>
      <c r="X345"/>
      <c r="Y345"/>
      <c r="Z345"/>
      <c r="AA345"/>
      <c r="AB345"/>
      <c r="AC345"/>
      <c r="AD345"/>
      <c r="AE345"/>
      <c r="AF345"/>
      <c r="AG345"/>
      <c r="AH345"/>
      <c r="AI345"/>
      <c r="AJ345"/>
      <c r="AK345"/>
      <c r="AL345"/>
      <c r="AM345"/>
      <c r="AN345"/>
      <c r="AO345"/>
      <c r="AP345"/>
    </row>
    <row r="346" spans="1:42" s="23" customFormat="1" x14ac:dyDescent="0.25">
      <c r="A346"/>
      <c r="B346" s="24" t="str">
        <f t="shared" si="29"/>
        <v>-</v>
      </c>
      <c r="E346" s="2"/>
      <c r="F346"/>
      <c r="G346"/>
      <c r="H346"/>
      <c r="I346"/>
      <c r="J346"/>
      <c r="K346"/>
      <c r="L346"/>
      <c r="M346"/>
      <c r="N346" s="3"/>
      <c r="O346"/>
      <c r="P346"/>
      <c r="Q346"/>
      <c r="R346"/>
      <c r="S346"/>
      <c r="T346"/>
      <c r="U346"/>
      <c r="V346"/>
      <c r="W346"/>
      <c r="X346"/>
      <c r="Y346"/>
      <c r="Z346"/>
      <c r="AA346"/>
      <c r="AB346"/>
      <c r="AC346"/>
      <c r="AD346"/>
      <c r="AE346"/>
      <c r="AF346"/>
      <c r="AG346"/>
      <c r="AH346"/>
      <c r="AI346"/>
      <c r="AJ346"/>
      <c r="AK346"/>
      <c r="AL346"/>
      <c r="AM346"/>
      <c r="AN346"/>
      <c r="AO346"/>
      <c r="AP346"/>
    </row>
    <row r="347" spans="1:42" s="23" customFormat="1" x14ac:dyDescent="0.25">
      <c r="A347"/>
      <c r="B347" s="24" t="str">
        <f t="shared" si="29"/>
        <v>-</v>
      </c>
      <c r="E347" s="2"/>
      <c r="F347"/>
      <c r="G347"/>
      <c r="H347"/>
      <c r="I347"/>
      <c r="J347"/>
      <c r="K347"/>
      <c r="L347"/>
      <c r="M347"/>
      <c r="N347" s="3"/>
      <c r="O347"/>
      <c r="P347"/>
      <c r="Q347"/>
      <c r="R347"/>
      <c r="S347"/>
      <c r="T347"/>
      <c r="U347"/>
      <c r="V347"/>
      <c r="W347"/>
      <c r="X347"/>
      <c r="Y347"/>
      <c r="Z347"/>
      <c r="AA347"/>
      <c r="AB347"/>
      <c r="AC347"/>
      <c r="AD347"/>
      <c r="AE347"/>
      <c r="AF347"/>
      <c r="AG347"/>
      <c r="AH347"/>
      <c r="AI347"/>
      <c r="AJ347"/>
      <c r="AK347"/>
      <c r="AL347"/>
      <c r="AM347"/>
      <c r="AN347"/>
      <c r="AO347"/>
      <c r="AP347"/>
    </row>
    <row r="348" spans="1:42" s="23" customFormat="1" x14ac:dyDescent="0.25">
      <c r="A348"/>
      <c r="B348" s="24" t="str">
        <f t="shared" si="29"/>
        <v>-</v>
      </c>
      <c r="E348" s="2"/>
      <c r="F348"/>
      <c r="G348"/>
      <c r="H348"/>
      <c r="I348"/>
      <c r="J348"/>
      <c r="K348"/>
      <c r="L348"/>
      <c r="M348"/>
      <c r="N348" s="3"/>
      <c r="O348"/>
      <c r="P348"/>
      <c r="Q348"/>
      <c r="R348"/>
      <c r="S348"/>
      <c r="T348"/>
      <c r="U348"/>
      <c r="V348"/>
      <c r="W348"/>
      <c r="X348"/>
      <c r="Y348"/>
      <c r="Z348"/>
      <c r="AA348"/>
      <c r="AB348"/>
      <c r="AC348"/>
      <c r="AD348"/>
      <c r="AE348"/>
      <c r="AF348"/>
      <c r="AG348"/>
      <c r="AH348"/>
      <c r="AI348"/>
      <c r="AJ348"/>
      <c r="AK348"/>
      <c r="AL348"/>
      <c r="AM348"/>
      <c r="AN348"/>
      <c r="AO348"/>
      <c r="AP348"/>
    </row>
    <row r="349" spans="1:42" s="23" customFormat="1" x14ac:dyDescent="0.25">
      <c r="A349"/>
      <c r="B349" s="24" t="str">
        <f t="shared" si="29"/>
        <v>-</v>
      </c>
      <c r="E349" s="2"/>
      <c r="F349"/>
      <c r="G349"/>
      <c r="H349"/>
      <c r="I349"/>
      <c r="J349"/>
      <c r="K349"/>
      <c r="L349"/>
      <c r="M349"/>
      <c r="N349" s="3"/>
      <c r="O349"/>
      <c r="P349"/>
      <c r="Q349"/>
      <c r="R349"/>
      <c r="S349"/>
      <c r="T349"/>
      <c r="U349"/>
      <c r="V349"/>
      <c r="W349"/>
      <c r="X349"/>
      <c r="Y349"/>
      <c r="Z349"/>
      <c r="AA349"/>
      <c r="AB349"/>
      <c r="AC349"/>
      <c r="AD349"/>
      <c r="AE349"/>
      <c r="AF349"/>
      <c r="AG349"/>
      <c r="AH349"/>
      <c r="AI349"/>
      <c r="AJ349"/>
      <c r="AK349"/>
      <c r="AL349"/>
      <c r="AM349"/>
      <c r="AN349"/>
      <c r="AO349"/>
      <c r="AP349"/>
    </row>
    <row r="350" spans="1:42" s="23" customFormat="1" x14ac:dyDescent="0.25">
      <c r="A350"/>
      <c r="B350" s="24" t="str">
        <f t="shared" si="29"/>
        <v>-</v>
      </c>
      <c r="E350" s="2"/>
      <c r="F350"/>
      <c r="G350"/>
      <c r="H350"/>
      <c r="I350"/>
      <c r="J350"/>
      <c r="K350"/>
      <c r="L350"/>
      <c r="M350"/>
      <c r="N350" s="3"/>
      <c r="O350"/>
      <c r="P350"/>
      <c r="Q350"/>
      <c r="R350"/>
      <c r="S350"/>
      <c r="T350"/>
      <c r="U350"/>
      <c r="V350"/>
      <c r="W350"/>
      <c r="X350"/>
      <c r="Y350"/>
      <c r="Z350"/>
      <c r="AA350"/>
      <c r="AB350"/>
      <c r="AC350"/>
      <c r="AD350"/>
      <c r="AE350"/>
      <c r="AF350"/>
      <c r="AG350"/>
      <c r="AH350"/>
      <c r="AI350"/>
      <c r="AJ350"/>
      <c r="AK350"/>
      <c r="AL350"/>
      <c r="AM350"/>
      <c r="AN350"/>
      <c r="AO350"/>
      <c r="AP350"/>
    </row>
    <row r="351" spans="1:42" s="23" customFormat="1" x14ac:dyDescent="0.25">
      <c r="A351"/>
      <c r="B351" s="24" t="str">
        <f t="shared" si="29"/>
        <v>-</v>
      </c>
      <c r="E351" s="2"/>
      <c r="F351"/>
      <c r="G351"/>
      <c r="H351"/>
      <c r="I351"/>
      <c r="J351"/>
      <c r="K351"/>
      <c r="L351"/>
      <c r="M351"/>
      <c r="N351" s="3"/>
      <c r="O351"/>
      <c r="P351"/>
      <c r="Q351"/>
      <c r="R351"/>
      <c r="S351"/>
      <c r="T351"/>
      <c r="U351"/>
      <c r="V351"/>
      <c r="W351"/>
      <c r="X351"/>
      <c r="Y351"/>
      <c r="Z351"/>
      <c r="AA351"/>
      <c r="AB351"/>
      <c r="AC351"/>
      <c r="AD351"/>
      <c r="AE351"/>
      <c r="AF351"/>
      <c r="AG351"/>
      <c r="AH351"/>
      <c r="AI351"/>
      <c r="AJ351"/>
      <c r="AK351"/>
      <c r="AL351"/>
      <c r="AM351"/>
      <c r="AN351"/>
      <c r="AO351"/>
      <c r="AP351"/>
    </row>
    <row r="352" spans="1:42" s="23" customFormat="1" x14ac:dyDescent="0.25">
      <c r="A352"/>
      <c r="B352" s="24" t="str">
        <f t="shared" si="29"/>
        <v>-</v>
      </c>
      <c r="E352" s="2"/>
      <c r="F352"/>
      <c r="G352"/>
      <c r="H352"/>
      <c r="I352"/>
      <c r="J352"/>
      <c r="K352"/>
      <c r="L352"/>
      <c r="M352"/>
      <c r="N352" s="3"/>
      <c r="O352"/>
      <c r="P352"/>
      <c r="Q352"/>
      <c r="R352"/>
      <c r="S352"/>
      <c r="T352"/>
      <c r="U352"/>
      <c r="V352"/>
      <c r="W352"/>
      <c r="X352"/>
      <c r="Y352"/>
      <c r="Z352"/>
      <c r="AA352"/>
      <c r="AB352"/>
      <c r="AC352"/>
      <c r="AD352"/>
      <c r="AE352"/>
      <c r="AF352"/>
      <c r="AG352"/>
      <c r="AH352"/>
      <c r="AI352"/>
      <c r="AJ352"/>
      <c r="AK352"/>
      <c r="AL352"/>
      <c r="AM352"/>
      <c r="AN352"/>
      <c r="AO352"/>
      <c r="AP352"/>
    </row>
    <row r="353" spans="1:42" s="23" customFormat="1" x14ac:dyDescent="0.25">
      <c r="A353"/>
      <c r="B353" s="24" t="str">
        <f t="shared" si="29"/>
        <v>-</v>
      </c>
      <c r="E353" s="2"/>
      <c r="F353"/>
      <c r="G353"/>
      <c r="H353"/>
      <c r="I353"/>
      <c r="J353"/>
      <c r="K353"/>
      <c r="L353"/>
      <c r="M353"/>
      <c r="N353" s="3"/>
      <c r="O353"/>
      <c r="P353"/>
      <c r="Q353"/>
      <c r="R353"/>
      <c r="S353"/>
      <c r="T353"/>
      <c r="U353"/>
      <c r="V353"/>
      <c r="W353"/>
      <c r="X353"/>
      <c r="Y353"/>
      <c r="Z353"/>
      <c r="AA353"/>
      <c r="AB353"/>
      <c r="AC353"/>
      <c r="AD353"/>
      <c r="AE353"/>
      <c r="AF353"/>
      <c r="AG353"/>
      <c r="AH353"/>
      <c r="AI353"/>
      <c r="AJ353"/>
      <c r="AK353"/>
      <c r="AL353"/>
      <c r="AM353"/>
      <c r="AN353"/>
      <c r="AO353"/>
      <c r="AP353"/>
    </row>
    <row r="354" spans="1:42" s="23" customFormat="1" x14ac:dyDescent="0.25">
      <c r="A354"/>
      <c r="B354" s="24" t="str">
        <f t="shared" si="29"/>
        <v>-</v>
      </c>
      <c r="E354" s="2"/>
      <c r="F354"/>
      <c r="G354"/>
      <c r="H354"/>
      <c r="I354"/>
      <c r="J354"/>
      <c r="K354"/>
      <c r="L354"/>
      <c r="M354"/>
      <c r="N354" s="3"/>
      <c r="O354"/>
      <c r="P354"/>
      <c r="Q354"/>
      <c r="R354"/>
      <c r="S354"/>
      <c r="T354"/>
      <c r="U354"/>
      <c r="V354"/>
      <c r="W354"/>
      <c r="X354"/>
      <c r="Y354"/>
      <c r="Z354"/>
      <c r="AA354"/>
      <c r="AB354"/>
      <c r="AC354"/>
      <c r="AD354"/>
      <c r="AE354"/>
      <c r="AF354"/>
      <c r="AG354"/>
      <c r="AH354"/>
      <c r="AI354"/>
      <c r="AJ354"/>
      <c r="AK354"/>
      <c r="AL354"/>
      <c r="AM354"/>
      <c r="AN354"/>
      <c r="AO354"/>
      <c r="AP354"/>
    </row>
    <row r="355" spans="1:42" s="23" customFormat="1" x14ac:dyDescent="0.25">
      <c r="A355"/>
      <c r="B355" s="24" t="str">
        <f t="shared" si="29"/>
        <v>-</v>
      </c>
      <c r="E355" s="2"/>
      <c r="F355"/>
      <c r="G355"/>
      <c r="H355"/>
      <c r="I355"/>
      <c r="J355"/>
      <c r="K355"/>
      <c r="L355"/>
      <c r="M355"/>
      <c r="N355" s="3"/>
      <c r="O355"/>
      <c r="P355"/>
      <c r="Q355"/>
      <c r="R355"/>
      <c r="S355"/>
      <c r="T355"/>
      <c r="U355"/>
      <c r="V355"/>
      <c r="W355"/>
      <c r="X355"/>
      <c r="Y355"/>
      <c r="Z355"/>
      <c r="AA355"/>
      <c r="AB355"/>
      <c r="AC355"/>
      <c r="AD355"/>
      <c r="AE355"/>
      <c r="AF355"/>
      <c r="AG355"/>
      <c r="AH355"/>
      <c r="AI355"/>
      <c r="AJ355"/>
      <c r="AK355"/>
      <c r="AL355"/>
      <c r="AM355"/>
      <c r="AN355"/>
      <c r="AO355"/>
      <c r="AP355"/>
    </row>
    <row r="356" spans="1:42" s="23" customFormat="1" x14ac:dyDescent="0.25">
      <c r="A356"/>
      <c r="B356" s="24" t="str">
        <f t="shared" si="29"/>
        <v>-</v>
      </c>
      <c r="E356" s="2"/>
      <c r="F356"/>
      <c r="G356"/>
      <c r="H356"/>
      <c r="I356"/>
      <c r="J356"/>
      <c r="K356"/>
      <c r="L356"/>
      <c r="M356"/>
      <c r="N356" s="3"/>
      <c r="O356"/>
      <c r="P356"/>
      <c r="Q356"/>
      <c r="R356"/>
      <c r="S356"/>
      <c r="T356"/>
      <c r="U356"/>
      <c r="V356"/>
      <c r="W356"/>
      <c r="X356"/>
      <c r="Y356"/>
      <c r="Z356"/>
      <c r="AA356"/>
      <c r="AB356"/>
      <c r="AC356"/>
      <c r="AD356"/>
      <c r="AE356"/>
      <c r="AF356"/>
      <c r="AG356"/>
      <c r="AH356"/>
      <c r="AI356"/>
      <c r="AJ356"/>
      <c r="AK356"/>
      <c r="AL356"/>
      <c r="AM356"/>
      <c r="AN356"/>
      <c r="AO356"/>
      <c r="AP356"/>
    </row>
    <row r="357" spans="1:42" s="23" customFormat="1" x14ac:dyDescent="0.25">
      <c r="A357"/>
      <c r="B357" s="24" t="str">
        <f t="shared" si="29"/>
        <v>-</v>
      </c>
      <c r="E357" s="2"/>
      <c r="F357"/>
      <c r="G357"/>
      <c r="H357"/>
      <c r="I357"/>
      <c r="J357"/>
      <c r="K357"/>
      <c r="L357"/>
      <c r="M357"/>
      <c r="N357" s="3"/>
      <c r="O357"/>
      <c r="P357"/>
      <c r="Q357"/>
      <c r="R357"/>
      <c r="S357"/>
      <c r="T357"/>
      <c r="U357"/>
      <c r="V357"/>
      <c r="W357"/>
      <c r="X357"/>
      <c r="Y357"/>
      <c r="Z357"/>
      <c r="AA357"/>
      <c r="AB357"/>
      <c r="AC357"/>
      <c r="AD357"/>
      <c r="AE357"/>
      <c r="AF357"/>
      <c r="AG357"/>
      <c r="AH357"/>
      <c r="AI357"/>
      <c r="AJ357"/>
      <c r="AK357"/>
      <c r="AL357"/>
      <c r="AM357"/>
      <c r="AN357"/>
      <c r="AO357"/>
      <c r="AP357"/>
    </row>
    <row r="358" spans="1:42" s="23" customFormat="1" x14ac:dyDescent="0.25">
      <c r="A358"/>
      <c r="B358" s="24" t="str">
        <f t="shared" si="29"/>
        <v>-</v>
      </c>
      <c r="E358" s="2"/>
      <c r="F358"/>
      <c r="G358"/>
      <c r="H358"/>
      <c r="I358"/>
      <c r="J358"/>
      <c r="K358"/>
      <c r="L358"/>
      <c r="M358"/>
      <c r="N358" s="3"/>
      <c r="O358"/>
      <c r="P358"/>
      <c r="Q358"/>
      <c r="R358"/>
      <c r="S358"/>
      <c r="T358"/>
      <c r="U358"/>
      <c r="V358"/>
      <c r="W358"/>
      <c r="X358"/>
      <c r="Y358"/>
      <c r="Z358"/>
      <c r="AA358"/>
      <c r="AB358"/>
      <c r="AC358"/>
      <c r="AD358"/>
      <c r="AE358"/>
      <c r="AF358"/>
      <c r="AG358"/>
      <c r="AH358"/>
      <c r="AI358"/>
      <c r="AJ358"/>
      <c r="AK358"/>
      <c r="AL358"/>
      <c r="AM358"/>
      <c r="AN358"/>
      <c r="AO358"/>
      <c r="AP358"/>
    </row>
    <row r="359" spans="1:42" s="23" customFormat="1" x14ac:dyDescent="0.25">
      <c r="A359"/>
      <c r="B359" s="24" t="str">
        <f t="shared" si="29"/>
        <v>-</v>
      </c>
      <c r="E359" s="2"/>
      <c r="F359"/>
      <c r="G359"/>
      <c r="H359"/>
      <c r="I359"/>
      <c r="J359"/>
      <c r="K359"/>
      <c r="L359"/>
      <c r="M359"/>
      <c r="N359" s="3"/>
      <c r="O359"/>
      <c r="P359"/>
      <c r="Q359"/>
      <c r="R359"/>
      <c r="S359"/>
      <c r="T359"/>
      <c r="U359"/>
      <c r="V359"/>
      <c r="W359"/>
      <c r="X359"/>
      <c r="Y359"/>
      <c r="Z359"/>
      <c r="AA359"/>
      <c r="AB359"/>
      <c r="AC359"/>
      <c r="AD359"/>
      <c r="AE359"/>
      <c r="AF359"/>
      <c r="AG359"/>
      <c r="AH359"/>
      <c r="AI359"/>
      <c r="AJ359"/>
      <c r="AK359"/>
      <c r="AL359"/>
      <c r="AM359"/>
      <c r="AN359"/>
      <c r="AO359"/>
      <c r="AP359"/>
    </row>
    <row r="360" spans="1:42" s="23" customFormat="1" x14ac:dyDescent="0.25">
      <c r="A360"/>
      <c r="B360" s="24" t="str">
        <f t="shared" si="29"/>
        <v>-</v>
      </c>
      <c r="E360" s="2"/>
      <c r="F360"/>
      <c r="G360"/>
      <c r="H360"/>
      <c r="I360"/>
      <c r="J360"/>
      <c r="K360"/>
      <c r="L360"/>
      <c r="M360"/>
      <c r="N360" s="3"/>
      <c r="O360"/>
      <c r="P360"/>
      <c r="Q360"/>
      <c r="R360"/>
      <c r="S360"/>
      <c r="T360"/>
      <c r="U360"/>
      <c r="V360"/>
      <c r="W360"/>
      <c r="X360"/>
      <c r="Y360"/>
      <c r="Z360"/>
      <c r="AA360"/>
      <c r="AB360"/>
      <c r="AC360"/>
      <c r="AD360"/>
      <c r="AE360"/>
      <c r="AF360"/>
      <c r="AG360"/>
      <c r="AH360"/>
      <c r="AI360"/>
      <c r="AJ360"/>
      <c r="AK360"/>
      <c r="AL360"/>
      <c r="AM360"/>
      <c r="AN360"/>
      <c r="AO360"/>
      <c r="AP360"/>
    </row>
    <row r="361" spans="1:42" s="23" customFormat="1" x14ac:dyDescent="0.25">
      <c r="A361"/>
      <c r="B361" s="24" t="str">
        <f t="shared" si="29"/>
        <v>-</v>
      </c>
      <c r="E361" s="2"/>
      <c r="F361"/>
      <c r="G361"/>
      <c r="H361"/>
      <c r="I361"/>
      <c r="J361"/>
      <c r="K361"/>
      <c r="L361"/>
      <c r="M361"/>
      <c r="N361" s="3"/>
      <c r="O361"/>
      <c r="P361"/>
      <c r="Q361"/>
      <c r="R361"/>
      <c r="S361"/>
      <c r="T361"/>
      <c r="U361"/>
      <c r="V361"/>
      <c r="W361"/>
      <c r="X361"/>
      <c r="Y361"/>
      <c r="Z361"/>
      <c r="AA361"/>
      <c r="AB361"/>
      <c r="AC361"/>
      <c r="AD361"/>
      <c r="AE361"/>
      <c r="AF361"/>
      <c r="AG361"/>
      <c r="AH361"/>
      <c r="AI361"/>
      <c r="AJ361"/>
      <c r="AK361"/>
      <c r="AL361"/>
      <c r="AM361"/>
      <c r="AN361"/>
      <c r="AO361"/>
      <c r="AP361"/>
    </row>
    <row r="362" spans="1:42" s="23" customFormat="1" x14ac:dyDescent="0.25">
      <c r="A362"/>
      <c r="B362" s="24" t="str">
        <f t="shared" si="29"/>
        <v>-</v>
      </c>
      <c r="E362" s="2"/>
      <c r="F362"/>
      <c r="G362"/>
      <c r="H362"/>
      <c r="I362"/>
      <c r="J362"/>
      <c r="K362"/>
      <c r="L362"/>
      <c r="M362"/>
      <c r="N362" s="3"/>
      <c r="O362"/>
      <c r="P362"/>
      <c r="Q362"/>
      <c r="R362"/>
      <c r="S362"/>
      <c r="T362"/>
      <c r="U362"/>
      <c r="V362"/>
      <c r="W362"/>
      <c r="X362"/>
      <c r="Y362"/>
      <c r="Z362"/>
      <c r="AA362"/>
      <c r="AB362"/>
      <c r="AC362"/>
      <c r="AD362"/>
      <c r="AE362"/>
      <c r="AF362"/>
      <c r="AG362"/>
      <c r="AH362"/>
      <c r="AI362"/>
      <c r="AJ362"/>
      <c r="AK362"/>
      <c r="AL362"/>
      <c r="AM362"/>
      <c r="AN362"/>
      <c r="AO362"/>
      <c r="AP362"/>
    </row>
    <row r="363" spans="1:42" s="23" customFormat="1" x14ac:dyDescent="0.25">
      <c r="A363"/>
      <c r="B363" s="24" t="str">
        <f t="shared" si="29"/>
        <v>-</v>
      </c>
      <c r="E363" s="2"/>
      <c r="F363"/>
      <c r="G363"/>
      <c r="H363"/>
      <c r="I363"/>
      <c r="J363"/>
      <c r="K363"/>
      <c r="L363"/>
      <c r="M363"/>
      <c r="N363" s="3"/>
      <c r="O363"/>
      <c r="P363"/>
      <c r="Q363"/>
      <c r="R363"/>
      <c r="S363"/>
      <c r="T363"/>
      <c r="U363"/>
      <c r="V363"/>
      <c r="W363"/>
      <c r="X363"/>
      <c r="Y363"/>
      <c r="Z363"/>
      <c r="AA363"/>
      <c r="AB363"/>
      <c r="AC363"/>
      <c r="AD363"/>
      <c r="AE363"/>
      <c r="AF363"/>
      <c r="AG363"/>
      <c r="AH363"/>
      <c r="AI363"/>
      <c r="AJ363"/>
      <c r="AK363"/>
      <c r="AL363"/>
      <c r="AM363"/>
      <c r="AN363"/>
      <c r="AO363"/>
      <c r="AP363"/>
    </row>
    <row r="364" spans="1:42" s="23" customFormat="1" x14ac:dyDescent="0.25">
      <c r="A364"/>
      <c r="B364" s="24" t="str">
        <f t="shared" si="29"/>
        <v>-</v>
      </c>
      <c r="E364" s="2"/>
      <c r="F364"/>
      <c r="G364"/>
      <c r="H364"/>
      <c r="I364"/>
      <c r="J364"/>
      <c r="K364"/>
      <c r="L364"/>
      <c r="M364"/>
      <c r="N364" s="3"/>
      <c r="O364"/>
      <c r="P364"/>
      <c r="Q364"/>
      <c r="R364"/>
      <c r="S364"/>
      <c r="T364"/>
      <c r="U364"/>
      <c r="V364"/>
      <c r="W364"/>
      <c r="X364"/>
      <c r="Y364"/>
      <c r="Z364"/>
      <c r="AA364"/>
      <c r="AB364"/>
      <c r="AC364"/>
      <c r="AD364"/>
      <c r="AE364"/>
      <c r="AF364"/>
      <c r="AG364"/>
      <c r="AH364"/>
      <c r="AI364"/>
      <c r="AJ364"/>
      <c r="AK364"/>
      <c r="AL364"/>
      <c r="AM364"/>
      <c r="AN364"/>
      <c r="AO364"/>
      <c r="AP364"/>
    </row>
    <row r="365" spans="1:42" s="23" customFormat="1" x14ac:dyDescent="0.25">
      <c r="A365"/>
      <c r="B365" s="24" t="str">
        <f t="shared" si="29"/>
        <v>-</v>
      </c>
      <c r="E365" s="2"/>
      <c r="F365"/>
      <c r="G365"/>
      <c r="H365"/>
      <c r="I365"/>
      <c r="J365"/>
      <c r="K365"/>
      <c r="L365"/>
      <c r="M365"/>
      <c r="N365" s="3"/>
      <c r="O365"/>
      <c r="P365"/>
      <c r="Q365"/>
      <c r="R365"/>
      <c r="S365"/>
      <c r="T365"/>
      <c r="U365"/>
      <c r="V365"/>
      <c r="W365"/>
      <c r="X365"/>
      <c r="Y365"/>
      <c r="Z365"/>
      <c r="AA365"/>
      <c r="AB365"/>
      <c r="AC365"/>
      <c r="AD365"/>
      <c r="AE365"/>
      <c r="AF365"/>
      <c r="AG365"/>
      <c r="AH365"/>
      <c r="AI365"/>
      <c r="AJ365"/>
      <c r="AK365"/>
      <c r="AL365"/>
      <c r="AM365"/>
      <c r="AN365"/>
      <c r="AO365"/>
      <c r="AP365"/>
    </row>
    <row r="366" spans="1:42" s="23" customFormat="1" x14ac:dyDescent="0.25">
      <c r="A366"/>
      <c r="B366" s="24" t="str">
        <f t="shared" si="29"/>
        <v>-</v>
      </c>
      <c r="E366" s="2"/>
      <c r="F366"/>
      <c r="G366"/>
      <c r="H366"/>
      <c r="I366"/>
      <c r="J366"/>
      <c r="K366"/>
      <c r="L366"/>
      <c r="M366"/>
      <c r="N366" s="3"/>
      <c r="O366"/>
      <c r="P366"/>
      <c r="Q366"/>
      <c r="R366"/>
      <c r="S366"/>
      <c r="T366"/>
      <c r="U366"/>
      <c r="V366"/>
      <c r="W366"/>
      <c r="X366"/>
      <c r="Y366"/>
      <c r="Z366"/>
      <c r="AA366"/>
      <c r="AB366"/>
      <c r="AC366"/>
      <c r="AD366"/>
      <c r="AE366"/>
      <c r="AF366"/>
      <c r="AG366"/>
      <c r="AH366"/>
      <c r="AI366"/>
      <c r="AJ366"/>
      <c r="AK366"/>
      <c r="AL366"/>
      <c r="AM366"/>
      <c r="AN366"/>
      <c r="AO366"/>
      <c r="AP366"/>
    </row>
    <row r="367" spans="1:42" s="23" customFormat="1" x14ac:dyDescent="0.25">
      <c r="A367"/>
      <c r="B367" s="24" t="str">
        <f t="shared" si="29"/>
        <v>-</v>
      </c>
      <c r="E367" s="2"/>
      <c r="F367"/>
      <c r="G367"/>
      <c r="H367"/>
      <c r="I367"/>
      <c r="J367"/>
      <c r="K367"/>
      <c r="L367"/>
      <c r="M367"/>
      <c r="N367" s="3"/>
      <c r="O367"/>
      <c r="P367"/>
      <c r="Q367"/>
      <c r="R367"/>
      <c r="S367"/>
      <c r="T367"/>
      <c r="U367"/>
      <c r="V367"/>
      <c r="W367"/>
      <c r="X367"/>
      <c r="Y367"/>
      <c r="Z367"/>
      <c r="AA367"/>
      <c r="AB367"/>
      <c r="AC367"/>
      <c r="AD367"/>
      <c r="AE367"/>
      <c r="AF367"/>
      <c r="AG367"/>
      <c r="AH367"/>
      <c r="AI367"/>
      <c r="AJ367"/>
      <c r="AK367"/>
      <c r="AL367"/>
      <c r="AM367"/>
      <c r="AN367"/>
      <c r="AO367"/>
      <c r="AP367"/>
    </row>
    <row r="368" spans="1:42" s="23" customFormat="1" x14ac:dyDescent="0.25">
      <c r="A368"/>
      <c r="B368" s="24" t="str">
        <f t="shared" si="29"/>
        <v>-</v>
      </c>
      <c r="E368" s="2"/>
      <c r="F368"/>
      <c r="G368"/>
      <c r="H368"/>
      <c r="I368"/>
      <c r="J368"/>
      <c r="K368"/>
      <c r="L368"/>
      <c r="M368"/>
      <c r="N368" s="3"/>
      <c r="O368"/>
      <c r="P368"/>
      <c r="Q368"/>
      <c r="R368"/>
      <c r="S368"/>
      <c r="T368"/>
      <c r="U368"/>
      <c r="V368"/>
      <c r="W368"/>
      <c r="X368"/>
      <c r="Y368"/>
      <c r="Z368"/>
      <c r="AA368"/>
      <c r="AB368"/>
      <c r="AC368"/>
      <c r="AD368"/>
      <c r="AE368"/>
      <c r="AF368"/>
      <c r="AG368"/>
      <c r="AH368"/>
      <c r="AI368"/>
      <c r="AJ368"/>
      <c r="AK368"/>
      <c r="AL368"/>
      <c r="AM368"/>
      <c r="AN368"/>
      <c r="AO368"/>
      <c r="AP368"/>
    </row>
    <row r="369" spans="1:42" s="23" customFormat="1" x14ac:dyDescent="0.25">
      <c r="A369"/>
      <c r="B369" s="24" t="str">
        <f t="shared" si="29"/>
        <v>-</v>
      </c>
      <c r="E369" s="2"/>
      <c r="F369"/>
      <c r="G369"/>
      <c r="H369"/>
      <c r="I369"/>
      <c r="J369"/>
      <c r="K369"/>
      <c r="L369"/>
      <c r="M369"/>
      <c r="N369" s="3"/>
      <c r="O369"/>
      <c r="P369"/>
      <c r="Q369"/>
      <c r="R369"/>
      <c r="S369"/>
      <c r="T369"/>
      <c r="U369"/>
      <c r="V369"/>
      <c r="W369"/>
      <c r="X369"/>
      <c r="Y369"/>
      <c r="Z369"/>
      <c r="AA369"/>
      <c r="AB369"/>
      <c r="AC369"/>
      <c r="AD369"/>
      <c r="AE369"/>
      <c r="AF369"/>
      <c r="AG369"/>
      <c r="AH369"/>
      <c r="AI369"/>
      <c r="AJ369"/>
      <c r="AK369"/>
      <c r="AL369"/>
      <c r="AM369"/>
      <c r="AN369"/>
      <c r="AO369"/>
      <c r="AP369"/>
    </row>
    <row r="370" spans="1:42" s="23" customFormat="1" x14ac:dyDescent="0.25">
      <c r="A370"/>
      <c r="B370" s="24" t="str">
        <f t="shared" si="29"/>
        <v>-</v>
      </c>
      <c r="E370" s="2"/>
      <c r="F370"/>
      <c r="G370"/>
      <c r="H370"/>
      <c r="I370"/>
      <c r="J370"/>
      <c r="K370"/>
      <c r="L370"/>
      <c r="M370"/>
      <c r="N370" s="3"/>
      <c r="O370"/>
      <c r="P370"/>
      <c r="Q370"/>
      <c r="R370"/>
      <c r="S370"/>
      <c r="T370"/>
      <c r="U370"/>
      <c r="V370"/>
      <c r="W370"/>
      <c r="X370"/>
      <c r="Y370"/>
      <c r="Z370"/>
      <c r="AA370"/>
      <c r="AB370"/>
      <c r="AC370"/>
      <c r="AD370"/>
      <c r="AE370"/>
      <c r="AF370"/>
      <c r="AG370"/>
      <c r="AH370"/>
      <c r="AI370"/>
      <c r="AJ370"/>
      <c r="AK370"/>
      <c r="AL370"/>
      <c r="AM370"/>
      <c r="AN370"/>
      <c r="AO370"/>
      <c r="AP370"/>
    </row>
    <row r="371" spans="1:42" s="23" customFormat="1" x14ac:dyDescent="0.25">
      <c r="A371"/>
      <c r="B371" s="24" t="str">
        <f t="shared" si="29"/>
        <v>-</v>
      </c>
      <c r="E371" s="2"/>
      <c r="F371"/>
      <c r="G371"/>
      <c r="H371"/>
      <c r="I371"/>
      <c r="J371"/>
      <c r="K371"/>
      <c r="L371"/>
      <c r="M371"/>
      <c r="N371" s="3"/>
      <c r="O371"/>
      <c r="P371"/>
      <c r="Q371"/>
      <c r="R371"/>
      <c r="S371"/>
      <c r="T371"/>
      <c r="U371"/>
      <c r="V371"/>
      <c r="W371"/>
      <c r="X371"/>
      <c r="Y371"/>
      <c r="Z371"/>
      <c r="AA371"/>
      <c r="AB371"/>
      <c r="AC371"/>
      <c r="AD371"/>
      <c r="AE371"/>
      <c r="AF371"/>
      <c r="AG371"/>
      <c r="AH371"/>
      <c r="AI371"/>
      <c r="AJ371"/>
      <c r="AK371"/>
      <c r="AL371"/>
      <c r="AM371"/>
      <c r="AN371"/>
      <c r="AO371"/>
      <c r="AP371"/>
    </row>
    <row r="372" spans="1:42" s="23" customFormat="1" x14ac:dyDescent="0.25">
      <c r="A372"/>
      <c r="B372" s="24" t="str">
        <f t="shared" si="29"/>
        <v>-</v>
      </c>
      <c r="E372" s="2"/>
      <c r="F372"/>
      <c r="G372"/>
      <c r="H372"/>
      <c r="I372"/>
      <c r="J372"/>
      <c r="K372"/>
      <c r="L372"/>
      <c r="M372"/>
      <c r="N372" s="3"/>
      <c r="O372"/>
      <c r="P372"/>
      <c r="Q372"/>
      <c r="R372"/>
      <c r="S372"/>
      <c r="T372"/>
      <c r="U372"/>
      <c r="V372"/>
      <c r="W372"/>
      <c r="X372"/>
      <c r="Y372"/>
      <c r="Z372"/>
      <c r="AA372"/>
      <c r="AB372"/>
      <c r="AC372"/>
      <c r="AD372"/>
      <c r="AE372"/>
      <c r="AF372"/>
      <c r="AG372"/>
      <c r="AH372"/>
      <c r="AI372"/>
      <c r="AJ372"/>
      <c r="AK372"/>
      <c r="AL372"/>
      <c r="AM372"/>
      <c r="AN372"/>
      <c r="AO372"/>
      <c r="AP372"/>
    </row>
    <row r="373" spans="1:42" s="23" customFormat="1" x14ac:dyDescent="0.25">
      <c r="A373"/>
      <c r="B373" s="24" t="str">
        <f t="shared" si="29"/>
        <v>-</v>
      </c>
      <c r="E373" s="2"/>
      <c r="F373"/>
      <c r="G373"/>
      <c r="H373"/>
      <c r="I373"/>
      <c r="J373"/>
      <c r="K373"/>
      <c r="L373"/>
      <c r="M373"/>
      <c r="N373" s="3"/>
      <c r="O373"/>
      <c r="P373"/>
      <c r="Q373"/>
      <c r="R373"/>
      <c r="S373"/>
      <c r="T373"/>
      <c r="U373"/>
      <c r="V373"/>
      <c r="W373"/>
      <c r="X373"/>
      <c r="Y373"/>
      <c r="Z373"/>
      <c r="AA373"/>
      <c r="AB373"/>
      <c r="AC373"/>
      <c r="AD373"/>
      <c r="AE373"/>
      <c r="AF373"/>
      <c r="AG373"/>
      <c r="AH373"/>
      <c r="AI373"/>
      <c r="AJ373"/>
      <c r="AK373"/>
      <c r="AL373"/>
      <c r="AM373"/>
      <c r="AN373"/>
      <c r="AO373"/>
      <c r="AP373"/>
    </row>
    <row r="374" spans="1:42" s="23" customFormat="1" x14ac:dyDescent="0.25">
      <c r="A374"/>
      <c r="B374" s="24" t="str">
        <f t="shared" si="29"/>
        <v>-</v>
      </c>
      <c r="E374" s="2"/>
      <c r="F374"/>
      <c r="G374"/>
      <c r="H374"/>
      <c r="I374"/>
      <c r="J374"/>
      <c r="K374"/>
      <c r="L374"/>
      <c r="M374"/>
      <c r="N374" s="3"/>
      <c r="O374"/>
      <c r="P374"/>
      <c r="Q374"/>
      <c r="R374"/>
      <c r="S374"/>
      <c r="T374"/>
      <c r="U374"/>
      <c r="V374"/>
      <c r="W374"/>
      <c r="X374"/>
      <c r="Y374"/>
      <c r="Z374"/>
      <c r="AA374"/>
      <c r="AB374"/>
      <c r="AC374"/>
      <c r="AD374"/>
      <c r="AE374"/>
      <c r="AF374"/>
      <c r="AG374"/>
      <c r="AH374"/>
      <c r="AI374"/>
      <c r="AJ374"/>
      <c r="AK374"/>
      <c r="AL374"/>
      <c r="AM374"/>
      <c r="AN374"/>
      <c r="AO374"/>
      <c r="AP374"/>
    </row>
    <row r="375" spans="1:42" s="23" customFormat="1" x14ac:dyDescent="0.25">
      <c r="A375"/>
      <c r="B375" s="24" t="str">
        <f t="shared" si="29"/>
        <v>-</v>
      </c>
      <c r="E375" s="2"/>
      <c r="F375"/>
      <c r="G375"/>
      <c r="H375"/>
      <c r="I375"/>
      <c r="J375"/>
      <c r="K375"/>
      <c r="L375"/>
      <c r="M375"/>
      <c r="N375" s="3"/>
      <c r="O375"/>
      <c r="P375"/>
      <c r="Q375"/>
      <c r="R375"/>
      <c r="S375"/>
      <c r="T375"/>
      <c r="U375"/>
      <c r="V375"/>
      <c r="W375"/>
      <c r="X375"/>
      <c r="Y375"/>
      <c r="Z375"/>
      <c r="AA375"/>
      <c r="AB375"/>
      <c r="AC375"/>
      <c r="AD375"/>
      <c r="AE375"/>
      <c r="AF375"/>
      <c r="AG375"/>
      <c r="AH375"/>
      <c r="AI375"/>
      <c r="AJ375"/>
      <c r="AK375"/>
      <c r="AL375"/>
      <c r="AM375"/>
      <c r="AN375"/>
      <c r="AO375"/>
      <c r="AP375"/>
    </row>
    <row r="376" spans="1:42" s="23" customFormat="1" x14ac:dyDescent="0.25">
      <c r="A376"/>
      <c r="B376" s="24" t="str">
        <f t="shared" si="29"/>
        <v>-</v>
      </c>
      <c r="E376" s="2"/>
      <c r="F376"/>
      <c r="G376"/>
      <c r="H376"/>
      <c r="I376"/>
      <c r="J376"/>
      <c r="K376"/>
      <c r="L376"/>
      <c r="M376"/>
      <c r="N376" s="3"/>
      <c r="O376"/>
      <c r="P376"/>
      <c r="Q376"/>
      <c r="R376"/>
      <c r="S376"/>
      <c r="T376"/>
      <c r="U376"/>
      <c r="V376"/>
      <c r="W376"/>
      <c r="X376"/>
      <c r="Y376"/>
      <c r="Z376"/>
      <c r="AA376"/>
      <c r="AB376"/>
      <c r="AC376"/>
      <c r="AD376"/>
      <c r="AE376"/>
      <c r="AF376"/>
      <c r="AG376"/>
      <c r="AH376"/>
      <c r="AI376"/>
      <c r="AJ376"/>
      <c r="AK376"/>
      <c r="AL376"/>
      <c r="AM376"/>
      <c r="AN376"/>
      <c r="AO376"/>
      <c r="AP376"/>
    </row>
    <row r="377" spans="1:42" s="23" customFormat="1" x14ac:dyDescent="0.25">
      <c r="A377"/>
      <c r="B377" s="24" t="str">
        <f t="shared" si="29"/>
        <v>-</v>
      </c>
      <c r="E377" s="2"/>
      <c r="F377"/>
      <c r="G377"/>
      <c r="H377"/>
      <c r="I377"/>
      <c r="J377"/>
      <c r="K377"/>
      <c r="L377"/>
      <c r="M377"/>
      <c r="N377" s="3"/>
      <c r="O377"/>
      <c r="P377"/>
      <c r="Q377"/>
      <c r="R377"/>
      <c r="S377"/>
      <c r="T377"/>
      <c r="U377"/>
      <c r="V377"/>
      <c r="W377"/>
      <c r="X377"/>
      <c r="Y377"/>
      <c r="Z377"/>
      <c r="AA377"/>
      <c r="AB377"/>
      <c r="AC377"/>
      <c r="AD377"/>
      <c r="AE377"/>
      <c r="AF377"/>
      <c r="AG377"/>
      <c r="AH377"/>
      <c r="AI377"/>
      <c r="AJ377"/>
      <c r="AK377"/>
      <c r="AL377"/>
      <c r="AM377"/>
      <c r="AN377"/>
      <c r="AO377"/>
      <c r="AP377"/>
    </row>
    <row r="378" spans="1:42" s="23" customFormat="1" x14ac:dyDescent="0.25">
      <c r="A378"/>
      <c r="B378" s="24" t="str">
        <f t="shared" si="29"/>
        <v>-</v>
      </c>
      <c r="E378" s="2"/>
      <c r="F378"/>
      <c r="G378"/>
      <c r="H378"/>
      <c r="I378"/>
      <c r="J378"/>
      <c r="K378"/>
      <c r="L378"/>
      <c r="M378"/>
      <c r="N378" s="3"/>
      <c r="O378"/>
      <c r="P378"/>
      <c r="Q378"/>
      <c r="R378"/>
      <c r="S378"/>
      <c r="T378"/>
      <c r="U378"/>
      <c r="V378"/>
      <c r="W378"/>
      <c r="X378"/>
      <c r="Y378"/>
      <c r="Z378"/>
      <c r="AA378"/>
      <c r="AB378"/>
      <c r="AC378"/>
      <c r="AD378"/>
      <c r="AE378"/>
      <c r="AF378"/>
      <c r="AG378"/>
      <c r="AH378"/>
      <c r="AI378"/>
      <c r="AJ378"/>
      <c r="AK378"/>
      <c r="AL378"/>
      <c r="AM378"/>
      <c r="AN378"/>
      <c r="AO378"/>
      <c r="AP378"/>
    </row>
    <row r="379" spans="1:42" s="23" customFormat="1" x14ac:dyDescent="0.25">
      <c r="A379"/>
      <c r="B379" s="24" t="str">
        <f t="shared" si="29"/>
        <v>-</v>
      </c>
      <c r="E379" s="2"/>
      <c r="F379"/>
      <c r="G379"/>
      <c r="H379"/>
      <c r="I379"/>
      <c r="J379"/>
      <c r="K379"/>
      <c r="L379"/>
      <c r="M379"/>
      <c r="N379" s="3"/>
      <c r="O379"/>
      <c r="P379"/>
      <c r="Q379"/>
      <c r="R379"/>
      <c r="S379"/>
      <c r="T379"/>
      <c r="U379"/>
      <c r="V379"/>
      <c r="W379"/>
      <c r="X379"/>
      <c r="Y379"/>
      <c r="Z379"/>
      <c r="AA379"/>
      <c r="AB379"/>
      <c r="AC379"/>
      <c r="AD379"/>
      <c r="AE379"/>
      <c r="AF379"/>
      <c r="AG379"/>
      <c r="AH379"/>
      <c r="AI379"/>
      <c r="AJ379"/>
      <c r="AK379"/>
      <c r="AL379"/>
      <c r="AM379"/>
      <c r="AN379"/>
      <c r="AO379"/>
      <c r="AP379"/>
    </row>
    <row r="380" spans="1:42" s="23" customFormat="1" x14ac:dyDescent="0.25">
      <c r="A380"/>
      <c r="B380" s="24" t="str">
        <f t="shared" si="29"/>
        <v>-</v>
      </c>
      <c r="E380" s="2"/>
      <c r="F380"/>
      <c r="G380"/>
      <c r="H380"/>
      <c r="I380"/>
      <c r="J380"/>
      <c r="K380"/>
      <c r="L380"/>
      <c r="M380"/>
      <c r="N380" s="3"/>
      <c r="O380"/>
      <c r="P380"/>
      <c r="Q380"/>
      <c r="R380"/>
      <c r="S380"/>
      <c r="T380"/>
      <c r="U380"/>
      <c r="V380"/>
      <c r="W380"/>
      <c r="X380"/>
      <c r="Y380"/>
      <c r="Z380"/>
      <c r="AA380"/>
      <c r="AB380"/>
      <c r="AC380"/>
      <c r="AD380"/>
      <c r="AE380"/>
      <c r="AF380"/>
      <c r="AG380"/>
      <c r="AH380"/>
      <c r="AI380"/>
      <c r="AJ380"/>
      <c r="AK380"/>
      <c r="AL380"/>
      <c r="AM380"/>
      <c r="AN380"/>
      <c r="AO380"/>
      <c r="AP380"/>
    </row>
    <row r="381" spans="1:42" s="23" customFormat="1" x14ac:dyDescent="0.25">
      <c r="A381"/>
      <c r="B381" s="24" t="str">
        <f t="shared" si="29"/>
        <v>-</v>
      </c>
      <c r="E381" s="2"/>
      <c r="F381"/>
      <c r="G381"/>
      <c r="H381"/>
      <c r="I381"/>
      <c r="J381"/>
      <c r="K381"/>
      <c r="L381"/>
      <c r="M381"/>
      <c r="N381" s="3"/>
      <c r="O381"/>
      <c r="P381"/>
      <c r="Q381"/>
      <c r="R381"/>
      <c r="S381"/>
      <c r="T381"/>
      <c r="U381"/>
      <c r="V381"/>
      <c r="W381"/>
      <c r="X381"/>
      <c r="Y381"/>
      <c r="Z381"/>
      <c r="AA381"/>
      <c r="AB381"/>
      <c r="AC381"/>
      <c r="AD381"/>
      <c r="AE381"/>
      <c r="AF381"/>
      <c r="AG381"/>
      <c r="AH381"/>
      <c r="AI381"/>
      <c r="AJ381"/>
      <c r="AK381"/>
      <c r="AL381"/>
      <c r="AM381"/>
      <c r="AN381"/>
      <c r="AO381"/>
      <c r="AP381"/>
    </row>
    <row r="382" spans="1:42" s="23" customFormat="1" x14ac:dyDescent="0.25">
      <c r="A382"/>
      <c r="B382" s="24" t="str">
        <f t="shared" si="29"/>
        <v>-</v>
      </c>
      <c r="E382" s="2"/>
      <c r="F382"/>
      <c r="G382"/>
      <c r="H382"/>
      <c r="I382"/>
      <c r="J382"/>
      <c r="K382"/>
      <c r="L382"/>
      <c r="M382"/>
      <c r="N382" s="3"/>
      <c r="O382"/>
      <c r="P382"/>
      <c r="Q382"/>
      <c r="R382"/>
      <c r="S382"/>
      <c r="T382"/>
      <c r="U382"/>
      <c r="V382"/>
      <c r="W382"/>
      <c r="X382"/>
      <c r="Y382"/>
      <c r="Z382"/>
      <c r="AA382"/>
      <c r="AB382"/>
      <c r="AC382"/>
      <c r="AD382"/>
      <c r="AE382"/>
      <c r="AF382"/>
      <c r="AG382"/>
      <c r="AH382"/>
      <c r="AI382"/>
      <c r="AJ382"/>
      <c r="AK382"/>
      <c r="AL382"/>
      <c r="AM382"/>
      <c r="AN382"/>
      <c r="AO382"/>
      <c r="AP382"/>
    </row>
    <row r="383" spans="1:42" s="23" customFormat="1" x14ac:dyDescent="0.25">
      <c r="A383"/>
      <c r="B383" s="24" t="str">
        <f t="shared" si="29"/>
        <v>-</v>
      </c>
      <c r="E383" s="2"/>
      <c r="F383"/>
      <c r="G383"/>
      <c r="H383"/>
      <c r="I383"/>
      <c r="J383"/>
      <c r="K383"/>
      <c r="L383"/>
      <c r="M383"/>
      <c r="N383" s="3"/>
      <c r="O383"/>
      <c r="P383"/>
      <c r="Q383"/>
      <c r="R383"/>
      <c r="S383"/>
      <c r="T383"/>
      <c r="U383"/>
      <c r="V383"/>
      <c r="W383"/>
      <c r="X383"/>
      <c r="Y383"/>
      <c r="Z383"/>
      <c r="AA383"/>
      <c r="AB383"/>
      <c r="AC383"/>
      <c r="AD383"/>
      <c r="AE383"/>
      <c r="AF383"/>
      <c r="AG383"/>
      <c r="AH383"/>
      <c r="AI383"/>
      <c r="AJ383"/>
      <c r="AK383"/>
      <c r="AL383"/>
      <c r="AM383"/>
      <c r="AN383"/>
      <c r="AO383"/>
      <c r="AP383"/>
    </row>
    <row r="384" spans="1:42" s="23" customFormat="1" x14ac:dyDescent="0.25">
      <c r="A384"/>
      <c r="B384" s="24" t="str">
        <f t="shared" si="29"/>
        <v>-</v>
      </c>
      <c r="E384" s="2"/>
      <c r="F384"/>
      <c r="G384"/>
      <c r="H384"/>
      <c r="I384"/>
      <c r="J384"/>
      <c r="K384"/>
      <c r="L384"/>
      <c r="M384"/>
      <c r="N384" s="3"/>
      <c r="O384"/>
      <c r="P384"/>
      <c r="Q384"/>
      <c r="R384"/>
      <c r="S384"/>
      <c r="T384"/>
      <c r="U384"/>
      <c r="V384"/>
      <c r="W384"/>
      <c r="X384"/>
      <c r="Y384"/>
      <c r="Z384"/>
      <c r="AA384"/>
      <c r="AB384"/>
      <c r="AC384"/>
      <c r="AD384"/>
      <c r="AE384"/>
      <c r="AF384"/>
      <c r="AG384"/>
      <c r="AH384"/>
      <c r="AI384"/>
      <c r="AJ384"/>
      <c r="AK384"/>
      <c r="AL384"/>
      <c r="AM384"/>
      <c r="AN384"/>
      <c r="AO384"/>
      <c r="AP384"/>
    </row>
    <row r="385" spans="1:42" s="23" customFormat="1" x14ac:dyDescent="0.25">
      <c r="A385"/>
      <c r="B385" s="24" t="str">
        <f t="shared" si="29"/>
        <v>-</v>
      </c>
      <c r="E385" s="2"/>
      <c r="F385"/>
      <c r="G385"/>
      <c r="H385"/>
      <c r="I385"/>
      <c r="J385"/>
      <c r="K385"/>
      <c r="L385"/>
      <c r="M385"/>
      <c r="N385" s="3"/>
      <c r="O385"/>
      <c r="P385"/>
      <c r="Q385"/>
      <c r="R385"/>
      <c r="S385"/>
      <c r="T385"/>
      <c r="U385"/>
      <c r="V385"/>
      <c r="W385"/>
      <c r="X385"/>
      <c r="Y385"/>
      <c r="Z385"/>
      <c r="AA385"/>
      <c r="AB385"/>
      <c r="AC385"/>
      <c r="AD385"/>
      <c r="AE385"/>
      <c r="AF385"/>
      <c r="AG385"/>
      <c r="AH385"/>
      <c r="AI385"/>
      <c r="AJ385"/>
      <c r="AK385"/>
      <c r="AL385"/>
      <c r="AM385"/>
      <c r="AN385"/>
      <c r="AO385"/>
      <c r="AP385"/>
    </row>
    <row r="386" spans="1:42" s="23" customFormat="1" x14ac:dyDescent="0.25">
      <c r="A386"/>
      <c r="B386" s="24" t="str">
        <f t="shared" si="29"/>
        <v>-</v>
      </c>
      <c r="E386" s="2"/>
      <c r="F386"/>
      <c r="G386"/>
      <c r="H386"/>
      <c r="I386"/>
      <c r="J386"/>
      <c r="K386"/>
      <c r="L386"/>
      <c r="M386"/>
      <c r="N386" s="3"/>
      <c r="O386"/>
      <c r="P386"/>
      <c r="Q386"/>
      <c r="R386"/>
      <c r="S386"/>
      <c r="T386"/>
      <c r="U386"/>
      <c r="V386"/>
      <c r="W386"/>
      <c r="X386"/>
      <c r="Y386"/>
      <c r="Z386"/>
      <c r="AA386"/>
      <c r="AB386"/>
      <c r="AC386"/>
      <c r="AD386"/>
      <c r="AE386"/>
      <c r="AF386"/>
      <c r="AG386"/>
      <c r="AH386"/>
      <c r="AI386"/>
      <c r="AJ386"/>
      <c r="AK386"/>
      <c r="AL386"/>
      <c r="AM386"/>
      <c r="AN386"/>
      <c r="AO386"/>
      <c r="AP386"/>
    </row>
    <row r="387" spans="1:42" s="23" customFormat="1" x14ac:dyDescent="0.25">
      <c r="A387"/>
      <c r="B387" s="24" t="str">
        <f t="shared" si="29"/>
        <v>-</v>
      </c>
      <c r="E387" s="2"/>
      <c r="F387"/>
      <c r="G387"/>
      <c r="H387"/>
      <c r="I387"/>
      <c r="J387"/>
      <c r="K387"/>
      <c r="L387"/>
      <c r="M387"/>
      <c r="N387" s="3"/>
      <c r="O387"/>
      <c r="P387"/>
      <c r="Q387"/>
      <c r="R387"/>
      <c r="S387"/>
      <c r="T387"/>
      <c r="U387"/>
      <c r="V387"/>
      <c r="W387"/>
      <c r="X387"/>
      <c r="Y387"/>
      <c r="Z387"/>
      <c r="AA387"/>
      <c r="AB387"/>
      <c r="AC387"/>
      <c r="AD387"/>
      <c r="AE387"/>
      <c r="AF387"/>
      <c r="AG387"/>
      <c r="AH387"/>
      <c r="AI387"/>
      <c r="AJ387"/>
      <c r="AK387"/>
      <c r="AL387"/>
      <c r="AM387"/>
      <c r="AN387"/>
      <c r="AO387"/>
      <c r="AP387"/>
    </row>
    <row r="388" spans="1:42" s="23" customFormat="1" x14ac:dyDescent="0.25">
      <c r="A388"/>
      <c r="B388" s="24" t="str">
        <f t="shared" si="29"/>
        <v>-</v>
      </c>
      <c r="E388" s="2"/>
      <c r="F388"/>
      <c r="G388"/>
      <c r="H388"/>
      <c r="I388"/>
      <c r="J388"/>
      <c r="K388"/>
      <c r="L388"/>
      <c r="M388"/>
      <c r="N388" s="3"/>
      <c r="O388"/>
      <c r="P388"/>
      <c r="Q388"/>
      <c r="R388"/>
      <c r="S388"/>
      <c r="T388"/>
      <c r="U388"/>
      <c r="V388"/>
      <c r="W388"/>
      <c r="X388"/>
      <c r="Y388"/>
      <c r="Z388"/>
      <c r="AA388"/>
      <c r="AB388"/>
      <c r="AC388"/>
      <c r="AD388"/>
      <c r="AE388"/>
      <c r="AF388"/>
      <c r="AG388"/>
      <c r="AH388"/>
      <c r="AI388"/>
      <c r="AJ388"/>
      <c r="AK388"/>
      <c r="AL388"/>
      <c r="AM388"/>
      <c r="AN388"/>
      <c r="AO388"/>
      <c r="AP388"/>
    </row>
    <row r="389" spans="1:42" s="23" customFormat="1" x14ac:dyDescent="0.25">
      <c r="A389"/>
      <c r="B389" s="24" t="str">
        <f t="shared" si="29"/>
        <v>-</v>
      </c>
      <c r="E389" s="2"/>
      <c r="F389"/>
      <c r="G389"/>
      <c r="H389"/>
      <c r="I389"/>
      <c r="J389"/>
      <c r="K389"/>
      <c r="L389"/>
      <c r="M389"/>
      <c r="N389" s="3"/>
      <c r="O389"/>
      <c r="P389"/>
      <c r="Q389"/>
      <c r="R389"/>
      <c r="S389"/>
      <c r="T389"/>
      <c r="U389"/>
      <c r="V389"/>
      <c r="W389"/>
      <c r="X389"/>
      <c r="Y389"/>
      <c r="Z389"/>
      <c r="AA389"/>
      <c r="AB389"/>
      <c r="AC389"/>
      <c r="AD389"/>
      <c r="AE389"/>
      <c r="AF389"/>
      <c r="AG389"/>
      <c r="AH389"/>
      <c r="AI389"/>
      <c r="AJ389"/>
      <c r="AK389"/>
      <c r="AL389"/>
      <c r="AM389"/>
      <c r="AN389"/>
      <c r="AO389"/>
      <c r="AP389"/>
    </row>
    <row r="390" spans="1:42" s="23" customFormat="1" x14ac:dyDescent="0.25">
      <c r="A390"/>
      <c r="B390" s="24" t="str">
        <f t="shared" si="29"/>
        <v>-</v>
      </c>
      <c r="E390" s="2"/>
      <c r="F390"/>
      <c r="G390"/>
      <c r="H390"/>
      <c r="I390"/>
      <c r="J390"/>
      <c r="K390"/>
      <c r="L390"/>
      <c r="M390"/>
      <c r="N390" s="3"/>
      <c r="O390"/>
      <c r="P390"/>
      <c r="Q390"/>
      <c r="R390"/>
      <c r="S390"/>
      <c r="T390"/>
      <c r="U390"/>
      <c r="V390"/>
      <c r="W390"/>
      <c r="X390"/>
      <c r="Y390"/>
      <c r="Z390"/>
      <c r="AA390"/>
      <c r="AB390"/>
      <c r="AC390"/>
      <c r="AD390"/>
      <c r="AE390"/>
      <c r="AF390"/>
      <c r="AG390"/>
      <c r="AH390"/>
      <c r="AI390"/>
      <c r="AJ390"/>
      <c r="AK390"/>
      <c r="AL390"/>
      <c r="AM390"/>
      <c r="AN390"/>
      <c r="AO390"/>
      <c r="AP390"/>
    </row>
    <row r="391" spans="1:42" s="23" customFormat="1" x14ac:dyDescent="0.25">
      <c r="A391"/>
      <c r="B391" s="24" t="str">
        <f t="shared" si="29"/>
        <v>-</v>
      </c>
      <c r="E391" s="2"/>
      <c r="F391"/>
      <c r="G391"/>
      <c r="H391"/>
      <c r="I391"/>
      <c r="J391"/>
      <c r="K391"/>
      <c r="L391"/>
      <c r="M391"/>
      <c r="N391" s="3"/>
      <c r="O391"/>
      <c r="P391"/>
      <c r="Q391"/>
      <c r="R391"/>
      <c r="S391"/>
      <c r="T391"/>
      <c r="U391"/>
      <c r="V391"/>
      <c r="W391"/>
      <c r="X391"/>
      <c r="Y391"/>
      <c r="Z391"/>
      <c r="AA391"/>
      <c r="AB391"/>
      <c r="AC391"/>
      <c r="AD391"/>
      <c r="AE391"/>
      <c r="AF391"/>
      <c r="AG391"/>
      <c r="AH391"/>
      <c r="AI391"/>
      <c r="AJ391"/>
      <c r="AK391"/>
      <c r="AL391"/>
      <c r="AM391"/>
      <c r="AN391"/>
      <c r="AO391"/>
      <c r="AP391"/>
    </row>
    <row r="392" spans="1:42" s="23" customFormat="1" x14ac:dyDescent="0.25">
      <c r="A392"/>
      <c r="B392" s="24" t="str">
        <f t="shared" si="29"/>
        <v>-</v>
      </c>
      <c r="E392" s="2"/>
      <c r="F392"/>
      <c r="G392"/>
      <c r="H392"/>
      <c r="I392"/>
      <c r="J392"/>
      <c r="K392"/>
      <c r="L392"/>
      <c r="M392"/>
      <c r="N392" s="3"/>
      <c r="O392"/>
      <c r="P392"/>
      <c r="Q392"/>
      <c r="R392"/>
      <c r="S392"/>
      <c r="T392"/>
      <c r="U392"/>
      <c r="V392"/>
      <c r="W392"/>
      <c r="X392"/>
      <c r="Y392"/>
      <c r="Z392"/>
      <c r="AA392"/>
      <c r="AB392"/>
      <c r="AC392"/>
      <c r="AD392"/>
      <c r="AE392"/>
      <c r="AF392"/>
      <c r="AG392"/>
      <c r="AH392"/>
      <c r="AI392"/>
      <c r="AJ392"/>
      <c r="AK392"/>
      <c r="AL392"/>
      <c r="AM392"/>
      <c r="AN392"/>
      <c r="AO392"/>
      <c r="AP392"/>
    </row>
    <row r="393" spans="1:42" s="23" customFormat="1" x14ac:dyDescent="0.25">
      <c r="A393"/>
      <c r="B393" s="24" t="str">
        <f t="shared" si="29"/>
        <v>-</v>
      </c>
      <c r="E393" s="2"/>
      <c r="F393"/>
      <c r="G393"/>
      <c r="H393"/>
      <c r="I393"/>
      <c r="J393"/>
      <c r="K393"/>
      <c r="L393"/>
      <c r="M393"/>
      <c r="N393" s="3"/>
      <c r="O393"/>
      <c r="P393"/>
      <c r="Q393"/>
      <c r="R393"/>
      <c r="S393"/>
      <c r="T393"/>
      <c r="U393"/>
      <c r="V393"/>
      <c r="W393"/>
      <c r="X393"/>
      <c r="Y393"/>
      <c r="Z393"/>
      <c r="AA393"/>
      <c r="AB393"/>
      <c r="AC393"/>
      <c r="AD393"/>
      <c r="AE393"/>
      <c r="AF393"/>
      <c r="AG393"/>
      <c r="AH393"/>
      <c r="AI393"/>
      <c r="AJ393"/>
      <c r="AK393"/>
      <c r="AL393"/>
      <c r="AM393"/>
      <c r="AN393"/>
      <c r="AO393"/>
      <c r="AP393"/>
    </row>
    <row r="394" spans="1:42" s="23" customFormat="1" x14ac:dyDescent="0.25">
      <c r="A394"/>
      <c r="B394" s="24" t="str">
        <f t="shared" si="29"/>
        <v>-</v>
      </c>
      <c r="E394" s="2"/>
      <c r="F394"/>
      <c r="G394"/>
      <c r="H394"/>
      <c r="I394"/>
      <c r="J394"/>
      <c r="K394"/>
      <c r="L394"/>
      <c r="M394"/>
      <c r="N394" s="3"/>
      <c r="O394"/>
      <c r="P394"/>
      <c r="Q394"/>
      <c r="R394"/>
      <c r="S394"/>
      <c r="T394"/>
      <c r="U394"/>
      <c r="V394"/>
      <c r="W394"/>
      <c r="X394"/>
      <c r="Y394"/>
      <c r="Z394"/>
      <c r="AA394"/>
      <c r="AB394"/>
      <c r="AC394"/>
      <c r="AD394"/>
      <c r="AE394"/>
      <c r="AF394"/>
      <c r="AG394"/>
      <c r="AH394"/>
      <c r="AI394"/>
      <c r="AJ394"/>
      <c r="AK394"/>
      <c r="AL394"/>
      <c r="AM394"/>
      <c r="AN394"/>
      <c r="AO394"/>
      <c r="AP394"/>
    </row>
    <row r="395" spans="1:42" s="23" customFormat="1" x14ac:dyDescent="0.25">
      <c r="A395"/>
      <c r="B395" s="24" t="str">
        <f t="shared" si="29"/>
        <v>-</v>
      </c>
      <c r="E395" s="2"/>
      <c r="F395"/>
      <c r="G395"/>
      <c r="H395"/>
      <c r="I395"/>
      <c r="J395"/>
      <c r="K395"/>
      <c r="L395"/>
      <c r="M395"/>
      <c r="N395" s="3"/>
      <c r="O395"/>
      <c r="P395"/>
      <c r="Q395"/>
      <c r="R395"/>
      <c r="S395"/>
      <c r="T395"/>
      <c r="U395"/>
      <c r="V395"/>
      <c r="W395"/>
      <c r="X395"/>
      <c r="Y395"/>
      <c r="Z395"/>
      <c r="AA395"/>
      <c r="AB395"/>
      <c r="AC395"/>
      <c r="AD395"/>
      <c r="AE395"/>
      <c r="AF395"/>
      <c r="AG395"/>
      <c r="AH395"/>
      <c r="AI395"/>
      <c r="AJ395"/>
      <c r="AK395"/>
      <c r="AL395"/>
      <c r="AM395"/>
      <c r="AN395"/>
      <c r="AO395"/>
      <c r="AP395"/>
    </row>
    <row r="396" spans="1:42" s="23" customFormat="1" x14ac:dyDescent="0.25">
      <c r="A396"/>
      <c r="B396" s="24" t="str">
        <f t="shared" si="29"/>
        <v>-</v>
      </c>
      <c r="E396" s="2"/>
      <c r="F396"/>
      <c r="G396"/>
      <c r="H396"/>
      <c r="I396"/>
      <c r="J396"/>
      <c r="K396"/>
      <c r="L396"/>
      <c r="M396"/>
      <c r="N396" s="3"/>
      <c r="O396"/>
      <c r="P396"/>
      <c r="Q396"/>
      <c r="R396"/>
      <c r="S396"/>
      <c r="T396"/>
      <c r="U396"/>
      <c r="V396"/>
      <c r="W396"/>
      <c r="X396"/>
      <c r="Y396"/>
      <c r="Z396"/>
      <c r="AA396"/>
      <c r="AB396"/>
      <c r="AC396"/>
      <c r="AD396"/>
      <c r="AE396"/>
      <c r="AF396"/>
      <c r="AG396"/>
      <c r="AH396"/>
      <c r="AI396"/>
      <c r="AJ396"/>
      <c r="AK396"/>
      <c r="AL396"/>
      <c r="AM396"/>
      <c r="AN396"/>
      <c r="AO396"/>
      <c r="AP396"/>
    </row>
    <row r="397" spans="1:42" s="23" customFormat="1" x14ac:dyDescent="0.25">
      <c r="A397"/>
      <c r="B397" s="24" t="str">
        <f t="shared" si="29"/>
        <v>-</v>
      </c>
      <c r="E397" s="2"/>
      <c r="F397"/>
      <c r="G397"/>
      <c r="H397"/>
      <c r="I397"/>
      <c r="J397"/>
      <c r="K397"/>
      <c r="L397"/>
      <c r="M397"/>
      <c r="N397" s="3"/>
      <c r="O397"/>
      <c r="P397"/>
      <c r="Q397"/>
      <c r="R397"/>
      <c r="S397"/>
      <c r="T397"/>
      <c r="U397"/>
      <c r="V397"/>
      <c r="W397"/>
      <c r="X397"/>
      <c r="Y397"/>
      <c r="Z397"/>
      <c r="AA397"/>
      <c r="AB397"/>
      <c r="AC397"/>
      <c r="AD397"/>
      <c r="AE397"/>
      <c r="AF397"/>
      <c r="AG397"/>
      <c r="AH397"/>
      <c r="AI397"/>
      <c r="AJ397"/>
      <c r="AK397"/>
      <c r="AL397"/>
      <c r="AM397"/>
      <c r="AN397"/>
      <c r="AO397"/>
      <c r="AP397"/>
    </row>
    <row r="398" spans="1:42" s="23" customFormat="1" x14ac:dyDescent="0.25">
      <c r="A398"/>
      <c r="B398" s="24" t="str">
        <f t="shared" si="29"/>
        <v>-</v>
      </c>
      <c r="E398" s="2"/>
      <c r="F398"/>
      <c r="G398"/>
      <c r="H398"/>
      <c r="I398"/>
      <c r="J398"/>
      <c r="K398"/>
      <c r="L398"/>
      <c r="M398"/>
      <c r="N398" s="3"/>
      <c r="O398"/>
      <c r="P398"/>
      <c r="Q398"/>
      <c r="R398"/>
      <c r="S398"/>
      <c r="T398"/>
      <c r="U398"/>
      <c r="V398"/>
      <c r="W398"/>
      <c r="X398"/>
      <c r="Y398"/>
      <c r="Z398"/>
      <c r="AA398"/>
      <c r="AB398"/>
      <c r="AC398"/>
      <c r="AD398"/>
      <c r="AE398"/>
      <c r="AF398"/>
      <c r="AG398"/>
      <c r="AH398"/>
      <c r="AI398"/>
      <c r="AJ398"/>
      <c r="AK398"/>
      <c r="AL398"/>
      <c r="AM398"/>
      <c r="AN398"/>
      <c r="AO398"/>
      <c r="AP398"/>
    </row>
    <row r="399" spans="1:42" s="23" customFormat="1" x14ac:dyDescent="0.25">
      <c r="A399"/>
      <c r="B399" s="24" t="str">
        <f t="shared" si="29"/>
        <v>-</v>
      </c>
      <c r="E399" s="2"/>
      <c r="F399"/>
      <c r="G399"/>
      <c r="H399"/>
      <c r="I399"/>
      <c r="J399"/>
      <c r="K399"/>
      <c r="L399"/>
      <c r="M399"/>
      <c r="N399" s="3"/>
      <c r="O399"/>
      <c r="P399"/>
      <c r="Q399"/>
      <c r="R399"/>
      <c r="S399"/>
      <c r="T399"/>
      <c r="U399"/>
      <c r="V399"/>
      <c r="W399"/>
      <c r="X399"/>
      <c r="Y399"/>
      <c r="Z399"/>
      <c r="AA399"/>
      <c r="AB399"/>
      <c r="AC399"/>
      <c r="AD399"/>
      <c r="AE399"/>
      <c r="AF399"/>
      <c r="AG399"/>
      <c r="AH399"/>
      <c r="AI399"/>
      <c r="AJ399"/>
      <c r="AK399"/>
      <c r="AL399"/>
      <c r="AM399"/>
      <c r="AN399"/>
      <c r="AO399"/>
      <c r="AP399"/>
    </row>
    <row r="400" spans="1:42" s="23" customFormat="1" x14ac:dyDescent="0.25">
      <c r="A400"/>
      <c r="B400" s="24" t="str">
        <f t="shared" si="29"/>
        <v>-</v>
      </c>
      <c r="E400" s="2"/>
      <c r="F400"/>
      <c r="G400"/>
      <c r="H400"/>
      <c r="I400"/>
      <c r="J400"/>
      <c r="K400"/>
      <c r="L400"/>
      <c r="M400"/>
      <c r="N400" s="3"/>
      <c r="O400"/>
      <c r="P400"/>
      <c r="Q400"/>
      <c r="R400"/>
      <c r="S400"/>
      <c r="T400"/>
      <c r="U400"/>
      <c r="V400"/>
      <c r="W400"/>
      <c r="X400"/>
      <c r="Y400"/>
      <c r="Z400"/>
      <c r="AA400"/>
      <c r="AB400"/>
      <c r="AC400"/>
      <c r="AD400"/>
      <c r="AE400"/>
      <c r="AF400"/>
      <c r="AG400"/>
      <c r="AH400"/>
      <c r="AI400"/>
      <c r="AJ400"/>
      <c r="AK400"/>
      <c r="AL400"/>
      <c r="AM400"/>
      <c r="AN400"/>
      <c r="AO400"/>
      <c r="AP400"/>
    </row>
    <row r="401" spans="1:42" s="23" customFormat="1" x14ac:dyDescent="0.25">
      <c r="A401"/>
      <c r="B401" s="24" t="str">
        <f t="shared" si="29"/>
        <v>-</v>
      </c>
      <c r="E401" s="2"/>
      <c r="F401"/>
      <c r="G401"/>
      <c r="H401"/>
      <c r="I401"/>
      <c r="J401"/>
      <c r="K401"/>
      <c r="L401"/>
      <c r="M401"/>
      <c r="N401" s="3"/>
      <c r="O401"/>
      <c r="P401"/>
      <c r="Q401"/>
      <c r="R401"/>
      <c r="S401"/>
      <c r="T401"/>
      <c r="U401"/>
      <c r="V401"/>
      <c r="W401"/>
      <c r="X401"/>
      <c r="Y401"/>
      <c r="Z401"/>
      <c r="AA401"/>
      <c r="AB401"/>
      <c r="AC401"/>
      <c r="AD401"/>
      <c r="AE401"/>
      <c r="AF401"/>
      <c r="AG401"/>
      <c r="AH401"/>
      <c r="AI401"/>
      <c r="AJ401"/>
      <c r="AK401"/>
      <c r="AL401"/>
      <c r="AM401"/>
      <c r="AN401"/>
      <c r="AO401"/>
      <c r="AP401"/>
    </row>
    <row r="402" spans="1:42" s="23" customFormat="1" x14ac:dyDescent="0.25">
      <c r="A402"/>
      <c r="B402" s="24" t="str">
        <f t="shared" ref="B402:B465" si="30">IF(A402&gt;A401,1+B401,"-")</f>
        <v>-</v>
      </c>
      <c r="E402" s="2"/>
      <c r="F402"/>
      <c r="G402"/>
      <c r="H402"/>
      <c r="I402"/>
      <c r="J402"/>
      <c r="K402"/>
      <c r="L402"/>
      <c r="M402"/>
      <c r="N402" s="3"/>
      <c r="O402"/>
      <c r="P402"/>
      <c r="Q402"/>
      <c r="R402"/>
      <c r="S402"/>
      <c r="T402"/>
      <c r="U402"/>
      <c r="V402"/>
      <c r="W402"/>
      <c r="X402"/>
      <c r="Y402"/>
      <c r="Z402"/>
      <c r="AA402"/>
      <c r="AB402"/>
      <c r="AC402"/>
      <c r="AD402"/>
      <c r="AE402"/>
      <c r="AF402"/>
      <c r="AG402"/>
      <c r="AH402"/>
      <c r="AI402"/>
      <c r="AJ402"/>
      <c r="AK402"/>
      <c r="AL402"/>
      <c r="AM402"/>
      <c r="AN402"/>
      <c r="AO402"/>
      <c r="AP402"/>
    </row>
    <row r="403" spans="1:42" s="23" customFormat="1" x14ac:dyDescent="0.25">
      <c r="A403"/>
      <c r="B403" s="24" t="str">
        <f t="shared" si="30"/>
        <v>-</v>
      </c>
      <c r="E403" s="2"/>
      <c r="F403"/>
      <c r="G403"/>
      <c r="H403"/>
      <c r="I403"/>
      <c r="J403"/>
      <c r="K403"/>
      <c r="L403"/>
      <c r="M403"/>
      <c r="N403" s="3"/>
      <c r="O403"/>
      <c r="P403"/>
      <c r="Q403"/>
      <c r="R403"/>
      <c r="S403"/>
      <c r="T403"/>
      <c r="U403"/>
      <c r="V403"/>
      <c r="W403"/>
      <c r="X403"/>
      <c r="Y403"/>
      <c r="Z403"/>
      <c r="AA403"/>
      <c r="AB403"/>
      <c r="AC403"/>
      <c r="AD403"/>
      <c r="AE403"/>
      <c r="AF403"/>
      <c r="AG403"/>
      <c r="AH403"/>
      <c r="AI403"/>
      <c r="AJ403"/>
      <c r="AK403"/>
      <c r="AL403"/>
      <c r="AM403"/>
      <c r="AN403"/>
      <c r="AO403"/>
      <c r="AP403"/>
    </row>
    <row r="404" spans="1:42" s="23" customFormat="1" x14ac:dyDescent="0.25">
      <c r="A404"/>
      <c r="B404" s="24" t="str">
        <f t="shared" si="30"/>
        <v>-</v>
      </c>
      <c r="E404" s="2"/>
      <c r="F404"/>
      <c r="G404"/>
      <c r="H404"/>
      <c r="I404"/>
      <c r="J404"/>
      <c r="K404"/>
      <c r="L404"/>
      <c r="M404"/>
      <c r="N404" s="3"/>
      <c r="O404"/>
      <c r="P404"/>
      <c r="Q404"/>
      <c r="R404"/>
      <c r="S404"/>
      <c r="T404"/>
      <c r="U404"/>
      <c r="V404"/>
      <c r="W404"/>
      <c r="X404"/>
      <c r="Y404"/>
      <c r="Z404"/>
      <c r="AA404"/>
      <c r="AB404"/>
      <c r="AC404"/>
      <c r="AD404"/>
      <c r="AE404"/>
      <c r="AF404"/>
      <c r="AG404"/>
      <c r="AH404"/>
      <c r="AI404"/>
      <c r="AJ404"/>
      <c r="AK404"/>
      <c r="AL404"/>
      <c r="AM404"/>
      <c r="AN404"/>
      <c r="AO404"/>
      <c r="AP404"/>
    </row>
    <row r="405" spans="1:42" s="23" customFormat="1" x14ac:dyDescent="0.25">
      <c r="A405"/>
      <c r="B405" s="24" t="str">
        <f t="shared" si="30"/>
        <v>-</v>
      </c>
      <c r="E405" s="2"/>
      <c r="F405"/>
      <c r="G405"/>
      <c r="H405"/>
      <c r="I405"/>
      <c r="J405"/>
      <c r="K405"/>
      <c r="L405"/>
      <c r="M405"/>
      <c r="N405" s="3"/>
      <c r="O405"/>
      <c r="P405"/>
      <c r="Q405"/>
      <c r="R405"/>
      <c r="S405"/>
      <c r="T405"/>
      <c r="U405"/>
      <c r="V405"/>
      <c r="W405"/>
      <c r="X405"/>
      <c r="Y405"/>
      <c r="Z405"/>
      <c r="AA405"/>
      <c r="AB405"/>
      <c r="AC405"/>
      <c r="AD405"/>
      <c r="AE405"/>
      <c r="AF405"/>
      <c r="AG405"/>
      <c r="AH405"/>
      <c r="AI405"/>
      <c r="AJ405"/>
      <c r="AK405"/>
      <c r="AL405"/>
      <c r="AM405"/>
      <c r="AN405"/>
      <c r="AO405"/>
      <c r="AP405"/>
    </row>
    <row r="406" spans="1:42" s="23" customFormat="1" x14ac:dyDescent="0.25">
      <c r="A406"/>
      <c r="B406" s="24" t="str">
        <f t="shared" si="30"/>
        <v>-</v>
      </c>
      <c r="E406" s="2"/>
      <c r="F406"/>
      <c r="G406"/>
      <c r="H406"/>
      <c r="I406"/>
      <c r="J406"/>
      <c r="K406"/>
      <c r="L406"/>
      <c r="M406"/>
      <c r="N406" s="3"/>
      <c r="O406"/>
      <c r="P406"/>
      <c r="Q406"/>
      <c r="R406"/>
      <c r="S406"/>
      <c r="T406"/>
      <c r="U406"/>
      <c r="V406"/>
      <c r="W406"/>
      <c r="X406"/>
      <c r="Y406"/>
      <c r="Z406"/>
      <c r="AA406"/>
      <c r="AB406"/>
      <c r="AC406"/>
      <c r="AD406"/>
      <c r="AE406"/>
      <c r="AF406"/>
      <c r="AG406"/>
      <c r="AH406"/>
      <c r="AI406"/>
      <c r="AJ406"/>
      <c r="AK406"/>
      <c r="AL406"/>
      <c r="AM406"/>
      <c r="AN406"/>
      <c r="AO406"/>
      <c r="AP406"/>
    </row>
    <row r="407" spans="1:42" s="23" customFormat="1" x14ac:dyDescent="0.25">
      <c r="A407"/>
      <c r="B407" s="24" t="str">
        <f t="shared" si="30"/>
        <v>-</v>
      </c>
      <c r="E407" s="2"/>
      <c r="F407"/>
      <c r="G407"/>
      <c r="H407"/>
      <c r="I407"/>
      <c r="J407"/>
      <c r="K407"/>
      <c r="L407"/>
      <c r="M407"/>
      <c r="N407" s="3"/>
      <c r="O407"/>
      <c r="P407"/>
      <c r="Q407"/>
      <c r="R407"/>
      <c r="S407"/>
      <c r="T407"/>
      <c r="U407"/>
      <c r="V407"/>
      <c r="W407"/>
      <c r="X407"/>
      <c r="Y407"/>
      <c r="Z407"/>
      <c r="AA407"/>
      <c r="AB407"/>
      <c r="AC407"/>
      <c r="AD407"/>
      <c r="AE407"/>
      <c r="AF407"/>
      <c r="AG407"/>
      <c r="AH407"/>
      <c r="AI407"/>
      <c r="AJ407"/>
      <c r="AK407"/>
      <c r="AL407"/>
      <c r="AM407"/>
      <c r="AN407"/>
      <c r="AO407"/>
      <c r="AP407"/>
    </row>
    <row r="408" spans="1:42" s="23" customFormat="1" x14ac:dyDescent="0.25">
      <c r="A408"/>
      <c r="B408" s="24" t="str">
        <f t="shared" si="30"/>
        <v>-</v>
      </c>
      <c r="E408" s="2"/>
      <c r="F408"/>
      <c r="G408"/>
      <c r="H408"/>
      <c r="I408"/>
      <c r="J408"/>
      <c r="K408"/>
      <c r="L408"/>
      <c r="M408"/>
      <c r="N408" s="3"/>
      <c r="O408"/>
      <c r="P408"/>
      <c r="Q408"/>
      <c r="R408"/>
      <c r="S408"/>
      <c r="T408"/>
      <c r="U408"/>
      <c r="V408"/>
      <c r="W408"/>
      <c r="X408"/>
      <c r="Y408"/>
      <c r="Z408"/>
      <c r="AA408"/>
      <c r="AB408"/>
      <c r="AC408"/>
      <c r="AD408"/>
      <c r="AE408"/>
      <c r="AF408"/>
      <c r="AG408"/>
      <c r="AH408"/>
      <c r="AI408"/>
      <c r="AJ408"/>
      <c r="AK408"/>
      <c r="AL408"/>
      <c r="AM408"/>
      <c r="AN408"/>
      <c r="AO408"/>
      <c r="AP408"/>
    </row>
    <row r="409" spans="1:42" s="23" customFormat="1" x14ac:dyDescent="0.25">
      <c r="A409"/>
      <c r="B409" s="24" t="str">
        <f t="shared" si="30"/>
        <v>-</v>
      </c>
      <c r="E409" s="2"/>
      <c r="F409"/>
      <c r="G409"/>
      <c r="H409"/>
      <c r="I409"/>
      <c r="J409"/>
      <c r="K409"/>
      <c r="L409"/>
      <c r="M409"/>
      <c r="N409" s="3"/>
      <c r="O409"/>
      <c r="P409"/>
      <c r="Q409"/>
      <c r="R409"/>
      <c r="S409"/>
      <c r="T409"/>
      <c r="U409"/>
      <c r="V409"/>
      <c r="W409"/>
      <c r="X409"/>
      <c r="Y409"/>
      <c r="Z409"/>
      <c r="AA409"/>
      <c r="AB409"/>
      <c r="AC409"/>
      <c r="AD409"/>
      <c r="AE409"/>
      <c r="AF409"/>
      <c r="AG409"/>
      <c r="AH409"/>
      <c r="AI409"/>
      <c r="AJ409"/>
      <c r="AK409"/>
      <c r="AL409"/>
      <c r="AM409"/>
      <c r="AN409"/>
      <c r="AO409"/>
      <c r="AP409"/>
    </row>
    <row r="410" spans="1:42" s="23" customFormat="1" x14ac:dyDescent="0.25">
      <c r="A410"/>
      <c r="B410" s="24" t="str">
        <f t="shared" si="30"/>
        <v>-</v>
      </c>
      <c r="E410" s="2"/>
      <c r="F410"/>
      <c r="G410"/>
      <c r="H410"/>
      <c r="I410"/>
      <c r="J410"/>
      <c r="K410"/>
      <c r="L410"/>
      <c r="M410"/>
      <c r="N410" s="3"/>
      <c r="O410"/>
      <c r="P410"/>
      <c r="Q410"/>
      <c r="R410"/>
      <c r="S410"/>
      <c r="T410"/>
      <c r="U410"/>
      <c r="V410"/>
      <c r="W410"/>
      <c r="X410"/>
      <c r="Y410"/>
      <c r="Z410"/>
      <c r="AA410"/>
      <c r="AB410"/>
      <c r="AC410"/>
      <c r="AD410"/>
      <c r="AE410"/>
      <c r="AF410"/>
      <c r="AG410"/>
      <c r="AH410"/>
      <c r="AI410"/>
      <c r="AJ410"/>
      <c r="AK410"/>
      <c r="AL410"/>
      <c r="AM410"/>
      <c r="AN410"/>
      <c r="AO410"/>
      <c r="AP410"/>
    </row>
    <row r="411" spans="1:42" s="23" customFormat="1" x14ac:dyDescent="0.25">
      <c r="A411"/>
      <c r="B411" s="24" t="str">
        <f t="shared" si="30"/>
        <v>-</v>
      </c>
      <c r="E411" s="2"/>
      <c r="F411"/>
      <c r="G411"/>
      <c r="H411"/>
      <c r="I411"/>
      <c r="J411"/>
      <c r="K411"/>
      <c r="L411"/>
      <c r="M411"/>
      <c r="N411" s="3"/>
      <c r="O411"/>
      <c r="P411"/>
      <c r="Q411"/>
      <c r="R411"/>
      <c r="S411"/>
      <c r="T411"/>
      <c r="U411"/>
      <c r="V411"/>
      <c r="W411"/>
      <c r="X411"/>
      <c r="Y411"/>
      <c r="Z411"/>
      <c r="AA411"/>
      <c r="AB411"/>
      <c r="AC411"/>
      <c r="AD411"/>
      <c r="AE411"/>
      <c r="AF411"/>
      <c r="AG411"/>
      <c r="AH411"/>
      <c r="AI411"/>
      <c r="AJ411"/>
      <c r="AK411"/>
      <c r="AL411"/>
      <c r="AM411"/>
      <c r="AN411"/>
      <c r="AO411"/>
      <c r="AP411"/>
    </row>
    <row r="412" spans="1:42" s="23" customFormat="1" x14ac:dyDescent="0.25">
      <c r="A412"/>
      <c r="B412" s="24" t="str">
        <f t="shared" si="30"/>
        <v>-</v>
      </c>
      <c r="E412" s="2"/>
      <c r="F412"/>
      <c r="G412"/>
      <c r="H412"/>
      <c r="I412"/>
      <c r="J412"/>
      <c r="K412"/>
      <c r="L412"/>
      <c r="M412"/>
      <c r="N412" s="3"/>
      <c r="O412"/>
      <c r="P412"/>
      <c r="Q412"/>
      <c r="R412"/>
      <c r="S412"/>
      <c r="T412"/>
      <c r="U412"/>
      <c r="V412"/>
      <c r="W412"/>
      <c r="X412"/>
      <c r="Y412"/>
      <c r="Z412"/>
      <c r="AA412"/>
      <c r="AB412"/>
      <c r="AC412"/>
      <c r="AD412"/>
      <c r="AE412"/>
      <c r="AF412"/>
      <c r="AG412"/>
      <c r="AH412"/>
      <c r="AI412"/>
      <c r="AJ412"/>
      <c r="AK412"/>
      <c r="AL412"/>
      <c r="AM412"/>
      <c r="AN412"/>
      <c r="AO412"/>
      <c r="AP412"/>
    </row>
    <row r="413" spans="1:42" s="23" customFormat="1" x14ac:dyDescent="0.25">
      <c r="A413"/>
      <c r="B413" s="24" t="str">
        <f t="shared" si="30"/>
        <v>-</v>
      </c>
      <c r="E413" s="2"/>
      <c r="F413"/>
      <c r="G413"/>
      <c r="H413"/>
      <c r="I413"/>
      <c r="J413"/>
      <c r="K413"/>
      <c r="L413"/>
      <c r="M413"/>
      <c r="N413" s="3"/>
      <c r="O413"/>
      <c r="P413"/>
      <c r="Q413"/>
      <c r="R413"/>
      <c r="S413"/>
      <c r="T413"/>
      <c r="U413"/>
      <c r="V413"/>
      <c r="W413"/>
      <c r="X413"/>
      <c r="Y413"/>
      <c r="Z413"/>
      <c r="AA413"/>
      <c r="AB413"/>
      <c r="AC413"/>
      <c r="AD413"/>
      <c r="AE413"/>
      <c r="AF413"/>
      <c r="AG413"/>
      <c r="AH413"/>
      <c r="AI413"/>
      <c r="AJ413"/>
      <c r="AK413"/>
      <c r="AL413"/>
      <c r="AM413"/>
      <c r="AN413"/>
      <c r="AO413"/>
      <c r="AP413"/>
    </row>
    <row r="414" spans="1:42" s="23" customFormat="1" x14ac:dyDescent="0.25">
      <c r="A414"/>
      <c r="B414" s="24" t="str">
        <f t="shared" si="30"/>
        <v>-</v>
      </c>
      <c r="E414" s="2"/>
      <c r="F414"/>
      <c r="G414"/>
      <c r="H414"/>
      <c r="I414"/>
      <c r="J414"/>
      <c r="K414"/>
      <c r="L414"/>
      <c r="M414"/>
      <c r="N414" s="3"/>
      <c r="O414"/>
      <c r="P414"/>
      <c r="Q414"/>
      <c r="R414"/>
      <c r="S414"/>
      <c r="T414"/>
      <c r="U414"/>
      <c r="V414"/>
      <c r="W414"/>
      <c r="X414"/>
      <c r="Y414"/>
      <c r="Z414"/>
      <c r="AA414"/>
      <c r="AB414"/>
      <c r="AC414"/>
      <c r="AD414"/>
      <c r="AE414"/>
      <c r="AF414"/>
      <c r="AG414"/>
      <c r="AH414"/>
      <c r="AI414"/>
      <c r="AJ414"/>
      <c r="AK414"/>
      <c r="AL414"/>
      <c r="AM414"/>
      <c r="AN414"/>
      <c r="AO414"/>
      <c r="AP414"/>
    </row>
    <row r="415" spans="1:42" s="23" customFormat="1" x14ac:dyDescent="0.25">
      <c r="A415"/>
      <c r="B415" s="24" t="str">
        <f t="shared" si="30"/>
        <v>-</v>
      </c>
      <c r="E415" s="2"/>
      <c r="F415"/>
      <c r="G415"/>
      <c r="H415"/>
      <c r="I415"/>
      <c r="J415"/>
      <c r="K415"/>
      <c r="L415"/>
      <c r="M415"/>
      <c r="N415" s="3"/>
      <c r="O415"/>
      <c r="P415"/>
      <c r="Q415"/>
      <c r="R415"/>
      <c r="S415"/>
      <c r="T415"/>
      <c r="U415"/>
      <c r="V415"/>
      <c r="W415"/>
      <c r="X415"/>
      <c r="Y415"/>
      <c r="Z415"/>
      <c r="AA415"/>
      <c r="AB415"/>
      <c r="AC415"/>
      <c r="AD415"/>
      <c r="AE415"/>
      <c r="AF415"/>
      <c r="AG415"/>
      <c r="AH415"/>
      <c r="AI415"/>
      <c r="AJ415"/>
      <c r="AK415"/>
      <c r="AL415"/>
      <c r="AM415"/>
      <c r="AN415"/>
      <c r="AO415"/>
      <c r="AP415"/>
    </row>
    <row r="416" spans="1:42" s="23" customFormat="1" x14ac:dyDescent="0.25">
      <c r="A416"/>
      <c r="B416" s="24" t="str">
        <f t="shared" si="30"/>
        <v>-</v>
      </c>
      <c r="E416" s="2"/>
      <c r="F416"/>
      <c r="G416"/>
      <c r="H416"/>
      <c r="I416"/>
      <c r="J416"/>
      <c r="K416"/>
      <c r="L416"/>
      <c r="M416"/>
      <c r="N416" s="3"/>
      <c r="O416"/>
      <c r="P416"/>
      <c r="Q416"/>
      <c r="R416"/>
      <c r="S416"/>
      <c r="T416"/>
      <c r="U416"/>
      <c r="V416"/>
      <c r="W416"/>
      <c r="X416"/>
      <c r="Y416"/>
      <c r="Z416"/>
      <c r="AA416"/>
      <c r="AB416"/>
      <c r="AC416"/>
      <c r="AD416"/>
      <c r="AE416"/>
      <c r="AF416"/>
      <c r="AG416"/>
      <c r="AH416"/>
      <c r="AI416"/>
      <c r="AJ416"/>
      <c r="AK416"/>
      <c r="AL416"/>
      <c r="AM416"/>
      <c r="AN416"/>
      <c r="AO416"/>
      <c r="AP416"/>
    </row>
    <row r="417" spans="1:42" s="23" customFormat="1" x14ac:dyDescent="0.25">
      <c r="A417"/>
      <c r="B417" s="24" t="str">
        <f t="shared" si="30"/>
        <v>-</v>
      </c>
      <c r="E417" s="2"/>
      <c r="F417"/>
      <c r="G417"/>
      <c r="H417"/>
      <c r="I417"/>
      <c r="J417"/>
      <c r="K417"/>
      <c r="L417"/>
      <c r="M417"/>
      <c r="N417" s="3"/>
      <c r="O417"/>
      <c r="P417"/>
      <c r="Q417"/>
      <c r="R417"/>
      <c r="S417"/>
      <c r="T417"/>
      <c r="U417"/>
      <c r="V417"/>
      <c r="W417"/>
      <c r="X417"/>
      <c r="Y417"/>
      <c r="Z417"/>
      <c r="AA417"/>
      <c r="AB417"/>
      <c r="AC417"/>
      <c r="AD417"/>
      <c r="AE417"/>
      <c r="AF417"/>
      <c r="AG417"/>
      <c r="AH417"/>
      <c r="AI417"/>
      <c r="AJ417"/>
      <c r="AK417"/>
      <c r="AL417"/>
      <c r="AM417"/>
      <c r="AN417"/>
      <c r="AO417"/>
      <c r="AP417"/>
    </row>
    <row r="418" spans="1:42" s="23" customFormat="1" x14ac:dyDescent="0.25">
      <c r="A418"/>
      <c r="B418" s="24" t="str">
        <f t="shared" si="30"/>
        <v>-</v>
      </c>
      <c r="E418" s="2"/>
      <c r="F418"/>
      <c r="G418"/>
      <c r="H418"/>
      <c r="I418"/>
      <c r="J418"/>
      <c r="K418"/>
      <c r="L418"/>
      <c r="M418"/>
      <c r="N418" s="3"/>
      <c r="O418"/>
      <c r="P418"/>
      <c r="Q418"/>
      <c r="R418"/>
      <c r="S418"/>
      <c r="T418"/>
      <c r="U418"/>
      <c r="V418"/>
      <c r="W418"/>
      <c r="X418"/>
      <c r="Y418"/>
      <c r="Z418"/>
      <c r="AA418"/>
      <c r="AB418"/>
      <c r="AC418"/>
      <c r="AD418"/>
      <c r="AE418"/>
      <c r="AF418"/>
      <c r="AG418"/>
      <c r="AH418"/>
      <c r="AI418"/>
      <c r="AJ418"/>
      <c r="AK418"/>
      <c r="AL418"/>
      <c r="AM418"/>
      <c r="AN418"/>
      <c r="AO418"/>
      <c r="AP418"/>
    </row>
    <row r="419" spans="1:42" s="23" customFormat="1" x14ac:dyDescent="0.25">
      <c r="A419"/>
      <c r="B419" s="24" t="str">
        <f t="shared" si="30"/>
        <v>-</v>
      </c>
      <c r="E419" s="2"/>
      <c r="F419"/>
      <c r="G419"/>
      <c r="H419"/>
      <c r="I419"/>
      <c r="J419"/>
      <c r="K419"/>
      <c r="L419"/>
      <c r="M419"/>
      <c r="N419" s="3"/>
      <c r="O419"/>
      <c r="P419"/>
      <c r="Q419"/>
      <c r="R419"/>
      <c r="S419"/>
      <c r="T419"/>
      <c r="U419"/>
      <c r="V419"/>
      <c r="W419"/>
      <c r="X419"/>
      <c r="Y419"/>
      <c r="Z419"/>
      <c r="AA419"/>
      <c r="AB419"/>
      <c r="AC419"/>
      <c r="AD419"/>
      <c r="AE419"/>
      <c r="AF419"/>
      <c r="AG419"/>
      <c r="AH419"/>
      <c r="AI419"/>
      <c r="AJ419"/>
      <c r="AK419"/>
      <c r="AL419"/>
      <c r="AM419"/>
      <c r="AN419"/>
      <c r="AO419"/>
      <c r="AP419"/>
    </row>
    <row r="420" spans="1:42" s="23" customFormat="1" x14ac:dyDescent="0.25">
      <c r="A420"/>
      <c r="B420" s="24" t="str">
        <f t="shared" si="30"/>
        <v>-</v>
      </c>
      <c r="E420" s="2"/>
      <c r="F420"/>
      <c r="G420"/>
      <c r="H420"/>
      <c r="I420"/>
      <c r="J420"/>
      <c r="K420"/>
      <c r="L420"/>
      <c r="M420"/>
      <c r="N420" s="3"/>
      <c r="O420"/>
      <c r="P420"/>
      <c r="Q420"/>
      <c r="R420"/>
      <c r="S420"/>
      <c r="T420"/>
      <c r="U420"/>
      <c r="V420"/>
      <c r="W420"/>
      <c r="X420"/>
      <c r="Y420"/>
      <c r="Z420"/>
      <c r="AA420"/>
      <c r="AB420"/>
      <c r="AC420"/>
      <c r="AD420"/>
      <c r="AE420"/>
      <c r="AF420"/>
      <c r="AG420"/>
      <c r="AH420"/>
      <c r="AI420"/>
      <c r="AJ420"/>
      <c r="AK420"/>
      <c r="AL420"/>
      <c r="AM420"/>
      <c r="AN420"/>
      <c r="AO420"/>
      <c r="AP420"/>
    </row>
    <row r="421" spans="1:42" s="23" customFormat="1" x14ac:dyDescent="0.25">
      <c r="A421"/>
      <c r="B421" s="24" t="str">
        <f t="shared" si="30"/>
        <v>-</v>
      </c>
      <c r="E421" s="2"/>
      <c r="F421"/>
      <c r="G421"/>
      <c r="H421"/>
      <c r="I421"/>
      <c r="J421"/>
      <c r="K421"/>
      <c r="L421"/>
      <c r="M421"/>
      <c r="N421" s="3"/>
      <c r="O421"/>
      <c r="P421"/>
      <c r="Q421"/>
      <c r="R421"/>
      <c r="S421"/>
      <c r="T421"/>
      <c r="U421"/>
      <c r="V421"/>
      <c r="W421"/>
      <c r="X421"/>
      <c r="Y421"/>
      <c r="Z421"/>
      <c r="AA421"/>
      <c r="AB421"/>
      <c r="AC421"/>
      <c r="AD421"/>
      <c r="AE421"/>
      <c r="AF421"/>
      <c r="AG421"/>
      <c r="AH421"/>
      <c r="AI421"/>
      <c r="AJ421"/>
      <c r="AK421"/>
      <c r="AL421"/>
      <c r="AM421"/>
      <c r="AN421"/>
      <c r="AO421"/>
      <c r="AP421"/>
    </row>
    <row r="422" spans="1:42" s="23" customFormat="1" x14ac:dyDescent="0.25">
      <c r="A422"/>
      <c r="B422" s="24" t="str">
        <f t="shared" si="30"/>
        <v>-</v>
      </c>
      <c r="E422" s="2"/>
      <c r="F422"/>
      <c r="G422"/>
      <c r="H422"/>
      <c r="I422"/>
      <c r="J422"/>
      <c r="K422"/>
      <c r="L422"/>
      <c r="M422"/>
      <c r="N422" s="3"/>
      <c r="O422"/>
      <c r="P422"/>
      <c r="Q422"/>
      <c r="R422"/>
      <c r="S422"/>
      <c r="T422"/>
      <c r="U422"/>
      <c r="V422"/>
      <c r="W422"/>
      <c r="X422"/>
      <c r="Y422"/>
      <c r="Z422"/>
      <c r="AA422"/>
      <c r="AB422"/>
      <c r="AC422"/>
      <c r="AD422"/>
      <c r="AE422"/>
      <c r="AF422"/>
      <c r="AG422"/>
      <c r="AH422"/>
      <c r="AI422"/>
      <c r="AJ422"/>
      <c r="AK422"/>
      <c r="AL422"/>
      <c r="AM422"/>
      <c r="AN422"/>
      <c r="AO422"/>
      <c r="AP422"/>
    </row>
    <row r="423" spans="1:42" s="23" customFormat="1" x14ac:dyDescent="0.25">
      <c r="A423"/>
      <c r="B423" s="24" t="str">
        <f t="shared" si="30"/>
        <v>-</v>
      </c>
      <c r="E423" s="2"/>
      <c r="F423"/>
      <c r="G423"/>
      <c r="H423"/>
      <c r="I423"/>
      <c r="J423"/>
      <c r="K423"/>
      <c r="L423"/>
      <c r="M423"/>
      <c r="N423" s="3"/>
      <c r="O423"/>
      <c r="P423"/>
      <c r="Q423"/>
      <c r="R423"/>
      <c r="S423"/>
      <c r="T423"/>
      <c r="U423"/>
      <c r="V423"/>
      <c r="W423"/>
      <c r="X423"/>
      <c r="Y423"/>
      <c r="Z423"/>
      <c r="AA423"/>
      <c r="AB423"/>
      <c r="AC423"/>
      <c r="AD423"/>
      <c r="AE423"/>
      <c r="AF423"/>
      <c r="AG423"/>
      <c r="AH423"/>
      <c r="AI423"/>
      <c r="AJ423"/>
      <c r="AK423"/>
      <c r="AL423"/>
      <c r="AM423"/>
      <c r="AN423"/>
      <c r="AO423"/>
      <c r="AP423"/>
    </row>
    <row r="424" spans="1:42" s="23" customFormat="1" x14ac:dyDescent="0.25">
      <c r="A424"/>
      <c r="B424" s="24" t="str">
        <f t="shared" si="30"/>
        <v>-</v>
      </c>
      <c r="E424" s="2"/>
      <c r="F424"/>
      <c r="G424"/>
      <c r="H424"/>
      <c r="I424"/>
      <c r="J424"/>
      <c r="K424"/>
      <c r="L424"/>
      <c r="M424"/>
      <c r="N424" s="3"/>
      <c r="O424"/>
      <c r="P424"/>
      <c r="Q424"/>
      <c r="R424"/>
      <c r="S424"/>
      <c r="T424"/>
      <c r="U424"/>
      <c r="V424"/>
      <c r="W424"/>
      <c r="X424"/>
      <c r="Y424"/>
      <c r="Z424"/>
      <c r="AA424"/>
      <c r="AB424"/>
      <c r="AC424"/>
      <c r="AD424"/>
      <c r="AE424"/>
      <c r="AF424"/>
      <c r="AG424"/>
      <c r="AH424"/>
      <c r="AI424"/>
      <c r="AJ424"/>
      <c r="AK424"/>
      <c r="AL424"/>
      <c r="AM424"/>
      <c r="AN424"/>
      <c r="AO424"/>
      <c r="AP424"/>
    </row>
    <row r="425" spans="1:42" s="23" customFormat="1" x14ac:dyDescent="0.25">
      <c r="A425"/>
      <c r="B425" s="24" t="str">
        <f t="shared" si="30"/>
        <v>-</v>
      </c>
      <c r="E425" s="2"/>
      <c r="F425"/>
      <c r="G425"/>
      <c r="H425"/>
      <c r="I425"/>
      <c r="J425"/>
      <c r="K425"/>
      <c r="L425"/>
      <c r="M425"/>
      <c r="N425" s="3"/>
      <c r="O425"/>
      <c r="P425"/>
      <c r="Q425"/>
      <c r="R425"/>
      <c r="S425"/>
      <c r="T425"/>
      <c r="U425"/>
      <c r="V425"/>
      <c r="W425"/>
      <c r="X425"/>
      <c r="Y425"/>
      <c r="Z425"/>
      <c r="AA425"/>
      <c r="AB425"/>
      <c r="AC425"/>
      <c r="AD425"/>
      <c r="AE425"/>
      <c r="AF425"/>
      <c r="AG425"/>
      <c r="AH425"/>
      <c r="AI425"/>
      <c r="AJ425"/>
      <c r="AK425"/>
      <c r="AL425"/>
      <c r="AM425"/>
      <c r="AN425"/>
      <c r="AO425"/>
      <c r="AP425"/>
    </row>
    <row r="426" spans="1:42" s="23" customFormat="1" x14ac:dyDescent="0.25">
      <c r="A426"/>
      <c r="B426" s="24" t="str">
        <f t="shared" si="30"/>
        <v>-</v>
      </c>
      <c r="E426" s="2"/>
      <c r="F426"/>
      <c r="G426"/>
      <c r="H426"/>
      <c r="I426"/>
      <c r="J426"/>
      <c r="K426"/>
      <c r="L426"/>
      <c r="M426"/>
      <c r="N426" s="3"/>
      <c r="O426"/>
      <c r="P426"/>
      <c r="Q426"/>
      <c r="R426"/>
      <c r="S426"/>
      <c r="T426"/>
      <c r="U426"/>
      <c r="V426"/>
      <c r="W426"/>
      <c r="X426"/>
      <c r="Y426"/>
      <c r="Z426"/>
      <c r="AA426"/>
      <c r="AB426"/>
      <c r="AC426"/>
      <c r="AD426"/>
      <c r="AE426"/>
      <c r="AF426"/>
      <c r="AG426"/>
      <c r="AH426"/>
      <c r="AI426"/>
      <c r="AJ426"/>
      <c r="AK426"/>
      <c r="AL426"/>
      <c r="AM426"/>
      <c r="AN426"/>
      <c r="AO426"/>
      <c r="AP426"/>
    </row>
    <row r="427" spans="1:42" s="23" customFormat="1" x14ac:dyDescent="0.25">
      <c r="A427"/>
      <c r="B427" s="24" t="str">
        <f t="shared" si="30"/>
        <v>-</v>
      </c>
      <c r="E427" s="2"/>
      <c r="F427"/>
      <c r="G427"/>
      <c r="H427"/>
      <c r="I427"/>
      <c r="J427"/>
      <c r="K427"/>
      <c r="L427"/>
      <c r="M427"/>
      <c r="N427" s="3"/>
      <c r="O427"/>
      <c r="P427"/>
      <c r="Q427"/>
      <c r="R427"/>
      <c r="S427"/>
      <c r="T427"/>
      <c r="U427"/>
      <c r="V427"/>
      <c r="W427"/>
      <c r="X427"/>
      <c r="Y427"/>
      <c r="Z427"/>
      <c r="AA427"/>
      <c r="AB427"/>
      <c r="AC427"/>
      <c r="AD427"/>
      <c r="AE427"/>
      <c r="AF427"/>
      <c r="AG427"/>
      <c r="AH427"/>
      <c r="AI427"/>
      <c r="AJ427"/>
      <c r="AK427"/>
      <c r="AL427"/>
      <c r="AM427"/>
      <c r="AN427"/>
      <c r="AO427"/>
      <c r="AP427"/>
    </row>
    <row r="428" spans="1:42" s="23" customFormat="1" x14ac:dyDescent="0.25">
      <c r="A428"/>
      <c r="B428" s="24" t="str">
        <f t="shared" si="30"/>
        <v>-</v>
      </c>
      <c r="E428" s="2"/>
      <c r="F428"/>
      <c r="G428"/>
      <c r="H428"/>
      <c r="I428"/>
      <c r="J428"/>
      <c r="K428"/>
      <c r="L428"/>
      <c r="M428"/>
      <c r="N428" s="3"/>
      <c r="O428"/>
      <c r="P428"/>
      <c r="Q428"/>
      <c r="R428"/>
      <c r="S428"/>
      <c r="T428"/>
      <c r="U428"/>
      <c r="V428"/>
      <c r="W428"/>
      <c r="X428"/>
      <c r="Y428"/>
      <c r="Z428"/>
      <c r="AA428"/>
      <c r="AB428"/>
      <c r="AC428"/>
      <c r="AD428"/>
      <c r="AE428"/>
      <c r="AF428"/>
      <c r="AG428"/>
      <c r="AH428"/>
      <c r="AI428"/>
      <c r="AJ428"/>
      <c r="AK428"/>
      <c r="AL428"/>
      <c r="AM428"/>
      <c r="AN428"/>
      <c r="AO428"/>
      <c r="AP428"/>
    </row>
    <row r="429" spans="1:42" s="23" customFormat="1" x14ac:dyDescent="0.25">
      <c r="A429"/>
      <c r="B429" s="24" t="str">
        <f t="shared" si="30"/>
        <v>-</v>
      </c>
      <c r="E429" s="2"/>
      <c r="F429"/>
      <c r="G429"/>
      <c r="H429"/>
      <c r="I429"/>
      <c r="J429"/>
      <c r="K429"/>
      <c r="L429"/>
      <c r="M429"/>
      <c r="N429" s="3"/>
      <c r="O429"/>
      <c r="P429"/>
      <c r="Q429"/>
      <c r="R429"/>
      <c r="S429"/>
      <c r="T429"/>
      <c r="U429"/>
      <c r="V429"/>
      <c r="W429"/>
      <c r="X429"/>
      <c r="Y429"/>
      <c r="Z429"/>
      <c r="AA429"/>
      <c r="AB429"/>
      <c r="AC429"/>
      <c r="AD429"/>
      <c r="AE429"/>
      <c r="AF429"/>
      <c r="AG429"/>
      <c r="AH429"/>
      <c r="AI429"/>
      <c r="AJ429"/>
      <c r="AK429"/>
      <c r="AL429"/>
      <c r="AM429"/>
      <c r="AN429"/>
      <c r="AO429"/>
      <c r="AP429"/>
    </row>
    <row r="430" spans="1:42" s="23" customFormat="1" x14ac:dyDescent="0.25">
      <c r="A430"/>
      <c r="B430" s="24" t="str">
        <f t="shared" si="30"/>
        <v>-</v>
      </c>
      <c r="E430" s="2"/>
      <c r="F430"/>
      <c r="G430"/>
      <c r="H430"/>
      <c r="I430"/>
      <c r="J430"/>
      <c r="K430"/>
      <c r="L430"/>
      <c r="M430"/>
      <c r="N430" s="3"/>
      <c r="O430"/>
      <c r="P430"/>
      <c r="Q430"/>
      <c r="R430"/>
      <c r="S430"/>
      <c r="T430"/>
      <c r="U430"/>
      <c r="V430"/>
      <c r="W430"/>
      <c r="X430"/>
      <c r="Y430"/>
      <c r="Z430"/>
      <c r="AA430"/>
      <c r="AB430"/>
      <c r="AC430"/>
      <c r="AD430"/>
      <c r="AE430"/>
      <c r="AF430"/>
      <c r="AG430"/>
      <c r="AH430"/>
      <c r="AI430"/>
      <c r="AJ430"/>
      <c r="AK430"/>
      <c r="AL430"/>
      <c r="AM430"/>
      <c r="AN430"/>
      <c r="AO430"/>
      <c r="AP430"/>
    </row>
    <row r="431" spans="1:42" s="23" customFormat="1" x14ac:dyDescent="0.25">
      <c r="A431"/>
      <c r="B431" s="24" t="str">
        <f t="shared" si="30"/>
        <v>-</v>
      </c>
      <c r="E431" s="2"/>
      <c r="F431"/>
      <c r="G431"/>
      <c r="H431"/>
      <c r="I431"/>
      <c r="J431"/>
      <c r="K431"/>
      <c r="L431"/>
      <c r="M431"/>
      <c r="N431" s="3"/>
      <c r="O431"/>
      <c r="P431"/>
      <c r="Q431"/>
      <c r="R431"/>
      <c r="S431"/>
      <c r="T431"/>
      <c r="U431"/>
      <c r="V431"/>
      <c r="W431"/>
      <c r="X431"/>
      <c r="Y431"/>
      <c r="Z431"/>
      <c r="AA431"/>
      <c r="AB431"/>
      <c r="AC431"/>
      <c r="AD431"/>
      <c r="AE431"/>
      <c r="AF431"/>
      <c r="AG431"/>
      <c r="AH431"/>
      <c r="AI431"/>
      <c r="AJ431"/>
      <c r="AK431"/>
      <c r="AL431"/>
      <c r="AM431"/>
      <c r="AN431"/>
      <c r="AO431"/>
      <c r="AP431"/>
    </row>
    <row r="432" spans="1:42" s="23" customFormat="1" x14ac:dyDescent="0.25">
      <c r="A432"/>
      <c r="B432" s="24" t="str">
        <f t="shared" si="30"/>
        <v>-</v>
      </c>
      <c r="E432" s="2"/>
      <c r="F432"/>
      <c r="G432"/>
      <c r="H432"/>
      <c r="I432"/>
      <c r="J432"/>
      <c r="K432"/>
      <c r="L432"/>
      <c r="M432"/>
      <c r="N432" s="3"/>
      <c r="O432"/>
      <c r="P432"/>
      <c r="Q432"/>
      <c r="R432"/>
      <c r="S432"/>
      <c r="T432"/>
      <c r="U432"/>
      <c r="V432"/>
      <c r="W432"/>
      <c r="X432"/>
      <c r="Y432"/>
      <c r="Z432"/>
      <c r="AA432"/>
      <c r="AB432"/>
      <c r="AC432"/>
      <c r="AD432"/>
      <c r="AE432"/>
      <c r="AF432"/>
      <c r="AG432"/>
      <c r="AH432"/>
      <c r="AI432"/>
      <c r="AJ432"/>
      <c r="AK432"/>
      <c r="AL432"/>
      <c r="AM432"/>
      <c r="AN432"/>
      <c r="AO432"/>
      <c r="AP432"/>
    </row>
    <row r="433" spans="1:42" s="23" customFormat="1" x14ac:dyDescent="0.25">
      <c r="A433"/>
      <c r="B433" s="24" t="str">
        <f t="shared" si="30"/>
        <v>-</v>
      </c>
      <c r="E433" s="2"/>
      <c r="F433"/>
      <c r="G433"/>
      <c r="H433"/>
      <c r="I433"/>
      <c r="J433"/>
      <c r="K433"/>
      <c r="L433"/>
      <c r="M433"/>
      <c r="N433" s="3"/>
      <c r="O433"/>
      <c r="P433"/>
      <c r="Q433"/>
      <c r="R433"/>
      <c r="S433"/>
      <c r="T433"/>
      <c r="U433"/>
      <c r="V433"/>
      <c r="W433"/>
      <c r="X433"/>
      <c r="Y433"/>
      <c r="Z433"/>
      <c r="AA433"/>
      <c r="AB433"/>
      <c r="AC433"/>
      <c r="AD433"/>
      <c r="AE433"/>
      <c r="AF433"/>
      <c r="AG433"/>
      <c r="AH433"/>
      <c r="AI433"/>
      <c r="AJ433"/>
      <c r="AK433"/>
      <c r="AL433"/>
      <c r="AM433"/>
      <c r="AN433"/>
      <c r="AO433"/>
      <c r="AP433"/>
    </row>
    <row r="434" spans="1:42" s="23" customFormat="1" x14ac:dyDescent="0.25">
      <c r="A434"/>
      <c r="B434" s="24" t="str">
        <f t="shared" si="30"/>
        <v>-</v>
      </c>
      <c r="E434" s="2"/>
      <c r="F434"/>
      <c r="G434"/>
      <c r="H434"/>
      <c r="I434"/>
      <c r="J434"/>
      <c r="K434"/>
      <c r="L434"/>
      <c r="M434"/>
      <c r="N434" s="3"/>
      <c r="O434"/>
      <c r="P434"/>
      <c r="Q434"/>
      <c r="R434"/>
      <c r="S434"/>
      <c r="T434"/>
      <c r="U434"/>
      <c r="V434"/>
      <c r="W434"/>
      <c r="X434"/>
      <c r="Y434"/>
      <c r="Z434"/>
      <c r="AA434"/>
      <c r="AB434"/>
      <c r="AC434"/>
      <c r="AD434"/>
      <c r="AE434"/>
      <c r="AF434"/>
      <c r="AG434"/>
      <c r="AH434"/>
      <c r="AI434"/>
      <c r="AJ434"/>
      <c r="AK434"/>
      <c r="AL434"/>
      <c r="AM434"/>
      <c r="AN434"/>
      <c r="AO434"/>
      <c r="AP434"/>
    </row>
    <row r="435" spans="1:42" s="23" customFormat="1" x14ac:dyDescent="0.25">
      <c r="A435"/>
      <c r="B435" s="24" t="str">
        <f t="shared" si="30"/>
        <v>-</v>
      </c>
      <c r="E435" s="2"/>
      <c r="F435"/>
      <c r="G435"/>
      <c r="H435"/>
      <c r="I435"/>
      <c r="J435"/>
      <c r="K435"/>
      <c r="L435"/>
      <c r="M435"/>
      <c r="N435" s="3"/>
      <c r="O435"/>
      <c r="P435"/>
      <c r="Q435"/>
      <c r="R435"/>
      <c r="S435"/>
      <c r="T435"/>
      <c r="U435"/>
      <c r="V435"/>
      <c r="W435"/>
      <c r="X435"/>
      <c r="Y435"/>
      <c r="Z435"/>
      <c r="AA435"/>
      <c r="AB435"/>
      <c r="AC435"/>
      <c r="AD435"/>
      <c r="AE435"/>
      <c r="AF435"/>
      <c r="AG435"/>
      <c r="AH435"/>
      <c r="AI435"/>
      <c r="AJ435"/>
      <c r="AK435"/>
      <c r="AL435"/>
      <c r="AM435"/>
      <c r="AN435"/>
      <c r="AO435"/>
      <c r="AP435"/>
    </row>
    <row r="436" spans="1:42" s="23" customFormat="1" x14ac:dyDescent="0.25">
      <c r="A436"/>
      <c r="B436" s="24" t="str">
        <f t="shared" si="30"/>
        <v>-</v>
      </c>
      <c r="E436" s="2"/>
      <c r="F436"/>
      <c r="G436"/>
      <c r="H436"/>
      <c r="I436"/>
      <c r="J436"/>
      <c r="K436"/>
      <c r="L436"/>
      <c r="M436"/>
      <c r="N436" s="3"/>
      <c r="O436"/>
      <c r="P436"/>
      <c r="Q436"/>
      <c r="R436"/>
      <c r="S436"/>
      <c r="T436"/>
      <c r="U436"/>
      <c r="V436"/>
      <c r="W436"/>
      <c r="X436"/>
      <c r="Y436"/>
      <c r="Z436"/>
      <c r="AA436"/>
      <c r="AB436"/>
      <c r="AC436"/>
      <c r="AD436"/>
      <c r="AE436"/>
      <c r="AF436"/>
      <c r="AG436"/>
      <c r="AH436"/>
      <c r="AI436"/>
      <c r="AJ436"/>
      <c r="AK436"/>
      <c r="AL436"/>
      <c r="AM436"/>
      <c r="AN436"/>
      <c r="AO436"/>
      <c r="AP436"/>
    </row>
    <row r="437" spans="1:42" s="23" customFormat="1" x14ac:dyDescent="0.25">
      <c r="A437"/>
      <c r="B437" s="24" t="str">
        <f t="shared" si="30"/>
        <v>-</v>
      </c>
      <c r="E437" s="2"/>
      <c r="F437"/>
      <c r="G437"/>
      <c r="H437"/>
      <c r="I437"/>
      <c r="J437"/>
      <c r="K437"/>
      <c r="L437"/>
      <c r="M437"/>
      <c r="N437" s="3"/>
      <c r="O437"/>
      <c r="P437"/>
      <c r="Q437"/>
      <c r="R437"/>
      <c r="S437"/>
      <c r="T437"/>
      <c r="U437"/>
      <c r="V437"/>
      <c r="W437"/>
      <c r="X437"/>
      <c r="Y437"/>
      <c r="Z437"/>
      <c r="AA437"/>
      <c r="AB437"/>
      <c r="AC437"/>
      <c r="AD437"/>
      <c r="AE437"/>
      <c r="AF437"/>
      <c r="AG437"/>
      <c r="AH437"/>
      <c r="AI437"/>
      <c r="AJ437"/>
      <c r="AK437"/>
      <c r="AL437"/>
      <c r="AM437"/>
      <c r="AN437"/>
      <c r="AO437"/>
      <c r="AP437"/>
    </row>
    <row r="438" spans="1:42" s="23" customFormat="1" x14ac:dyDescent="0.25">
      <c r="A438"/>
      <c r="B438" s="24" t="str">
        <f t="shared" si="30"/>
        <v>-</v>
      </c>
      <c r="E438" s="2"/>
      <c r="F438"/>
      <c r="G438"/>
      <c r="H438"/>
      <c r="I438"/>
      <c r="J438"/>
      <c r="K438"/>
      <c r="L438"/>
      <c r="M438"/>
      <c r="N438" s="3"/>
      <c r="O438"/>
      <c r="P438"/>
      <c r="Q438"/>
      <c r="R438"/>
      <c r="S438"/>
      <c r="T438"/>
      <c r="U438"/>
      <c r="V438"/>
      <c r="W438"/>
      <c r="X438"/>
      <c r="Y438"/>
      <c r="Z438"/>
      <c r="AA438"/>
      <c r="AB438"/>
      <c r="AC438"/>
      <c r="AD438"/>
      <c r="AE438"/>
      <c r="AF438"/>
      <c r="AG438"/>
      <c r="AH438"/>
      <c r="AI438"/>
      <c r="AJ438"/>
      <c r="AK438"/>
      <c r="AL438"/>
      <c r="AM438"/>
      <c r="AN438"/>
      <c r="AO438"/>
      <c r="AP438"/>
    </row>
    <row r="439" spans="1:42" s="23" customFormat="1" x14ac:dyDescent="0.25">
      <c r="A439"/>
      <c r="B439" s="24" t="str">
        <f t="shared" si="30"/>
        <v>-</v>
      </c>
      <c r="E439" s="2"/>
      <c r="F439"/>
      <c r="G439"/>
      <c r="H439"/>
      <c r="I439"/>
      <c r="J439"/>
      <c r="K439"/>
      <c r="L439"/>
      <c r="M439"/>
      <c r="N439" s="3"/>
      <c r="O439"/>
      <c r="P439"/>
      <c r="Q439"/>
      <c r="R439"/>
      <c r="S439"/>
      <c r="T439"/>
      <c r="U439"/>
      <c r="V439"/>
      <c r="W439"/>
      <c r="X439"/>
      <c r="Y439"/>
      <c r="Z439"/>
      <c r="AA439"/>
      <c r="AB439"/>
      <c r="AC439"/>
      <c r="AD439"/>
      <c r="AE439"/>
      <c r="AF439"/>
      <c r="AG439"/>
      <c r="AH439"/>
      <c r="AI439"/>
      <c r="AJ439"/>
      <c r="AK439"/>
      <c r="AL439"/>
      <c r="AM439"/>
      <c r="AN439"/>
      <c r="AO439"/>
      <c r="AP439"/>
    </row>
    <row r="440" spans="1:42" s="23" customFormat="1" x14ac:dyDescent="0.25">
      <c r="A440"/>
      <c r="B440" s="24" t="str">
        <f t="shared" si="30"/>
        <v>-</v>
      </c>
      <c r="E440" s="2"/>
      <c r="F440"/>
      <c r="G440"/>
      <c r="H440"/>
      <c r="I440"/>
      <c r="J440"/>
      <c r="K440"/>
      <c r="L440"/>
      <c r="M440"/>
      <c r="N440" s="3"/>
      <c r="O440"/>
      <c r="P440"/>
      <c r="Q440"/>
      <c r="R440"/>
      <c r="S440"/>
      <c r="T440"/>
      <c r="U440"/>
      <c r="V440"/>
      <c r="W440"/>
      <c r="X440"/>
      <c r="Y440"/>
      <c r="Z440"/>
      <c r="AA440"/>
      <c r="AB440"/>
      <c r="AC440"/>
      <c r="AD440"/>
      <c r="AE440"/>
      <c r="AF440"/>
      <c r="AG440"/>
      <c r="AH440"/>
      <c r="AI440"/>
      <c r="AJ440"/>
      <c r="AK440"/>
      <c r="AL440"/>
      <c r="AM440"/>
      <c r="AN440"/>
      <c r="AO440"/>
      <c r="AP440"/>
    </row>
    <row r="441" spans="1:42" s="23" customFormat="1" x14ac:dyDescent="0.25">
      <c r="A441"/>
      <c r="B441" s="24" t="str">
        <f t="shared" si="30"/>
        <v>-</v>
      </c>
      <c r="E441" s="2"/>
      <c r="F441"/>
      <c r="G441"/>
      <c r="H441"/>
      <c r="I441"/>
      <c r="J441"/>
      <c r="K441"/>
      <c r="L441"/>
      <c r="M441"/>
      <c r="N441" s="3"/>
      <c r="O441"/>
      <c r="P441"/>
      <c r="Q441"/>
      <c r="R441"/>
      <c r="S441"/>
      <c r="T441"/>
      <c r="U441"/>
      <c r="V441"/>
      <c r="W441"/>
      <c r="X441"/>
      <c r="Y441"/>
      <c r="Z441"/>
      <c r="AA441"/>
      <c r="AB441"/>
      <c r="AC441"/>
      <c r="AD441"/>
      <c r="AE441"/>
      <c r="AF441"/>
      <c r="AG441"/>
      <c r="AH441"/>
      <c r="AI441"/>
      <c r="AJ441"/>
      <c r="AK441"/>
      <c r="AL441"/>
      <c r="AM441"/>
      <c r="AN441"/>
      <c r="AO441"/>
      <c r="AP441"/>
    </row>
    <row r="442" spans="1:42" s="23" customFormat="1" x14ac:dyDescent="0.25">
      <c r="A442"/>
      <c r="B442" s="24" t="str">
        <f t="shared" si="30"/>
        <v>-</v>
      </c>
      <c r="E442" s="2"/>
      <c r="F442"/>
      <c r="G442"/>
      <c r="H442"/>
      <c r="I442"/>
      <c r="J442"/>
      <c r="K442"/>
      <c r="L442"/>
      <c r="M442"/>
      <c r="N442" s="3"/>
      <c r="O442"/>
      <c r="P442"/>
      <c r="Q442"/>
      <c r="R442"/>
      <c r="S442"/>
      <c r="T442"/>
      <c r="U442"/>
      <c r="V442"/>
      <c r="W442"/>
      <c r="X442"/>
      <c r="Y442"/>
      <c r="Z442"/>
      <c r="AA442"/>
      <c r="AB442"/>
      <c r="AC442"/>
      <c r="AD442"/>
      <c r="AE442"/>
      <c r="AF442"/>
      <c r="AG442"/>
      <c r="AH442"/>
      <c r="AI442"/>
      <c r="AJ442"/>
      <c r="AK442"/>
      <c r="AL442"/>
      <c r="AM442"/>
      <c r="AN442"/>
      <c r="AO442"/>
      <c r="AP442"/>
    </row>
    <row r="443" spans="1:42" s="23" customFormat="1" x14ac:dyDescent="0.25">
      <c r="A443"/>
      <c r="B443" s="24" t="str">
        <f t="shared" si="30"/>
        <v>-</v>
      </c>
      <c r="E443" s="2"/>
      <c r="F443"/>
      <c r="G443"/>
      <c r="H443"/>
      <c r="I443"/>
      <c r="J443"/>
      <c r="K443"/>
      <c r="L443"/>
      <c r="M443"/>
      <c r="N443" s="3"/>
      <c r="O443"/>
      <c r="P443"/>
      <c r="Q443"/>
      <c r="R443"/>
      <c r="S443"/>
      <c r="T443"/>
      <c r="U443"/>
      <c r="V443"/>
      <c r="W443"/>
      <c r="X443"/>
      <c r="Y443"/>
      <c r="Z443"/>
      <c r="AA443"/>
      <c r="AB443"/>
      <c r="AC443"/>
      <c r="AD443"/>
      <c r="AE443"/>
      <c r="AF443"/>
      <c r="AG443"/>
      <c r="AH443"/>
      <c r="AI443"/>
      <c r="AJ443"/>
      <c r="AK443"/>
      <c r="AL443"/>
      <c r="AM443"/>
      <c r="AN443"/>
      <c r="AO443"/>
      <c r="AP443"/>
    </row>
    <row r="444" spans="1:42" s="23" customFormat="1" x14ac:dyDescent="0.25">
      <c r="A444"/>
      <c r="B444" s="24" t="str">
        <f t="shared" si="30"/>
        <v>-</v>
      </c>
      <c r="E444" s="2"/>
      <c r="F444"/>
      <c r="G444"/>
      <c r="H444"/>
      <c r="I444"/>
      <c r="J444"/>
      <c r="K444"/>
      <c r="L444"/>
      <c r="M444"/>
      <c r="N444" s="3"/>
      <c r="O444"/>
      <c r="P444"/>
      <c r="Q444"/>
      <c r="R444"/>
      <c r="S444"/>
      <c r="T444"/>
      <c r="U444"/>
      <c r="V444"/>
      <c r="W444"/>
      <c r="X444"/>
      <c r="Y444"/>
      <c r="Z444"/>
      <c r="AA444"/>
      <c r="AB444"/>
      <c r="AC444"/>
      <c r="AD444"/>
      <c r="AE444"/>
      <c r="AF444"/>
      <c r="AG444"/>
      <c r="AH444"/>
      <c r="AI444"/>
      <c r="AJ444"/>
      <c r="AK444"/>
      <c r="AL444"/>
      <c r="AM444"/>
      <c r="AN444"/>
      <c r="AO444"/>
      <c r="AP444"/>
    </row>
    <row r="445" spans="1:42" s="23" customFormat="1" x14ac:dyDescent="0.25">
      <c r="A445"/>
      <c r="B445" s="24" t="str">
        <f t="shared" si="30"/>
        <v>-</v>
      </c>
      <c r="E445" s="2"/>
      <c r="F445"/>
      <c r="G445"/>
      <c r="H445"/>
      <c r="I445"/>
      <c r="J445"/>
      <c r="K445"/>
      <c r="L445"/>
      <c r="M445"/>
      <c r="N445" s="3"/>
      <c r="O445"/>
      <c r="P445"/>
      <c r="Q445"/>
      <c r="R445"/>
      <c r="S445"/>
      <c r="T445"/>
      <c r="U445"/>
      <c r="V445"/>
      <c r="W445"/>
      <c r="X445"/>
      <c r="Y445"/>
      <c r="Z445"/>
      <c r="AA445"/>
      <c r="AB445"/>
      <c r="AC445"/>
      <c r="AD445"/>
      <c r="AE445"/>
      <c r="AF445"/>
      <c r="AG445"/>
      <c r="AH445"/>
      <c r="AI445"/>
      <c r="AJ445"/>
      <c r="AK445"/>
      <c r="AL445"/>
      <c r="AM445"/>
      <c r="AN445"/>
      <c r="AO445"/>
      <c r="AP445"/>
    </row>
    <row r="446" spans="1:42" s="23" customFormat="1" x14ac:dyDescent="0.25">
      <c r="A446"/>
      <c r="B446" s="24" t="str">
        <f t="shared" si="30"/>
        <v>-</v>
      </c>
      <c r="E446" s="2"/>
      <c r="F446"/>
      <c r="G446"/>
      <c r="H446"/>
      <c r="I446"/>
      <c r="J446"/>
      <c r="K446"/>
      <c r="L446"/>
      <c r="M446"/>
      <c r="N446" s="3"/>
      <c r="O446"/>
      <c r="P446"/>
      <c r="Q446"/>
      <c r="R446"/>
      <c r="S446"/>
      <c r="T446"/>
      <c r="U446"/>
      <c r="V446"/>
      <c r="W446"/>
      <c r="X446"/>
      <c r="Y446"/>
      <c r="Z446"/>
      <c r="AA446"/>
      <c r="AB446"/>
      <c r="AC446"/>
      <c r="AD446"/>
      <c r="AE446"/>
      <c r="AF446"/>
      <c r="AG446"/>
      <c r="AH446"/>
      <c r="AI446"/>
      <c r="AJ446"/>
      <c r="AK446"/>
      <c r="AL446"/>
      <c r="AM446"/>
      <c r="AN446"/>
      <c r="AO446"/>
      <c r="AP446"/>
    </row>
    <row r="447" spans="1:42" s="23" customFormat="1" x14ac:dyDescent="0.25">
      <c r="A447"/>
      <c r="B447" s="24" t="str">
        <f t="shared" si="30"/>
        <v>-</v>
      </c>
      <c r="E447" s="2"/>
      <c r="F447"/>
      <c r="G447"/>
      <c r="H447"/>
      <c r="I447"/>
      <c r="J447"/>
      <c r="K447"/>
      <c r="L447"/>
      <c r="M447"/>
      <c r="N447" s="3"/>
      <c r="O447"/>
      <c r="P447"/>
      <c r="Q447"/>
      <c r="R447"/>
      <c r="S447"/>
      <c r="T447"/>
      <c r="U447"/>
      <c r="V447"/>
      <c r="W447"/>
      <c r="X447"/>
      <c r="Y447"/>
      <c r="Z447"/>
      <c r="AA447"/>
      <c r="AB447"/>
      <c r="AC447"/>
      <c r="AD447"/>
      <c r="AE447"/>
      <c r="AF447"/>
      <c r="AG447"/>
      <c r="AH447"/>
      <c r="AI447"/>
      <c r="AJ447"/>
      <c r="AK447"/>
      <c r="AL447"/>
      <c r="AM447"/>
      <c r="AN447"/>
      <c r="AO447"/>
      <c r="AP447"/>
    </row>
    <row r="448" spans="1:42" s="23" customFormat="1" x14ac:dyDescent="0.25">
      <c r="A448"/>
      <c r="B448" s="24" t="str">
        <f t="shared" si="30"/>
        <v>-</v>
      </c>
      <c r="E448" s="2"/>
      <c r="F448"/>
      <c r="G448"/>
      <c r="H448"/>
      <c r="I448"/>
      <c r="J448"/>
      <c r="K448"/>
      <c r="L448"/>
      <c r="M448"/>
      <c r="N448" s="3"/>
      <c r="O448"/>
      <c r="P448"/>
      <c r="Q448"/>
      <c r="R448"/>
      <c r="S448"/>
      <c r="T448"/>
      <c r="U448"/>
      <c r="V448"/>
      <c r="W448"/>
      <c r="X448"/>
      <c r="Y448"/>
      <c r="Z448"/>
      <c r="AA448"/>
      <c r="AB448"/>
      <c r="AC448"/>
      <c r="AD448"/>
      <c r="AE448"/>
      <c r="AF448"/>
      <c r="AG448"/>
      <c r="AH448"/>
      <c r="AI448"/>
      <c r="AJ448"/>
      <c r="AK448"/>
      <c r="AL448"/>
      <c r="AM448"/>
      <c r="AN448"/>
      <c r="AO448"/>
      <c r="AP448"/>
    </row>
    <row r="449" spans="1:42" s="23" customFormat="1" x14ac:dyDescent="0.25">
      <c r="A449"/>
      <c r="B449" s="24" t="str">
        <f t="shared" si="30"/>
        <v>-</v>
      </c>
      <c r="E449" s="2"/>
      <c r="F449"/>
      <c r="G449"/>
      <c r="H449"/>
      <c r="I449"/>
      <c r="J449"/>
      <c r="K449"/>
      <c r="L449"/>
      <c r="M449"/>
      <c r="N449" s="3"/>
      <c r="O449"/>
      <c r="P449"/>
      <c r="Q449"/>
      <c r="R449"/>
      <c r="S449"/>
      <c r="T449"/>
      <c r="U449"/>
      <c r="V449"/>
      <c r="W449"/>
      <c r="X449"/>
      <c r="Y449"/>
      <c r="Z449"/>
      <c r="AA449"/>
      <c r="AB449"/>
      <c r="AC449"/>
      <c r="AD449"/>
      <c r="AE449"/>
      <c r="AF449"/>
      <c r="AG449"/>
      <c r="AH449"/>
      <c r="AI449"/>
      <c r="AJ449"/>
      <c r="AK449"/>
      <c r="AL449"/>
      <c r="AM449"/>
      <c r="AN449"/>
      <c r="AO449"/>
      <c r="AP449"/>
    </row>
    <row r="450" spans="1:42" s="23" customFormat="1" x14ac:dyDescent="0.25">
      <c r="A450"/>
      <c r="B450" s="24" t="str">
        <f t="shared" si="30"/>
        <v>-</v>
      </c>
      <c r="E450" s="2"/>
      <c r="F450"/>
      <c r="G450"/>
      <c r="H450"/>
      <c r="I450"/>
      <c r="J450"/>
      <c r="K450"/>
      <c r="L450"/>
      <c r="M450"/>
      <c r="N450" s="3"/>
      <c r="O450"/>
      <c r="P450"/>
      <c r="Q450"/>
      <c r="R450"/>
      <c r="S450"/>
      <c r="T450"/>
      <c r="U450"/>
      <c r="V450"/>
      <c r="W450"/>
      <c r="X450"/>
      <c r="Y450"/>
      <c r="Z450"/>
      <c r="AA450"/>
      <c r="AB450"/>
      <c r="AC450"/>
      <c r="AD450"/>
      <c r="AE450"/>
      <c r="AF450"/>
      <c r="AG450"/>
      <c r="AH450"/>
      <c r="AI450"/>
      <c r="AJ450"/>
      <c r="AK450"/>
      <c r="AL450"/>
      <c r="AM450"/>
      <c r="AN450"/>
      <c r="AO450"/>
      <c r="AP450"/>
    </row>
    <row r="451" spans="1:42" s="23" customFormat="1" x14ac:dyDescent="0.25">
      <c r="A451"/>
      <c r="B451" s="24" t="str">
        <f t="shared" si="30"/>
        <v>-</v>
      </c>
      <c r="E451" s="2"/>
      <c r="F451"/>
      <c r="G451"/>
      <c r="H451"/>
      <c r="I451"/>
      <c r="J451"/>
      <c r="K451"/>
      <c r="L451"/>
      <c r="M451"/>
      <c r="N451" s="3"/>
      <c r="O451"/>
      <c r="P451"/>
      <c r="Q451"/>
      <c r="R451"/>
      <c r="S451"/>
      <c r="T451"/>
      <c r="U451"/>
      <c r="V451"/>
      <c r="W451"/>
      <c r="X451"/>
      <c r="Y451"/>
      <c r="Z451"/>
      <c r="AA451"/>
      <c r="AB451"/>
      <c r="AC451"/>
      <c r="AD451"/>
      <c r="AE451"/>
      <c r="AF451"/>
      <c r="AG451"/>
      <c r="AH451"/>
      <c r="AI451"/>
      <c r="AJ451"/>
      <c r="AK451"/>
      <c r="AL451"/>
      <c r="AM451"/>
      <c r="AN451"/>
      <c r="AO451"/>
      <c r="AP451"/>
    </row>
    <row r="452" spans="1:42" s="23" customFormat="1" x14ac:dyDescent="0.25">
      <c r="A452"/>
      <c r="B452" s="24" t="str">
        <f t="shared" si="30"/>
        <v>-</v>
      </c>
      <c r="E452" s="2"/>
      <c r="F452"/>
      <c r="G452"/>
      <c r="H452"/>
      <c r="I452"/>
      <c r="J452"/>
      <c r="K452"/>
      <c r="L452"/>
      <c r="M452"/>
      <c r="N452" s="3"/>
      <c r="O452"/>
      <c r="P452"/>
      <c r="Q452"/>
      <c r="R452"/>
      <c r="S452"/>
      <c r="T452"/>
      <c r="U452"/>
      <c r="V452"/>
      <c r="W452"/>
      <c r="X452"/>
      <c r="Y452"/>
      <c r="Z452"/>
      <c r="AA452"/>
      <c r="AB452"/>
      <c r="AC452"/>
      <c r="AD452"/>
      <c r="AE452"/>
      <c r="AF452"/>
      <c r="AG452"/>
      <c r="AH452"/>
      <c r="AI452"/>
      <c r="AJ452"/>
      <c r="AK452"/>
      <c r="AL452"/>
      <c r="AM452"/>
      <c r="AN452"/>
      <c r="AO452"/>
      <c r="AP452"/>
    </row>
    <row r="453" spans="1:42" s="23" customFormat="1" x14ac:dyDescent="0.25">
      <c r="A453"/>
      <c r="B453" s="24" t="str">
        <f t="shared" si="30"/>
        <v>-</v>
      </c>
      <c r="E453" s="2"/>
      <c r="F453"/>
      <c r="G453"/>
      <c r="H453"/>
      <c r="I453"/>
      <c r="J453"/>
      <c r="K453"/>
      <c r="L453"/>
      <c r="M453"/>
      <c r="N453" s="3"/>
      <c r="O453"/>
      <c r="P453"/>
      <c r="Q453"/>
      <c r="R453"/>
      <c r="S453"/>
      <c r="T453"/>
      <c r="U453"/>
      <c r="V453"/>
      <c r="W453"/>
      <c r="X453"/>
      <c r="Y453"/>
      <c r="Z453"/>
      <c r="AA453"/>
      <c r="AB453"/>
      <c r="AC453"/>
      <c r="AD453"/>
      <c r="AE453"/>
      <c r="AF453"/>
      <c r="AG453"/>
      <c r="AH453"/>
      <c r="AI453"/>
      <c r="AJ453"/>
      <c r="AK453"/>
      <c r="AL453"/>
      <c r="AM453"/>
      <c r="AN453"/>
      <c r="AO453"/>
      <c r="AP453"/>
    </row>
    <row r="454" spans="1:42" s="23" customFormat="1" x14ac:dyDescent="0.25">
      <c r="A454"/>
      <c r="B454" s="24" t="str">
        <f t="shared" si="30"/>
        <v>-</v>
      </c>
      <c r="E454" s="2"/>
      <c r="F454"/>
      <c r="G454"/>
      <c r="H454"/>
      <c r="I454"/>
      <c r="J454"/>
      <c r="K454"/>
      <c r="L454"/>
      <c r="M454"/>
      <c r="N454" s="3"/>
      <c r="O454"/>
      <c r="P454"/>
      <c r="Q454"/>
      <c r="R454"/>
      <c r="S454"/>
      <c r="T454"/>
      <c r="U454"/>
      <c r="V454"/>
      <c r="W454"/>
      <c r="X454"/>
      <c r="Y454"/>
      <c r="Z454"/>
      <c r="AA454"/>
      <c r="AB454"/>
      <c r="AC454"/>
      <c r="AD454"/>
      <c r="AE454"/>
      <c r="AF454"/>
      <c r="AG454"/>
      <c r="AH454"/>
      <c r="AI454"/>
      <c r="AJ454"/>
      <c r="AK454"/>
      <c r="AL454"/>
      <c r="AM454"/>
      <c r="AN454"/>
      <c r="AO454"/>
      <c r="AP454"/>
    </row>
    <row r="455" spans="1:42" s="23" customFormat="1" x14ac:dyDescent="0.25">
      <c r="A455"/>
      <c r="B455" s="24" t="str">
        <f t="shared" si="30"/>
        <v>-</v>
      </c>
      <c r="E455" s="2"/>
      <c r="F455"/>
      <c r="G455"/>
      <c r="H455"/>
      <c r="I455"/>
      <c r="J455"/>
      <c r="K455"/>
      <c r="L455"/>
      <c r="M455"/>
      <c r="N455" s="3"/>
      <c r="O455"/>
      <c r="P455"/>
      <c r="Q455"/>
      <c r="R455"/>
      <c r="S455"/>
      <c r="T455"/>
      <c r="U455"/>
      <c r="V455"/>
      <c r="W455"/>
      <c r="X455"/>
      <c r="Y455"/>
      <c r="Z455"/>
      <c r="AA455"/>
      <c r="AB455"/>
      <c r="AC455"/>
      <c r="AD455"/>
      <c r="AE455"/>
      <c r="AF455"/>
      <c r="AG455"/>
      <c r="AH455"/>
      <c r="AI455"/>
      <c r="AJ455"/>
      <c r="AK455"/>
      <c r="AL455"/>
      <c r="AM455"/>
      <c r="AN455"/>
      <c r="AO455"/>
      <c r="AP455"/>
    </row>
    <row r="456" spans="1:42" s="23" customFormat="1" x14ac:dyDescent="0.25">
      <c r="A456"/>
      <c r="B456" s="24" t="str">
        <f t="shared" si="30"/>
        <v>-</v>
      </c>
      <c r="E456" s="2"/>
      <c r="F456"/>
      <c r="G456"/>
      <c r="H456"/>
      <c r="I456"/>
      <c r="J456"/>
      <c r="K456"/>
      <c r="L456"/>
      <c r="M456"/>
      <c r="N456" s="3"/>
      <c r="O456"/>
      <c r="P456"/>
      <c r="Q456"/>
      <c r="R456"/>
      <c r="S456"/>
      <c r="T456"/>
      <c r="U456"/>
      <c r="V456"/>
      <c r="W456"/>
      <c r="X456"/>
      <c r="Y456"/>
      <c r="Z456"/>
      <c r="AA456"/>
      <c r="AB456"/>
      <c r="AC456"/>
      <c r="AD456"/>
      <c r="AE456"/>
      <c r="AF456"/>
      <c r="AG456"/>
      <c r="AH456"/>
      <c r="AI456"/>
      <c r="AJ456"/>
      <c r="AK456"/>
      <c r="AL456"/>
      <c r="AM456"/>
      <c r="AN456"/>
      <c r="AO456"/>
      <c r="AP456"/>
    </row>
    <row r="457" spans="1:42" s="23" customFormat="1" x14ac:dyDescent="0.25">
      <c r="A457"/>
      <c r="B457" s="24" t="str">
        <f t="shared" si="30"/>
        <v>-</v>
      </c>
      <c r="E457" s="2"/>
      <c r="F457"/>
      <c r="G457"/>
      <c r="H457"/>
      <c r="I457"/>
      <c r="J457"/>
      <c r="K457"/>
      <c r="L457"/>
      <c r="M457"/>
      <c r="N457" s="3"/>
      <c r="O457"/>
      <c r="P457"/>
      <c r="Q457"/>
      <c r="R457"/>
      <c r="S457"/>
      <c r="T457"/>
      <c r="U457"/>
      <c r="V457"/>
      <c r="W457"/>
      <c r="X457"/>
      <c r="Y457"/>
      <c r="Z457"/>
      <c r="AA457"/>
      <c r="AB457"/>
      <c r="AC457"/>
      <c r="AD457"/>
      <c r="AE457"/>
      <c r="AF457"/>
      <c r="AG457"/>
      <c r="AH457"/>
      <c r="AI457"/>
      <c r="AJ457"/>
      <c r="AK457"/>
      <c r="AL457"/>
      <c r="AM457"/>
      <c r="AN457"/>
      <c r="AO457"/>
      <c r="AP457"/>
    </row>
    <row r="458" spans="1:42" s="23" customFormat="1" x14ac:dyDescent="0.25">
      <c r="A458"/>
      <c r="B458" s="24" t="str">
        <f t="shared" si="30"/>
        <v>-</v>
      </c>
      <c r="E458" s="2"/>
      <c r="F458"/>
      <c r="G458"/>
      <c r="H458"/>
      <c r="I458"/>
      <c r="J458"/>
      <c r="K458"/>
      <c r="L458"/>
      <c r="M458"/>
      <c r="N458" s="3"/>
      <c r="O458"/>
      <c r="P458"/>
      <c r="Q458"/>
      <c r="R458"/>
      <c r="S458"/>
      <c r="T458"/>
      <c r="U458"/>
      <c r="V458"/>
      <c r="W458"/>
      <c r="X458"/>
      <c r="Y458"/>
      <c r="Z458"/>
      <c r="AA458"/>
      <c r="AB458"/>
      <c r="AC458"/>
      <c r="AD458"/>
      <c r="AE458"/>
      <c r="AF458"/>
      <c r="AG458"/>
      <c r="AH458"/>
      <c r="AI458"/>
      <c r="AJ458"/>
      <c r="AK458"/>
      <c r="AL458"/>
      <c r="AM458"/>
      <c r="AN458"/>
      <c r="AO458"/>
      <c r="AP458"/>
    </row>
    <row r="459" spans="1:42" s="23" customFormat="1" x14ac:dyDescent="0.25">
      <c r="A459"/>
      <c r="B459" s="24" t="str">
        <f t="shared" si="30"/>
        <v>-</v>
      </c>
      <c r="E459" s="2"/>
      <c r="F459"/>
      <c r="G459"/>
      <c r="H459"/>
      <c r="I459"/>
      <c r="J459"/>
      <c r="K459"/>
      <c r="L459"/>
      <c r="M459"/>
      <c r="N459" s="3"/>
      <c r="O459"/>
      <c r="P459"/>
      <c r="Q459"/>
      <c r="R459"/>
      <c r="S459"/>
      <c r="T459"/>
      <c r="U459"/>
      <c r="V459"/>
      <c r="W459"/>
      <c r="X459"/>
      <c r="Y459"/>
      <c r="Z459"/>
      <c r="AA459"/>
      <c r="AB459"/>
      <c r="AC459"/>
      <c r="AD459"/>
      <c r="AE459"/>
      <c r="AF459"/>
      <c r="AG459"/>
      <c r="AH459"/>
      <c r="AI459"/>
      <c r="AJ459"/>
      <c r="AK459"/>
      <c r="AL459"/>
      <c r="AM459"/>
      <c r="AN459"/>
      <c r="AO459"/>
      <c r="AP459"/>
    </row>
    <row r="460" spans="1:42" s="23" customFormat="1" x14ac:dyDescent="0.25">
      <c r="A460"/>
      <c r="B460" s="24" t="str">
        <f t="shared" si="30"/>
        <v>-</v>
      </c>
      <c r="E460" s="2"/>
      <c r="F460"/>
      <c r="G460"/>
      <c r="H460"/>
      <c r="I460"/>
      <c r="J460"/>
      <c r="K460"/>
      <c r="L460"/>
      <c r="M460"/>
      <c r="N460" s="3"/>
      <c r="O460"/>
      <c r="P460"/>
      <c r="Q460"/>
      <c r="R460"/>
      <c r="S460"/>
      <c r="T460"/>
      <c r="U460"/>
      <c r="V460"/>
      <c r="W460"/>
      <c r="X460"/>
      <c r="Y460"/>
      <c r="Z460"/>
      <c r="AA460"/>
      <c r="AB460"/>
      <c r="AC460"/>
      <c r="AD460"/>
      <c r="AE460"/>
      <c r="AF460"/>
      <c r="AG460"/>
      <c r="AH460"/>
      <c r="AI460"/>
      <c r="AJ460"/>
      <c r="AK460"/>
      <c r="AL460"/>
      <c r="AM460"/>
      <c r="AN460"/>
      <c r="AO460"/>
      <c r="AP460"/>
    </row>
    <row r="461" spans="1:42" s="23" customFormat="1" x14ac:dyDescent="0.25">
      <c r="A461"/>
      <c r="B461" s="24" t="str">
        <f t="shared" si="30"/>
        <v>-</v>
      </c>
      <c r="E461" s="2"/>
      <c r="F461"/>
      <c r="G461"/>
      <c r="H461"/>
      <c r="I461"/>
      <c r="J461"/>
      <c r="K461"/>
      <c r="L461"/>
      <c r="M461"/>
      <c r="N461" s="3"/>
      <c r="O461"/>
      <c r="P461"/>
      <c r="Q461"/>
      <c r="R461"/>
      <c r="S461"/>
      <c r="T461"/>
      <c r="U461"/>
      <c r="V461"/>
      <c r="W461"/>
      <c r="X461"/>
      <c r="Y461"/>
      <c r="Z461"/>
      <c r="AA461"/>
      <c r="AB461"/>
      <c r="AC461"/>
      <c r="AD461"/>
      <c r="AE461"/>
      <c r="AF461"/>
      <c r="AG461"/>
      <c r="AH461"/>
      <c r="AI461"/>
      <c r="AJ461"/>
      <c r="AK461"/>
      <c r="AL461"/>
      <c r="AM461"/>
      <c r="AN461"/>
      <c r="AO461"/>
      <c r="AP461"/>
    </row>
    <row r="462" spans="1:42" s="23" customFormat="1" x14ac:dyDescent="0.25">
      <c r="A462"/>
      <c r="B462" s="24" t="str">
        <f t="shared" si="30"/>
        <v>-</v>
      </c>
      <c r="E462" s="2"/>
      <c r="F462"/>
      <c r="G462"/>
      <c r="H462"/>
      <c r="I462"/>
      <c r="J462"/>
      <c r="K462"/>
      <c r="L462"/>
      <c r="M462"/>
      <c r="N462" s="3"/>
      <c r="O462"/>
      <c r="P462"/>
      <c r="Q462"/>
      <c r="R462"/>
      <c r="S462"/>
      <c r="T462"/>
      <c r="U462"/>
      <c r="V462"/>
      <c r="W462"/>
      <c r="X462"/>
      <c r="Y462"/>
      <c r="Z462"/>
      <c r="AA462"/>
      <c r="AB462"/>
      <c r="AC462"/>
      <c r="AD462"/>
      <c r="AE462"/>
      <c r="AF462"/>
      <c r="AG462"/>
      <c r="AH462"/>
      <c r="AI462"/>
      <c r="AJ462"/>
      <c r="AK462"/>
      <c r="AL462"/>
      <c r="AM462"/>
      <c r="AN462"/>
      <c r="AO462"/>
      <c r="AP462"/>
    </row>
    <row r="463" spans="1:42" s="23" customFormat="1" x14ac:dyDescent="0.25">
      <c r="A463"/>
      <c r="B463" s="24" t="str">
        <f t="shared" si="30"/>
        <v>-</v>
      </c>
      <c r="E463" s="2"/>
      <c r="F463"/>
      <c r="G463"/>
      <c r="H463"/>
      <c r="I463"/>
      <c r="J463"/>
      <c r="K463"/>
      <c r="L463"/>
      <c r="M463"/>
      <c r="N463" s="3"/>
      <c r="O463"/>
      <c r="P463"/>
      <c r="Q463"/>
      <c r="R463"/>
      <c r="S463"/>
      <c r="T463"/>
      <c r="U463"/>
      <c r="V463"/>
      <c r="W463"/>
      <c r="X463"/>
      <c r="Y463"/>
      <c r="Z463"/>
      <c r="AA463"/>
      <c r="AB463"/>
      <c r="AC463"/>
      <c r="AD463"/>
      <c r="AE463"/>
      <c r="AF463"/>
      <c r="AG463"/>
      <c r="AH463"/>
      <c r="AI463"/>
      <c r="AJ463"/>
      <c r="AK463"/>
      <c r="AL463"/>
      <c r="AM463"/>
      <c r="AN463"/>
      <c r="AO463"/>
      <c r="AP463"/>
    </row>
    <row r="464" spans="1:42" s="23" customFormat="1" x14ac:dyDescent="0.25">
      <c r="A464"/>
      <c r="B464" s="24" t="str">
        <f t="shared" si="30"/>
        <v>-</v>
      </c>
      <c r="E464" s="2"/>
      <c r="F464"/>
      <c r="G464"/>
      <c r="H464"/>
      <c r="I464"/>
      <c r="J464"/>
      <c r="K464"/>
      <c r="L464"/>
      <c r="M464"/>
      <c r="N464" s="3"/>
      <c r="O464"/>
      <c r="P464"/>
      <c r="Q464"/>
      <c r="R464"/>
      <c r="S464"/>
      <c r="T464"/>
      <c r="U464"/>
      <c r="V464"/>
      <c r="W464"/>
      <c r="X464"/>
      <c r="Y464"/>
      <c r="Z464"/>
      <c r="AA464"/>
      <c r="AB464"/>
      <c r="AC464"/>
      <c r="AD464"/>
      <c r="AE464"/>
      <c r="AF464"/>
      <c r="AG464"/>
      <c r="AH464"/>
      <c r="AI464"/>
      <c r="AJ464"/>
      <c r="AK464"/>
      <c r="AL464"/>
      <c r="AM464"/>
      <c r="AN464"/>
      <c r="AO464"/>
      <c r="AP464"/>
    </row>
    <row r="465" spans="1:42" s="23" customFormat="1" x14ac:dyDescent="0.25">
      <c r="A465"/>
      <c r="B465" s="24" t="str">
        <f t="shared" si="30"/>
        <v>-</v>
      </c>
      <c r="E465" s="2"/>
      <c r="F465"/>
      <c r="G465"/>
      <c r="H465"/>
      <c r="I465"/>
      <c r="J465"/>
      <c r="K465"/>
      <c r="L465"/>
      <c r="M465"/>
      <c r="N465" s="3"/>
      <c r="O465"/>
      <c r="P465"/>
      <c r="Q465"/>
      <c r="R465"/>
      <c r="S465"/>
      <c r="T465"/>
      <c r="U465"/>
      <c r="V465"/>
      <c r="W465"/>
      <c r="X465"/>
      <c r="Y465"/>
      <c r="Z465"/>
      <c r="AA465"/>
      <c r="AB465"/>
      <c r="AC465"/>
      <c r="AD465"/>
      <c r="AE465"/>
      <c r="AF465"/>
      <c r="AG465"/>
      <c r="AH465"/>
      <c r="AI465"/>
      <c r="AJ465"/>
      <c r="AK465"/>
      <c r="AL465"/>
      <c r="AM465"/>
      <c r="AN465"/>
      <c r="AO465"/>
      <c r="AP465"/>
    </row>
    <row r="466" spans="1:42" s="23" customFormat="1" x14ac:dyDescent="0.25">
      <c r="A466"/>
      <c r="B466" s="24" t="str">
        <f t="shared" ref="B466:B506" si="31">IF(A466&gt;A465,1+B465,"-")</f>
        <v>-</v>
      </c>
      <c r="E466" s="2"/>
      <c r="F466"/>
      <c r="G466"/>
      <c r="H466"/>
      <c r="I466"/>
      <c r="J466"/>
      <c r="K466"/>
      <c r="L466"/>
      <c r="M466"/>
      <c r="N466" s="3"/>
      <c r="O466"/>
      <c r="P466"/>
      <c r="Q466"/>
      <c r="R466"/>
      <c r="S466"/>
      <c r="T466"/>
      <c r="U466"/>
      <c r="V466"/>
      <c r="W466"/>
      <c r="X466"/>
      <c r="Y466"/>
      <c r="Z466"/>
      <c r="AA466"/>
      <c r="AB466"/>
      <c r="AC466"/>
      <c r="AD466"/>
      <c r="AE466"/>
      <c r="AF466"/>
      <c r="AG466"/>
      <c r="AH466"/>
      <c r="AI466"/>
      <c r="AJ466"/>
      <c r="AK466"/>
      <c r="AL466"/>
      <c r="AM466"/>
      <c r="AN466"/>
      <c r="AO466"/>
      <c r="AP466"/>
    </row>
    <row r="467" spans="1:42" s="23" customFormat="1" x14ac:dyDescent="0.25">
      <c r="A467"/>
      <c r="B467" s="24" t="str">
        <f t="shared" si="31"/>
        <v>-</v>
      </c>
      <c r="E467" s="2"/>
      <c r="F467"/>
      <c r="G467"/>
      <c r="H467"/>
      <c r="I467"/>
      <c r="J467"/>
      <c r="K467"/>
      <c r="L467"/>
      <c r="M467"/>
      <c r="N467" s="3"/>
      <c r="O467"/>
      <c r="P467"/>
      <c r="Q467"/>
      <c r="R467"/>
      <c r="S467"/>
      <c r="T467"/>
      <c r="U467"/>
      <c r="V467"/>
      <c r="W467"/>
      <c r="X467"/>
      <c r="Y467"/>
      <c r="Z467"/>
      <c r="AA467"/>
      <c r="AB467"/>
      <c r="AC467"/>
      <c r="AD467"/>
      <c r="AE467"/>
      <c r="AF467"/>
      <c r="AG467"/>
      <c r="AH467"/>
      <c r="AI467"/>
      <c r="AJ467"/>
      <c r="AK467"/>
      <c r="AL467"/>
      <c r="AM467"/>
      <c r="AN467"/>
      <c r="AO467"/>
      <c r="AP467"/>
    </row>
    <row r="468" spans="1:42" s="23" customFormat="1" x14ac:dyDescent="0.25">
      <c r="A468"/>
      <c r="B468" s="24" t="str">
        <f t="shared" si="31"/>
        <v>-</v>
      </c>
      <c r="E468" s="2"/>
      <c r="F468"/>
      <c r="G468"/>
      <c r="H468"/>
      <c r="I468"/>
      <c r="J468"/>
      <c r="K468"/>
      <c r="L468"/>
      <c r="M468"/>
      <c r="N468" s="3"/>
      <c r="O468"/>
      <c r="P468"/>
      <c r="Q468"/>
      <c r="R468"/>
      <c r="S468"/>
      <c r="T468"/>
      <c r="U468"/>
      <c r="V468"/>
      <c r="W468"/>
      <c r="X468"/>
      <c r="Y468"/>
      <c r="Z468"/>
      <c r="AA468"/>
      <c r="AB468"/>
      <c r="AC468"/>
      <c r="AD468"/>
      <c r="AE468"/>
      <c r="AF468"/>
      <c r="AG468"/>
      <c r="AH468"/>
      <c r="AI468"/>
      <c r="AJ468"/>
      <c r="AK468"/>
      <c r="AL468"/>
      <c r="AM468"/>
      <c r="AN468"/>
      <c r="AO468"/>
      <c r="AP468"/>
    </row>
    <row r="469" spans="1:42" s="23" customFormat="1" x14ac:dyDescent="0.25">
      <c r="A469"/>
      <c r="B469" s="24" t="str">
        <f t="shared" si="31"/>
        <v>-</v>
      </c>
      <c r="E469" s="2"/>
      <c r="F469"/>
      <c r="G469"/>
      <c r="H469"/>
      <c r="I469"/>
      <c r="J469"/>
      <c r="K469"/>
      <c r="L469"/>
      <c r="M469"/>
      <c r="N469" s="3"/>
      <c r="O469"/>
      <c r="P469"/>
      <c r="Q469"/>
      <c r="R469"/>
      <c r="S469"/>
      <c r="T469"/>
      <c r="U469"/>
      <c r="V469"/>
      <c r="W469"/>
      <c r="X469"/>
      <c r="Y469"/>
      <c r="Z469"/>
      <c r="AA469"/>
      <c r="AB469"/>
      <c r="AC469"/>
      <c r="AD469"/>
      <c r="AE469"/>
      <c r="AF469"/>
      <c r="AG469"/>
      <c r="AH469"/>
      <c r="AI469"/>
      <c r="AJ469"/>
      <c r="AK469"/>
      <c r="AL469"/>
      <c r="AM469"/>
      <c r="AN469"/>
      <c r="AO469"/>
      <c r="AP469"/>
    </row>
    <row r="470" spans="1:42" s="23" customFormat="1" x14ac:dyDescent="0.25">
      <c r="A470"/>
      <c r="B470" s="24" t="str">
        <f t="shared" si="31"/>
        <v>-</v>
      </c>
      <c r="E470" s="2"/>
      <c r="F470"/>
      <c r="G470"/>
      <c r="H470"/>
      <c r="I470"/>
      <c r="J470"/>
      <c r="K470"/>
      <c r="L470"/>
      <c r="M470"/>
      <c r="N470" s="3"/>
      <c r="O470"/>
      <c r="P470"/>
      <c r="Q470"/>
      <c r="R470"/>
      <c r="S470"/>
      <c r="T470"/>
      <c r="U470"/>
      <c r="V470"/>
      <c r="W470"/>
      <c r="X470"/>
      <c r="Y470"/>
      <c r="Z470"/>
      <c r="AA470"/>
      <c r="AB470"/>
      <c r="AC470"/>
      <c r="AD470"/>
      <c r="AE470"/>
      <c r="AF470"/>
      <c r="AG470"/>
      <c r="AH470"/>
      <c r="AI470"/>
      <c r="AJ470"/>
      <c r="AK470"/>
      <c r="AL470"/>
      <c r="AM470"/>
      <c r="AN470"/>
      <c r="AO470"/>
      <c r="AP470"/>
    </row>
    <row r="471" spans="1:42" s="23" customFormat="1" x14ac:dyDescent="0.25">
      <c r="A471"/>
      <c r="B471" s="24" t="str">
        <f t="shared" si="31"/>
        <v>-</v>
      </c>
      <c r="E471" s="2"/>
      <c r="F471"/>
      <c r="G471"/>
      <c r="H471"/>
      <c r="I471"/>
      <c r="J471"/>
      <c r="K471"/>
      <c r="L471"/>
      <c r="M471"/>
      <c r="N471" s="3"/>
      <c r="O471"/>
      <c r="P471"/>
      <c r="Q471"/>
      <c r="R471"/>
      <c r="S471"/>
      <c r="T471"/>
      <c r="U471"/>
      <c r="V471"/>
      <c r="W471"/>
      <c r="X471"/>
      <c r="Y471"/>
      <c r="Z471"/>
      <c r="AA471"/>
      <c r="AB471"/>
      <c r="AC471"/>
      <c r="AD471"/>
      <c r="AE471"/>
      <c r="AF471"/>
      <c r="AG471"/>
      <c r="AH471"/>
      <c r="AI471"/>
      <c r="AJ471"/>
      <c r="AK471"/>
      <c r="AL471"/>
      <c r="AM471"/>
      <c r="AN471"/>
      <c r="AO471"/>
      <c r="AP471"/>
    </row>
    <row r="472" spans="1:42" s="23" customFormat="1" x14ac:dyDescent="0.25">
      <c r="A472"/>
      <c r="B472" s="24" t="str">
        <f t="shared" si="31"/>
        <v>-</v>
      </c>
      <c r="E472" s="2"/>
      <c r="F472"/>
      <c r="G472"/>
      <c r="H472"/>
      <c r="I472"/>
      <c r="J472"/>
      <c r="K472"/>
      <c r="L472"/>
      <c r="M472"/>
      <c r="N472" s="3"/>
      <c r="O472"/>
      <c r="P472"/>
      <c r="Q472"/>
      <c r="R472"/>
      <c r="S472"/>
      <c r="T472"/>
      <c r="U472"/>
      <c r="V472"/>
      <c r="W472"/>
      <c r="X472"/>
      <c r="Y472"/>
      <c r="Z472"/>
      <c r="AA472"/>
      <c r="AB472"/>
      <c r="AC472"/>
      <c r="AD472"/>
      <c r="AE472"/>
      <c r="AF472"/>
      <c r="AG472"/>
      <c r="AH472"/>
      <c r="AI472"/>
      <c r="AJ472"/>
      <c r="AK472"/>
      <c r="AL472"/>
      <c r="AM472"/>
      <c r="AN472"/>
      <c r="AO472"/>
      <c r="AP472"/>
    </row>
    <row r="473" spans="1:42" s="23" customFormat="1" x14ac:dyDescent="0.25">
      <c r="A473"/>
      <c r="B473" s="24" t="str">
        <f t="shared" si="31"/>
        <v>-</v>
      </c>
      <c r="E473" s="2"/>
      <c r="F473"/>
      <c r="G473"/>
      <c r="H473"/>
      <c r="I473"/>
      <c r="J473"/>
      <c r="K473"/>
      <c r="L473"/>
      <c r="M473"/>
      <c r="N473" s="3"/>
      <c r="O473"/>
      <c r="P473"/>
      <c r="Q473"/>
      <c r="R473"/>
      <c r="S473"/>
      <c r="T473"/>
      <c r="U473"/>
      <c r="V473"/>
      <c r="W473"/>
      <c r="X473"/>
      <c r="Y473"/>
      <c r="Z473"/>
      <c r="AA473"/>
      <c r="AB473"/>
      <c r="AC473"/>
      <c r="AD473"/>
      <c r="AE473"/>
      <c r="AF473"/>
      <c r="AG473"/>
      <c r="AH473"/>
      <c r="AI473"/>
      <c r="AJ473"/>
      <c r="AK473"/>
      <c r="AL473"/>
      <c r="AM473"/>
      <c r="AN473"/>
      <c r="AO473"/>
      <c r="AP473"/>
    </row>
    <row r="474" spans="1:42" s="23" customFormat="1" x14ac:dyDescent="0.25">
      <c r="A474"/>
      <c r="B474" s="24" t="str">
        <f t="shared" si="31"/>
        <v>-</v>
      </c>
      <c r="E474" s="2"/>
      <c r="F474"/>
      <c r="G474"/>
      <c r="H474"/>
      <c r="I474"/>
      <c r="J474"/>
      <c r="K474"/>
      <c r="L474"/>
      <c r="M474"/>
      <c r="N474" s="3"/>
      <c r="O474"/>
      <c r="P474"/>
      <c r="Q474"/>
      <c r="R474"/>
      <c r="S474"/>
      <c r="T474"/>
      <c r="U474"/>
      <c r="V474"/>
      <c r="W474"/>
      <c r="X474"/>
      <c r="Y474"/>
      <c r="Z474"/>
      <c r="AA474"/>
      <c r="AB474"/>
      <c r="AC474"/>
      <c r="AD474"/>
      <c r="AE474"/>
      <c r="AF474"/>
      <c r="AG474"/>
      <c r="AH474"/>
      <c r="AI474"/>
      <c r="AJ474"/>
      <c r="AK474"/>
      <c r="AL474"/>
      <c r="AM474"/>
      <c r="AN474"/>
      <c r="AO474"/>
      <c r="AP474"/>
    </row>
    <row r="475" spans="1:42" s="23" customFormat="1" x14ac:dyDescent="0.25">
      <c r="A475"/>
      <c r="B475" s="24" t="str">
        <f t="shared" si="31"/>
        <v>-</v>
      </c>
      <c r="E475" s="2"/>
      <c r="F475"/>
      <c r="G475"/>
      <c r="H475"/>
      <c r="I475"/>
      <c r="J475"/>
      <c r="K475"/>
      <c r="L475"/>
      <c r="M475"/>
      <c r="N475" s="3"/>
      <c r="O475"/>
      <c r="P475"/>
      <c r="Q475"/>
      <c r="R475"/>
      <c r="S475"/>
      <c r="T475"/>
      <c r="U475"/>
      <c r="V475"/>
      <c r="W475"/>
      <c r="X475"/>
      <c r="Y475"/>
      <c r="Z475"/>
      <c r="AA475"/>
      <c r="AB475"/>
      <c r="AC475"/>
      <c r="AD475"/>
      <c r="AE475"/>
      <c r="AF475"/>
      <c r="AG475"/>
      <c r="AH475"/>
      <c r="AI475"/>
      <c r="AJ475"/>
      <c r="AK475"/>
      <c r="AL475"/>
      <c r="AM475"/>
      <c r="AN475"/>
      <c r="AO475"/>
      <c r="AP475"/>
    </row>
    <row r="476" spans="1:42" s="23" customFormat="1" x14ac:dyDescent="0.25">
      <c r="A476"/>
      <c r="B476" s="24" t="str">
        <f t="shared" si="31"/>
        <v>-</v>
      </c>
      <c r="E476" s="2"/>
      <c r="F476"/>
      <c r="G476"/>
      <c r="H476"/>
      <c r="I476"/>
      <c r="J476"/>
      <c r="K476"/>
      <c r="L476"/>
      <c r="M476"/>
      <c r="N476" s="3"/>
      <c r="O476"/>
      <c r="P476"/>
      <c r="Q476"/>
      <c r="R476"/>
      <c r="S476"/>
      <c r="T476"/>
      <c r="U476"/>
      <c r="V476"/>
      <c r="W476"/>
      <c r="X476"/>
      <c r="Y476"/>
      <c r="Z476"/>
      <c r="AA476"/>
      <c r="AB476"/>
      <c r="AC476"/>
      <c r="AD476"/>
      <c r="AE476"/>
      <c r="AF476"/>
      <c r="AG476"/>
      <c r="AH476"/>
      <c r="AI476"/>
      <c r="AJ476"/>
      <c r="AK476"/>
      <c r="AL476"/>
      <c r="AM476"/>
      <c r="AN476"/>
      <c r="AO476"/>
      <c r="AP476"/>
    </row>
    <row r="477" spans="1:42" s="23" customFormat="1" x14ac:dyDescent="0.25">
      <c r="A477"/>
      <c r="B477" s="24" t="str">
        <f t="shared" si="31"/>
        <v>-</v>
      </c>
      <c r="E477" s="2"/>
      <c r="F477"/>
      <c r="G477"/>
      <c r="H477"/>
      <c r="I477"/>
      <c r="J477"/>
      <c r="K477"/>
      <c r="L477"/>
      <c r="M477"/>
      <c r="N477" s="3"/>
      <c r="O477"/>
      <c r="P477"/>
      <c r="Q477"/>
      <c r="R477"/>
      <c r="S477"/>
      <c r="T477"/>
      <c r="U477"/>
      <c r="V477"/>
      <c r="W477"/>
      <c r="X477"/>
      <c r="Y477"/>
      <c r="Z477"/>
      <c r="AA477"/>
      <c r="AB477"/>
      <c r="AC477"/>
      <c r="AD477"/>
      <c r="AE477"/>
      <c r="AF477"/>
      <c r="AG477"/>
      <c r="AH477"/>
      <c r="AI477"/>
      <c r="AJ477"/>
      <c r="AK477"/>
      <c r="AL477"/>
      <c r="AM477"/>
      <c r="AN477"/>
      <c r="AO477"/>
      <c r="AP477"/>
    </row>
    <row r="478" spans="1:42" s="23" customFormat="1" x14ac:dyDescent="0.25">
      <c r="A478"/>
      <c r="B478" s="24" t="str">
        <f t="shared" si="31"/>
        <v>-</v>
      </c>
      <c r="E478" s="2"/>
      <c r="F478"/>
      <c r="G478"/>
      <c r="H478"/>
      <c r="I478"/>
      <c r="J478"/>
      <c r="K478"/>
      <c r="L478"/>
      <c r="M478"/>
      <c r="N478" s="3"/>
      <c r="O478"/>
      <c r="P478"/>
      <c r="Q478"/>
      <c r="R478"/>
      <c r="S478"/>
      <c r="T478"/>
      <c r="U478"/>
      <c r="V478"/>
      <c r="W478"/>
      <c r="X478"/>
      <c r="Y478"/>
      <c r="Z478"/>
      <c r="AA478"/>
      <c r="AB478"/>
      <c r="AC478"/>
      <c r="AD478"/>
      <c r="AE478"/>
      <c r="AF478"/>
      <c r="AG478"/>
      <c r="AH478"/>
      <c r="AI478"/>
      <c r="AJ478"/>
      <c r="AK478"/>
      <c r="AL478"/>
      <c r="AM478"/>
      <c r="AN478"/>
      <c r="AO478"/>
      <c r="AP478"/>
    </row>
    <row r="479" spans="1:42" s="23" customFormat="1" x14ac:dyDescent="0.25">
      <c r="A479"/>
      <c r="B479" s="24" t="str">
        <f t="shared" si="31"/>
        <v>-</v>
      </c>
      <c r="E479" s="2"/>
      <c r="F479"/>
      <c r="G479"/>
      <c r="H479"/>
      <c r="I479"/>
      <c r="J479"/>
      <c r="K479"/>
      <c r="L479"/>
      <c r="M479"/>
      <c r="N479" s="3"/>
      <c r="O479"/>
      <c r="P479"/>
      <c r="Q479"/>
      <c r="R479"/>
      <c r="S479"/>
      <c r="T479"/>
      <c r="U479"/>
      <c r="V479"/>
      <c r="W479"/>
      <c r="X479"/>
      <c r="Y479"/>
      <c r="Z479"/>
      <c r="AA479"/>
      <c r="AB479"/>
      <c r="AC479"/>
      <c r="AD479"/>
      <c r="AE479"/>
      <c r="AF479"/>
      <c r="AG479"/>
      <c r="AH479"/>
      <c r="AI479"/>
      <c r="AJ479"/>
      <c r="AK479"/>
      <c r="AL479"/>
      <c r="AM479"/>
      <c r="AN479"/>
      <c r="AO479"/>
      <c r="AP479"/>
    </row>
    <row r="480" spans="1:42" s="23" customFormat="1" x14ac:dyDescent="0.25">
      <c r="A480"/>
      <c r="B480" s="24" t="str">
        <f t="shared" si="31"/>
        <v>-</v>
      </c>
      <c r="E480" s="2"/>
      <c r="F480"/>
      <c r="G480"/>
      <c r="H480"/>
      <c r="I480"/>
      <c r="J480"/>
      <c r="K480"/>
      <c r="L480"/>
      <c r="M480"/>
      <c r="N480" s="3"/>
      <c r="O480"/>
      <c r="P480"/>
      <c r="Q480"/>
      <c r="R480"/>
      <c r="S480"/>
      <c r="T480"/>
      <c r="U480"/>
      <c r="V480"/>
      <c r="W480"/>
      <c r="X480"/>
      <c r="Y480"/>
      <c r="Z480"/>
      <c r="AA480"/>
      <c r="AB480"/>
      <c r="AC480"/>
      <c r="AD480"/>
      <c r="AE480"/>
      <c r="AF480"/>
      <c r="AG480"/>
      <c r="AH480"/>
      <c r="AI480"/>
      <c r="AJ480"/>
      <c r="AK480"/>
      <c r="AL480"/>
      <c r="AM480"/>
      <c r="AN480"/>
      <c r="AO480"/>
      <c r="AP480"/>
    </row>
    <row r="481" spans="1:42" s="23" customFormat="1" x14ac:dyDescent="0.25">
      <c r="A481"/>
      <c r="B481" s="24" t="str">
        <f t="shared" si="31"/>
        <v>-</v>
      </c>
      <c r="E481" s="2"/>
      <c r="F481"/>
      <c r="G481"/>
      <c r="H481"/>
      <c r="I481"/>
      <c r="J481"/>
      <c r="K481"/>
      <c r="L481"/>
      <c r="M481"/>
      <c r="N481" s="3"/>
      <c r="O481"/>
      <c r="P481"/>
      <c r="Q481"/>
      <c r="R481"/>
      <c r="S481"/>
      <c r="T481"/>
      <c r="U481"/>
      <c r="V481"/>
      <c r="W481"/>
      <c r="X481"/>
      <c r="Y481"/>
      <c r="Z481"/>
      <c r="AA481"/>
      <c r="AB481"/>
      <c r="AC481"/>
      <c r="AD481"/>
      <c r="AE481"/>
      <c r="AF481"/>
      <c r="AG481"/>
      <c r="AH481"/>
      <c r="AI481"/>
      <c r="AJ481"/>
      <c r="AK481"/>
      <c r="AL481"/>
      <c r="AM481"/>
      <c r="AN481"/>
      <c r="AO481"/>
      <c r="AP481"/>
    </row>
    <row r="482" spans="1:42" s="23" customFormat="1" x14ac:dyDescent="0.25">
      <c r="A482"/>
      <c r="B482" s="24" t="str">
        <f t="shared" si="31"/>
        <v>-</v>
      </c>
      <c r="E482" s="2"/>
      <c r="F482"/>
      <c r="G482"/>
      <c r="H482"/>
      <c r="I482"/>
      <c r="J482"/>
      <c r="K482"/>
      <c r="L482"/>
      <c r="M482"/>
      <c r="N482" s="3"/>
      <c r="O482"/>
      <c r="P482"/>
      <c r="Q482"/>
      <c r="R482"/>
      <c r="S482"/>
      <c r="T482"/>
      <c r="U482"/>
      <c r="V482"/>
      <c r="W482"/>
      <c r="X482"/>
      <c r="Y482"/>
      <c r="Z482"/>
      <c r="AA482"/>
      <c r="AB482"/>
      <c r="AC482"/>
      <c r="AD482"/>
      <c r="AE482"/>
      <c r="AF482"/>
      <c r="AG482"/>
      <c r="AH482"/>
      <c r="AI482"/>
      <c r="AJ482"/>
      <c r="AK482"/>
      <c r="AL482"/>
      <c r="AM482"/>
      <c r="AN482"/>
      <c r="AO482"/>
      <c r="AP482"/>
    </row>
    <row r="483" spans="1:42" s="23" customFormat="1" x14ac:dyDescent="0.25">
      <c r="A483"/>
      <c r="B483" s="24" t="str">
        <f t="shared" si="31"/>
        <v>-</v>
      </c>
      <c r="E483" s="2"/>
      <c r="F483"/>
      <c r="G483"/>
      <c r="H483"/>
      <c r="I483"/>
      <c r="J483"/>
      <c r="K483"/>
      <c r="L483"/>
      <c r="M483"/>
      <c r="N483" s="3"/>
      <c r="O483"/>
      <c r="P483"/>
      <c r="Q483"/>
      <c r="R483"/>
      <c r="S483"/>
      <c r="T483"/>
      <c r="U483"/>
      <c r="V483"/>
      <c r="W483"/>
      <c r="X483"/>
      <c r="Y483"/>
      <c r="Z483"/>
      <c r="AA483"/>
      <c r="AB483"/>
      <c r="AC483"/>
      <c r="AD483"/>
      <c r="AE483"/>
      <c r="AF483"/>
      <c r="AG483"/>
      <c r="AH483"/>
      <c r="AI483"/>
      <c r="AJ483"/>
      <c r="AK483"/>
      <c r="AL483"/>
      <c r="AM483"/>
      <c r="AN483"/>
      <c r="AO483"/>
      <c r="AP483"/>
    </row>
    <row r="484" spans="1:42" s="23" customFormat="1" x14ac:dyDescent="0.25">
      <c r="A484"/>
      <c r="B484" s="24" t="str">
        <f t="shared" si="31"/>
        <v>-</v>
      </c>
      <c r="E484" s="2"/>
      <c r="F484"/>
      <c r="G484"/>
      <c r="H484"/>
      <c r="I484"/>
      <c r="J484"/>
      <c r="K484"/>
      <c r="L484"/>
      <c r="M484"/>
      <c r="N484" s="3"/>
      <c r="O484"/>
      <c r="P484"/>
      <c r="Q484"/>
      <c r="R484"/>
      <c r="S484"/>
      <c r="T484"/>
      <c r="U484"/>
      <c r="V484"/>
      <c r="W484"/>
      <c r="X484"/>
      <c r="Y484"/>
      <c r="Z484"/>
      <c r="AA484"/>
      <c r="AB484"/>
      <c r="AC484"/>
      <c r="AD484"/>
      <c r="AE484"/>
      <c r="AF484"/>
      <c r="AG484"/>
      <c r="AH484"/>
      <c r="AI484"/>
      <c r="AJ484"/>
      <c r="AK484"/>
      <c r="AL484"/>
      <c r="AM484"/>
      <c r="AN484"/>
      <c r="AO484"/>
      <c r="AP484"/>
    </row>
    <row r="485" spans="1:42" s="23" customFormat="1" x14ac:dyDescent="0.25">
      <c r="A485"/>
      <c r="B485" s="24" t="str">
        <f t="shared" si="31"/>
        <v>-</v>
      </c>
      <c r="E485" s="2"/>
      <c r="F485"/>
      <c r="G485"/>
      <c r="H485"/>
      <c r="I485"/>
      <c r="J485"/>
      <c r="K485"/>
      <c r="L485"/>
      <c r="M485"/>
      <c r="N485" s="3"/>
      <c r="O485"/>
      <c r="P485"/>
      <c r="Q485"/>
      <c r="R485"/>
      <c r="S485"/>
      <c r="T485"/>
      <c r="U485"/>
      <c r="V485"/>
      <c r="W485"/>
      <c r="X485"/>
      <c r="Y485"/>
      <c r="Z485"/>
      <c r="AA485"/>
      <c r="AB485"/>
      <c r="AC485"/>
      <c r="AD485"/>
      <c r="AE485"/>
      <c r="AF485"/>
      <c r="AG485"/>
      <c r="AH485"/>
      <c r="AI485"/>
      <c r="AJ485"/>
      <c r="AK485"/>
      <c r="AL485"/>
      <c r="AM485"/>
      <c r="AN485"/>
      <c r="AO485"/>
      <c r="AP485"/>
    </row>
    <row r="486" spans="1:42" s="23" customFormat="1" x14ac:dyDescent="0.25">
      <c r="A486"/>
      <c r="B486" s="24" t="str">
        <f t="shared" si="31"/>
        <v>-</v>
      </c>
      <c r="E486" s="2"/>
      <c r="F486"/>
      <c r="G486"/>
      <c r="H486"/>
      <c r="I486"/>
      <c r="J486"/>
      <c r="K486"/>
      <c r="L486"/>
      <c r="M486"/>
      <c r="N486" s="3"/>
      <c r="O486"/>
      <c r="P486"/>
      <c r="Q486"/>
      <c r="R486"/>
      <c r="S486"/>
      <c r="T486"/>
      <c r="U486"/>
      <c r="V486"/>
      <c r="W486"/>
      <c r="X486"/>
      <c r="Y486"/>
      <c r="Z486"/>
      <c r="AA486"/>
      <c r="AB486"/>
      <c r="AC486"/>
      <c r="AD486"/>
      <c r="AE486"/>
      <c r="AF486"/>
      <c r="AG486"/>
      <c r="AH486"/>
      <c r="AI486"/>
      <c r="AJ486"/>
      <c r="AK486"/>
      <c r="AL486"/>
      <c r="AM486"/>
      <c r="AN486"/>
      <c r="AO486"/>
      <c r="AP486"/>
    </row>
    <row r="487" spans="1:42" s="23" customFormat="1" x14ac:dyDescent="0.25">
      <c r="A487"/>
      <c r="B487" s="24" t="str">
        <f t="shared" si="31"/>
        <v>-</v>
      </c>
      <c r="E487" s="2"/>
      <c r="F487"/>
      <c r="G487"/>
      <c r="H487"/>
      <c r="I487"/>
      <c r="J487"/>
      <c r="K487"/>
      <c r="L487"/>
      <c r="M487"/>
      <c r="N487" s="3"/>
      <c r="O487"/>
      <c r="P487"/>
      <c r="Q487"/>
      <c r="R487"/>
      <c r="S487"/>
      <c r="T487"/>
      <c r="U487"/>
      <c r="V487"/>
      <c r="W487"/>
      <c r="X487"/>
      <c r="Y487"/>
      <c r="Z487"/>
      <c r="AA487"/>
      <c r="AB487"/>
      <c r="AC487"/>
      <c r="AD487"/>
      <c r="AE487"/>
      <c r="AF487"/>
      <c r="AG487"/>
      <c r="AH487"/>
      <c r="AI487"/>
      <c r="AJ487"/>
      <c r="AK487"/>
      <c r="AL487"/>
      <c r="AM487"/>
      <c r="AN487"/>
      <c r="AO487"/>
      <c r="AP487"/>
    </row>
    <row r="488" spans="1:42" s="23" customFormat="1" x14ac:dyDescent="0.25">
      <c r="A488"/>
      <c r="B488" s="24" t="str">
        <f t="shared" si="31"/>
        <v>-</v>
      </c>
      <c r="E488" s="2"/>
      <c r="F488"/>
      <c r="G488"/>
      <c r="H488"/>
      <c r="I488"/>
      <c r="J488"/>
      <c r="K488"/>
      <c r="L488"/>
      <c r="M488"/>
      <c r="N488" s="3"/>
      <c r="O488"/>
      <c r="P488"/>
      <c r="Q488"/>
      <c r="R488"/>
      <c r="S488"/>
      <c r="T488"/>
      <c r="U488"/>
      <c r="V488"/>
      <c r="W488"/>
      <c r="X488"/>
      <c r="Y488"/>
      <c r="Z488"/>
      <c r="AA488"/>
      <c r="AB488"/>
      <c r="AC488"/>
      <c r="AD488"/>
      <c r="AE488"/>
      <c r="AF488"/>
      <c r="AG488"/>
      <c r="AH488"/>
      <c r="AI488"/>
      <c r="AJ488"/>
      <c r="AK488"/>
      <c r="AL488"/>
      <c r="AM488"/>
      <c r="AN488"/>
      <c r="AO488"/>
      <c r="AP488"/>
    </row>
    <row r="489" spans="1:42" s="23" customFormat="1" x14ac:dyDescent="0.25">
      <c r="A489"/>
      <c r="B489" s="24" t="str">
        <f t="shared" si="31"/>
        <v>-</v>
      </c>
      <c r="E489" s="2"/>
      <c r="F489"/>
      <c r="G489"/>
      <c r="H489"/>
      <c r="I489"/>
      <c r="J489"/>
      <c r="K489"/>
      <c r="L489"/>
      <c r="M489"/>
      <c r="N489" s="3"/>
      <c r="O489"/>
      <c r="P489"/>
      <c r="Q489"/>
      <c r="R489"/>
      <c r="S489"/>
      <c r="T489"/>
      <c r="U489"/>
      <c r="V489"/>
      <c r="W489"/>
      <c r="X489"/>
      <c r="Y489"/>
      <c r="Z489"/>
      <c r="AA489"/>
      <c r="AB489"/>
      <c r="AC489"/>
      <c r="AD489"/>
      <c r="AE489"/>
      <c r="AF489"/>
      <c r="AG489"/>
      <c r="AH489"/>
      <c r="AI489"/>
      <c r="AJ489"/>
      <c r="AK489"/>
      <c r="AL489"/>
      <c r="AM489"/>
      <c r="AN489"/>
      <c r="AO489"/>
      <c r="AP489"/>
    </row>
    <row r="490" spans="1:42" s="23" customFormat="1" x14ac:dyDescent="0.25">
      <c r="A490"/>
      <c r="B490" s="24" t="str">
        <f t="shared" si="31"/>
        <v>-</v>
      </c>
      <c r="E490" s="2"/>
      <c r="F490"/>
      <c r="G490"/>
      <c r="H490"/>
      <c r="I490"/>
      <c r="J490"/>
      <c r="K490"/>
      <c r="L490"/>
      <c r="M490"/>
      <c r="N490" s="3"/>
      <c r="O490"/>
      <c r="P490"/>
      <c r="Q490"/>
      <c r="R490"/>
      <c r="S490"/>
      <c r="T490"/>
      <c r="U490"/>
      <c r="V490"/>
      <c r="W490"/>
      <c r="X490"/>
      <c r="Y490"/>
      <c r="Z490"/>
      <c r="AA490"/>
      <c r="AB490"/>
      <c r="AC490"/>
      <c r="AD490"/>
      <c r="AE490"/>
      <c r="AF490"/>
      <c r="AG490"/>
      <c r="AH490"/>
      <c r="AI490"/>
      <c r="AJ490"/>
      <c r="AK490"/>
      <c r="AL490"/>
      <c r="AM490"/>
      <c r="AN490"/>
      <c r="AO490"/>
      <c r="AP490"/>
    </row>
    <row r="491" spans="1:42" s="23" customFormat="1" x14ac:dyDescent="0.25">
      <c r="A491"/>
      <c r="B491" s="24" t="str">
        <f t="shared" si="31"/>
        <v>-</v>
      </c>
      <c r="E491" s="2"/>
      <c r="F491"/>
      <c r="G491"/>
      <c r="H491"/>
      <c r="I491"/>
      <c r="J491"/>
      <c r="K491"/>
      <c r="L491"/>
      <c r="M491"/>
      <c r="N491" s="3"/>
      <c r="O491"/>
      <c r="P491"/>
      <c r="Q491"/>
      <c r="R491"/>
      <c r="S491"/>
      <c r="T491"/>
      <c r="U491"/>
      <c r="V491"/>
      <c r="W491"/>
      <c r="X491"/>
      <c r="Y491"/>
      <c r="Z491"/>
      <c r="AA491"/>
      <c r="AB491"/>
      <c r="AC491"/>
      <c r="AD491"/>
      <c r="AE491"/>
      <c r="AF491"/>
      <c r="AG491"/>
      <c r="AH491"/>
      <c r="AI491"/>
      <c r="AJ491"/>
      <c r="AK491"/>
      <c r="AL491"/>
      <c r="AM491"/>
      <c r="AN491"/>
      <c r="AO491"/>
      <c r="AP491"/>
    </row>
    <row r="492" spans="1:42" s="23" customFormat="1" x14ac:dyDescent="0.25">
      <c r="A492"/>
      <c r="B492" s="24" t="str">
        <f t="shared" si="31"/>
        <v>-</v>
      </c>
      <c r="E492" s="2"/>
      <c r="F492"/>
      <c r="G492"/>
      <c r="H492"/>
      <c r="I492"/>
      <c r="J492"/>
      <c r="K492"/>
      <c r="L492"/>
      <c r="M492"/>
      <c r="N492" s="3"/>
      <c r="O492"/>
      <c r="P492"/>
      <c r="Q492"/>
      <c r="R492"/>
      <c r="S492"/>
      <c r="T492"/>
      <c r="U492"/>
      <c r="V492"/>
      <c r="W492"/>
      <c r="X492"/>
      <c r="Y492"/>
      <c r="Z492"/>
      <c r="AA492"/>
      <c r="AB492"/>
      <c r="AC492"/>
      <c r="AD492"/>
      <c r="AE492"/>
      <c r="AF492"/>
      <c r="AG492"/>
      <c r="AH492"/>
      <c r="AI492"/>
      <c r="AJ492"/>
      <c r="AK492"/>
      <c r="AL492"/>
      <c r="AM492"/>
      <c r="AN492"/>
      <c r="AO492"/>
      <c r="AP492"/>
    </row>
    <row r="493" spans="1:42" s="23" customFormat="1" x14ac:dyDescent="0.25">
      <c r="A493"/>
      <c r="B493" s="24" t="str">
        <f t="shared" si="31"/>
        <v>-</v>
      </c>
      <c r="E493" s="2"/>
      <c r="F493"/>
      <c r="G493"/>
      <c r="H493"/>
      <c r="I493"/>
      <c r="J493"/>
      <c r="K493"/>
      <c r="L493"/>
      <c r="M493"/>
      <c r="N493" s="3"/>
      <c r="O493"/>
      <c r="P493"/>
      <c r="Q493"/>
      <c r="R493"/>
      <c r="S493"/>
      <c r="T493"/>
      <c r="U493"/>
      <c r="V493"/>
      <c r="W493"/>
      <c r="X493"/>
      <c r="Y493"/>
      <c r="Z493"/>
      <c r="AA493"/>
      <c r="AB493"/>
      <c r="AC493"/>
      <c r="AD493"/>
      <c r="AE493"/>
      <c r="AF493"/>
      <c r="AG493"/>
      <c r="AH493"/>
      <c r="AI493"/>
      <c r="AJ493"/>
      <c r="AK493"/>
      <c r="AL493"/>
      <c r="AM493"/>
      <c r="AN493"/>
      <c r="AO493"/>
      <c r="AP493"/>
    </row>
    <row r="494" spans="1:42" s="23" customFormat="1" x14ac:dyDescent="0.25">
      <c r="A494"/>
      <c r="B494" s="24" t="str">
        <f t="shared" si="31"/>
        <v>-</v>
      </c>
      <c r="E494" s="2"/>
      <c r="F494"/>
      <c r="G494"/>
      <c r="H494"/>
      <c r="I494"/>
      <c r="J494"/>
      <c r="K494"/>
      <c r="L494"/>
      <c r="M494"/>
      <c r="N494" s="3"/>
      <c r="O494"/>
      <c r="P494"/>
      <c r="Q494"/>
      <c r="R494"/>
      <c r="S494"/>
      <c r="T494"/>
      <c r="U494"/>
      <c r="V494"/>
      <c r="W494"/>
      <c r="X494"/>
      <c r="Y494"/>
      <c r="Z494"/>
      <c r="AA494"/>
      <c r="AB494"/>
      <c r="AC494"/>
      <c r="AD494"/>
      <c r="AE494"/>
      <c r="AF494"/>
      <c r="AG494"/>
      <c r="AH494"/>
      <c r="AI494"/>
      <c r="AJ494"/>
      <c r="AK494"/>
      <c r="AL494"/>
      <c r="AM494"/>
      <c r="AN494"/>
      <c r="AO494"/>
      <c r="AP494"/>
    </row>
    <row r="495" spans="1:42" s="23" customFormat="1" x14ac:dyDescent="0.25">
      <c r="A495"/>
      <c r="B495" s="24" t="str">
        <f t="shared" si="31"/>
        <v>-</v>
      </c>
      <c r="E495" s="2"/>
      <c r="F495"/>
      <c r="G495"/>
      <c r="H495"/>
      <c r="I495"/>
      <c r="J495"/>
      <c r="K495"/>
      <c r="L495"/>
      <c r="M495"/>
      <c r="N495" s="3"/>
      <c r="O495"/>
      <c r="P495"/>
      <c r="Q495"/>
      <c r="R495"/>
      <c r="S495"/>
      <c r="T495"/>
      <c r="U495"/>
      <c r="V495"/>
      <c r="W495"/>
      <c r="X495"/>
      <c r="Y495"/>
      <c r="Z495"/>
      <c r="AA495"/>
      <c r="AB495"/>
      <c r="AC495"/>
      <c r="AD495"/>
      <c r="AE495"/>
      <c r="AF495"/>
      <c r="AG495"/>
      <c r="AH495"/>
      <c r="AI495"/>
      <c r="AJ495"/>
      <c r="AK495"/>
      <c r="AL495"/>
      <c r="AM495"/>
      <c r="AN495"/>
      <c r="AO495"/>
      <c r="AP495"/>
    </row>
    <row r="496" spans="1:42" s="23" customFormat="1" x14ac:dyDescent="0.25">
      <c r="A496"/>
      <c r="B496" s="24" t="str">
        <f t="shared" si="31"/>
        <v>-</v>
      </c>
      <c r="E496" s="2"/>
      <c r="F496"/>
      <c r="G496"/>
      <c r="H496"/>
      <c r="I496"/>
      <c r="J496"/>
      <c r="K496"/>
      <c r="L496"/>
      <c r="M496"/>
      <c r="N496" s="3"/>
      <c r="O496"/>
      <c r="P496"/>
      <c r="Q496"/>
      <c r="R496"/>
      <c r="S496"/>
      <c r="T496"/>
      <c r="U496"/>
      <c r="V496"/>
      <c r="W496"/>
      <c r="X496"/>
      <c r="Y496"/>
      <c r="Z496"/>
      <c r="AA496"/>
      <c r="AB496"/>
      <c r="AC496"/>
      <c r="AD496"/>
      <c r="AE496"/>
      <c r="AF496"/>
      <c r="AG496"/>
      <c r="AH496"/>
      <c r="AI496"/>
      <c r="AJ496"/>
      <c r="AK496"/>
      <c r="AL496"/>
      <c r="AM496"/>
      <c r="AN496"/>
      <c r="AO496"/>
      <c r="AP496"/>
    </row>
    <row r="497" spans="1:42" s="23" customFormat="1" x14ac:dyDescent="0.25">
      <c r="A497"/>
      <c r="B497" s="24" t="str">
        <f t="shared" si="31"/>
        <v>-</v>
      </c>
      <c r="E497" s="2"/>
      <c r="F497"/>
      <c r="G497"/>
      <c r="H497"/>
      <c r="I497"/>
      <c r="J497"/>
      <c r="K497"/>
      <c r="L497"/>
      <c r="M497"/>
      <c r="N497" s="3"/>
      <c r="O497"/>
      <c r="P497"/>
      <c r="Q497"/>
      <c r="R497"/>
      <c r="S497"/>
      <c r="T497"/>
      <c r="U497"/>
      <c r="V497"/>
      <c r="W497"/>
      <c r="X497"/>
      <c r="Y497"/>
      <c r="Z497"/>
      <c r="AA497"/>
      <c r="AB497"/>
      <c r="AC497"/>
      <c r="AD497"/>
      <c r="AE497"/>
      <c r="AF497"/>
      <c r="AG497"/>
      <c r="AH497"/>
      <c r="AI497"/>
      <c r="AJ497"/>
      <c r="AK497"/>
      <c r="AL497"/>
      <c r="AM497"/>
      <c r="AN497"/>
      <c r="AO497"/>
      <c r="AP497"/>
    </row>
    <row r="498" spans="1:42" s="23" customFormat="1" x14ac:dyDescent="0.25">
      <c r="A498"/>
      <c r="B498" s="24" t="str">
        <f t="shared" si="31"/>
        <v>-</v>
      </c>
      <c r="E498" s="2"/>
      <c r="F498"/>
      <c r="G498"/>
      <c r="H498"/>
      <c r="I498"/>
      <c r="J498"/>
      <c r="K498"/>
      <c r="L498"/>
      <c r="M498"/>
      <c r="N498" s="3"/>
      <c r="O498"/>
      <c r="P498"/>
      <c r="Q498"/>
      <c r="R498"/>
      <c r="S498"/>
      <c r="T498"/>
      <c r="U498"/>
      <c r="V498"/>
      <c r="W498"/>
      <c r="X498"/>
      <c r="Y498"/>
      <c r="Z498"/>
      <c r="AA498"/>
      <c r="AB498"/>
      <c r="AC498"/>
      <c r="AD498"/>
      <c r="AE498"/>
      <c r="AF498"/>
      <c r="AG498"/>
      <c r="AH498"/>
      <c r="AI498"/>
      <c r="AJ498"/>
      <c r="AK498"/>
      <c r="AL498"/>
      <c r="AM498"/>
      <c r="AN498"/>
      <c r="AO498"/>
      <c r="AP498"/>
    </row>
    <row r="499" spans="1:42" s="23" customFormat="1" x14ac:dyDescent="0.25">
      <c r="A499"/>
      <c r="B499" s="24" t="str">
        <f t="shared" si="31"/>
        <v>-</v>
      </c>
      <c r="E499" s="2"/>
      <c r="F499"/>
      <c r="G499"/>
      <c r="H499"/>
      <c r="I499"/>
      <c r="J499"/>
      <c r="K499"/>
      <c r="L499"/>
      <c r="M499"/>
      <c r="N499" s="3"/>
      <c r="O499"/>
      <c r="P499"/>
      <c r="Q499"/>
      <c r="R499"/>
      <c r="S499"/>
      <c r="T499"/>
      <c r="U499"/>
      <c r="V499"/>
      <c r="W499"/>
      <c r="X499"/>
      <c r="Y499"/>
      <c r="Z499"/>
      <c r="AA499"/>
      <c r="AB499"/>
      <c r="AC499"/>
      <c r="AD499"/>
      <c r="AE499"/>
      <c r="AF499"/>
      <c r="AG499"/>
      <c r="AH499"/>
      <c r="AI499"/>
      <c r="AJ499"/>
      <c r="AK499"/>
      <c r="AL499"/>
      <c r="AM499"/>
      <c r="AN499"/>
      <c r="AO499"/>
      <c r="AP499"/>
    </row>
    <row r="500" spans="1:42" s="23" customFormat="1" x14ac:dyDescent="0.25">
      <c r="A500"/>
      <c r="B500" s="24" t="str">
        <f t="shared" si="31"/>
        <v>-</v>
      </c>
      <c r="E500" s="2"/>
      <c r="F500"/>
      <c r="G500"/>
      <c r="H500"/>
      <c r="I500"/>
      <c r="J500"/>
      <c r="K500"/>
      <c r="L500"/>
      <c r="M500"/>
      <c r="N500" s="3"/>
      <c r="O500"/>
      <c r="P500"/>
      <c r="Q500"/>
      <c r="R500"/>
      <c r="S500"/>
      <c r="T500"/>
      <c r="U500"/>
      <c r="V500"/>
      <c r="W500"/>
      <c r="X500"/>
      <c r="Y500"/>
      <c r="Z500"/>
      <c r="AA500"/>
      <c r="AB500"/>
      <c r="AC500"/>
      <c r="AD500"/>
      <c r="AE500"/>
      <c r="AF500"/>
      <c r="AG500"/>
      <c r="AH500"/>
      <c r="AI500"/>
      <c r="AJ500"/>
      <c r="AK500"/>
      <c r="AL500"/>
      <c r="AM500"/>
      <c r="AN500"/>
      <c r="AO500"/>
      <c r="AP500"/>
    </row>
    <row r="501" spans="1:42" s="23" customFormat="1" x14ac:dyDescent="0.25">
      <c r="A501"/>
      <c r="B501" s="24" t="str">
        <f t="shared" si="31"/>
        <v>-</v>
      </c>
      <c r="E501" s="2"/>
      <c r="F501"/>
      <c r="G501"/>
      <c r="H501"/>
      <c r="I501"/>
      <c r="J501"/>
      <c r="K501"/>
      <c r="L501"/>
      <c r="M501"/>
      <c r="N501" s="3"/>
      <c r="O501"/>
      <c r="P501"/>
      <c r="Q501"/>
      <c r="R501"/>
      <c r="S501"/>
      <c r="T501"/>
      <c r="U501"/>
      <c r="V501"/>
      <c r="W501"/>
      <c r="X501"/>
      <c r="Y501"/>
      <c r="Z501"/>
      <c r="AA501"/>
      <c r="AB501"/>
      <c r="AC501"/>
      <c r="AD501"/>
      <c r="AE501"/>
      <c r="AF501"/>
      <c r="AG501"/>
      <c r="AH501"/>
      <c r="AI501"/>
      <c r="AJ501"/>
      <c r="AK501"/>
      <c r="AL501"/>
      <c r="AM501"/>
      <c r="AN501"/>
      <c r="AO501"/>
      <c r="AP501"/>
    </row>
    <row r="502" spans="1:42" s="23" customFormat="1" x14ac:dyDescent="0.25">
      <c r="A502"/>
      <c r="B502" s="24" t="str">
        <f t="shared" si="31"/>
        <v>-</v>
      </c>
      <c r="E502" s="2"/>
      <c r="F502"/>
      <c r="G502"/>
      <c r="H502"/>
      <c r="I502"/>
      <c r="J502"/>
      <c r="K502"/>
      <c r="L502"/>
      <c r="M502"/>
      <c r="N502" s="3"/>
      <c r="O502"/>
      <c r="P502"/>
      <c r="Q502"/>
      <c r="R502"/>
      <c r="S502"/>
      <c r="T502"/>
      <c r="U502"/>
      <c r="V502"/>
      <c r="W502"/>
      <c r="X502"/>
      <c r="Y502"/>
      <c r="Z502"/>
      <c r="AA502"/>
      <c r="AB502"/>
      <c r="AC502"/>
      <c r="AD502"/>
      <c r="AE502"/>
      <c r="AF502"/>
      <c r="AG502"/>
      <c r="AH502"/>
      <c r="AI502"/>
      <c r="AJ502"/>
      <c r="AK502"/>
      <c r="AL502"/>
      <c r="AM502"/>
      <c r="AN502"/>
      <c r="AO502"/>
      <c r="AP502"/>
    </row>
    <row r="503" spans="1:42" s="23" customFormat="1" x14ac:dyDescent="0.25">
      <c r="A503"/>
      <c r="B503" s="24" t="str">
        <f t="shared" si="31"/>
        <v>-</v>
      </c>
      <c r="E503" s="2"/>
      <c r="F503"/>
      <c r="G503"/>
      <c r="H503"/>
      <c r="I503"/>
      <c r="J503"/>
      <c r="K503"/>
      <c r="L503"/>
      <c r="M503"/>
      <c r="N503" s="3"/>
      <c r="O503"/>
      <c r="P503"/>
      <c r="Q503"/>
      <c r="R503"/>
      <c r="S503"/>
      <c r="T503"/>
      <c r="U503"/>
      <c r="V503"/>
      <c r="W503"/>
      <c r="X503"/>
      <c r="Y503"/>
      <c r="Z503"/>
      <c r="AA503"/>
      <c r="AB503"/>
      <c r="AC503"/>
      <c r="AD503"/>
      <c r="AE503"/>
      <c r="AF503"/>
      <c r="AG503"/>
      <c r="AH503"/>
      <c r="AI503"/>
      <c r="AJ503"/>
      <c r="AK503"/>
      <c r="AL503"/>
      <c r="AM503"/>
      <c r="AN503"/>
      <c r="AO503"/>
      <c r="AP503"/>
    </row>
    <row r="504" spans="1:42" s="23" customFormat="1" x14ac:dyDescent="0.25">
      <c r="A504"/>
      <c r="B504" s="24" t="str">
        <f t="shared" si="31"/>
        <v>-</v>
      </c>
      <c r="E504" s="2"/>
      <c r="F504"/>
      <c r="G504"/>
      <c r="H504"/>
      <c r="I504"/>
      <c r="J504"/>
      <c r="K504"/>
      <c r="L504"/>
      <c r="M504"/>
      <c r="N504" s="3"/>
      <c r="O504"/>
      <c r="P504"/>
      <c r="Q504"/>
      <c r="R504"/>
      <c r="S504"/>
      <c r="T504"/>
      <c r="U504"/>
      <c r="V504"/>
      <c r="W504"/>
      <c r="X504"/>
      <c r="Y504"/>
      <c r="Z504"/>
      <c r="AA504"/>
      <c r="AB504"/>
      <c r="AC504"/>
      <c r="AD504"/>
      <c r="AE504"/>
      <c r="AF504"/>
      <c r="AG504"/>
      <c r="AH504"/>
      <c r="AI504"/>
      <c r="AJ504"/>
      <c r="AK504"/>
      <c r="AL504"/>
      <c r="AM504"/>
      <c r="AN504"/>
      <c r="AO504"/>
      <c r="AP504"/>
    </row>
    <row r="505" spans="1:42" s="23" customFormat="1" x14ac:dyDescent="0.25">
      <c r="A505"/>
      <c r="B505" s="24" t="str">
        <f t="shared" si="31"/>
        <v>-</v>
      </c>
      <c r="E505" s="2"/>
      <c r="F505"/>
      <c r="G505"/>
      <c r="H505"/>
      <c r="I505"/>
      <c r="J505"/>
      <c r="K505"/>
      <c r="L505"/>
      <c r="M505"/>
      <c r="N505" s="3"/>
      <c r="O505"/>
      <c r="P505"/>
      <c r="Q505"/>
      <c r="R505"/>
      <c r="S505"/>
      <c r="T505"/>
      <c r="U505"/>
      <c r="V505"/>
      <c r="W505"/>
      <c r="X505"/>
      <c r="Y505"/>
      <c r="Z505"/>
      <c r="AA505"/>
      <c r="AB505"/>
      <c r="AC505"/>
      <c r="AD505"/>
      <c r="AE505"/>
      <c r="AF505"/>
      <c r="AG505"/>
      <c r="AH505"/>
      <c r="AI505"/>
      <c r="AJ505"/>
      <c r="AK505"/>
      <c r="AL505"/>
      <c r="AM505"/>
      <c r="AN505"/>
      <c r="AO505"/>
      <c r="AP505"/>
    </row>
    <row r="506" spans="1:42" s="23" customFormat="1" x14ac:dyDescent="0.25">
      <c r="A506"/>
      <c r="B506" s="24" t="str">
        <f t="shared" si="31"/>
        <v>-</v>
      </c>
      <c r="E506" s="2"/>
      <c r="F506"/>
      <c r="G506"/>
      <c r="H506"/>
      <c r="I506"/>
      <c r="J506"/>
      <c r="K506"/>
      <c r="L506"/>
      <c r="M506"/>
      <c r="N506" s="3"/>
      <c r="O506"/>
      <c r="P506"/>
      <c r="Q506"/>
      <c r="R506"/>
      <c r="S506"/>
      <c r="T506"/>
      <c r="U506"/>
      <c r="V506"/>
      <c r="W506"/>
      <c r="X506"/>
      <c r="Y506"/>
      <c r="Z506"/>
      <c r="AA506"/>
      <c r="AB506"/>
      <c r="AC506"/>
      <c r="AD506"/>
      <c r="AE506"/>
      <c r="AF506"/>
      <c r="AG506"/>
      <c r="AH506"/>
      <c r="AI506"/>
      <c r="AJ506"/>
      <c r="AK506"/>
      <c r="AL506"/>
      <c r="AM506"/>
      <c r="AN506"/>
      <c r="AO506"/>
      <c r="AP506"/>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28</vt:i4>
      </vt:variant>
      <vt:variant>
        <vt:lpstr>Charts</vt:lpstr>
      </vt:variant>
      <vt:variant>
        <vt:i4>4</vt:i4>
      </vt:variant>
      <vt:variant>
        <vt:lpstr>Named Ranges</vt:lpstr>
      </vt:variant>
      <vt:variant>
        <vt:i4>1</vt:i4>
      </vt:variant>
    </vt:vector>
  </HeadingPairs>
  <TitlesOfParts>
    <vt:vector size="33" baseType="lpstr">
      <vt:lpstr>ChartAdvisorTempSheet</vt:lpstr>
      <vt:lpstr>Returns</vt:lpstr>
      <vt:lpstr>LC (Gross)</vt:lpstr>
      <vt:lpstr>LC (Net)</vt:lpstr>
      <vt:lpstr>Global (Gross)</vt:lpstr>
      <vt:lpstr>Global (Net)</vt:lpstr>
      <vt:lpstr>BOGIX (Gross)</vt:lpstr>
      <vt:lpstr>BOGIX (Net)</vt:lpstr>
      <vt:lpstr>CRA (Gross)</vt:lpstr>
      <vt:lpstr>CRA (Net)</vt:lpstr>
      <vt:lpstr>Tactical</vt:lpstr>
      <vt:lpstr>LCC</vt:lpstr>
      <vt:lpstr>GINC</vt:lpstr>
      <vt:lpstr>Chart Data</vt:lpstr>
      <vt:lpstr>Quarterly Perf Update Table</vt:lpstr>
      <vt:lpstr>Factsheet Perf Tables</vt:lpstr>
      <vt:lpstr>Calendar Year</vt:lpstr>
      <vt:lpstr>Monthly Performance Update</vt:lpstr>
      <vt:lpstr>Monthly Perf Update Table</vt:lpstr>
      <vt:lpstr>Sheet1</vt:lpstr>
      <vt:lpstr>Website</vt:lpstr>
      <vt:lpstr>130-30</vt:lpstr>
      <vt:lpstr>Top 50</vt:lpstr>
      <vt:lpstr>ITL</vt:lpstr>
      <vt:lpstr>SC (Gross)</vt:lpstr>
      <vt:lpstr>SC (Net)</vt:lpstr>
      <vt:lpstr>Cons LV</vt:lpstr>
      <vt:lpstr>US LV Wrap</vt:lpstr>
      <vt:lpstr>Chart5</vt:lpstr>
      <vt:lpstr>Chart6</vt:lpstr>
      <vt:lpstr>Chart7</vt:lpstr>
      <vt:lpstr>Chart8</vt:lpstr>
      <vt:lpstr>Returns!Print_Area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Harden</dc:creator>
  <cp:keywords/>
  <dc:description/>
  <cp:lastModifiedBy>Parineeta Gengaje</cp:lastModifiedBy>
  <cp:revision/>
  <dcterms:created xsi:type="dcterms:W3CDTF">2013-02-21T17:56:21Z</dcterms:created>
  <dcterms:modified xsi:type="dcterms:W3CDTF">2026-01-27T18:45:41Z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eyIwIjoiSGlzdG9yeSIsIjEiOjAsIjIiOjEsIjMiOjEsIjQiOjEsIjUiOjEsIjYiOjEsIjciOjEsIjgiOjAsIjkiOjEsIjEwIjoxLCIxMSI6MCwiMTIiOjB9</vt:lpwstr>
  </property>
</Properties>
</file>